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d.docs.live.net/8db802bdc3f101a1/Bureau/uSherbrooke/Analyses/Originals/"/>
    </mc:Choice>
  </mc:AlternateContent>
  <xr:revisionPtr revIDLastSave="106" documentId="13_ncr:1_{BC17AA3C-A6F6-449C-B638-9F886F6B07E6}" xr6:coauthVersionLast="47" xr6:coauthVersionMax="47" xr10:uidLastSave="{4E733240-A6F6-4691-9ABC-7998137E201E}"/>
  <bookViews>
    <workbookView xWindow="-108" yWindow="-108" windowWidth="23256" windowHeight="12456" xr2:uid="{00000000-000D-0000-FFFF-FFFF00000000}"/>
  </bookViews>
  <sheets>
    <sheet name="Biomass wet and dry weights" sheetId="1" r:id="rId1"/>
    <sheet name="check of DW means" sheetId="5" r:id="rId2"/>
    <sheet name="Correction factors" sheetId="3" r:id="rId3"/>
    <sheet name="Dates cages placed out" sheetId="4" r:id="rId4"/>
    <sheet name="notes" sheetId="2" r:id="rId5"/>
  </sheets>
  <definedNames>
    <definedName name="_xlnm._FilterDatabase" localSheetId="0" hidden="1">'Biomass wet and dry weights'!$M$1:$M$2726</definedName>
    <definedName name="_xlnm._FilterDatabase" localSheetId="1" hidden="1">'check of DW means'!$D$1:$D$2726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533" i="1" l="1"/>
  <c r="L3533" i="1"/>
  <c r="J3533" i="1"/>
  <c r="H3533" i="1"/>
  <c r="M3533" i="1" s="1"/>
  <c r="O3532" i="1"/>
  <c r="M3532" i="1"/>
  <c r="L3532" i="1"/>
  <c r="J3532" i="1"/>
  <c r="H3532" i="1"/>
  <c r="O3531" i="1"/>
  <c r="M3531" i="1"/>
  <c r="L3531" i="1"/>
  <c r="J3531" i="1"/>
  <c r="H3531" i="1"/>
  <c r="O3530" i="1"/>
  <c r="L3530" i="1"/>
  <c r="M3530" i="1" s="1"/>
  <c r="J3530" i="1"/>
  <c r="H3530" i="1"/>
  <c r="O3529" i="1"/>
  <c r="L3529" i="1"/>
  <c r="M3529" i="1" s="1"/>
  <c r="J3529" i="1"/>
  <c r="H3529" i="1"/>
  <c r="O3524" i="1"/>
  <c r="L3524" i="1"/>
  <c r="J3524" i="1"/>
  <c r="H3524" i="1"/>
  <c r="M3524" i="1" s="1"/>
  <c r="O3523" i="1"/>
  <c r="L3523" i="1"/>
  <c r="J3523" i="1"/>
  <c r="H3523" i="1"/>
  <c r="M3523" i="1" s="1"/>
  <c r="O3520" i="1"/>
  <c r="L3520" i="1"/>
  <c r="J3520" i="1"/>
  <c r="H3520" i="1"/>
  <c r="M3520" i="1" s="1"/>
  <c r="O3518" i="1"/>
  <c r="L3518" i="1"/>
  <c r="M3518" i="1" s="1"/>
  <c r="J3518" i="1"/>
  <c r="H3518" i="1"/>
  <c r="O3517" i="1"/>
  <c r="L3517" i="1"/>
  <c r="J3517" i="1"/>
  <c r="H3517" i="1"/>
  <c r="O3516" i="1"/>
  <c r="L3516" i="1"/>
  <c r="M3516" i="1" s="1"/>
  <c r="J3516" i="1"/>
  <c r="H3516" i="1"/>
  <c r="O3515" i="1"/>
  <c r="L3515" i="1"/>
  <c r="J3515" i="1"/>
  <c r="H3515" i="1"/>
  <c r="M3515" i="1" s="1"/>
  <c r="O3514" i="1"/>
  <c r="L3514" i="1"/>
  <c r="J3514" i="1"/>
  <c r="H3514" i="1"/>
  <c r="M3514" i="1" s="1"/>
  <c r="O3511" i="1"/>
  <c r="M3511" i="1"/>
  <c r="L3511" i="1"/>
  <c r="J3511" i="1"/>
  <c r="H3511" i="1"/>
  <c r="O3509" i="1"/>
  <c r="M3509" i="1"/>
  <c r="L3509" i="1"/>
  <c r="J3509" i="1"/>
  <c r="H3509" i="1"/>
  <c r="O3508" i="1"/>
  <c r="L3508" i="1"/>
  <c r="M3508" i="1" s="1"/>
  <c r="J3508" i="1"/>
  <c r="H3508" i="1"/>
  <c r="O3507" i="1"/>
  <c r="L3507" i="1"/>
  <c r="M3507" i="1" s="1"/>
  <c r="J3507" i="1"/>
  <c r="H3507" i="1"/>
  <c r="O3506" i="1"/>
  <c r="L3506" i="1"/>
  <c r="J3506" i="1"/>
  <c r="H3506" i="1"/>
  <c r="M3506" i="1" s="1"/>
  <c r="O3505" i="1"/>
  <c r="L3505" i="1"/>
  <c r="J3505" i="1"/>
  <c r="H3505" i="1"/>
  <c r="M3505" i="1" s="1"/>
  <c r="O3504" i="1"/>
  <c r="L3504" i="1"/>
  <c r="J3504" i="1"/>
  <c r="H3504" i="1"/>
  <c r="M3504" i="1" s="1"/>
  <c r="O3503" i="1"/>
  <c r="L3503" i="1"/>
  <c r="O3502" i="1"/>
  <c r="L3502" i="1"/>
  <c r="J3502" i="1"/>
  <c r="H3502" i="1"/>
  <c r="M3502" i="1" s="1"/>
  <c r="O3499" i="1"/>
  <c r="L3499" i="1"/>
  <c r="J3499" i="1"/>
  <c r="H3499" i="1"/>
  <c r="M3499" i="1" s="1"/>
  <c r="O3498" i="1"/>
  <c r="M3498" i="1"/>
  <c r="L3498" i="1"/>
  <c r="J3498" i="1"/>
  <c r="H3498" i="1"/>
  <c r="O3497" i="1"/>
  <c r="M3497" i="1"/>
  <c r="L3497" i="1"/>
  <c r="J3497" i="1"/>
  <c r="H3497" i="1"/>
  <c r="O3496" i="1"/>
  <c r="L3496" i="1"/>
  <c r="M3496" i="1" s="1"/>
  <c r="J3496" i="1"/>
  <c r="H3496" i="1"/>
  <c r="O3495" i="1"/>
  <c r="L3495" i="1"/>
  <c r="J3495" i="1"/>
  <c r="H3495" i="1"/>
  <c r="M3495" i="1" s="1"/>
  <c r="O3494" i="1"/>
  <c r="L3494" i="1"/>
  <c r="J3494" i="1"/>
  <c r="H3494" i="1"/>
  <c r="M3494" i="1" s="1"/>
  <c r="O3492" i="1"/>
  <c r="M3492" i="1"/>
  <c r="L3492" i="1"/>
  <c r="J3492" i="1"/>
  <c r="H3492" i="1"/>
  <c r="O3491" i="1"/>
  <c r="M3491" i="1"/>
  <c r="L3491" i="1"/>
  <c r="J3491" i="1"/>
  <c r="H3491" i="1"/>
  <c r="O3490" i="1"/>
  <c r="L3490" i="1"/>
  <c r="M3490" i="1" s="1"/>
  <c r="J3490" i="1"/>
  <c r="H3490" i="1"/>
  <c r="O3489" i="1"/>
  <c r="L3489" i="1"/>
  <c r="M3489" i="1" s="1"/>
  <c r="J3489" i="1"/>
  <c r="H3489" i="1"/>
  <c r="O3488" i="1"/>
  <c r="L3488" i="1"/>
  <c r="J3488" i="1"/>
  <c r="H3488" i="1"/>
  <c r="O3486" i="1"/>
  <c r="L3486" i="1"/>
  <c r="J3486" i="1"/>
  <c r="H3486" i="1"/>
  <c r="M3486" i="1" s="1"/>
  <c r="O3485" i="1"/>
  <c r="L3485" i="1"/>
  <c r="J3485" i="1"/>
  <c r="H3485" i="1"/>
  <c r="M3485" i="1" s="1"/>
  <c r="O3483" i="1"/>
  <c r="L3483" i="1"/>
  <c r="M3483" i="1" s="1"/>
  <c r="J3483" i="1"/>
  <c r="H3483" i="1"/>
  <c r="O3473" i="1"/>
  <c r="L3473" i="1"/>
  <c r="M3473" i="1" s="1"/>
  <c r="J3473" i="1"/>
  <c r="H3473" i="1"/>
  <c r="O3472" i="1"/>
  <c r="L3472" i="1"/>
  <c r="J3472" i="1"/>
  <c r="H3472" i="1"/>
  <c r="M3472" i="1" s="1"/>
  <c r="O3471" i="1"/>
  <c r="L3471" i="1"/>
  <c r="J3471" i="1"/>
  <c r="H3471" i="1"/>
  <c r="O3470" i="1"/>
  <c r="L3470" i="1"/>
  <c r="J3470" i="1"/>
  <c r="H3470" i="1"/>
  <c r="M3470" i="1" s="1"/>
  <c r="O3469" i="1"/>
  <c r="L3469" i="1"/>
  <c r="J3469" i="1"/>
  <c r="H3469" i="1"/>
  <c r="M3469" i="1" s="1"/>
  <c r="O3464" i="1"/>
  <c r="M3464" i="1"/>
  <c r="L3464" i="1"/>
  <c r="J3464" i="1"/>
  <c r="H3464" i="1"/>
  <c r="O3463" i="1"/>
  <c r="M3463" i="1"/>
  <c r="L3463" i="1"/>
  <c r="J3463" i="1"/>
  <c r="H3463" i="1"/>
  <c r="O3460" i="1"/>
  <c r="L3460" i="1"/>
  <c r="M3460" i="1" s="1"/>
  <c r="J3460" i="1"/>
  <c r="H3460" i="1"/>
  <c r="O3458" i="1"/>
  <c r="L3458" i="1"/>
  <c r="M3458" i="1" s="1"/>
  <c r="J3458" i="1"/>
  <c r="H3458" i="1"/>
  <c r="O3457" i="1"/>
  <c r="L3457" i="1"/>
  <c r="J3457" i="1"/>
  <c r="H3457" i="1"/>
  <c r="M3457" i="1" s="1"/>
  <c r="O3456" i="1"/>
  <c r="L3456" i="1"/>
  <c r="J3456" i="1"/>
  <c r="H3456" i="1"/>
  <c r="M3456" i="1" s="1"/>
  <c r="O3455" i="1"/>
  <c r="L3455" i="1"/>
  <c r="M3455" i="1" s="1"/>
  <c r="J3455" i="1"/>
  <c r="H3455" i="1"/>
  <c r="O3454" i="1"/>
  <c r="L3454" i="1"/>
  <c r="M3454" i="1" s="1"/>
  <c r="J3454" i="1"/>
  <c r="H3454" i="1"/>
  <c r="O3451" i="1"/>
  <c r="L3451" i="1"/>
  <c r="J3451" i="1"/>
  <c r="H3451" i="1"/>
  <c r="M3451" i="1" s="1"/>
  <c r="O3449" i="1"/>
  <c r="L3449" i="1"/>
  <c r="J3449" i="1"/>
  <c r="H3449" i="1"/>
  <c r="M3449" i="1" s="1"/>
  <c r="O3448" i="1"/>
  <c r="L3448" i="1"/>
  <c r="J3448" i="1"/>
  <c r="H3448" i="1"/>
  <c r="O3447" i="1"/>
  <c r="M3447" i="1"/>
  <c r="L3447" i="1"/>
  <c r="J3447" i="1"/>
  <c r="H3447" i="1"/>
  <c r="O3446" i="1"/>
  <c r="M3446" i="1"/>
  <c r="L3446" i="1"/>
  <c r="J3446" i="1"/>
  <c r="H3446" i="1"/>
  <c r="O3445" i="1"/>
  <c r="L3445" i="1"/>
  <c r="M3445" i="1" s="1"/>
  <c r="J3445" i="1"/>
  <c r="H3445" i="1"/>
  <c r="O3444" i="1"/>
  <c r="L3444" i="1"/>
  <c r="O3443" i="1"/>
  <c r="M3443" i="1"/>
  <c r="L3443" i="1"/>
  <c r="J3443" i="1"/>
  <c r="H3443" i="1"/>
  <c r="O3442" i="1"/>
  <c r="L3442" i="1"/>
  <c r="M3442" i="1" s="1"/>
  <c r="J3442" i="1"/>
  <c r="H3442" i="1"/>
  <c r="O3439" i="1"/>
  <c r="L3439" i="1"/>
  <c r="M3439" i="1" s="1"/>
  <c r="J3439" i="1"/>
  <c r="H3439" i="1"/>
  <c r="O3438" i="1"/>
  <c r="L3438" i="1"/>
  <c r="M3438" i="1" s="1"/>
  <c r="J3438" i="1"/>
  <c r="H3438" i="1"/>
  <c r="O3437" i="1"/>
  <c r="L3437" i="1"/>
  <c r="J3437" i="1"/>
  <c r="H3437" i="1"/>
  <c r="M3437" i="1" s="1"/>
  <c r="O3436" i="1"/>
  <c r="L3436" i="1"/>
  <c r="J3436" i="1"/>
  <c r="H3436" i="1"/>
  <c r="M3436" i="1" s="1"/>
  <c r="O3435" i="1"/>
  <c r="M3435" i="1"/>
  <c r="L3435" i="1"/>
  <c r="J3435" i="1"/>
  <c r="H3435" i="1"/>
  <c r="O3434" i="1"/>
  <c r="M3434" i="1"/>
  <c r="L3434" i="1"/>
  <c r="J3434" i="1"/>
  <c r="H3434" i="1"/>
  <c r="O3432" i="1"/>
  <c r="L3432" i="1"/>
  <c r="M3432" i="1" s="1"/>
  <c r="J3432" i="1"/>
  <c r="H3432" i="1"/>
  <c r="O3431" i="1"/>
  <c r="L3431" i="1"/>
  <c r="J3431" i="1"/>
  <c r="H3431" i="1"/>
  <c r="M3431" i="1" s="1"/>
  <c r="O3430" i="1"/>
  <c r="L3430" i="1"/>
  <c r="J3430" i="1"/>
  <c r="H3430" i="1"/>
  <c r="O3429" i="1"/>
  <c r="L3429" i="1"/>
  <c r="M3429" i="1" s="1"/>
  <c r="J3429" i="1"/>
  <c r="H3429" i="1"/>
  <c r="O3428" i="1"/>
  <c r="L3428" i="1"/>
  <c r="M3428" i="1" s="1"/>
  <c r="J3428" i="1"/>
  <c r="H3428" i="1"/>
  <c r="O3426" i="1"/>
  <c r="L3426" i="1"/>
  <c r="J3426" i="1"/>
  <c r="H3426" i="1"/>
  <c r="O3425" i="1"/>
  <c r="L3425" i="1"/>
  <c r="O3423" i="1"/>
  <c r="L3423" i="1"/>
  <c r="O3413" i="1"/>
  <c r="L3413" i="1"/>
  <c r="J3413" i="1"/>
  <c r="H3413" i="1"/>
  <c r="M3413" i="1" s="1"/>
  <c r="O3412" i="1"/>
  <c r="L3412" i="1"/>
  <c r="M3412" i="1" s="1"/>
  <c r="J3412" i="1"/>
  <c r="H3412" i="1"/>
  <c r="O3411" i="1"/>
  <c r="L3411" i="1"/>
  <c r="M3411" i="1" s="1"/>
  <c r="J3411" i="1"/>
  <c r="H3411" i="1"/>
  <c r="O3410" i="1"/>
  <c r="L3410" i="1"/>
  <c r="J3410" i="1"/>
  <c r="H3410" i="1"/>
  <c r="M3410" i="1" s="1"/>
  <c r="O3409" i="1"/>
  <c r="L3409" i="1"/>
  <c r="J3409" i="1"/>
  <c r="H3409" i="1"/>
  <c r="M3409" i="1" s="1"/>
  <c r="O3404" i="1"/>
  <c r="L3404" i="1"/>
  <c r="J3404" i="1"/>
  <c r="H3404" i="1"/>
  <c r="O3403" i="1"/>
  <c r="L3403" i="1"/>
  <c r="J3403" i="1"/>
  <c r="H3403" i="1"/>
  <c r="M3403" i="1" s="1"/>
  <c r="O3400" i="1"/>
  <c r="L3400" i="1"/>
  <c r="J3400" i="1"/>
  <c r="H3400" i="1"/>
  <c r="M3400" i="1" s="1"/>
  <c r="O3398" i="1"/>
  <c r="L3398" i="1"/>
  <c r="M3398" i="1" s="1"/>
  <c r="J3398" i="1"/>
  <c r="H3398" i="1"/>
  <c r="O3397" i="1"/>
  <c r="M3397" i="1"/>
  <c r="L3397" i="1"/>
  <c r="J3397" i="1"/>
  <c r="H3397" i="1"/>
  <c r="O3396" i="1"/>
  <c r="M3396" i="1"/>
  <c r="L3396" i="1"/>
  <c r="J3396" i="1"/>
  <c r="H3396" i="1"/>
  <c r="O3395" i="1"/>
  <c r="L3395" i="1"/>
  <c r="J3395" i="1"/>
  <c r="H3395" i="1"/>
  <c r="M3395" i="1" s="1"/>
  <c r="O3394" i="1"/>
  <c r="L3394" i="1"/>
  <c r="J3394" i="1"/>
  <c r="H3394" i="1"/>
  <c r="M3394" i="1" s="1"/>
  <c r="O3391" i="1"/>
  <c r="L3391" i="1"/>
  <c r="M3391" i="1" s="1"/>
  <c r="J3391" i="1"/>
  <c r="H3391" i="1"/>
  <c r="O3389" i="1"/>
  <c r="L3389" i="1"/>
  <c r="M3389" i="1" s="1"/>
  <c r="J3389" i="1"/>
  <c r="H3389" i="1"/>
  <c r="O3388" i="1"/>
  <c r="L3388" i="1"/>
  <c r="M3388" i="1" s="1"/>
  <c r="J3388" i="1"/>
  <c r="H3388" i="1"/>
  <c r="O3387" i="1"/>
  <c r="L3387" i="1"/>
  <c r="J3387" i="1"/>
  <c r="H3387" i="1"/>
  <c r="M3387" i="1" s="1"/>
  <c r="O3386" i="1"/>
  <c r="L3386" i="1"/>
  <c r="J3386" i="1"/>
  <c r="H3386" i="1"/>
  <c r="M3386" i="1" s="1"/>
  <c r="O3385" i="1"/>
  <c r="M3385" i="1"/>
  <c r="L3385" i="1"/>
  <c r="J3385" i="1"/>
  <c r="H3385" i="1"/>
  <c r="O3384" i="1"/>
  <c r="M3384" i="1"/>
  <c r="L3384" i="1"/>
  <c r="J3384" i="1"/>
  <c r="H3384" i="1"/>
  <c r="O3383" i="1"/>
  <c r="M3383" i="1"/>
  <c r="L3383" i="1"/>
  <c r="J3383" i="1"/>
  <c r="H3383" i="1"/>
  <c r="O3382" i="1"/>
  <c r="M3382" i="1"/>
  <c r="L3382" i="1"/>
  <c r="J3382" i="1"/>
  <c r="H3382" i="1"/>
  <c r="O3379" i="1"/>
  <c r="L3379" i="1"/>
  <c r="J3379" i="1"/>
  <c r="H3379" i="1"/>
  <c r="M3379" i="1" s="1"/>
  <c r="O3378" i="1"/>
  <c r="L3378" i="1"/>
  <c r="J3378" i="1"/>
  <c r="H3378" i="1"/>
  <c r="M3378" i="1" s="1"/>
  <c r="O3377" i="1"/>
  <c r="L3377" i="1"/>
  <c r="J3377" i="1"/>
  <c r="H3377" i="1"/>
  <c r="M3377" i="1" s="1"/>
  <c r="O3376" i="1"/>
  <c r="L3376" i="1"/>
  <c r="M3376" i="1" s="1"/>
  <c r="J3376" i="1"/>
  <c r="H3376" i="1"/>
  <c r="O3375" i="1"/>
  <c r="L3375" i="1"/>
  <c r="M3375" i="1" s="1"/>
  <c r="J3375" i="1"/>
  <c r="H3375" i="1"/>
  <c r="O3374" i="1"/>
  <c r="L3374" i="1"/>
  <c r="J3374" i="1"/>
  <c r="H3374" i="1"/>
  <c r="M3374" i="1" s="1"/>
  <c r="O3372" i="1"/>
  <c r="L3372" i="1"/>
  <c r="J3372" i="1"/>
  <c r="H3372" i="1"/>
  <c r="O3371" i="1"/>
  <c r="L3371" i="1"/>
  <c r="J3371" i="1"/>
  <c r="H3371" i="1"/>
  <c r="O3370" i="1"/>
  <c r="L3370" i="1"/>
  <c r="O3369" i="1"/>
  <c r="L3369" i="1"/>
  <c r="J3369" i="1"/>
  <c r="H3369" i="1"/>
  <c r="O3368" i="1"/>
  <c r="L3368" i="1"/>
  <c r="J3368" i="1"/>
  <c r="H3368" i="1"/>
  <c r="M3368" i="1" s="1"/>
  <c r="O3366" i="1"/>
  <c r="M3366" i="1"/>
  <c r="L3366" i="1"/>
  <c r="J3366" i="1"/>
  <c r="H3366" i="1"/>
  <c r="O3365" i="1"/>
  <c r="L3365" i="1"/>
  <c r="O3363" i="1"/>
  <c r="L3363" i="1"/>
  <c r="J3363" i="1"/>
  <c r="H3363" i="1"/>
  <c r="M3363" i="1" s="1"/>
  <c r="O3353" i="1"/>
  <c r="M3353" i="1"/>
  <c r="L3353" i="1"/>
  <c r="J3353" i="1"/>
  <c r="H3353" i="1"/>
  <c r="O3352" i="1"/>
  <c r="M3352" i="1"/>
  <c r="L3352" i="1"/>
  <c r="J3352" i="1"/>
  <c r="H3352" i="1"/>
  <c r="O3351" i="1"/>
  <c r="L3351" i="1"/>
  <c r="M3351" i="1" s="1"/>
  <c r="J3351" i="1"/>
  <c r="H3351" i="1"/>
  <c r="O3350" i="1"/>
  <c r="L3350" i="1"/>
  <c r="M3350" i="1" s="1"/>
  <c r="J3350" i="1"/>
  <c r="H3350" i="1"/>
  <c r="O3349" i="1"/>
  <c r="L3349" i="1"/>
  <c r="J3349" i="1"/>
  <c r="H3349" i="1"/>
  <c r="M3349" i="1" s="1"/>
  <c r="O3344" i="1"/>
  <c r="L3344" i="1"/>
  <c r="J3344" i="1"/>
  <c r="H3344" i="1"/>
  <c r="M3344" i="1" s="1"/>
  <c r="O3343" i="1"/>
  <c r="L3343" i="1"/>
  <c r="J3343" i="1"/>
  <c r="H3343" i="1"/>
  <c r="M3343" i="1" s="1"/>
  <c r="O3340" i="1"/>
  <c r="L3340" i="1"/>
  <c r="M3340" i="1" s="1"/>
  <c r="J3340" i="1"/>
  <c r="H3340" i="1"/>
  <c r="O3338" i="1"/>
  <c r="M3338" i="1"/>
  <c r="L3338" i="1"/>
  <c r="J3338" i="1"/>
  <c r="H3338" i="1"/>
  <c r="O3337" i="1"/>
  <c r="L3337" i="1"/>
  <c r="J3337" i="1"/>
  <c r="H3337" i="1"/>
  <c r="M3337" i="1" s="1"/>
  <c r="O3336" i="1"/>
  <c r="L3336" i="1"/>
  <c r="J3336" i="1"/>
  <c r="H3336" i="1"/>
  <c r="M3336" i="1" s="1"/>
  <c r="O3335" i="1"/>
  <c r="L3335" i="1"/>
  <c r="J3335" i="1"/>
  <c r="H3335" i="1"/>
  <c r="M3335" i="1" s="1"/>
  <c r="O3334" i="1"/>
  <c r="L3334" i="1"/>
  <c r="J3334" i="1"/>
  <c r="H3334" i="1"/>
  <c r="M3334" i="1" s="1"/>
  <c r="O3331" i="1"/>
  <c r="M3331" i="1"/>
  <c r="L3331" i="1"/>
  <c r="J3331" i="1"/>
  <c r="H3331" i="1"/>
  <c r="O3329" i="1"/>
  <c r="L3329" i="1"/>
  <c r="M3329" i="1" s="1"/>
  <c r="J3329" i="1"/>
  <c r="H3329" i="1"/>
  <c r="O3328" i="1"/>
  <c r="L3328" i="1"/>
  <c r="M3328" i="1" s="1"/>
  <c r="J3328" i="1"/>
  <c r="H3328" i="1"/>
  <c r="O3327" i="1"/>
  <c r="L3327" i="1"/>
  <c r="J3327" i="1"/>
  <c r="H3327" i="1"/>
  <c r="O3326" i="1"/>
  <c r="L3326" i="1"/>
  <c r="J3326" i="1"/>
  <c r="H3326" i="1"/>
  <c r="M3326" i="1" s="1"/>
  <c r="O3325" i="1"/>
  <c r="L3325" i="1"/>
  <c r="J3325" i="1"/>
  <c r="H3325" i="1"/>
  <c r="M3325" i="1" s="1"/>
  <c r="O3324" i="1"/>
  <c r="L3324" i="1"/>
  <c r="M3324" i="1" s="1"/>
  <c r="J3324" i="1"/>
  <c r="H3324" i="1"/>
  <c r="O3323" i="1"/>
  <c r="L3323" i="1"/>
  <c r="M3323" i="1" s="1"/>
  <c r="J3323" i="1"/>
  <c r="H3323" i="1"/>
  <c r="O3322" i="1"/>
  <c r="L3322" i="1"/>
  <c r="J3322" i="1"/>
  <c r="H3322" i="1"/>
  <c r="M3322" i="1" s="1"/>
  <c r="O3319" i="1"/>
  <c r="L3319" i="1"/>
  <c r="J3319" i="1"/>
  <c r="H3319" i="1"/>
  <c r="M3319" i="1" s="1"/>
  <c r="O3318" i="1"/>
  <c r="L3318" i="1"/>
  <c r="J3318" i="1"/>
  <c r="H3318" i="1"/>
  <c r="M3318" i="1" s="1"/>
  <c r="O3317" i="1"/>
  <c r="L3317" i="1"/>
  <c r="J3317" i="1"/>
  <c r="H3317" i="1"/>
  <c r="M3317" i="1" s="1"/>
  <c r="O3316" i="1"/>
  <c r="L3316" i="1"/>
  <c r="J3316" i="1"/>
  <c r="H3316" i="1"/>
  <c r="M3316" i="1" s="1"/>
  <c r="O3315" i="1"/>
  <c r="M3315" i="1"/>
  <c r="L3315" i="1"/>
  <c r="J3315" i="1"/>
  <c r="H3315" i="1"/>
  <c r="O3314" i="1"/>
  <c r="M3314" i="1"/>
  <c r="L3314" i="1"/>
  <c r="J3314" i="1"/>
  <c r="H3314" i="1"/>
  <c r="O3312" i="1"/>
  <c r="L3312" i="1"/>
  <c r="M3312" i="1" s="1"/>
  <c r="J3312" i="1"/>
  <c r="H3312" i="1"/>
  <c r="O3311" i="1"/>
  <c r="L3311" i="1"/>
  <c r="J3311" i="1"/>
  <c r="H3311" i="1"/>
  <c r="M3311" i="1" s="1"/>
  <c r="O3310" i="1"/>
  <c r="L3310" i="1"/>
  <c r="J3310" i="1"/>
  <c r="H3310" i="1"/>
  <c r="M3310" i="1" s="1"/>
  <c r="O3309" i="1"/>
  <c r="L3309" i="1"/>
  <c r="M3309" i="1" s="1"/>
  <c r="J3309" i="1"/>
  <c r="H3309" i="1"/>
  <c r="O3308" i="1"/>
  <c r="M3308" i="1"/>
  <c r="L3308" i="1"/>
  <c r="J3308" i="1"/>
  <c r="H3308" i="1"/>
  <c r="O3306" i="1"/>
  <c r="L3306" i="1"/>
  <c r="J3306" i="1"/>
  <c r="H3306" i="1"/>
  <c r="M3306" i="1" s="1"/>
  <c r="O3305" i="1"/>
  <c r="L3305" i="1"/>
  <c r="J3305" i="1"/>
  <c r="H3305" i="1"/>
  <c r="M3305" i="1" s="1"/>
  <c r="O3303" i="1"/>
  <c r="L3303" i="1"/>
  <c r="J3303" i="1"/>
  <c r="H3303" i="1"/>
  <c r="M3303" i="1" s="1"/>
  <c r="O3293" i="1"/>
  <c r="M3293" i="1"/>
  <c r="L3293" i="1"/>
  <c r="J3293" i="1"/>
  <c r="H3293" i="1"/>
  <c r="O3292" i="1"/>
  <c r="M3292" i="1"/>
  <c r="L3292" i="1"/>
  <c r="J3292" i="1"/>
  <c r="H3292" i="1"/>
  <c r="O3291" i="1"/>
  <c r="L3291" i="1"/>
  <c r="M3291" i="1" s="1"/>
  <c r="J3291" i="1"/>
  <c r="H3291" i="1"/>
  <c r="O3290" i="1"/>
  <c r="L3290" i="1"/>
  <c r="M3290" i="1" s="1"/>
  <c r="J3290" i="1"/>
  <c r="H3290" i="1"/>
  <c r="O3289" i="1"/>
  <c r="L3289" i="1"/>
  <c r="J3289" i="1"/>
  <c r="H3289" i="1"/>
  <c r="M3289" i="1" s="1"/>
  <c r="O3284" i="1"/>
  <c r="L3284" i="1"/>
  <c r="J3284" i="1"/>
  <c r="H3284" i="1"/>
  <c r="M3284" i="1" s="1"/>
  <c r="O3283" i="1"/>
  <c r="L3283" i="1"/>
  <c r="J3283" i="1"/>
  <c r="H3283" i="1"/>
  <c r="M3283" i="1" s="1"/>
  <c r="O3280" i="1"/>
  <c r="L3280" i="1"/>
  <c r="M3280" i="1" s="1"/>
  <c r="J3280" i="1"/>
  <c r="H3280" i="1"/>
  <c r="O3278" i="1"/>
  <c r="M3278" i="1"/>
  <c r="L3278" i="1"/>
  <c r="J3278" i="1"/>
  <c r="H3278" i="1"/>
  <c r="O3277" i="1"/>
  <c r="L3277" i="1"/>
  <c r="J3277" i="1"/>
  <c r="H3277" i="1"/>
  <c r="M3277" i="1" s="1"/>
  <c r="O3276" i="1"/>
  <c r="L3276" i="1"/>
  <c r="J3276" i="1"/>
  <c r="H3276" i="1"/>
  <c r="O3275" i="1"/>
  <c r="L3275" i="1"/>
  <c r="J3275" i="1"/>
  <c r="H3275" i="1"/>
  <c r="M3275" i="1" s="1"/>
  <c r="L3274" i="1"/>
  <c r="O3271" i="1"/>
  <c r="L3271" i="1"/>
  <c r="J3271" i="1"/>
  <c r="H3271" i="1"/>
  <c r="M3271" i="1" s="1"/>
  <c r="O3269" i="1"/>
  <c r="L3269" i="1"/>
  <c r="J3269" i="1"/>
  <c r="H3269" i="1"/>
  <c r="M3269" i="1" s="1"/>
  <c r="O3268" i="1"/>
  <c r="L3268" i="1"/>
  <c r="M3268" i="1" s="1"/>
  <c r="J3268" i="1"/>
  <c r="H3268" i="1"/>
  <c r="O3267" i="1"/>
  <c r="L3267" i="1"/>
  <c r="M3267" i="1" s="1"/>
  <c r="J3267" i="1"/>
  <c r="H3267" i="1"/>
  <c r="O3266" i="1"/>
  <c r="L3266" i="1"/>
  <c r="J3266" i="1"/>
  <c r="H3266" i="1"/>
  <c r="M3266" i="1" s="1"/>
  <c r="O3265" i="1"/>
  <c r="L3265" i="1"/>
  <c r="J3265" i="1"/>
  <c r="H3265" i="1"/>
  <c r="M3265" i="1" s="1"/>
  <c r="O3264" i="1"/>
  <c r="L3264" i="1"/>
  <c r="J3264" i="1"/>
  <c r="H3264" i="1"/>
  <c r="O3263" i="1"/>
  <c r="L3263" i="1"/>
  <c r="J3263" i="1"/>
  <c r="H3263" i="1"/>
  <c r="M3263" i="1" s="1"/>
  <c r="O3262" i="1"/>
  <c r="L3262" i="1"/>
  <c r="J3262" i="1"/>
  <c r="H3262" i="1"/>
  <c r="M3262" i="1" s="1"/>
  <c r="O3259" i="1"/>
  <c r="M3259" i="1"/>
  <c r="L3259" i="1"/>
  <c r="J3259" i="1"/>
  <c r="H3259" i="1"/>
  <c r="O3258" i="1"/>
  <c r="M3258" i="1"/>
  <c r="L3258" i="1"/>
  <c r="J3258" i="1"/>
  <c r="H3258" i="1"/>
  <c r="O3257" i="1"/>
  <c r="M3257" i="1"/>
  <c r="L3257" i="1"/>
  <c r="J3257" i="1"/>
  <c r="H3257" i="1"/>
  <c r="O3256" i="1"/>
  <c r="L3256" i="1"/>
  <c r="J3256" i="1"/>
  <c r="H3256" i="1"/>
  <c r="M3256" i="1" s="1"/>
  <c r="O3255" i="1"/>
  <c r="L3255" i="1"/>
  <c r="J3255" i="1"/>
  <c r="H3255" i="1"/>
  <c r="M3255" i="1" s="1"/>
  <c r="O3254" i="1"/>
  <c r="L3254" i="1"/>
  <c r="M3254" i="1" s="1"/>
  <c r="J3254" i="1"/>
  <c r="H3254" i="1"/>
  <c r="O3252" i="1"/>
  <c r="L3252" i="1"/>
  <c r="M3252" i="1" s="1"/>
  <c r="J3252" i="1"/>
  <c r="H3252" i="1"/>
  <c r="O3251" i="1"/>
  <c r="L3251" i="1"/>
  <c r="J3251" i="1"/>
  <c r="H3251" i="1"/>
  <c r="M3251" i="1" s="1"/>
  <c r="O3250" i="1"/>
  <c r="L3250" i="1"/>
  <c r="J3250" i="1"/>
  <c r="H3250" i="1"/>
  <c r="M3250" i="1" s="1"/>
  <c r="O3249" i="1"/>
  <c r="L3249" i="1"/>
  <c r="J3249" i="1"/>
  <c r="H3249" i="1"/>
  <c r="M3249" i="1" s="1"/>
  <c r="O3248" i="1"/>
  <c r="M3248" i="1"/>
  <c r="L3248" i="1"/>
  <c r="J3248" i="1"/>
  <c r="H3248" i="1"/>
  <c r="O3246" i="1"/>
  <c r="M3246" i="1"/>
  <c r="L3246" i="1"/>
  <c r="J3246" i="1"/>
  <c r="H3246" i="1"/>
  <c r="O3245" i="1"/>
  <c r="L3245" i="1"/>
  <c r="O3243" i="1"/>
  <c r="M3243" i="1"/>
  <c r="L3243" i="1"/>
  <c r="J3243" i="1"/>
  <c r="H3243" i="1"/>
  <c r="O3233" i="1"/>
  <c r="M3233" i="1"/>
  <c r="L3233" i="1"/>
  <c r="J3233" i="1"/>
  <c r="H3233" i="1"/>
  <c r="O3232" i="1"/>
  <c r="M3232" i="1"/>
  <c r="L3232" i="1"/>
  <c r="J3232" i="1"/>
  <c r="H3232" i="1"/>
  <c r="O3231" i="1"/>
  <c r="L3231" i="1"/>
  <c r="M3231" i="1" s="1"/>
  <c r="J3231" i="1"/>
  <c r="H3231" i="1"/>
  <c r="O3230" i="1"/>
  <c r="L3230" i="1"/>
  <c r="J3230" i="1"/>
  <c r="H3230" i="1"/>
  <c r="M3230" i="1" s="1"/>
  <c r="O3229" i="1"/>
  <c r="L3229" i="1"/>
  <c r="J3229" i="1"/>
  <c r="H3229" i="1"/>
  <c r="M3229" i="1" s="1"/>
  <c r="O3224" i="1"/>
  <c r="L3224" i="1"/>
  <c r="J3224" i="1"/>
  <c r="H3224" i="1"/>
  <c r="M3224" i="1" s="1"/>
  <c r="O3223" i="1"/>
  <c r="L3223" i="1"/>
  <c r="M3223" i="1" s="1"/>
  <c r="J3223" i="1"/>
  <c r="H3223" i="1"/>
  <c r="O3220" i="1"/>
  <c r="M3220" i="1"/>
  <c r="L3220" i="1"/>
  <c r="J3220" i="1"/>
  <c r="H3220" i="1"/>
  <c r="O3218" i="1"/>
  <c r="L3218" i="1"/>
  <c r="J3218" i="1"/>
  <c r="H3218" i="1"/>
  <c r="M3218" i="1" s="1"/>
  <c r="O3217" i="1"/>
  <c r="L3217" i="1"/>
  <c r="J3217" i="1"/>
  <c r="H3217" i="1"/>
  <c r="O3216" i="1"/>
  <c r="L3216" i="1"/>
  <c r="J3216" i="1"/>
  <c r="H3216" i="1"/>
  <c r="M3216" i="1" s="1"/>
  <c r="O3215" i="1"/>
  <c r="L3215" i="1"/>
  <c r="J3215" i="1"/>
  <c r="H3215" i="1"/>
  <c r="M3215" i="1" s="1"/>
  <c r="O3214" i="1"/>
  <c r="M3214" i="1"/>
  <c r="L3214" i="1"/>
  <c r="J3214" i="1"/>
  <c r="H3214" i="1"/>
  <c r="O3211" i="1"/>
  <c r="L3211" i="1"/>
  <c r="M3211" i="1" s="1"/>
  <c r="J3211" i="1"/>
  <c r="H3211" i="1"/>
  <c r="O3209" i="1"/>
  <c r="L3209" i="1"/>
  <c r="M3209" i="1" s="1"/>
  <c r="J3209" i="1"/>
  <c r="H3209" i="1"/>
  <c r="O3208" i="1"/>
  <c r="L3208" i="1"/>
  <c r="J3208" i="1"/>
  <c r="H3208" i="1"/>
  <c r="M3208" i="1" s="1"/>
  <c r="O3207" i="1"/>
  <c r="L3207" i="1"/>
  <c r="J3207" i="1"/>
  <c r="H3207" i="1"/>
  <c r="M3207" i="1" s="1"/>
  <c r="O3206" i="1"/>
  <c r="L3206" i="1"/>
  <c r="J3206" i="1"/>
  <c r="H3206" i="1"/>
  <c r="M3206" i="1" s="1"/>
  <c r="O3205" i="1"/>
  <c r="L3205" i="1"/>
  <c r="M3205" i="1" s="1"/>
  <c r="J3205" i="1"/>
  <c r="H3205" i="1"/>
  <c r="O3204" i="1"/>
  <c r="L3204" i="1"/>
  <c r="M3204" i="1" s="1"/>
  <c r="J3204" i="1"/>
  <c r="H3204" i="1"/>
  <c r="O3203" i="1"/>
  <c r="L3203" i="1"/>
  <c r="J3203" i="1"/>
  <c r="H3203" i="1"/>
  <c r="M3203" i="1" s="1"/>
  <c r="O3202" i="1"/>
  <c r="L3202" i="1"/>
  <c r="J3202" i="1"/>
  <c r="H3202" i="1"/>
  <c r="M3202" i="1" s="1"/>
  <c r="O3199" i="1"/>
  <c r="L3199" i="1"/>
  <c r="J3199" i="1"/>
  <c r="H3199" i="1"/>
  <c r="M3199" i="1" s="1"/>
  <c r="O3198" i="1"/>
  <c r="L3198" i="1"/>
  <c r="J3198" i="1"/>
  <c r="H3198" i="1"/>
  <c r="M3198" i="1" s="1"/>
  <c r="O3197" i="1"/>
  <c r="L3197" i="1"/>
  <c r="J3197" i="1"/>
  <c r="H3197" i="1"/>
  <c r="M3197" i="1" s="1"/>
  <c r="O3196" i="1"/>
  <c r="M3196" i="1"/>
  <c r="L3196" i="1"/>
  <c r="J3196" i="1"/>
  <c r="H3196" i="1"/>
  <c r="O3195" i="1"/>
  <c r="M3195" i="1"/>
  <c r="L3195" i="1"/>
  <c r="J3195" i="1"/>
  <c r="H3195" i="1"/>
  <c r="O3194" i="1"/>
  <c r="L3194" i="1"/>
  <c r="O3192" i="1"/>
  <c r="M3192" i="1"/>
  <c r="L3192" i="1"/>
  <c r="J3192" i="1"/>
  <c r="H3192" i="1"/>
  <c r="O3191" i="1"/>
  <c r="M3191" i="1"/>
  <c r="L3191" i="1"/>
  <c r="J3191" i="1"/>
  <c r="H3191" i="1"/>
  <c r="O3190" i="1"/>
  <c r="L3190" i="1"/>
  <c r="M3190" i="1" s="1"/>
  <c r="J3190" i="1"/>
  <c r="H3190" i="1"/>
  <c r="O3189" i="1"/>
  <c r="L3189" i="1"/>
  <c r="J3189" i="1"/>
  <c r="H3189" i="1"/>
  <c r="M3189" i="1" s="1"/>
  <c r="O3188" i="1"/>
  <c r="L3188" i="1"/>
  <c r="J3188" i="1"/>
  <c r="H3188" i="1"/>
  <c r="M3188" i="1" s="1"/>
  <c r="O3186" i="1"/>
  <c r="L3186" i="1"/>
  <c r="M3186" i="1" s="1"/>
  <c r="J3186" i="1"/>
  <c r="H3186" i="1"/>
  <c r="O3185" i="1"/>
  <c r="M3185" i="1"/>
  <c r="L3185" i="1"/>
  <c r="J3185" i="1"/>
  <c r="H3185" i="1"/>
  <c r="O3183" i="1"/>
  <c r="M3183" i="1"/>
  <c r="L3183" i="1"/>
  <c r="J3183" i="1"/>
  <c r="H3183" i="1"/>
  <c r="O3173" i="1"/>
  <c r="L3173" i="1"/>
  <c r="J3173" i="1"/>
  <c r="H3173" i="1"/>
  <c r="M3173" i="1" s="1"/>
  <c r="O3172" i="1"/>
  <c r="L3172" i="1"/>
  <c r="J3172" i="1"/>
  <c r="H3172" i="1"/>
  <c r="M3172" i="1" s="1"/>
  <c r="O3171" i="1"/>
  <c r="M3171" i="1"/>
  <c r="L3171" i="1"/>
  <c r="J3171" i="1"/>
  <c r="H3171" i="1"/>
  <c r="O3170" i="1"/>
  <c r="M3170" i="1"/>
  <c r="L3170" i="1"/>
  <c r="J3170" i="1"/>
  <c r="H3170" i="1"/>
  <c r="O3169" i="1"/>
  <c r="L3169" i="1"/>
  <c r="M3169" i="1" s="1"/>
  <c r="J3169" i="1"/>
  <c r="H3169" i="1"/>
  <c r="O3164" i="1"/>
  <c r="L3164" i="1"/>
  <c r="M3164" i="1" s="1"/>
  <c r="J3164" i="1"/>
  <c r="H3164" i="1"/>
  <c r="O3163" i="1"/>
  <c r="L3163" i="1"/>
  <c r="J3163" i="1"/>
  <c r="H3163" i="1"/>
  <c r="M3163" i="1" s="1"/>
  <c r="O3160" i="1"/>
  <c r="L3160" i="1"/>
  <c r="J3160" i="1"/>
  <c r="H3160" i="1"/>
  <c r="M3160" i="1" s="1"/>
  <c r="O3158" i="1"/>
  <c r="L3158" i="1"/>
  <c r="J3158" i="1"/>
  <c r="H3158" i="1"/>
  <c r="M3158" i="1" s="1"/>
  <c r="O3157" i="1"/>
  <c r="L3157" i="1"/>
  <c r="M3157" i="1" s="1"/>
  <c r="J3157" i="1"/>
  <c r="H3157" i="1"/>
  <c r="O3156" i="1"/>
  <c r="M3156" i="1"/>
  <c r="L3156" i="1"/>
  <c r="J3156" i="1"/>
  <c r="H3156" i="1"/>
  <c r="O3155" i="1"/>
  <c r="M3155" i="1"/>
  <c r="L3155" i="1"/>
  <c r="J3155" i="1"/>
  <c r="H3155" i="1"/>
  <c r="O3154" i="1"/>
  <c r="L3154" i="1"/>
  <c r="J3154" i="1"/>
  <c r="H3154" i="1"/>
  <c r="O3151" i="1"/>
  <c r="L3151" i="1"/>
  <c r="J3151" i="1"/>
  <c r="H3151" i="1"/>
  <c r="M3151" i="1" s="1"/>
  <c r="O3149" i="1"/>
  <c r="L3149" i="1"/>
  <c r="O3148" i="1"/>
  <c r="L3148" i="1"/>
  <c r="J3148" i="1"/>
  <c r="H3148" i="1"/>
  <c r="M3148" i="1" s="1"/>
  <c r="O3147" i="1"/>
  <c r="L3147" i="1"/>
  <c r="J3147" i="1"/>
  <c r="H3147" i="1"/>
  <c r="O3146" i="1"/>
  <c r="M3146" i="1"/>
  <c r="L3146" i="1"/>
  <c r="J3146" i="1"/>
  <c r="H3146" i="1"/>
  <c r="O3145" i="1"/>
  <c r="M3145" i="1"/>
  <c r="L3145" i="1"/>
  <c r="J3145" i="1"/>
  <c r="H3145" i="1"/>
  <c r="O3144" i="1"/>
  <c r="L3144" i="1"/>
  <c r="M3144" i="1" s="1"/>
  <c r="J3144" i="1"/>
  <c r="H3144" i="1"/>
  <c r="O3143" i="1"/>
  <c r="L3143" i="1"/>
  <c r="M3143" i="1" s="1"/>
  <c r="J3143" i="1"/>
  <c r="H3143" i="1"/>
  <c r="O3142" i="1"/>
  <c r="M3142" i="1"/>
  <c r="L3142" i="1"/>
  <c r="J3142" i="1"/>
  <c r="H3142" i="1"/>
  <c r="O3139" i="1"/>
  <c r="L3139" i="1"/>
  <c r="J3139" i="1"/>
  <c r="H3139" i="1"/>
  <c r="M3139" i="1" s="1"/>
  <c r="O3138" i="1"/>
  <c r="L3138" i="1"/>
  <c r="J3138" i="1"/>
  <c r="H3138" i="1"/>
  <c r="M3138" i="1" s="1"/>
  <c r="O3137" i="1"/>
  <c r="L3137" i="1"/>
  <c r="M3137" i="1" s="1"/>
  <c r="J3137" i="1"/>
  <c r="H3137" i="1"/>
  <c r="O3136" i="1"/>
  <c r="L3136" i="1"/>
  <c r="M3136" i="1" s="1"/>
  <c r="J3136" i="1"/>
  <c r="H3136" i="1"/>
  <c r="O3135" i="1"/>
  <c r="L3135" i="1"/>
  <c r="O3134" i="1"/>
  <c r="L3134" i="1"/>
  <c r="M3134" i="1" s="1"/>
  <c r="J3134" i="1"/>
  <c r="H3134" i="1"/>
  <c r="O3132" i="1"/>
  <c r="L3132" i="1"/>
  <c r="M3132" i="1" s="1"/>
  <c r="J3132" i="1"/>
  <c r="H3132" i="1"/>
  <c r="O3131" i="1"/>
  <c r="M3131" i="1"/>
  <c r="L3131" i="1"/>
  <c r="J3131" i="1"/>
  <c r="H3131" i="1"/>
  <c r="O3130" i="1"/>
  <c r="L3130" i="1"/>
  <c r="J3130" i="1"/>
  <c r="H3130" i="1"/>
  <c r="O3129" i="1"/>
  <c r="L3129" i="1"/>
  <c r="J3129" i="1"/>
  <c r="H3129" i="1"/>
  <c r="M3129" i="1" s="1"/>
  <c r="O3128" i="1"/>
  <c r="L3128" i="1"/>
  <c r="J3128" i="1"/>
  <c r="H3128" i="1"/>
  <c r="M3128" i="1" s="1"/>
  <c r="O3126" i="1"/>
  <c r="M3126" i="1"/>
  <c r="L3126" i="1"/>
  <c r="J3126" i="1"/>
  <c r="H3126" i="1"/>
  <c r="O3125" i="1"/>
  <c r="L3125" i="1"/>
  <c r="M3125" i="1" s="1"/>
  <c r="J3125" i="1"/>
  <c r="H3125" i="1"/>
  <c r="O3123" i="1"/>
  <c r="L3123" i="1"/>
  <c r="M3123" i="1" s="1"/>
  <c r="J3123" i="1"/>
  <c r="H3123" i="1"/>
  <c r="O3113" i="1"/>
  <c r="L3113" i="1"/>
  <c r="J3113" i="1"/>
  <c r="H3113" i="1"/>
  <c r="M3113" i="1" s="1"/>
  <c r="O3112" i="1"/>
  <c r="L3112" i="1"/>
  <c r="J3112" i="1"/>
  <c r="H3112" i="1"/>
  <c r="M3112" i="1" s="1"/>
  <c r="O3111" i="1"/>
  <c r="L3111" i="1"/>
  <c r="J3111" i="1"/>
  <c r="H3111" i="1"/>
  <c r="M3111" i="1" s="1"/>
  <c r="O3110" i="1"/>
  <c r="L3110" i="1"/>
  <c r="M3110" i="1" s="1"/>
  <c r="J3110" i="1"/>
  <c r="H3110" i="1"/>
  <c r="O3109" i="1"/>
  <c r="L3109" i="1"/>
  <c r="M3109" i="1" s="1"/>
  <c r="J3109" i="1"/>
  <c r="H3109" i="1"/>
  <c r="O3104" i="1"/>
  <c r="L3104" i="1"/>
  <c r="J3104" i="1"/>
  <c r="H3104" i="1"/>
  <c r="O3103" i="1"/>
  <c r="L3103" i="1"/>
  <c r="J3103" i="1"/>
  <c r="H3103" i="1"/>
  <c r="O3100" i="1"/>
  <c r="L3100" i="1"/>
  <c r="J3100" i="1"/>
  <c r="H3100" i="1"/>
  <c r="O3098" i="1"/>
  <c r="M3098" i="1"/>
  <c r="L3098" i="1"/>
  <c r="J3098" i="1"/>
  <c r="H3098" i="1"/>
  <c r="O3097" i="1"/>
  <c r="L3097" i="1"/>
  <c r="J3097" i="1"/>
  <c r="H3097" i="1"/>
  <c r="M3097" i="1" s="1"/>
  <c r="O3096" i="1"/>
  <c r="L3096" i="1"/>
  <c r="M3096" i="1" s="1"/>
  <c r="J3096" i="1"/>
  <c r="H3096" i="1"/>
  <c r="O3095" i="1"/>
  <c r="L3095" i="1"/>
  <c r="M3095" i="1" s="1"/>
  <c r="J3095" i="1"/>
  <c r="H3095" i="1"/>
  <c r="O3094" i="1"/>
  <c r="L3094" i="1"/>
  <c r="M3094" i="1" s="1"/>
  <c r="J3094" i="1"/>
  <c r="H3094" i="1"/>
  <c r="O3091" i="1"/>
  <c r="L3091" i="1"/>
  <c r="J3091" i="1"/>
  <c r="H3091" i="1"/>
  <c r="M3091" i="1" s="1"/>
  <c r="O3089" i="1"/>
  <c r="L3089" i="1"/>
  <c r="J3089" i="1"/>
  <c r="H3089" i="1"/>
  <c r="M3089" i="1" s="1"/>
  <c r="O3088" i="1"/>
  <c r="M3088" i="1"/>
  <c r="L3088" i="1"/>
  <c r="J3088" i="1"/>
  <c r="H3088" i="1"/>
  <c r="O3087" i="1"/>
  <c r="M3087" i="1"/>
  <c r="L3087" i="1"/>
  <c r="J3087" i="1"/>
  <c r="H3087" i="1"/>
  <c r="O3086" i="1"/>
  <c r="L3086" i="1"/>
  <c r="M3086" i="1" s="1"/>
  <c r="J3086" i="1"/>
  <c r="H3086" i="1"/>
  <c r="O3085" i="1"/>
  <c r="L3085" i="1"/>
  <c r="J3085" i="1"/>
  <c r="H3085" i="1"/>
  <c r="M3085" i="1" s="1"/>
  <c r="O3084" i="1"/>
  <c r="L3084" i="1"/>
  <c r="J3084" i="1"/>
  <c r="H3084" i="1"/>
  <c r="O3083" i="1"/>
  <c r="M3083" i="1"/>
  <c r="L3083" i="1"/>
  <c r="J3083" i="1"/>
  <c r="H3083" i="1"/>
  <c r="O3082" i="1"/>
  <c r="L3082" i="1"/>
  <c r="O3079" i="1"/>
  <c r="L3079" i="1"/>
  <c r="J3079" i="1"/>
  <c r="H3079" i="1"/>
  <c r="O3078" i="1"/>
  <c r="M3078" i="1"/>
  <c r="L3078" i="1"/>
  <c r="J3078" i="1"/>
  <c r="H3078" i="1"/>
  <c r="O3077" i="1"/>
  <c r="M3077" i="1"/>
  <c r="L3077" i="1"/>
  <c r="J3077" i="1"/>
  <c r="H3077" i="1"/>
  <c r="O3076" i="1"/>
  <c r="L3076" i="1"/>
  <c r="M3076" i="1" s="1"/>
  <c r="J3076" i="1"/>
  <c r="H3076" i="1"/>
  <c r="O3075" i="1"/>
  <c r="L3075" i="1"/>
  <c r="M3075" i="1" s="1"/>
  <c r="J3075" i="1"/>
  <c r="H3075" i="1"/>
  <c r="O3074" i="1"/>
  <c r="M3074" i="1"/>
  <c r="L3074" i="1"/>
  <c r="J3074" i="1"/>
  <c r="H3074" i="1"/>
  <c r="O3072" i="1"/>
  <c r="L3072" i="1"/>
  <c r="J3072" i="1"/>
  <c r="H3072" i="1"/>
  <c r="M3072" i="1" s="1"/>
  <c r="O3071" i="1"/>
  <c r="L3071" i="1"/>
  <c r="J3071" i="1"/>
  <c r="H3071" i="1"/>
  <c r="M3071" i="1" s="1"/>
  <c r="O3070" i="1"/>
  <c r="M3070" i="1"/>
  <c r="L3070" i="1"/>
  <c r="J3070" i="1"/>
  <c r="H3070" i="1"/>
  <c r="O3069" i="1"/>
  <c r="M3069" i="1"/>
  <c r="L3069" i="1"/>
  <c r="J3069" i="1"/>
  <c r="H3069" i="1"/>
  <c r="O3068" i="1"/>
  <c r="L3068" i="1"/>
  <c r="M3068" i="1" s="1"/>
  <c r="J3068" i="1"/>
  <c r="H3068" i="1"/>
  <c r="O3066" i="1"/>
  <c r="L3066" i="1"/>
  <c r="J3066" i="1"/>
  <c r="H3066" i="1"/>
  <c r="M3066" i="1" s="1"/>
  <c r="O3065" i="1"/>
  <c r="L3065" i="1"/>
  <c r="J3065" i="1"/>
  <c r="H3065" i="1"/>
  <c r="M3065" i="1" s="1"/>
  <c r="O3063" i="1"/>
  <c r="M3063" i="1"/>
  <c r="L3063" i="1"/>
  <c r="J3063" i="1"/>
  <c r="H3063" i="1"/>
  <c r="O3053" i="1"/>
  <c r="M3053" i="1"/>
  <c r="L3053" i="1"/>
  <c r="J3053" i="1"/>
  <c r="H3053" i="1"/>
  <c r="O3052" i="1"/>
  <c r="L3052" i="1"/>
  <c r="M3052" i="1" s="1"/>
  <c r="J3052" i="1"/>
  <c r="H3052" i="1"/>
  <c r="O3051" i="1"/>
  <c r="L3051" i="1"/>
  <c r="M3051" i="1" s="1"/>
  <c r="J3051" i="1"/>
  <c r="H3051" i="1"/>
  <c r="O3050" i="1"/>
  <c r="L3050" i="1"/>
  <c r="J3050" i="1"/>
  <c r="H3050" i="1"/>
  <c r="O3049" i="1"/>
  <c r="L3049" i="1"/>
  <c r="J3049" i="1"/>
  <c r="H3049" i="1"/>
  <c r="M3049" i="1" s="1"/>
  <c r="O3044" i="1"/>
  <c r="L3044" i="1"/>
  <c r="J3044" i="1"/>
  <c r="H3044" i="1"/>
  <c r="M3044" i="1" s="1"/>
  <c r="O3043" i="1"/>
  <c r="M3043" i="1"/>
  <c r="L3043" i="1"/>
  <c r="J3043" i="1"/>
  <c r="H3043" i="1"/>
  <c r="O3040" i="1"/>
  <c r="L3040" i="1"/>
  <c r="M3040" i="1" s="1"/>
  <c r="J3040" i="1"/>
  <c r="H3040" i="1"/>
  <c r="O3038" i="1"/>
  <c r="L3038" i="1"/>
  <c r="J3038" i="1"/>
  <c r="H3038" i="1"/>
  <c r="M3038" i="1" s="1"/>
  <c r="O3037" i="1"/>
  <c r="L3037" i="1"/>
  <c r="J3037" i="1"/>
  <c r="H3037" i="1"/>
  <c r="O3036" i="1"/>
  <c r="L3036" i="1"/>
  <c r="J3036" i="1"/>
  <c r="H3036" i="1"/>
  <c r="O3035" i="1"/>
  <c r="L3035" i="1"/>
  <c r="J3035" i="1"/>
  <c r="H3035" i="1"/>
  <c r="M3035" i="1" s="1"/>
  <c r="O3034" i="1"/>
  <c r="M3034" i="1"/>
  <c r="L3034" i="1"/>
  <c r="J3034" i="1"/>
  <c r="H3034" i="1"/>
  <c r="O3031" i="1"/>
  <c r="M3031" i="1"/>
  <c r="L3031" i="1"/>
  <c r="J3031" i="1"/>
  <c r="H3031" i="1"/>
  <c r="O3029" i="1"/>
  <c r="L3029" i="1"/>
  <c r="M3029" i="1" s="1"/>
  <c r="J3029" i="1"/>
  <c r="H3029" i="1"/>
  <c r="O3028" i="1"/>
  <c r="L3028" i="1"/>
  <c r="M3028" i="1" s="1"/>
  <c r="J3028" i="1"/>
  <c r="H3028" i="1"/>
  <c r="O3027" i="1"/>
  <c r="L3027" i="1"/>
  <c r="J3027" i="1"/>
  <c r="H3027" i="1"/>
  <c r="M3027" i="1" s="1"/>
  <c r="O3026" i="1"/>
  <c r="L3026" i="1"/>
  <c r="J3026" i="1"/>
  <c r="H3026" i="1"/>
  <c r="M3026" i="1" s="1"/>
  <c r="O3025" i="1"/>
  <c r="L3025" i="1"/>
  <c r="O3024" i="1"/>
  <c r="L3024" i="1"/>
  <c r="J3024" i="1"/>
  <c r="H3024" i="1"/>
  <c r="M3024" i="1" s="1"/>
  <c r="O3023" i="1"/>
  <c r="L3023" i="1"/>
  <c r="J3023" i="1"/>
  <c r="H3023" i="1"/>
  <c r="M3023" i="1" s="1"/>
  <c r="O3022" i="1"/>
  <c r="L3022" i="1"/>
  <c r="M3022" i="1" s="1"/>
  <c r="J3022" i="1"/>
  <c r="H3022" i="1"/>
  <c r="O3019" i="1"/>
  <c r="L3019" i="1"/>
  <c r="M3019" i="1" s="1"/>
  <c r="J3019" i="1"/>
  <c r="H3019" i="1"/>
  <c r="O3018" i="1"/>
  <c r="M3018" i="1"/>
  <c r="L3018" i="1"/>
  <c r="J3018" i="1"/>
  <c r="H3018" i="1"/>
  <c r="O3017" i="1"/>
  <c r="L3017" i="1"/>
  <c r="J3017" i="1"/>
  <c r="H3017" i="1"/>
  <c r="O3016" i="1"/>
  <c r="L3016" i="1"/>
  <c r="J3016" i="1"/>
  <c r="H3016" i="1"/>
  <c r="M3016" i="1" s="1"/>
  <c r="O3015" i="1"/>
  <c r="L3015" i="1"/>
  <c r="J3015" i="1"/>
  <c r="H3015" i="1"/>
  <c r="M3015" i="1" s="1"/>
  <c r="O3014" i="1"/>
  <c r="L3014" i="1"/>
  <c r="J3014" i="1"/>
  <c r="H3014" i="1"/>
  <c r="M3014" i="1" s="1"/>
  <c r="O3012" i="1"/>
  <c r="L3012" i="1"/>
  <c r="M3012" i="1" s="1"/>
  <c r="J3012" i="1"/>
  <c r="H3012" i="1"/>
  <c r="O3011" i="1"/>
  <c r="M3011" i="1"/>
  <c r="L3011" i="1"/>
  <c r="J3011" i="1"/>
  <c r="H3011" i="1"/>
  <c r="O3010" i="1"/>
  <c r="M3010" i="1"/>
  <c r="L3010" i="1"/>
  <c r="J3010" i="1"/>
  <c r="H3010" i="1"/>
  <c r="O3009" i="1"/>
  <c r="L3009" i="1"/>
  <c r="J3009" i="1"/>
  <c r="H3009" i="1"/>
  <c r="M3009" i="1" s="1"/>
  <c r="O3008" i="1"/>
  <c r="L3008" i="1"/>
  <c r="J3008" i="1"/>
  <c r="H3008" i="1"/>
  <c r="M3008" i="1" s="1"/>
  <c r="O3006" i="1"/>
  <c r="L3006" i="1"/>
  <c r="M3006" i="1" s="1"/>
  <c r="J3006" i="1"/>
  <c r="H3006" i="1"/>
  <c r="O3005" i="1"/>
  <c r="L3005" i="1"/>
  <c r="M3005" i="1" s="1"/>
  <c r="J3005" i="1"/>
  <c r="H3005" i="1"/>
  <c r="O3003" i="1"/>
  <c r="L3003" i="1"/>
  <c r="M3003" i="1" s="1"/>
  <c r="J3003" i="1"/>
  <c r="H3003" i="1"/>
  <c r="O2993" i="1"/>
  <c r="L2993" i="1"/>
  <c r="J2993" i="1"/>
  <c r="H2993" i="1"/>
  <c r="M2993" i="1" s="1"/>
  <c r="O2992" i="1"/>
  <c r="L2992" i="1"/>
  <c r="J2992" i="1"/>
  <c r="H2992" i="1"/>
  <c r="O2991" i="1"/>
  <c r="M2991" i="1"/>
  <c r="L2991" i="1"/>
  <c r="J2991" i="1"/>
  <c r="H2991" i="1"/>
  <c r="O2990" i="1"/>
  <c r="L2990" i="1"/>
  <c r="I2990" i="1"/>
  <c r="J2990" i="1" s="1"/>
  <c r="H2990" i="1"/>
  <c r="M2990" i="1" s="1"/>
  <c r="O2989" i="1"/>
  <c r="L2989" i="1"/>
  <c r="M2989" i="1" s="1"/>
  <c r="J2989" i="1"/>
  <c r="H2989" i="1"/>
  <c r="O2984" i="1"/>
  <c r="M2984" i="1"/>
  <c r="L2984" i="1"/>
  <c r="J2984" i="1"/>
  <c r="H2984" i="1"/>
  <c r="O2983" i="1"/>
  <c r="L2983" i="1"/>
  <c r="J2983" i="1"/>
  <c r="H2983" i="1"/>
  <c r="M2983" i="1" s="1"/>
  <c r="O2980" i="1"/>
  <c r="L2980" i="1"/>
  <c r="J2980" i="1"/>
  <c r="H2980" i="1"/>
  <c r="O2978" i="1"/>
  <c r="L2978" i="1"/>
  <c r="O2977" i="1"/>
  <c r="L2977" i="1"/>
  <c r="M2977" i="1" s="1"/>
  <c r="J2977" i="1"/>
  <c r="H2977" i="1"/>
  <c r="O2976" i="1"/>
  <c r="L2976" i="1"/>
  <c r="J2976" i="1"/>
  <c r="H2976" i="1"/>
  <c r="O2975" i="1"/>
  <c r="L2975" i="1"/>
  <c r="J2975" i="1"/>
  <c r="H2975" i="1"/>
  <c r="M2975" i="1" s="1"/>
  <c r="O2974" i="1"/>
  <c r="L2974" i="1"/>
  <c r="J2974" i="1"/>
  <c r="H2974" i="1"/>
  <c r="M2974" i="1" s="1"/>
  <c r="O2971" i="1"/>
  <c r="M2971" i="1"/>
  <c r="L2971" i="1"/>
  <c r="J2971" i="1"/>
  <c r="H2971" i="1"/>
  <c r="O2969" i="1"/>
  <c r="L2969" i="1"/>
  <c r="M2969" i="1" s="1"/>
  <c r="J2969" i="1"/>
  <c r="H2969" i="1"/>
  <c r="O2968" i="1"/>
  <c r="L2968" i="1"/>
  <c r="M2968" i="1" s="1"/>
  <c r="J2968" i="1"/>
  <c r="H2968" i="1"/>
  <c r="O2967" i="1"/>
  <c r="L2967" i="1"/>
  <c r="J2967" i="1"/>
  <c r="H2967" i="1"/>
  <c r="M2967" i="1" s="1"/>
  <c r="O2966" i="1"/>
  <c r="L2966" i="1"/>
  <c r="J2966" i="1"/>
  <c r="H2966" i="1"/>
  <c r="M2966" i="1" s="1"/>
  <c r="O2965" i="1"/>
  <c r="L2965" i="1"/>
  <c r="J2965" i="1"/>
  <c r="H2965" i="1"/>
  <c r="M2965" i="1" s="1"/>
  <c r="O2964" i="1"/>
  <c r="L2964" i="1"/>
  <c r="M2964" i="1" s="1"/>
  <c r="J2964" i="1"/>
  <c r="H2964" i="1"/>
  <c r="O2963" i="1"/>
  <c r="L2963" i="1"/>
  <c r="M2963" i="1" s="1"/>
  <c r="J2963" i="1"/>
  <c r="H2963" i="1"/>
  <c r="O2962" i="1"/>
  <c r="M2962" i="1"/>
  <c r="L2962" i="1"/>
  <c r="J2962" i="1"/>
  <c r="H2962" i="1"/>
  <c r="O2959" i="1"/>
  <c r="L2959" i="1"/>
  <c r="J2959" i="1"/>
  <c r="H2959" i="1"/>
  <c r="O2958" i="1"/>
  <c r="L2958" i="1"/>
  <c r="J2958" i="1"/>
  <c r="H2958" i="1"/>
  <c r="M2958" i="1" s="1"/>
  <c r="O2957" i="1"/>
  <c r="L2957" i="1"/>
  <c r="J2957" i="1"/>
  <c r="H2957" i="1"/>
  <c r="M2957" i="1" s="1"/>
  <c r="O2956" i="1"/>
  <c r="L2956" i="1"/>
  <c r="J2956" i="1"/>
  <c r="H2956" i="1"/>
  <c r="M2956" i="1" s="1"/>
  <c r="O2955" i="1"/>
  <c r="L2955" i="1"/>
  <c r="O2954" i="1"/>
  <c r="L2954" i="1"/>
  <c r="J2954" i="1"/>
  <c r="H2954" i="1"/>
  <c r="M2954" i="1" s="1"/>
  <c r="O2952" i="1"/>
  <c r="L2952" i="1"/>
  <c r="J2952" i="1"/>
  <c r="H2952" i="1"/>
  <c r="M2952" i="1" s="1"/>
  <c r="O2951" i="1"/>
  <c r="L2951" i="1"/>
  <c r="M2951" i="1" s="1"/>
  <c r="J2951" i="1"/>
  <c r="H2951" i="1"/>
  <c r="O2950" i="1"/>
  <c r="M2950" i="1"/>
  <c r="L2950" i="1"/>
  <c r="J2950" i="1"/>
  <c r="H2950" i="1"/>
  <c r="O2949" i="1"/>
  <c r="L2949" i="1"/>
  <c r="J2949" i="1"/>
  <c r="H2949" i="1"/>
  <c r="O2948" i="1"/>
  <c r="L2948" i="1"/>
  <c r="J2948" i="1"/>
  <c r="H2948" i="1"/>
  <c r="M2948" i="1" s="1"/>
  <c r="O2946" i="1"/>
  <c r="L2946" i="1"/>
  <c r="J2946" i="1"/>
  <c r="H2946" i="1"/>
  <c r="M2946" i="1" s="1"/>
  <c r="O2945" i="1"/>
  <c r="M2945" i="1"/>
  <c r="L2945" i="1"/>
  <c r="J2945" i="1"/>
  <c r="H2945" i="1"/>
  <c r="O2943" i="1"/>
  <c r="L2943" i="1"/>
  <c r="M2943" i="1" s="1"/>
  <c r="J2943" i="1"/>
  <c r="H2943" i="1"/>
  <c r="O2933" i="1"/>
  <c r="L2933" i="1"/>
  <c r="J2933" i="1"/>
  <c r="H2933" i="1"/>
  <c r="M2933" i="1" s="1"/>
  <c r="O2932" i="1"/>
  <c r="L2932" i="1"/>
  <c r="J2932" i="1"/>
  <c r="H2932" i="1"/>
  <c r="M2932" i="1" s="1"/>
  <c r="O2931" i="1"/>
  <c r="L2931" i="1"/>
  <c r="J2931" i="1"/>
  <c r="H2931" i="1"/>
  <c r="O2930" i="1"/>
  <c r="L2930" i="1"/>
  <c r="J2930" i="1"/>
  <c r="H2930" i="1"/>
  <c r="M2930" i="1" s="1"/>
  <c r="O2929" i="1"/>
  <c r="L2929" i="1"/>
  <c r="J2929" i="1"/>
  <c r="H2929" i="1"/>
  <c r="M2929" i="1" s="1"/>
  <c r="O2924" i="1"/>
  <c r="L2924" i="1"/>
  <c r="M2924" i="1" s="1"/>
  <c r="J2924" i="1"/>
  <c r="H2924" i="1"/>
  <c r="O2923" i="1"/>
  <c r="M2923" i="1"/>
  <c r="L2923" i="1"/>
  <c r="J2923" i="1"/>
  <c r="H2923" i="1"/>
  <c r="O2920" i="1"/>
  <c r="L2920" i="1"/>
  <c r="J2920" i="1"/>
  <c r="H2920" i="1"/>
  <c r="M2920" i="1" s="1"/>
  <c r="O2918" i="1"/>
  <c r="L2918" i="1"/>
  <c r="J2918" i="1"/>
  <c r="H2918" i="1"/>
  <c r="M2918" i="1" s="1"/>
  <c r="O2917" i="1"/>
  <c r="L2917" i="1"/>
  <c r="J2917" i="1"/>
  <c r="H2917" i="1"/>
  <c r="M2917" i="1" s="1"/>
  <c r="O2916" i="1"/>
  <c r="L2916" i="1"/>
  <c r="M2916" i="1" s="1"/>
  <c r="J2916" i="1"/>
  <c r="H2916" i="1"/>
  <c r="O2915" i="1"/>
  <c r="L2915" i="1"/>
  <c r="M2915" i="1" s="1"/>
  <c r="J2915" i="1"/>
  <c r="H2915" i="1"/>
  <c r="O2914" i="1"/>
  <c r="M2914" i="1"/>
  <c r="L2914" i="1"/>
  <c r="J2914" i="1"/>
  <c r="H2914" i="1"/>
  <c r="O2911" i="1"/>
  <c r="L2911" i="1"/>
  <c r="J2911" i="1"/>
  <c r="H2911" i="1"/>
  <c r="O2909" i="1"/>
  <c r="L2909" i="1"/>
  <c r="J2909" i="1"/>
  <c r="H2909" i="1"/>
  <c r="M2909" i="1" s="1"/>
  <c r="O2908" i="1"/>
  <c r="L2908" i="1"/>
  <c r="J2908" i="1"/>
  <c r="H2908" i="1"/>
  <c r="M2908" i="1" s="1"/>
  <c r="O2907" i="1"/>
  <c r="M2907" i="1"/>
  <c r="L2907" i="1"/>
  <c r="J2907" i="1"/>
  <c r="H2907" i="1"/>
  <c r="O2906" i="1"/>
  <c r="L2906" i="1"/>
  <c r="M2906" i="1" s="1"/>
  <c r="J2906" i="1"/>
  <c r="H2906" i="1"/>
  <c r="O2905" i="1"/>
  <c r="L2905" i="1"/>
  <c r="M2905" i="1" s="1"/>
  <c r="J2905" i="1"/>
  <c r="H2905" i="1"/>
  <c r="O2904" i="1"/>
  <c r="L2904" i="1"/>
  <c r="J2904" i="1"/>
  <c r="H2904" i="1"/>
  <c r="M2904" i="1" s="1"/>
  <c r="O2903" i="1"/>
  <c r="L2903" i="1"/>
  <c r="J2903" i="1"/>
  <c r="H2903" i="1"/>
  <c r="M2903" i="1" s="1"/>
  <c r="O2902" i="1"/>
  <c r="L2902" i="1"/>
  <c r="J2902" i="1"/>
  <c r="H2902" i="1"/>
  <c r="M2902" i="1" s="1"/>
  <c r="O2899" i="1"/>
  <c r="L2899" i="1"/>
  <c r="M2899" i="1" s="1"/>
  <c r="J2899" i="1"/>
  <c r="H2899" i="1"/>
  <c r="O2898" i="1"/>
  <c r="L2898" i="1"/>
  <c r="M2898" i="1" s="1"/>
  <c r="J2898" i="1"/>
  <c r="H2898" i="1"/>
  <c r="O2897" i="1"/>
  <c r="M2897" i="1"/>
  <c r="L2897" i="1"/>
  <c r="J2897" i="1"/>
  <c r="H2897" i="1"/>
  <c r="O2896" i="1"/>
  <c r="L2896" i="1"/>
  <c r="J2896" i="1"/>
  <c r="H2896" i="1"/>
  <c r="O2895" i="1"/>
  <c r="L2895" i="1"/>
  <c r="J2895" i="1"/>
  <c r="H2895" i="1"/>
  <c r="M2895" i="1" s="1"/>
  <c r="O2894" i="1"/>
  <c r="L2894" i="1"/>
  <c r="J2894" i="1"/>
  <c r="H2894" i="1"/>
  <c r="M2894" i="1" s="1"/>
  <c r="O2892" i="1"/>
  <c r="L2892" i="1"/>
  <c r="J2892" i="1"/>
  <c r="H2892" i="1"/>
  <c r="M2892" i="1" s="1"/>
  <c r="O2891" i="1"/>
  <c r="L2891" i="1"/>
  <c r="M2891" i="1" s="1"/>
  <c r="J2891" i="1"/>
  <c r="H2891" i="1"/>
  <c r="O2890" i="1"/>
  <c r="L2890" i="1"/>
  <c r="M2890" i="1" s="1"/>
  <c r="J2890" i="1"/>
  <c r="H2890" i="1"/>
  <c r="O2889" i="1"/>
  <c r="M2889" i="1"/>
  <c r="L2889" i="1"/>
  <c r="J2889" i="1"/>
  <c r="H2889" i="1"/>
  <c r="O2888" i="1"/>
  <c r="L2888" i="1"/>
  <c r="J2888" i="1"/>
  <c r="H2888" i="1"/>
  <c r="M2888" i="1" s="1"/>
  <c r="O2886" i="1"/>
  <c r="L2886" i="1"/>
  <c r="J2886" i="1"/>
  <c r="H2886" i="1"/>
  <c r="M2886" i="1" s="1"/>
  <c r="O2885" i="1"/>
  <c r="L2885" i="1"/>
  <c r="M2885" i="1" s="1"/>
  <c r="J2885" i="1"/>
  <c r="H2885" i="1"/>
  <c r="O2883" i="1"/>
  <c r="L2883" i="1"/>
  <c r="M2883" i="1" s="1"/>
  <c r="J2883" i="1"/>
  <c r="H2883" i="1"/>
  <c r="O2873" i="1"/>
  <c r="L2873" i="1"/>
  <c r="J2873" i="1"/>
  <c r="H2873" i="1"/>
  <c r="M2873" i="1" s="1"/>
  <c r="O2872" i="1"/>
  <c r="L2872" i="1"/>
  <c r="J2872" i="1"/>
  <c r="H2872" i="1"/>
  <c r="M2872" i="1" s="1"/>
  <c r="O2871" i="1"/>
  <c r="L2871" i="1"/>
  <c r="J2871" i="1"/>
  <c r="H2871" i="1"/>
  <c r="O2870" i="1"/>
  <c r="L2870" i="1"/>
  <c r="J2870" i="1"/>
  <c r="H2870" i="1"/>
  <c r="M2870" i="1" s="1"/>
  <c r="O2869" i="1"/>
  <c r="L2869" i="1"/>
  <c r="J2869" i="1"/>
  <c r="H2869" i="1"/>
  <c r="M2869" i="1" s="1"/>
  <c r="O2868" i="1"/>
  <c r="L2868" i="1"/>
  <c r="M2868" i="1" s="1"/>
  <c r="J2868" i="1"/>
  <c r="H2868" i="1"/>
  <c r="O2867" i="1"/>
  <c r="M2867" i="1"/>
  <c r="L2867" i="1"/>
  <c r="J2867" i="1"/>
  <c r="H2867" i="1"/>
  <c r="O2866" i="1"/>
  <c r="L2866" i="1"/>
  <c r="J2866" i="1"/>
  <c r="H2866" i="1"/>
  <c r="M2866" i="1" s="1"/>
  <c r="O2864" i="1"/>
  <c r="L2864" i="1"/>
  <c r="J2864" i="1"/>
  <c r="H2864" i="1"/>
  <c r="M2864" i="1" s="1"/>
  <c r="O2863" i="1"/>
  <c r="L2863" i="1"/>
  <c r="J2863" i="1"/>
  <c r="H2863" i="1"/>
  <c r="M2863" i="1" s="1"/>
  <c r="O2862" i="1"/>
  <c r="L2862" i="1"/>
  <c r="M2862" i="1" s="1"/>
  <c r="J2862" i="1"/>
  <c r="H2862" i="1"/>
  <c r="O2860" i="1"/>
  <c r="M2860" i="1"/>
  <c r="L2860" i="1"/>
  <c r="J2860" i="1"/>
  <c r="H2860" i="1"/>
  <c r="O2858" i="1"/>
  <c r="L2858" i="1"/>
  <c r="M2858" i="1" s="1"/>
  <c r="J2858" i="1"/>
  <c r="H2858" i="1"/>
  <c r="O2857" i="1"/>
  <c r="L2857" i="1"/>
  <c r="J2857" i="1"/>
  <c r="H2857" i="1"/>
  <c r="O2856" i="1"/>
  <c r="L2856" i="1"/>
  <c r="J2856" i="1"/>
  <c r="H2856" i="1"/>
  <c r="M2856" i="1" s="1"/>
  <c r="O2855" i="1"/>
  <c r="M2855" i="1"/>
  <c r="L2855" i="1"/>
  <c r="J2855" i="1"/>
  <c r="H2855" i="1"/>
  <c r="O2854" i="1"/>
  <c r="M2854" i="1"/>
  <c r="L2854" i="1"/>
  <c r="J2854" i="1"/>
  <c r="H2854" i="1"/>
  <c r="O2853" i="1"/>
  <c r="L2853" i="1"/>
  <c r="M2853" i="1" s="1"/>
  <c r="J2853" i="1"/>
  <c r="H2853" i="1"/>
  <c r="O2851" i="1"/>
  <c r="L2851" i="1"/>
  <c r="M2851" i="1" s="1"/>
  <c r="J2851" i="1"/>
  <c r="H2851" i="1"/>
  <c r="O2849" i="1"/>
  <c r="L2849" i="1"/>
  <c r="J2849" i="1"/>
  <c r="H2849" i="1"/>
  <c r="M2849" i="1" s="1"/>
  <c r="O2848" i="1"/>
  <c r="L2848" i="1"/>
  <c r="J2848" i="1"/>
  <c r="H2848" i="1"/>
  <c r="M2848" i="1" s="1"/>
  <c r="O2847" i="1"/>
  <c r="L2847" i="1"/>
  <c r="J2847" i="1"/>
  <c r="H2847" i="1"/>
  <c r="M2847" i="1" s="1"/>
  <c r="O2846" i="1"/>
  <c r="L2846" i="1"/>
  <c r="M2846" i="1" s="1"/>
  <c r="J2846" i="1"/>
  <c r="H2846" i="1"/>
  <c r="O2845" i="1"/>
  <c r="L2845" i="1"/>
  <c r="J2845" i="1"/>
  <c r="H2845" i="1"/>
  <c r="O2844" i="1"/>
  <c r="L2844" i="1"/>
  <c r="J2844" i="1"/>
  <c r="H2844" i="1"/>
  <c r="M2844" i="1" s="1"/>
  <c r="O2843" i="1"/>
  <c r="L2843" i="1"/>
  <c r="J2843" i="1"/>
  <c r="H2843" i="1"/>
  <c r="O2842" i="1"/>
  <c r="L2842" i="1"/>
  <c r="J2842" i="1"/>
  <c r="H2842" i="1"/>
  <c r="M2842" i="1" s="1"/>
  <c r="O2839" i="1"/>
  <c r="L2839" i="1"/>
  <c r="J2839" i="1"/>
  <c r="H2839" i="1"/>
  <c r="M2839" i="1" s="1"/>
  <c r="O2838" i="1"/>
  <c r="L2838" i="1"/>
  <c r="J2838" i="1"/>
  <c r="H2838" i="1"/>
  <c r="M2838" i="1" s="1"/>
  <c r="O2837" i="1"/>
  <c r="M2837" i="1"/>
  <c r="L2837" i="1"/>
  <c r="J2837" i="1"/>
  <c r="H2837" i="1"/>
  <c r="O2836" i="1"/>
  <c r="M2836" i="1"/>
  <c r="L2836" i="1"/>
  <c r="J2836" i="1"/>
  <c r="H2836" i="1"/>
  <c r="O2835" i="1"/>
  <c r="M2835" i="1"/>
  <c r="L2835" i="1"/>
  <c r="J2835" i="1"/>
  <c r="H2835" i="1"/>
  <c r="O2834" i="1"/>
  <c r="L2834" i="1"/>
  <c r="J2834" i="1"/>
  <c r="H2834" i="1"/>
  <c r="M2834" i="1" s="1"/>
  <c r="O2832" i="1"/>
  <c r="L2832" i="1"/>
  <c r="J2832" i="1"/>
  <c r="H2832" i="1"/>
  <c r="M2832" i="1" s="1"/>
  <c r="O2831" i="1"/>
  <c r="L2831" i="1"/>
  <c r="M2831" i="1" s="1"/>
  <c r="J2831" i="1"/>
  <c r="H2831" i="1"/>
  <c r="O2830" i="1"/>
  <c r="L2830" i="1"/>
  <c r="M2830" i="1" s="1"/>
  <c r="J2830" i="1"/>
  <c r="H2830" i="1"/>
  <c r="O2829" i="1"/>
  <c r="L2829" i="1"/>
  <c r="M2829" i="1" s="1"/>
  <c r="J2829" i="1"/>
  <c r="H2829" i="1"/>
  <c r="O2828" i="1"/>
  <c r="L2828" i="1"/>
  <c r="J2828" i="1"/>
  <c r="H2828" i="1"/>
  <c r="M2828" i="1" s="1"/>
  <c r="O2826" i="1"/>
  <c r="L2826" i="1"/>
  <c r="J2826" i="1"/>
  <c r="H2826" i="1"/>
  <c r="M2826" i="1" s="1"/>
  <c r="O2825" i="1"/>
  <c r="M2825" i="1"/>
  <c r="L2825" i="1"/>
  <c r="J2825" i="1"/>
  <c r="H2825" i="1"/>
  <c r="O2823" i="1"/>
  <c r="M2823" i="1"/>
  <c r="L2823" i="1"/>
  <c r="J2823" i="1"/>
  <c r="H2823" i="1"/>
  <c r="O2822" i="1"/>
  <c r="M2822" i="1"/>
  <c r="L2822" i="1"/>
  <c r="J2822" i="1"/>
  <c r="H2822" i="1"/>
  <c r="O2819" i="1"/>
  <c r="L2819" i="1"/>
  <c r="M2819" i="1" s="1"/>
  <c r="J2819" i="1"/>
  <c r="H2819" i="1"/>
  <c r="O2813" i="1"/>
  <c r="L2813" i="1"/>
  <c r="J2813" i="1"/>
  <c r="H2813" i="1"/>
  <c r="M2813" i="1" s="1"/>
  <c r="O2812" i="1"/>
  <c r="L2812" i="1"/>
  <c r="J2812" i="1"/>
  <c r="H2812" i="1"/>
  <c r="M2812" i="1" s="1"/>
  <c r="O2811" i="1"/>
  <c r="L2811" i="1"/>
  <c r="J2811" i="1"/>
  <c r="H2811" i="1"/>
  <c r="O2810" i="1"/>
  <c r="M2810" i="1"/>
  <c r="L2810" i="1"/>
  <c r="J2810" i="1"/>
  <c r="H2810" i="1"/>
  <c r="O2809" i="1"/>
  <c r="L2809" i="1"/>
  <c r="J2809" i="1"/>
  <c r="H2809" i="1"/>
  <c r="M2809" i="1" s="1"/>
  <c r="O2808" i="1"/>
  <c r="L2808" i="1"/>
  <c r="J2808" i="1"/>
  <c r="H2808" i="1"/>
  <c r="M2808" i="1" s="1"/>
  <c r="O2807" i="1"/>
  <c r="L2807" i="1"/>
  <c r="J2807" i="1"/>
  <c r="H2807" i="1"/>
  <c r="O2806" i="1"/>
  <c r="M2806" i="1"/>
  <c r="L2806" i="1"/>
  <c r="J2806" i="1"/>
  <c r="H2806" i="1"/>
  <c r="O2803" i="1"/>
  <c r="M2803" i="1"/>
  <c r="L2803" i="1"/>
  <c r="J2803" i="1"/>
  <c r="H2803" i="1"/>
  <c r="O2802" i="1"/>
  <c r="L2802" i="1"/>
  <c r="J2802" i="1"/>
  <c r="H2802" i="1"/>
  <c r="M2802" i="1" s="1"/>
  <c r="O2800" i="1"/>
  <c r="L2800" i="1"/>
  <c r="M2800" i="1" s="1"/>
  <c r="J2800" i="1"/>
  <c r="H2800" i="1"/>
  <c r="O2798" i="1"/>
  <c r="L2798" i="1"/>
  <c r="M2798" i="1" s="1"/>
  <c r="J2798" i="1"/>
  <c r="H2798" i="1"/>
  <c r="O2797" i="1"/>
  <c r="L2797" i="1"/>
  <c r="M2797" i="1" s="1"/>
  <c r="J2797" i="1"/>
  <c r="H2797" i="1"/>
  <c r="O2796" i="1"/>
  <c r="L2796" i="1"/>
  <c r="J2796" i="1"/>
  <c r="H2796" i="1"/>
  <c r="M2796" i="1" s="1"/>
  <c r="O2795" i="1"/>
  <c r="L2795" i="1"/>
  <c r="J2795" i="1"/>
  <c r="H2795" i="1"/>
  <c r="M2795" i="1" s="1"/>
  <c r="O2794" i="1"/>
  <c r="L2794" i="1"/>
  <c r="O2793" i="1"/>
  <c r="L2793" i="1"/>
  <c r="O2791" i="1"/>
  <c r="L2791" i="1"/>
  <c r="M2791" i="1" s="1"/>
  <c r="J2791" i="1"/>
  <c r="H2791" i="1"/>
  <c r="O2789" i="1"/>
  <c r="L2789" i="1"/>
  <c r="J2789" i="1"/>
  <c r="H2789" i="1"/>
  <c r="O2788" i="1"/>
  <c r="L2788" i="1"/>
  <c r="J2788" i="1"/>
  <c r="H2788" i="1"/>
  <c r="M2788" i="1" s="1"/>
  <c r="O2787" i="1"/>
  <c r="L2787" i="1"/>
  <c r="J2787" i="1"/>
  <c r="H2787" i="1"/>
  <c r="O2786" i="1"/>
  <c r="M2786" i="1"/>
  <c r="L2786" i="1"/>
  <c r="J2786" i="1"/>
  <c r="H2786" i="1"/>
  <c r="O2785" i="1"/>
  <c r="L2785" i="1"/>
  <c r="J2785" i="1"/>
  <c r="H2785" i="1"/>
  <c r="M2785" i="1" s="1"/>
  <c r="O2784" i="1"/>
  <c r="L2784" i="1"/>
  <c r="J2784" i="1"/>
  <c r="H2784" i="1"/>
  <c r="M2784" i="1" s="1"/>
  <c r="O2783" i="1"/>
  <c r="L2783" i="1"/>
  <c r="J2783" i="1"/>
  <c r="H2783" i="1"/>
  <c r="M2783" i="1" s="1"/>
  <c r="O2782" i="1"/>
  <c r="L2782" i="1"/>
  <c r="M2782" i="1" s="1"/>
  <c r="J2782" i="1"/>
  <c r="H2782" i="1"/>
  <c r="O2779" i="1"/>
  <c r="M2779" i="1"/>
  <c r="L2779" i="1"/>
  <c r="J2779" i="1"/>
  <c r="H2779" i="1"/>
  <c r="O2778" i="1"/>
  <c r="L2778" i="1"/>
  <c r="J2778" i="1"/>
  <c r="H2778" i="1"/>
  <c r="M2778" i="1" s="1"/>
  <c r="O2777" i="1"/>
  <c r="L2777" i="1"/>
  <c r="M2777" i="1" s="1"/>
  <c r="J2777" i="1"/>
  <c r="H2777" i="1"/>
  <c r="O2776" i="1"/>
  <c r="L2776" i="1"/>
  <c r="M2776" i="1" s="1"/>
  <c r="J2776" i="1"/>
  <c r="H2776" i="1"/>
  <c r="O2775" i="1"/>
  <c r="L2775" i="1"/>
  <c r="M2775" i="1" s="1"/>
  <c r="J2775" i="1"/>
  <c r="H2775" i="1"/>
  <c r="O2774" i="1"/>
  <c r="L2774" i="1"/>
  <c r="J2774" i="1"/>
  <c r="H2774" i="1"/>
  <c r="M2774" i="1" s="1"/>
  <c r="O2772" i="1"/>
  <c r="L2772" i="1"/>
  <c r="J2772" i="1"/>
  <c r="H2772" i="1"/>
  <c r="O2771" i="1"/>
  <c r="M2771" i="1"/>
  <c r="L2771" i="1"/>
  <c r="J2771" i="1"/>
  <c r="H2771" i="1"/>
  <c r="O2770" i="1"/>
  <c r="L2770" i="1"/>
  <c r="J2770" i="1"/>
  <c r="H2770" i="1"/>
  <c r="M2770" i="1" s="1"/>
  <c r="O2769" i="1"/>
  <c r="M2769" i="1"/>
  <c r="L2769" i="1"/>
  <c r="J2769" i="1"/>
  <c r="H2769" i="1"/>
  <c r="O2768" i="1"/>
  <c r="L2768" i="1"/>
  <c r="J2768" i="1"/>
  <c r="H2768" i="1"/>
  <c r="O2766" i="1"/>
  <c r="L2766" i="1"/>
  <c r="J2766" i="1"/>
  <c r="H2766" i="1"/>
  <c r="M2766" i="1" s="1"/>
  <c r="O2765" i="1"/>
  <c r="L2765" i="1"/>
  <c r="J2765" i="1"/>
  <c r="H2765" i="1"/>
  <c r="M2765" i="1" s="1"/>
  <c r="O2763" i="1"/>
  <c r="M2763" i="1"/>
  <c r="L2763" i="1"/>
  <c r="J2763" i="1"/>
  <c r="H2763" i="1"/>
  <c r="O2762" i="1"/>
  <c r="M2762" i="1"/>
  <c r="L2762" i="1"/>
  <c r="J2762" i="1"/>
  <c r="H2762" i="1"/>
  <c r="O2759" i="1"/>
  <c r="L2759" i="1"/>
  <c r="M2759" i="1" s="1"/>
  <c r="J2759" i="1"/>
  <c r="H2759" i="1"/>
  <c r="O2753" i="1"/>
  <c r="L2753" i="1"/>
  <c r="M2753" i="1" s="1"/>
  <c r="J2753" i="1"/>
  <c r="H2753" i="1"/>
  <c r="O2752" i="1"/>
  <c r="L2752" i="1"/>
  <c r="J2752" i="1"/>
  <c r="H2752" i="1"/>
  <c r="M2752" i="1" s="1"/>
  <c r="O2751" i="1"/>
  <c r="L2751" i="1"/>
  <c r="O2750" i="1"/>
  <c r="L2750" i="1"/>
  <c r="J2750" i="1"/>
  <c r="H2750" i="1"/>
  <c r="O2749" i="1"/>
  <c r="L2749" i="1"/>
  <c r="J2749" i="1"/>
  <c r="H2749" i="1"/>
  <c r="M2749" i="1" s="1"/>
  <c r="O2748" i="1"/>
  <c r="L2748" i="1"/>
  <c r="J2748" i="1"/>
  <c r="H2748" i="1"/>
  <c r="O2747" i="1"/>
  <c r="M2747" i="1"/>
  <c r="L2747" i="1"/>
  <c r="J2747" i="1"/>
  <c r="H2747" i="1"/>
  <c r="O2746" i="1"/>
  <c r="L2746" i="1"/>
  <c r="J2746" i="1"/>
  <c r="H2746" i="1"/>
  <c r="M2746" i="1" s="1"/>
  <c r="O2745" i="1"/>
  <c r="L2745" i="1"/>
  <c r="J2745" i="1"/>
  <c r="H2745" i="1"/>
  <c r="M2745" i="1" s="1"/>
  <c r="O2744" i="1"/>
  <c r="L2744" i="1"/>
  <c r="J2744" i="1"/>
  <c r="H2744" i="1"/>
  <c r="O2743" i="1"/>
  <c r="L2743" i="1"/>
  <c r="M2743" i="1" s="1"/>
  <c r="J2743" i="1"/>
  <c r="H2743" i="1"/>
  <c r="O2742" i="1"/>
  <c r="L2742" i="1"/>
  <c r="J2742" i="1"/>
  <c r="H2742" i="1"/>
  <c r="M2742" i="1" s="1"/>
  <c r="O2740" i="1"/>
  <c r="L2740" i="1"/>
  <c r="J2740" i="1"/>
  <c r="H2740" i="1"/>
  <c r="M2740" i="1" s="1"/>
  <c r="O2738" i="1"/>
  <c r="L2738" i="1"/>
  <c r="M2738" i="1" s="1"/>
  <c r="J2738" i="1"/>
  <c r="H2738" i="1"/>
  <c r="O2737" i="1"/>
  <c r="L2737" i="1"/>
  <c r="M2737" i="1" s="1"/>
  <c r="J2737" i="1"/>
  <c r="H2737" i="1"/>
  <c r="O2736" i="1"/>
  <c r="L2736" i="1"/>
  <c r="M2736" i="1" s="1"/>
  <c r="J2736" i="1"/>
  <c r="H2736" i="1"/>
  <c r="O2735" i="1"/>
  <c r="L2735" i="1"/>
  <c r="J2735" i="1"/>
  <c r="H2735" i="1"/>
  <c r="M2735" i="1" s="1"/>
  <c r="L2734" i="1"/>
  <c r="J2734" i="1"/>
  <c r="H2734" i="1"/>
  <c r="M2734" i="1" s="1"/>
  <c r="O2733" i="1"/>
  <c r="M2733" i="1"/>
  <c r="L2733" i="1"/>
  <c r="J2733" i="1"/>
  <c r="H2733" i="1"/>
  <c r="O2731" i="1"/>
  <c r="M2731" i="1"/>
  <c r="L2731" i="1"/>
  <c r="J2731" i="1"/>
  <c r="H2731" i="1"/>
  <c r="O2729" i="1"/>
  <c r="M2729" i="1"/>
  <c r="L2729" i="1"/>
  <c r="J2729" i="1"/>
  <c r="H2729" i="1"/>
  <c r="O2728" i="1"/>
  <c r="L2728" i="1"/>
  <c r="J2728" i="1"/>
  <c r="H2728" i="1"/>
  <c r="M2728" i="1" s="1"/>
  <c r="O2727" i="1"/>
  <c r="L2727" i="1"/>
  <c r="J2727" i="1"/>
  <c r="H2727" i="1"/>
  <c r="O2726" i="1"/>
  <c r="L2726" i="1"/>
  <c r="M2726" i="1" s="1"/>
  <c r="J2726" i="1"/>
  <c r="H2726" i="1"/>
  <c r="O2725" i="1"/>
  <c r="L2725" i="1"/>
  <c r="M2725" i="1" s="1"/>
  <c r="J2725" i="1"/>
  <c r="H2725" i="1"/>
  <c r="O2724" i="1"/>
  <c r="L2724" i="1"/>
  <c r="J2724" i="1"/>
  <c r="H2724" i="1"/>
  <c r="O2723" i="1"/>
  <c r="L2723" i="1"/>
  <c r="J2723" i="1"/>
  <c r="H2723" i="1"/>
  <c r="M2723" i="1" s="1"/>
  <c r="O2722" i="1"/>
  <c r="M2722" i="1"/>
  <c r="L2722" i="1"/>
  <c r="J2722" i="1"/>
  <c r="H2722" i="1"/>
  <c r="O2719" i="1"/>
  <c r="M2719" i="1"/>
  <c r="L2719" i="1"/>
  <c r="J2719" i="1"/>
  <c r="H2719" i="1"/>
  <c r="O2718" i="1"/>
  <c r="L2718" i="1"/>
  <c r="O2717" i="1"/>
  <c r="M2717" i="1"/>
  <c r="L2717" i="1"/>
  <c r="J2717" i="1"/>
  <c r="H2717" i="1"/>
  <c r="O2716" i="1"/>
  <c r="M2716" i="1"/>
  <c r="L2716" i="1"/>
  <c r="J2716" i="1"/>
  <c r="H2716" i="1"/>
  <c r="O2715" i="1"/>
  <c r="M2715" i="1"/>
  <c r="L2715" i="1"/>
  <c r="J2715" i="1"/>
  <c r="H2715" i="1"/>
  <c r="O2714" i="1"/>
  <c r="L2714" i="1"/>
  <c r="M2714" i="1" s="1"/>
  <c r="J2714" i="1"/>
  <c r="H2714" i="1"/>
  <c r="O2712" i="1"/>
  <c r="L2712" i="1"/>
  <c r="M2712" i="1" s="1"/>
  <c r="J2712" i="1"/>
  <c r="H2712" i="1"/>
  <c r="O2711" i="1"/>
  <c r="M2711" i="1"/>
  <c r="L2711" i="1"/>
  <c r="J2711" i="1"/>
  <c r="H2711" i="1"/>
  <c r="O2710" i="1"/>
  <c r="L2710" i="1"/>
  <c r="O2709" i="1"/>
  <c r="L2709" i="1"/>
  <c r="O2708" i="1"/>
  <c r="L2708" i="1"/>
  <c r="J2708" i="1"/>
  <c r="H2708" i="1"/>
  <c r="M2708" i="1" s="1"/>
  <c r="O2706" i="1"/>
  <c r="L2706" i="1"/>
  <c r="M2706" i="1" s="1"/>
  <c r="J2706" i="1"/>
  <c r="H2706" i="1"/>
  <c r="O2705" i="1"/>
  <c r="L2705" i="1"/>
  <c r="M2705" i="1" s="1"/>
  <c r="J2705" i="1"/>
  <c r="H2705" i="1"/>
  <c r="O2703" i="1"/>
  <c r="L2703" i="1"/>
  <c r="J2703" i="1"/>
  <c r="H2703" i="1"/>
  <c r="M2703" i="1" s="1"/>
  <c r="O2702" i="1"/>
  <c r="L2702" i="1"/>
  <c r="J2702" i="1"/>
  <c r="H2702" i="1"/>
  <c r="M2702" i="1" s="1"/>
  <c r="O2699" i="1"/>
  <c r="L2699" i="1"/>
  <c r="J2699" i="1"/>
  <c r="H2699" i="1"/>
  <c r="M2699" i="1" s="1"/>
  <c r="O2696" i="1"/>
  <c r="L2696" i="1"/>
  <c r="M2696" i="1" s="1"/>
  <c r="J2696" i="1"/>
  <c r="H2696" i="1"/>
  <c r="O2693" i="1"/>
  <c r="L2693" i="1"/>
  <c r="J2693" i="1"/>
  <c r="H2693" i="1"/>
  <c r="M2693" i="1" s="1"/>
  <c r="O2692" i="1"/>
  <c r="L2692" i="1"/>
  <c r="M2692" i="1" s="1"/>
  <c r="J2692" i="1"/>
  <c r="H2692" i="1"/>
  <c r="O2691" i="1"/>
  <c r="L2691" i="1"/>
  <c r="J2691" i="1"/>
  <c r="H2691" i="1"/>
  <c r="O2690" i="1"/>
  <c r="M2690" i="1"/>
  <c r="L2690" i="1"/>
  <c r="J2690" i="1"/>
  <c r="H2690" i="1"/>
  <c r="O2689" i="1"/>
  <c r="N2689" i="1"/>
  <c r="K2689" i="1"/>
  <c r="L2689" i="1" s="1"/>
  <c r="J2689" i="1"/>
  <c r="H2689" i="1"/>
  <c r="M2689" i="1" s="1"/>
  <c r="O2688" i="1"/>
  <c r="L2688" i="1"/>
  <c r="J2688" i="1"/>
  <c r="H2688" i="1"/>
  <c r="M2688" i="1" s="1"/>
  <c r="O2687" i="1"/>
  <c r="M2687" i="1"/>
  <c r="L2687" i="1"/>
  <c r="J2687" i="1"/>
  <c r="H2687" i="1"/>
  <c r="O2686" i="1"/>
  <c r="M2686" i="1"/>
  <c r="L2686" i="1"/>
  <c r="J2686" i="1"/>
  <c r="H2686" i="1"/>
  <c r="O2685" i="1"/>
  <c r="M2685" i="1"/>
  <c r="L2685" i="1"/>
  <c r="J2685" i="1"/>
  <c r="H2685" i="1"/>
  <c r="O2684" i="1"/>
  <c r="L2684" i="1"/>
  <c r="M2684" i="1" s="1"/>
  <c r="J2684" i="1"/>
  <c r="H2684" i="1"/>
  <c r="O2683" i="1"/>
  <c r="L2683" i="1"/>
  <c r="J2683" i="1"/>
  <c r="H2683" i="1"/>
  <c r="O2682" i="1"/>
  <c r="L2682" i="1"/>
  <c r="J2682" i="1"/>
  <c r="H2682" i="1"/>
  <c r="M2682" i="1" s="1"/>
  <c r="O2680" i="1"/>
  <c r="L2680" i="1"/>
  <c r="J2680" i="1"/>
  <c r="H2680" i="1"/>
  <c r="O2678" i="1"/>
  <c r="M2678" i="1"/>
  <c r="L2678" i="1"/>
  <c r="J2678" i="1"/>
  <c r="H2678" i="1"/>
  <c r="O2677" i="1"/>
  <c r="L2677" i="1"/>
  <c r="J2677" i="1"/>
  <c r="H2677" i="1"/>
  <c r="M2677" i="1" s="1"/>
  <c r="O2676" i="1"/>
  <c r="L2676" i="1"/>
  <c r="J2676" i="1"/>
  <c r="H2676" i="1"/>
  <c r="M2676" i="1" s="1"/>
  <c r="O2675" i="1"/>
  <c r="L2675" i="1"/>
  <c r="J2675" i="1"/>
  <c r="H2675" i="1"/>
  <c r="O2674" i="1"/>
  <c r="M2674" i="1"/>
  <c r="L2674" i="1"/>
  <c r="J2674" i="1"/>
  <c r="H2674" i="1"/>
  <c r="O2673" i="1"/>
  <c r="M2673" i="1"/>
  <c r="L2673" i="1"/>
  <c r="J2673" i="1"/>
  <c r="H2673" i="1"/>
  <c r="O2671" i="1"/>
  <c r="L2671" i="1"/>
  <c r="J2671" i="1"/>
  <c r="H2671" i="1"/>
  <c r="M2671" i="1" s="1"/>
  <c r="O2669" i="1"/>
  <c r="L2669" i="1"/>
  <c r="J2669" i="1"/>
  <c r="I2669" i="1"/>
  <c r="G2669" i="1"/>
  <c r="H2669" i="1" s="1"/>
  <c r="M2669" i="1" s="1"/>
  <c r="O2668" i="1"/>
  <c r="M2668" i="1"/>
  <c r="L2668" i="1"/>
  <c r="J2668" i="1"/>
  <c r="H2668" i="1"/>
  <c r="N2667" i="1"/>
  <c r="O2667" i="1" s="1"/>
  <c r="L2667" i="1"/>
  <c r="K2667" i="1"/>
  <c r="I2667" i="1"/>
  <c r="J2667" i="1" s="1"/>
  <c r="G2667" i="1"/>
  <c r="H2667" i="1" s="1"/>
  <c r="M2667" i="1" s="1"/>
  <c r="O2666" i="1"/>
  <c r="L2666" i="1"/>
  <c r="J2666" i="1"/>
  <c r="H2666" i="1"/>
  <c r="M2666" i="1" s="1"/>
  <c r="O2665" i="1"/>
  <c r="L2665" i="1"/>
  <c r="J2665" i="1"/>
  <c r="H2665" i="1"/>
  <c r="M2665" i="1" s="1"/>
  <c r="O2664" i="1"/>
  <c r="M2664" i="1"/>
  <c r="L2664" i="1"/>
  <c r="J2664" i="1"/>
  <c r="H2664" i="1"/>
  <c r="O2663" i="1"/>
  <c r="L2663" i="1"/>
  <c r="M2663" i="1" s="1"/>
  <c r="J2663" i="1"/>
  <c r="H2663" i="1"/>
  <c r="O2662" i="1"/>
  <c r="M2662" i="1"/>
  <c r="L2662" i="1"/>
  <c r="J2662" i="1"/>
  <c r="H2662" i="1"/>
  <c r="O2659" i="1"/>
  <c r="L2659" i="1"/>
  <c r="J2659" i="1"/>
  <c r="H2659" i="1"/>
  <c r="O2658" i="1"/>
  <c r="L2658" i="1"/>
  <c r="J2658" i="1"/>
  <c r="H2658" i="1"/>
  <c r="M2658" i="1" s="1"/>
  <c r="O2657" i="1"/>
  <c r="L2657" i="1"/>
  <c r="J2657" i="1"/>
  <c r="H2657" i="1"/>
  <c r="O2656" i="1"/>
  <c r="L2656" i="1"/>
  <c r="M2656" i="1" s="1"/>
  <c r="J2656" i="1"/>
  <c r="H2656" i="1"/>
  <c r="O2655" i="1"/>
  <c r="L2655" i="1"/>
  <c r="O2654" i="1"/>
  <c r="L2654" i="1"/>
  <c r="J2654" i="1"/>
  <c r="H2654" i="1"/>
  <c r="M2654" i="1" s="1"/>
  <c r="O2652" i="1"/>
  <c r="L2652" i="1"/>
  <c r="M2652" i="1" s="1"/>
  <c r="J2652" i="1"/>
  <c r="H2652" i="1"/>
  <c r="O2651" i="1"/>
  <c r="L2651" i="1"/>
  <c r="J2651" i="1"/>
  <c r="H2651" i="1"/>
  <c r="M2651" i="1" s="1"/>
  <c r="O2650" i="1"/>
  <c r="L2650" i="1"/>
  <c r="J2650" i="1"/>
  <c r="H2650" i="1"/>
  <c r="M2650" i="1" s="1"/>
  <c r="O2649" i="1"/>
  <c r="L2649" i="1"/>
  <c r="J2649" i="1"/>
  <c r="H2649" i="1"/>
  <c r="O2648" i="1"/>
  <c r="L2648" i="1"/>
  <c r="M2648" i="1" s="1"/>
  <c r="J2648" i="1"/>
  <c r="H2648" i="1"/>
  <c r="O2646" i="1"/>
  <c r="L2646" i="1"/>
  <c r="J2646" i="1"/>
  <c r="H2646" i="1"/>
  <c r="M2646" i="1" s="1"/>
  <c r="O2645" i="1"/>
  <c r="L2645" i="1"/>
  <c r="J2645" i="1"/>
  <c r="H2645" i="1"/>
  <c r="M2645" i="1" s="1"/>
  <c r="O2643" i="1"/>
  <c r="M2643" i="1"/>
  <c r="L2643" i="1"/>
  <c r="J2643" i="1"/>
  <c r="H2643" i="1"/>
  <c r="O2642" i="1"/>
  <c r="M2642" i="1"/>
  <c r="L2642" i="1"/>
  <c r="J2642" i="1"/>
  <c r="H2642" i="1"/>
  <c r="O2639" i="1"/>
  <c r="L2639" i="1"/>
  <c r="M2639" i="1" s="1"/>
  <c r="J2639" i="1"/>
  <c r="H2639" i="1"/>
  <c r="O2636" i="1"/>
  <c r="L2636" i="1"/>
  <c r="J2636" i="1"/>
  <c r="H2636" i="1"/>
  <c r="M2636" i="1" s="1"/>
  <c r="O2633" i="1"/>
  <c r="L2633" i="1"/>
  <c r="J2633" i="1"/>
  <c r="H2633" i="1"/>
  <c r="M2633" i="1" s="1"/>
  <c r="O2632" i="1"/>
  <c r="L2632" i="1"/>
  <c r="M2632" i="1" s="1"/>
  <c r="J2632" i="1"/>
  <c r="H2632" i="1"/>
  <c r="O2631" i="1"/>
  <c r="L2631" i="1"/>
  <c r="M2631" i="1" s="1"/>
  <c r="J2631" i="1"/>
  <c r="H2631" i="1"/>
  <c r="O2630" i="1"/>
  <c r="L2630" i="1"/>
  <c r="J2630" i="1"/>
  <c r="H2630" i="1"/>
  <c r="M2630" i="1" s="1"/>
  <c r="O2629" i="1"/>
  <c r="L2629" i="1"/>
  <c r="J2629" i="1"/>
  <c r="H2629" i="1"/>
  <c r="M2629" i="1" s="1"/>
  <c r="O2628" i="1"/>
  <c r="L2628" i="1"/>
  <c r="O2627" i="1"/>
  <c r="M2627" i="1"/>
  <c r="L2627" i="1"/>
  <c r="J2627" i="1"/>
  <c r="H2627" i="1"/>
  <c r="O2626" i="1"/>
  <c r="L2626" i="1"/>
  <c r="J2626" i="1"/>
  <c r="H2626" i="1"/>
  <c r="M2626" i="1" s="1"/>
  <c r="O2625" i="1"/>
  <c r="L2625" i="1"/>
  <c r="O2624" i="1"/>
  <c r="L2624" i="1"/>
  <c r="J2624" i="1"/>
  <c r="H2624" i="1"/>
  <c r="O2623" i="1"/>
  <c r="L2623" i="1"/>
  <c r="J2623" i="1"/>
  <c r="H2623" i="1"/>
  <c r="O2622" i="1"/>
  <c r="L2622" i="1"/>
  <c r="M2622" i="1" s="1"/>
  <c r="J2622" i="1"/>
  <c r="H2622" i="1"/>
  <c r="O2620" i="1"/>
  <c r="M2620" i="1"/>
  <c r="L2620" i="1"/>
  <c r="J2620" i="1"/>
  <c r="H2620" i="1"/>
  <c r="O2618" i="1"/>
  <c r="L2618" i="1"/>
  <c r="J2618" i="1"/>
  <c r="H2618" i="1"/>
  <c r="M2618" i="1" s="1"/>
  <c r="O2617" i="1"/>
  <c r="L2617" i="1"/>
  <c r="M2617" i="1" s="1"/>
  <c r="J2617" i="1"/>
  <c r="H2617" i="1"/>
  <c r="O2616" i="1"/>
  <c r="M2616" i="1"/>
  <c r="L2616" i="1"/>
  <c r="J2616" i="1"/>
  <c r="H2616" i="1"/>
  <c r="O2615" i="1"/>
  <c r="L2615" i="1"/>
  <c r="J2615" i="1"/>
  <c r="H2615" i="1"/>
  <c r="M2615" i="1" s="1"/>
  <c r="O2614" i="1"/>
  <c r="L2614" i="1"/>
  <c r="J2614" i="1"/>
  <c r="H2614" i="1"/>
  <c r="M2614" i="1" s="1"/>
  <c r="O2613" i="1"/>
  <c r="L2613" i="1"/>
  <c r="J2613" i="1"/>
  <c r="H2613" i="1"/>
  <c r="M2613" i="1" s="1"/>
  <c r="O2611" i="1"/>
  <c r="L2611" i="1"/>
  <c r="M2611" i="1" s="1"/>
  <c r="J2611" i="1"/>
  <c r="H2611" i="1"/>
  <c r="O2609" i="1"/>
  <c r="L2609" i="1"/>
  <c r="M2609" i="1" s="1"/>
  <c r="J2609" i="1"/>
  <c r="H2609" i="1"/>
  <c r="O2608" i="1"/>
  <c r="L2608" i="1"/>
  <c r="M2608" i="1" s="1"/>
  <c r="J2608" i="1"/>
  <c r="H2608" i="1"/>
  <c r="O2607" i="1"/>
  <c r="L2607" i="1"/>
  <c r="J2607" i="1"/>
  <c r="H2607" i="1"/>
  <c r="O2606" i="1"/>
  <c r="L2606" i="1"/>
  <c r="J2606" i="1"/>
  <c r="H2606" i="1"/>
  <c r="M2606" i="1" s="1"/>
  <c r="O2605" i="1"/>
  <c r="L2605" i="1"/>
  <c r="J2605" i="1"/>
  <c r="H2605" i="1"/>
  <c r="M2605" i="1" s="1"/>
  <c r="O2604" i="1"/>
  <c r="L2604" i="1"/>
  <c r="O2603" i="1"/>
  <c r="L2603" i="1"/>
  <c r="J2603" i="1"/>
  <c r="H2603" i="1"/>
  <c r="M2603" i="1" s="1"/>
  <c r="O2602" i="1"/>
  <c r="L2602" i="1"/>
  <c r="J2602" i="1"/>
  <c r="H2602" i="1"/>
  <c r="M2602" i="1" s="1"/>
  <c r="O2599" i="1"/>
  <c r="M2599" i="1"/>
  <c r="L2599" i="1"/>
  <c r="J2599" i="1"/>
  <c r="H2599" i="1"/>
  <c r="O2598" i="1"/>
  <c r="L2598" i="1"/>
  <c r="O2597" i="1"/>
  <c r="L2597" i="1"/>
  <c r="J2597" i="1"/>
  <c r="H2597" i="1"/>
  <c r="M2597" i="1" s="1"/>
  <c r="O2596" i="1"/>
  <c r="M2596" i="1"/>
  <c r="L2596" i="1"/>
  <c r="J2596" i="1"/>
  <c r="H2596" i="1"/>
  <c r="O2595" i="1"/>
  <c r="L2595" i="1"/>
  <c r="M2595" i="1" s="1"/>
  <c r="J2595" i="1"/>
  <c r="H2595" i="1"/>
  <c r="O2594" i="1"/>
  <c r="L2594" i="1"/>
  <c r="M2594" i="1" s="1"/>
  <c r="J2594" i="1"/>
  <c r="H2594" i="1"/>
  <c r="O2592" i="1"/>
  <c r="L2592" i="1"/>
  <c r="J2592" i="1"/>
  <c r="H2592" i="1"/>
  <c r="O2591" i="1"/>
  <c r="L2591" i="1"/>
  <c r="J2591" i="1"/>
  <c r="H2591" i="1"/>
  <c r="M2591" i="1" s="1"/>
  <c r="O2590" i="1"/>
  <c r="L2590" i="1"/>
  <c r="J2590" i="1"/>
  <c r="H2590" i="1"/>
  <c r="O2589" i="1"/>
  <c r="M2589" i="1"/>
  <c r="L2589" i="1"/>
  <c r="J2589" i="1"/>
  <c r="H2589" i="1"/>
  <c r="O2588" i="1"/>
  <c r="M2588" i="1"/>
  <c r="L2588" i="1"/>
  <c r="J2588" i="1"/>
  <c r="H2588" i="1"/>
  <c r="O2586" i="1"/>
  <c r="L2586" i="1"/>
  <c r="J2586" i="1"/>
  <c r="H2586" i="1"/>
  <c r="M2586" i="1" s="1"/>
  <c r="O2585" i="1"/>
  <c r="L2585" i="1"/>
  <c r="J2585" i="1"/>
  <c r="H2585" i="1"/>
  <c r="M2585" i="1" s="1"/>
  <c r="O2583" i="1"/>
  <c r="L2583" i="1"/>
  <c r="M2583" i="1" s="1"/>
  <c r="J2583" i="1"/>
  <c r="H2583" i="1"/>
  <c r="O2582" i="1"/>
  <c r="M2582" i="1"/>
  <c r="L2582" i="1"/>
  <c r="J2582" i="1"/>
  <c r="H2582" i="1"/>
  <c r="O2579" i="1"/>
  <c r="L2579" i="1"/>
  <c r="J2579" i="1"/>
  <c r="H2579" i="1"/>
  <c r="M2579" i="1" s="1"/>
  <c r="O2576" i="1"/>
  <c r="L2576" i="1"/>
  <c r="M2576" i="1" s="1"/>
  <c r="J2576" i="1"/>
  <c r="H2576" i="1"/>
  <c r="O2573" i="1"/>
  <c r="L2573" i="1"/>
  <c r="M2573" i="1" s="1"/>
  <c r="J2573" i="1"/>
  <c r="H2573" i="1"/>
  <c r="O2572" i="1"/>
  <c r="L2572" i="1"/>
  <c r="M2572" i="1" s="1"/>
  <c r="J2572" i="1"/>
  <c r="H2572" i="1"/>
  <c r="O2571" i="1"/>
  <c r="L2571" i="1"/>
  <c r="J2571" i="1"/>
  <c r="H2571" i="1"/>
  <c r="M2571" i="1" s="1"/>
  <c r="O2570" i="1"/>
  <c r="L2570" i="1"/>
  <c r="J2570" i="1"/>
  <c r="H2570" i="1"/>
  <c r="O2569" i="1"/>
  <c r="M2569" i="1"/>
  <c r="L2569" i="1"/>
  <c r="J2569" i="1"/>
  <c r="H2569" i="1"/>
  <c r="O2568" i="1"/>
  <c r="L2568" i="1"/>
  <c r="J2568" i="1"/>
  <c r="H2568" i="1"/>
  <c r="M2568" i="1" s="1"/>
  <c r="O2567" i="1"/>
  <c r="L2567" i="1"/>
  <c r="M2567" i="1" s="1"/>
  <c r="J2567" i="1"/>
  <c r="H2567" i="1"/>
  <c r="O2566" i="1"/>
  <c r="L2566" i="1"/>
  <c r="J2566" i="1"/>
  <c r="H2566" i="1"/>
  <c r="M2566" i="1" s="1"/>
  <c r="O2565" i="1"/>
  <c r="L2565" i="1"/>
  <c r="J2565" i="1"/>
  <c r="H2565" i="1"/>
  <c r="M2565" i="1" s="1"/>
  <c r="O2564" i="1"/>
  <c r="L2564" i="1"/>
  <c r="J2564" i="1"/>
  <c r="H2564" i="1"/>
  <c r="M2564" i="1" s="1"/>
  <c r="O2563" i="1"/>
  <c r="L2563" i="1"/>
  <c r="J2563" i="1"/>
  <c r="H2563" i="1"/>
  <c r="M2563" i="1" s="1"/>
  <c r="O2562" i="1"/>
  <c r="M2562" i="1"/>
  <c r="L2562" i="1"/>
  <c r="J2562" i="1"/>
  <c r="H2562" i="1"/>
  <c r="O2560" i="1"/>
  <c r="M2560" i="1"/>
  <c r="L2560" i="1"/>
  <c r="J2560" i="1"/>
  <c r="H2560" i="1"/>
  <c r="O2558" i="1"/>
  <c r="L2558" i="1"/>
  <c r="M2558" i="1" s="1"/>
  <c r="J2558" i="1"/>
  <c r="H2558" i="1"/>
  <c r="O2557" i="1"/>
  <c r="L2557" i="1"/>
  <c r="J2557" i="1"/>
  <c r="H2557" i="1"/>
  <c r="M2557" i="1" s="1"/>
  <c r="O2556" i="1"/>
  <c r="L2556" i="1"/>
  <c r="J2556" i="1"/>
  <c r="H2556" i="1"/>
  <c r="O2555" i="1"/>
  <c r="L2555" i="1"/>
  <c r="M2555" i="1" s="1"/>
  <c r="J2555" i="1"/>
  <c r="H2555" i="1"/>
  <c r="O2554" i="1"/>
  <c r="L2554" i="1"/>
  <c r="J2554" i="1"/>
  <c r="H2554" i="1"/>
  <c r="O2553" i="1"/>
  <c r="L2553" i="1"/>
  <c r="J2553" i="1"/>
  <c r="H2553" i="1"/>
  <c r="M2553" i="1" s="1"/>
  <c r="O2551" i="1"/>
  <c r="L2551" i="1"/>
  <c r="J2551" i="1"/>
  <c r="H2551" i="1"/>
  <c r="O2549" i="1"/>
  <c r="L2549" i="1"/>
  <c r="M2549" i="1" s="1"/>
  <c r="J2549" i="1"/>
  <c r="H2549" i="1"/>
  <c r="O2548" i="1"/>
  <c r="L2548" i="1"/>
  <c r="J2548" i="1"/>
  <c r="H2548" i="1"/>
  <c r="M2548" i="1" s="1"/>
  <c r="O2547" i="1"/>
  <c r="L2547" i="1"/>
  <c r="J2547" i="1"/>
  <c r="H2547" i="1"/>
  <c r="M2547" i="1" s="1"/>
  <c r="O2546" i="1"/>
  <c r="L2546" i="1"/>
  <c r="M2546" i="1" s="1"/>
  <c r="J2546" i="1"/>
  <c r="H2546" i="1"/>
  <c r="O2545" i="1"/>
  <c r="M2545" i="1"/>
  <c r="L2545" i="1"/>
  <c r="J2545" i="1"/>
  <c r="H2545" i="1"/>
  <c r="O2544" i="1"/>
  <c r="M2544" i="1"/>
  <c r="L2544" i="1"/>
  <c r="J2544" i="1"/>
  <c r="H2544" i="1"/>
  <c r="O2543" i="1"/>
  <c r="L2543" i="1"/>
  <c r="J2543" i="1"/>
  <c r="H2543" i="1"/>
  <c r="M2543" i="1" s="1"/>
  <c r="O2542" i="1"/>
  <c r="L2542" i="1"/>
  <c r="J2542" i="1"/>
  <c r="H2542" i="1"/>
  <c r="M2542" i="1" s="1"/>
  <c r="O2539" i="1"/>
  <c r="L2539" i="1"/>
  <c r="M2539" i="1" s="1"/>
  <c r="J2539" i="1"/>
  <c r="H2539" i="1"/>
  <c r="O2538" i="1"/>
  <c r="L2538" i="1"/>
  <c r="M2538" i="1" s="1"/>
  <c r="J2538" i="1"/>
  <c r="H2538" i="1"/>
  <c r="O2537" i="1"/>
  <c r="L2537" i="1"/>
  <c r="M2537" i="1" s="1"/>
  <c r="J2537" i="1"/>
  <c r="H2537" i="1"/>
  <c r="O2536" i="1"/>
  <c r="L2536" i="1"/>
  <c r="J2536" i="1"/>
  <c r="H2536" i="1"/>
  <c r="M2536" i="1" s="1"/>
  <c r="O2535" i="1"/>
  <c r="L2535" i="1"/>
  <c r="J2535" i="1"/>
  <c r="H2535" i="1"/>
  <c r="M2535" i="1" s="1"/>
  <c r="O2534" i="1"/>
  <c r="L2534" i="1"/>
  <c r="J2534" i="1"/>
  <c r="H2534" i="1"/>
  <c r="M2534" i="1" s="1"/>
  <c r="O2532" i="1"/>
  <c r="M2532" i="1"/>
  <c r="L2532" i="1"/>
  <c r="J2532" i="1"/>
  <c r="H2532" i="1"/>
  <c r="O2531" i="1"/>
  <c r="L2531" i="1"/>
  <c r="M2531" i="1" s="1"/>
  <c r="J2531" i="1"/>
  <c r="H2531" i="1"/>
  <c r="O2530" i="1"/>
  <c r="L2530" i="1"/>
  <c r="M2530" i="1" s="1"/>
  <c r="J2530" i="1"/>
  <c r="H2530" i="1"/>
  <c r="O2529" i="1"/>
  <c r="L2529" i="1"/>
  <c r="J2529" i="1"/>
  <c r="H2529" i="1"/>
  <c r="M2529" i="1" s="1"/>
  <c r="O2528" i="1"/>
  <c r="L2528" i="1"/>
  <c r="J2528" i="1"/>
  <c r="H2528" i="1"/>
  <c r="M2528" i="1" s="1"/>
  <c r="O2526" i="1"/>
  <c r="L2526" i="1"/>
  <c r="J2526" i="1"/>
  <c r="H2526" i="1"/>
  <c r="O2525" i="1"/>
  <c r="L2525" i="1"/>
  <c r="M2525" i="1" s="1"/>
  <c r="J2525" i="1"/>
  <c r="H2525" i="1"/>
  <c r="O2523" i="1"/>
  <c r="M2523" i="1"/>
  <c r="L2523" i="1"/>
  <c r="J2523" i="1"/>
  <c r="H2523" i="1"/>
  <c r="O2522" i="1"/>
  <c r="L2522" i="1"/>
  <c r="J2522" i="1"/>
  <c r="H2522" i="1"/>
  <c r="M2522" i="1" s="1"/>
  <c r="O2519" i="1"/>
  <c r="L2519" i="1"/>
  <c r="J2519" i="1"/>
  <c r="H2519" i="1"/>
  <c r="M2519" i="1" s="1"/>
  <c r="O2516" i="1"/>
  <c r="M2516" i="1"/>
  <c r="L2516" i="1"/>
  <c r="J2516" i="1"/>
  <c r="H2516" i="1"/>
  <c r="O2513" i="1"/>
  <c r="M2513" i="1"/>
  <c r="L2513" i="1"/>
  <c r="J2513" i="1"/>
  <c r="H2513" i="1"/>
  <c r="O2512" i="1"/>
  <c r="L2512" i="1"/>
  <c r="J2512" i="1"/>
  <c r="H2512" i="1"/>
  <c r="M2512" i="1" s="1"/>
  <c r="O2511" i="1"/>
  <c r="L2511" i="1"/>
  <c r="M2511" i="1" s="1"/>
  <c r="J2511" i="1"/>
  <c r="H2511" i="1"/>
  <c r="O2510" i="1"/>
  <c r="L2510" i="1"/>
  <c r="M2510" i="1" s="1"/>
  <c r="J2510" i="1"/>
  <c r="H2510" i="1"/>
  <c r="O2509" i="1"/>
  <c r="M2509" i="1"/>
  <c r="L2509" i="1"/>
  <c r="J2509" i="1"/>
  <c r="H2509" i="1"/>
  <c r="O2508" i="1"/>
  <c r="L2508" i="1"/>
  <c r="J2508" i="1"/>
  <c r="H2508" i="1"/>
  <c r="M2508" i="1" s="1"/>
  <c r="O2507" i="1"/>
  <c r="L2507" i="1"/>
  <c r="J2507" i="1"/>
  <c r="H2507" i="1"/>
  <c r="O2506" i="1"/>
  <c r="M2506" i="1"/>
  <c r="L2506" i="1"/>
  <c r="J2506" i="1"/>
  <c r="H2506" i="1"/>
  <c r="O2505" i="1"/>
  <c r="L2505" i="1"/>
  <c r="J2505" i="1"/>
  <c r="H2505" i="1"/>
  <c r="M2505" i="1" s="1"/>
  <c r="O2504" i="1"/>
  <c r="L2504" i="1"/>
  <c r="M2504" i="1" s="1"/>
  <c r="J2504" i="1"/>
  <c r="H2504" i="1"/>
  <c r="O2503" i="1"/>
  <c r="L2503" i="1"/>
  <c r="J2503" i="1"/>
  <c r="H2503" i="1"/>
  <c r="M2503" i="1" s="1"/>
  <c r="O2502" i="1"/>
  <c r="L2502" i="1"/>
  <c r="J2502" i="1"/>
  <c r="H2502" i="1"/>
  <c r="O2500" i="1"/>
  <c r="L2500" i="1"/>
  <c r="J2500" i="1"/>
  <c r="H2500" i="1"/>
  <c r="M2500" i="1" s="1"/>
  <c r="O2499" i="1"/>
  <c r="L2499" i="1"/>
  <c r="J2499" i="1"/>
  <c r="H2499" i="1"/>
  <c r="M2499" i="1" s="1"/>
  <c r="O2498" i="1"/>
  <c r="M2498" i="1"/>
  <c r="L2498" i="1"/>
  <c r="J2498" i="1"/>
  <c r="H2498" i="1"/>
  <c r="O2497" i="1"/>
  <c r="M2497" i="1"/>
  <c r="L2497" i="1"/>
  <c r="J2497" i="1"/>
  <c r="H2497" i="1"/>
  <c r="O2496" i="1"/>
  <c r="L2496" i="1"/>
  <c r="M2496" i="1" s="1"/>
  <c r="J2496" i="1"/>
  <c r="H2496" i="1"/>
  <c r="O2495" i="1"/>
  <c r="L2495" i="1"/>
  <c r="J2495" i="1"/>
  <c r="H2495" i="1"/>
  <c r="M2495" i="1" s="1"/>
  <c r="O2494" i="1"/>
  <c r="L2494" i="1"/>
  <c r="J2494" i="1"/>
  <c r="H2494" i="1"/>
  <c r="O2493" i="1"/>
  <c r="L2493" i="1"/>
  <c r="M2493" i="1" s="1"/>
  <c r="J2493" i="1"/>
  <c r="H2493" i="1"/>
  <c r="O2491" i="1"/>
  <c r="L2491" i="1"/>
  <c r="O2489" i="1"/>
  <c r="L2489" i="1"/>
  <c r="J2489" i="1"/>
  <c r="H2489" i="1"/>
  <c r="O2488" i="1"/>
  <c r="L2488" i="1"/>
  <c r="M2488" i="1" s="1"/>
  <c r="J2488" i="1"/>
  <c r="H2488" i="1"/>
  <c r="O2487" i="1"/>
  <c r="L2487" i="1"/>
  <c r="J2487" i="1"/>
  <c r="H2487" i="1"/>
  <c r="M2487" i="1" s="1"/>
  <c r="O2486" i="1"/>
  <c r="L2486" i="1"/>
  <c r="J2486" i="1"/>
  <c r="H2486" i="1"/>
  <c r="M2486" i="1" s="1"/>
  <c r="O2485" i="1"/>
  <c r="L2485" i="1"/>
  <c r="J2485" i="1"/>
  <c r="H2485" i="1"/>
  <c r="O2484" i="1"/>
  <c r="L2484" i="1"/>
  <c r="M2484" i="1" s="1"/>
  <c r="J2484" i="1"/>
  <c r="H2484" i="1"/>
  <c r="O2483" i="1"/>
  <c r="L2483" i="1"/>
  <c r="J2483" i="1"/>
  <c r="H2483" i="1"/>
  <c r="M2483" i="1" s="1"/>
  <c r="O2482" i="1"/>
  <c r="L2482" i="1"/>
  <c r="J2482" i="1"/>
  <c r="H2482" i="1"/>
  <c r="M2482" i="1" s="1"/>
  <c r="O2479" i="1"/>
  <c r="L2479" i="1"/>
  <c r="M2479" i="1" s="1"/>
  <c r="J2479" i="1"/>
  <c r="H2479" i="1"/>
  <c r="O2478" i="1"/>
  <c r="L2478" i="1"/>
  <c r="M2478" i="1" s="1"/>
  <c r="J2478" i="1"/>
  <c r="H2478" i="1"/>
  <c r="O2477" i="1"/>
  <c r="L2477" i="1"/>
  <c r="M2477" i="1" s="1"/>
  <c r="J2477" i="1"/>
  <c r="H2477" i="1"/>
  <c r="O2476" i="1"/>
  <c r="L2476" i="1"/>
  <c r="J2476" i="1"/>
  <c r="H2476" i="1"/>
  <c r="M2476" i="1" s="1"/>
  <c r="O2475" i="1"/>
  <c r="L2475" i="1"/>
  <c r="J2475" i="1"/>
  <c r="H2475" i="1"/>
  <c r="M2475" i="1" s="1"/>
  <c r="O2474" i="1"/>
  <c r="M2474" i="1"/>
  <c r="L2474" i="1"/>
  <c r="J2474" i="1"/>
  <c r="H2474" i="1"/>
  <c r="O2472" i="1"/>
  <c r="L2472" i="1"/>
  <c r="M2472" i="1" s="1"/>
  <c r="J2472" i="1"/>
  <c r="H2472" i="1"/>
  <c r="O2471" i="1"/>
  <c r="L2471" i="1"/>
  <c r="M2471" i="1" s="1"/>
  <c r="J2471" i="1"/>
  <c r="H2471" i="1"/>
  <c r="O2470" i="1"/>
  <c r="L2470" i="1"/>
  <c r="J2470" i="1"/>
  <c r="H2470" i="1"/>
  <c r="M2470" i="1" s="1"/>
  <c r="O2469" i="1"/>
  <c r="M2469" i="1"/>
  <c r="L2469" i="1"/>
  <c r="J2469" i="1"/>
  <c r="H2469" i="1"/>
  <c r="O2468" i="1"/>
  <c r="M2468" i="1"/>
  <c r="L2468" i="1"/>
  <c r="J2468" i="1"/>
  <c r="H2468" i="1"/>
  <c r="O2466" i="1"/>
  <c r="M2466" i="1"/>
  <c r="L2466" i="1"/>
  <c r="J2466" i="1"/>
  <c r="H2466" i="1"/>
  <c r="O2465" i="1"/>
  <c r="L2465" i="1"/>
  <c r="M2465" i="1" s="1"/>
  <c r="J2465" i="1"/>
  <c r="H2465" i="1"/>
  <c r="O2463" i="1"/>
  <c r="M2463" i="1"/>
  <c r="L2463" i="1"/>
  <c r="J2463" i="1"/>
  <c r="H2463" i="1"/>
  <c r="O2462" i="1"/>
  <c r="L2462" i="1"/>
  <c r="J2462" i="1"/>
  <c r="H2462" i="1"/>
  <c r="M2462" i="1" s="1"/>
  <c r="O2459" i="1"/>
  <c r="L2459" i="1"/>
  <c r="J2459" i="1"/>
  <c r="H2459" i="1"/>
  <c r="M2459" i="1" s="1"/>
  <c r="O2456" i="1"/>
  <c r="L2456" i="1"/>
  <c r="J2456" i="1"/>
  <c r="H2456" i="1"/>
  <c r="M2456" i="1" s="1"/>
  <c r="O2453" i="1"/>
  <c r="L2453" i="1"/>
  <c r="M2453" i="1" s="1"/>
  <c r="J2453" i="1"/>
  <c r="H2453" i="1"/>
  <c r="O2452" i="1"/>
  <c r="L2452" i="1"/>
  <c r="J2452" i="1"/>
  <c r="H2452" i="1"/>
  <c r="O2451" i="1"/>
  <c r="L2451" i="1"/>
  <c r="J2451" i="1"/>
  <c r="H2451" i="1"/>
  <c r="M2451" i="1" s="1"/>
  <c r="O2450" i="1"/>
  <c r="L2450" i="1"/>
  <c r="J2450" i="1"/>
  <c r="H2450" i="1"/>
  <c r="O2449" i="1"/>
  <c r="L2449" i="1"/>
  <c r="M2449" i="1" s="1"/>
  <c r="J2449" i="1"/>
  <c r="H2449" i="1"/>
  <c r="O2448" i="1"/>
  <c r="L2448" i="1"/>
  <c r="J2448" i="1"/>
  <c r="H2448" i="1"/>
  <c r="M2448" i="1" s="1"/>
  <c r="O2447" i="1"/>
  <c r="L2447" i="1"/>
  <c r="J2447" i="1"/>
  <c r="H2447" i="1"/>
  <c r="M2447" i="1" s="1"/>
  <c r="O2446" i="1"/>
  <c r="M2446" i="1"/>
  <c r="L2446" i="1"/>
  <c r="J2446" i="1"/>
  <c r="H2446" i="1"/>
  <c r="O2445" i="1"/>
  <c r="L2445" i="1"/>
  <c r="O2444" i="1"/>
  <c r="L2444" i="1"/>
  <c r="J2444" i="1"/>
  <c r="H2444" i="1"/>
  <c r="M2444" i="1" s="1"/>
  <c r="O2443" i="1"/>
  <c r="M2443" i="1"/>
  <c r="L2443" i="1"/>
  <c r="J2443" i="1"/>
  <c r="H2443" i="1"/>
  <c r="O2442" i="1"/>
  <c r="M2442" i="1"/>
  <c r="L2442" i="1"/>
  <c r="J2442" i="1"/>
  <c r="H2442" i="1"/>
  <c r="O2440" i="1"/>
  <c r="L2440" i="1"/>
  <c r="M2440" i="1" s="1"/>
  <c r="J2440" i="1"/>
  <c r="H2440" i="1"/>
  <c r="O2439" i="1"/>
  <c r="L2439" i="1"/>
  <c r="J2439" i="1"/>
  <c r="H2439" i="1"/>
  <c r="M2439" i="1" s="1"/>
  <c r="O2438" i="1"/>
  <c r="L2438" i="1"/>
  <c r="J2438" i="1"/>
  <c r="H2438" i="1"/>
  <c r="M2438" i="1" s="1"/>
  <c r="O2437" i="1"/>
  <c r="M2437" i="1"/>
  <c r="L2437" i="1"/>
  <c r="J2437" i="1"/>
  <c r="H2437" i="1"/>
  <c r="O2436" i="1"/>
  <c r="L2436" i="1"/>
  <c r="M2436" i="1" s="1"/>
  <c r="J2436" i="1"/>
  <c r="H2436" i="1"/>
  <c r="O2435" i="1"/>
  <c r="L2435" i="1"/>
  <c r="J2435" i="1"/>
  <c r="H2435" i="1"/>
  <c r="O2434" i="1"/>
  <c r="L2434" i="1"/>
  <c r="J2434" i="1"/>
  <c r="H2434" i="1"/>
  <c r="M2434" i="1" s="1"/>
  <c r="O2433" i="1"/>
  <c r="L2433" i="1"/>
  <c r="O2431" i="1"/>
  <c r="M2431" i="1"/>
  <c r="L2431" i="1"/>
  <c r="J2431" i="1"/>
  <c r="H2431" i="1"/>
  <c r="O2429" i="1"/>
  <c r="L2429" i="1"/>
  <c r="O2428" i="1"/>
  <c r="L2428" i="1"/>
  <c r="M2428" i="1" s="1"/>
  <c r="J2428" i="1"/>
  <c r="H2428" i="1"/>
  <c r="O2427" i="1"/>
  <c r="M2427" i="1"/>
  <c r="L2427" i="1"/>
  <c r="J2427" i="1"/>
  <c r="H2427" i="1"/>
  <c r="O2426" i="1"/>
  <c r="L2426" i="1"/>
  <c r="J2426" i="1"/>
  <c r="H2426" i="1"/>
  <c r="M2426" i="1" s="1"/>
  <c r="O2425" i="1"/>
  <c r="L2425" i="1"/>
  <c r="J2425" i="1"/>
  <c r="H2425" i="1"/>
  <c r="M2425" i="1" s="1"/>
  <c r="O2424" i="1"/>
  <c r="M2424" i="1"/>
  <c r="L2424" i="1"/>
  <c r="J2424" i="1"/>
  <c r="H2424" i="1"/>
  <c r="O2423" i="1"/>
  <c r="M2423" i="1"/>
  <c r="L2423" i="1"/>
  <c r="J2423" i="1"/>
  <c r="H2423" i="1"/>
  <c r="O2422" i="1"/>
  <c r="M2422" i="1"/>
  <c r="L2422" i="1"/>
  <c r="J2422" i="1"/>
  <c r="H2422" i="1"/>
  <c r="O2419" i="1"/>
  <c r="L2419" i="1"/>
  <c r="M2419" i="1" s="1"/>
  <c r="J2419" i="1"/>
  <c r="H2419" i="1"/>
  <c r="O2418" i="1"/>
  <c r="L2418" i="1"/>
  <c r="J2418" i="1"/>
  <c r="H2418" i="1"/>
  <c r="M2418" i="1" s="1"/>
  <c r="O2417" i="1"/>
  <c r="L2417" i="1"/>
  <c r="J2417" i="1"/>
  <c r="H2417" i="1"/>
  <c r="M2417" i="1" s="1"/>
  <c r="O2416" i="1"/>
  <c r="L2416" i="1"/>
  <c r="J2416" i="1"/>
  <c r="H2416" i="1"/>
  <c r="O2415" i="1"/>
  <c r="L2415" i="1"/>
  <c r="M2415" i="1" s="1"/>
  <c r="J2415" i="1"/>
  <c r="H2415" i="1"/>
  <c r="O2414" i="1"/>
  <c r="L2414" i="1"/>
  <c r="J2414" i="1"/>
  <c r="H2414" i="1"/>
  <c r="M2414" i="1" s="1"/>
  <c r="O2412" i="1"/>
  <c r="L2412" i="1"/>
  <c r="J2412" i="1"/>
  <c r="H2412" i="1"/>
  <c r="M2412" i="1" s="1"/>
  <c r="O2411" i="1"/>
  <c r="L2411" i="1"/>
  <c r="J2411" i="1"/>
  <c r="H2411" i="1"/>
  <c r="O2410" i="1"/>
  <c r="L2410" i="1"/>
  <c r="J2410" i="1"/>
  <c r="H2410" i="1"/>
  <c r="O2409" i="1"/>
  <c r="L2409" i="1"/>
  <c r="O2408" i="1"/>
  <c r="L2408" i="1"/>
  <c r="J2408" i="1"/>
  <c r="H2408" i="1"/>
  <c r="O2406" i="1"/>
  <c r="L2406" i="1"/>
  <c r="J2406" i="1"/>
  <c r="H2406" i="1"/>
  <c r="M2406" i="1" s="1"/>
  <c r="O2405" i="1"/>
  <c r="L2405" i="1"/>
  <c r="J2405" i="1"/>
  <c r="H2405" i="1"/>
  <c r="M2405" i="1" s="1"/>
  <c r="O2403" i="1"/>
  <c r="M2403" i="1"/>
  <c r="L2403" i="1"/>
  <c r="J2403" i="1"/>
  <c r="H2403" i="1"/>
  <c r="O2402" i="1"/>
  <c r="L2402" i="1"/>
  <c r="M2402" i="1" s="1"/>
  <c r="J2402" i="1"/>
  <c r="H2402" i="1"/>
  <c r="O2399" i="1"/>
  <c r="L2399" i="1"/>
  <c r="M2399" i="1" s="1"/>
  <c r="J2399" i="1"/>
  <c r="H2399" i="1"/>
  <c r="O2396" i="1"/>
  <c r="L2396" i="1"/>
  <c r="J2396" i="1"/>
  <c r="H2396" i="1"/>
  <c r="M2396" i="1" s="1"/>
  <c r="O2393" i="1"/>
  <c r="L2393" i="1"/>
  <c r="J2393" i="1"/>
  <c r="H2393" i="1"/>
  <c r="M2393" i="1" s="1"/>
  <c r="O2392" i="1"/>
  <c r="L2392" i="1"/>
  <c r="J2392" i="1"/>
  <c r="H2392" i="1"/>
  <c r="O2391" i="1"/>
  <c r="M2391" i="1"/>
  <c r="L2391" i="1"/>
  <c r="J2391" i="1"/>
  <c r="H2391" i="1"/>
  <c r="O2390" i="1"/>
  <c r="M2390" i="1"/>
  <c r="L2390" i="1"/>
  <c r="J2390" i="1"/>
  <c r="H2390" i="1"/>
  <c r="O2389" i="1"/>
  <c r="L2389" i="1"/>
  <c r="J2389" i="1"/>
  <c r="H2389" i="1"/>
  <c r="M2389" i="1" s="1"/>
  <c r="O2388" i="1"/>
  <c r="L2388" i="1"/>
  <c r="J2388" i="1"/>
  <c r="H2388" i="1"/>
  <c r="M2388" i="1" s="1"/>
  <c r="O2387" i="1"/>
  <c r="L2387" i="1"/>
  <c r="M2387" i="1" s="1"/>
  <c r="J2387" i="1"/>
  <c r="H2387" i="1"/>
  <c r="O2386" i="1"/>
  <c r="M2386" i="1"/>
  <c r="L2386" i="1"/>
  <c r="J2386" i="1"/>
  <c r="H2386" i="1"/>
  <c r="O2385" i="1"/>
  <c r="M2385" i="1"/>
  <c r="L2385" i="1"/>
  <c r="J2385" i="1"/>
  <c r="H2385" i="1"/>
  <c r="O2384" i="1"/>
  <c r="L2384" i="1"/>
  <c r="M2384" i="1" s="1"/>
  <c r="J2384" i="1"/>
  <c r="H2384" i="1"/>
  <c r="O2383" i="1"/>
  <c r="L2383" i="1"/>
  <c r="M2383" i="1" s="1"/>
  <c r="J2383" i="1"/>
  <c r="H2383" i="1"/>
  <c r="O2382" i="1"/>
  <c r="M2382" i="1"/>
  <c r="L2382" i="1"/>
  <c r="J2382" i="1"/>
  <c r="H2382" i="1"/>
  <c r="O2380" i="1"/>
  <c r="L2380" i="1"/>
  <c r="J2380" i="1"/>
  <c r="H2380" i="1"/>
  <c r="M2380" i="1" s="1"/>
  <c r="O2379" i="1"/>
  <c r="L2379" i="1"/>
  <c r="J2379" i="1"/>
  <c r="H2379" i="1"/>
  <c r="M2379" i="1" s="1"/>
  <c r="O2378" i="1"/>
  <c r="M2378" i="1"/>
  <c r="L2378" i="1"/>
  <c r="J2378" i="1"/>
  <c r="H2378" i="1"/>
  <c r="O2377" i="1"/>
  <c r="M2377" i="1"/>
  <c r="L2377" i="1"/>
  <c r="J2377" i="1"/>
  <c r="H2377" i="1"/>
  <c r="O2376" i="1"/>
  <c r="L2376" i="1"/>
  <c r="M2376" i="1" s="1"/>
  <c r="J2376" i="1"/>
  <c r="H2376" i="1"/>
  <c r="O2375" i="1"/>
  <c r="L2375" i="1"/>
  <c r="J2375" i="1"/>
  <c r="H2375" i="1"/>
  <c r="M2375" i="1" s="1"/>
  <c r="O2374" i="1"/>
  <c r="L2374" i="1"/>
  <c r="O2373" i="1"/>
  <c r="L2373" i="1"/>
  <c r="M2373" i="1" s="1"/>
  <c r="J2373" i="1"/>
  <c r="H2373" i="1"/>
  <c r="O2371" i="1"/>
  <c r="L2371" i="1"/>
  <c r="J2371" i="1"/>
  <c r="H2371" i="1"/>
  <c r="M2371" i="1" s="1"/>
  <c r="O2369" i="1"/>
  <c r="L2369" i="1"/>
  <c r="J2369" i="1"/>
  <c r="H2369" i="1"/>
  <c r="M2369" i="1" s="1"/>
  <c r="O2368" i="1"/>
  <c r="M2368" i="1"/>
  <c r="L2368" i="1"/>
  <c r="J2368" i="1"/>
  <c r="H2368" i="1"/>
  <c r="O2367" i="1"/>
  <c r="M2367" i="1"/>
  <c r="L2367" i="1"/>
  <c r="J2367" i="1"/>
  <c r="H2367" i="1"/>
  <c r="O2366" i="1"/>
  <c r="L2366" i="1"/>
  <c r="M2366" i="1" s="1"/>
  <c r="J2366" i="1"/>
  <c r="H2366" i="1"/>
  <c r="O2365" i="1"/>
  <c r="L2365" i="1"/>
  <c r="M2365" i="1" s="1"/>
  <c r="J2365" i="1"/>
  <c r="H2365" i="1"/>
  <c r="O2364" i="1"/>
  <c r="L2364" i="1"/>
  <c r="J2364" i="1"/>
  <c r="H2364" i="1"/>
  <c r="O2363" i="1"/>
  <c r="L2363" i="1"/>
  <c r="J2363" i="1"/>
  <c r="H2363" i="1"/>
  <c r="M2363" i="1" s="1"/>
  <c r="O2362" i="1"/>
  <c r="L2362" i="1"/>
  <c r="J2362" i="1"/>
  <c r="H2362" i="1"/>
  <c r="O2359" i="1"/>
  <c r="L2359" i="1"/>
  <c r="M2359" i="1" s="1"/>
  <c r="J2359" i="1"/>
  <c r="H2359" i="1"/>
  <c r="O2358" i="1"/>
  <c r="L2358" i="1"/>
  <c r="J2358" i="1"/>
  <c r="H2358" i="1"/>
  <c r="M2358" i="1" s="1"/>
  <c r="O2357" i="1"/>
  <c r="L2357" i="1"/>
  <c r="J2357" i="1"/>
  <c r="H2357" i="1"/>
  <c r="M2357" i="1" s="1"/>
  <c r="O2356" i="1"/>
  <c r="L2356" i="1"/>
  <c r="J2356" i="1"/>
  <c r="H2356" i="1"/>
  <c r="O2355" i="1"/>
  <c r="L2355" i="1"/>
  <c r="M2355" i="1" s="1"/>
  <c r="J2355" i="1"/>
  <c r="H2355" i="1"/>
  <c r="O2354" i="1"/>
  <c r="L2354" i="1"/>
  <c r="J2354" i="1"/>
  <c r="H2354" i="1"/>
  <c r="M2354" i="1" s="1"/>
  <c r="O2352" i="1"/>
  <c r="L2352" i="1"/>
  <c r="J2352" i="1"/>
  <c r="H2352" i="1"/>
  <c r="M2352" i="1" s="1"/>
  <c r="O2351" i="1"/>
  <c r="L2351" i="1"/>
  <c r="M2351" i="1" s="1"/>
  <c r="J2351" i="1"/>
  <c r="H2351" i="1"/>
  <c r="O2350" i="1"/>
  <c r="M2350" i="1"/>
  <c r="L2350" i="1"/>
  <c r="J2350" i="1"/>
  <c r="H2350" i="1"/>
  <c r="O2349" i="1"/>
  <c r="L2349" i="1"/>
  <c r="M2349" i="1" s="1"/>
  <c r="J2349" i="1"/>
  <c r="H2349" i="1"/>
  <c r="O2348" i="1"/>
  <c r="L2348" i="1"/>
  <c r="J2348" i="1"/>
  <c r="H2348" i="1"/>
  <c r="M2348" i="1" s="1"/>
  <c r="O2346" i="1"/>
  <c r="L2346" i="1"/>
  <c r="O2345" i="1"/>
  <c r="L2345" i="1"/>
  <c r="M2345" i="1" s="1"/>
  <c r="J2345" i="1"/>
  <c r="H2345" i="1"/>
  <c r="O2343" i="1"/>
  <c r="L2343" i="1"/>
  <c r="J2343" i="1"/>
  <c r="H2343" i="1"/>
  <c r="M2343" i="1" s="1"/>
  <c r="O2342" i="1"/>
  <c r="L2342" i="1"/>
  <c r="J2342" i="1"/>
  <c r="H2342" i="1"/>
  <c r="O2340" i="1"/>
  <c r="L2340" i="1"/>
  <c r="M2340" i="1" s="1"/>
  <c r="J2340" i="1"/>
  <c r="H2340" i="1"/>
  <c r="O2339" i="1"/>
  <c r="L2339" i="1"/>
  <c r="J2339" i="1"/>
  <c r="H2339" i="1"/>
  <c r="M2339" i="1" s="1"/>
  <c r="O2336" i="1"/>
  <c r="L2336" i="1"/>
  <c r="J2336" i="1"/>
  <c r="H2336" i="1"/>
  <c r="M2336" i="1" s="1"/>
  <c r="O2333" i="1"/>
  <c r="L2333" i="1"/>
  <c r="J2333" i="1"/>
  <c r="H2333" i="1"/>
  <c r="M2333" i="1" s="1"/>
  <c r="O2332" i="1"/>
  <c r="L2332" i="1"/>
  <c r="M2332" i="1" s="1"/>
  <c r="J2332" i="1"/>
  <c r="H2332" i="1"/>
  <c r="O2331" i="1"/>
  <c r="M2331" i="1"/>
  <c r="L2331" i="1"/>
  <c r="J2331" i="1"/>
  <c r="H2331" i="1"/>
  <c r="O2330" i="1"/>
  <c r="L2330" i="1"/>
  <c r="J2330" i="1"/>
  <c r="H2330" i="1"/>
  <c r="M2330" i="1" s="1"/>
  <c r="O2329" i="1"/>
  <c r="L2329" i="1"/>
  <c r="M2329" i="1" s="1"/>
  <c r="J2329" i="1"/>
  <c r="H2329" i="1"/>
  <c r="O2327" i="1"/>
  <c r="L2327" i="1"/>
  <c r="M2327" i="1" s="1"/>
  <c r="J2327" i="1"/>
  <c r="H2327" i="1"/>
  <c r="O2326" i="1"/>
  <c r="L2326" i="1"/>
  <c r="J2326" i="1"/>
  <c r="H2326" i="1"/>
  <c r="M2326" i="1" s="1"/>
  <c r="O2325" i="1"/>
  <c r="L2325" i="1"/>
  <c r="J2325" i="1"/>
  <c r="H2325" i="1"/>
  <c r="M2325" i="1" s="1"/>
  <c r="O2324" i="1"/>
  <c r="L2324" i="1"/>
  <c r="J2324" i="1"/>
  <c r="H2324" i="1"/>
  <c r="O2323" i="1"/>
  <c r="L2323" i="1"/>
  <c r="M2323" i="1" s="1"/>
  <c r="J2323" i="1"/>
  <c r="H2323" i="1"/>
  <c r="O2322" i="1"/>
  <c r="L2322" i="1"/>
  <c r="J2322" i="1"/>
  <c r="H2322" i="1"/>
  <c r="M2322" i="1" s="1"/>
  <c r="O2320" i="1"/>
  <c r="M2320" i="1"/>
  <c r="L2320" i="1"/>
  <c r="J2320" i="1"/>
  <c r="H2320" i="1"/>
  <c r="O2319" i="1"/>
  <c r="L2319" i="1"/>
  <c r="J2319" i="1"/>
  <c r="H2319" i="1"/>
  <c r="O2318" i="1"/>
  <c r="L2318" i="1"/>
  <c r="M2318" i="1" s="1"/>
  <c r="J2318" i="1"/>
  <c r="H2318" i="1"/>
  <c r="O2317" i="1"/>
  <c r="L2317" i="1"/>
  <c r="J2317" i="1"/>
  <c r="H2317" i="1"/>
  <c r="M2317" i="1" s="1"/>
  <c r="O2316" i="1"/>
  <c r="L2316" i="1"/>
  <c r="J2316" i="1"/>
  <c r="H2316" i="1"/>
  <c r="M2316" i="1" s="1"/>
  <c r="O2315" i="1"/>
  <c r="M2315" i="1"/>
  <c r="L2315" i="1"/>
  <c r="J2315" i="1"/>
  <c r="H2315" i="1"/>
  <c r="O2314" i="1"/>
  <c r="L2314" i="1"/>
  <c r="M2314" i="1" s="1"/>
  <c r="J2314" i="1"/>
  <c r="H2314" i="1"/>
  <c r="O2313" i="1"/>
  <c r="L2313" i="1"/>
  <c r="J2313" i="1"/>
  <c r="H2313" i="1"/>
  <c r="M2313" i="1" s="1"/>
  <c r="O2311" i="1"/>
  <c r="L2311" i="1"/>
  <c r="J2311" i="1"/>
  <c r="H2311" i="1"/>
  <c r="M2311" i="1" s="1"/>
  <c r="O2309" i="1"/>
  <c r="L2309" i="1"/>
  <c r="J2309" i="1"/>
  <c r="H2309" i="1"/>
  <c r="M2309" i="1" s="1"/>
  <c r="O2308" i="1"/>
  <c r="L2308" i="1"/>
  <c r="M2308" i="1" s="1"/>
  <c r="J2308" i="1"/>
  <c r="H2308" i="1"/>
  <c r="O2307" i="1"/>
  <c r="L2307" i="1"/>
  <c r="M2307" i="1" s="1"/>
  <c r="J2307" i="1"/>
  <c r="H2307" i="1"/>
  <c r="O2306" i="1"/>
  <c r="M2306" i="1"/>
  <c r="L2306" i="1"/>
  <c r="J2306" i="1"/>
  <c r="H2306" i="1"/>
  <c r="O2305" i="1"/>
  <c r="L2305" i="1"/>
  <c r="J2305" i="1"/>
  <c r="H2305" i="1"/>
  <c r="M2305" i="1" s="1"/>
  <c r="O2304" i="1"/>
  <c r="L2304" i="1"/>
  <c r="J2304" i="1"/>
  <c r="H2304" i="1"/>
  <c r="M2304" i="1" s="1"/>
  <c r="O2303" i="1"/>
  <c r="M2303" i="1"/>
  <c r="L2303" i="1"/>
  <c r="J2303" i="1"/>
  <c r="H2303" i="1"/>
  <c r="O2302" i="1"/>
  <c r="M2302" i="1"/>
  <c r="L2302" i="1"/>
  <c r="J2302" i="1"/>
  <c r="H2302" i="1"/>
  <c r="O2299" i="1"/>
  <c r="M2299" i="1"/>
  <c r="L2299" i="1"/>
  <c r="J2299" i="1"/>
  <c r="H2299" i="1"/>
  <c r="O2298" i="1"/>
  <c r="L2298" i="1"/>
  <c r="M2298" i="1" s="1"/>
  <c r="J2298" i="1"/>
  <c r="H2298" i="1"/>
  <c r="O2297" i="1"/>
  <c r="L2297" i="1"/>
  <c r="J2297" i="1"/>
  <c r="H2297" i="1"/>
  <c r="M2297" i="1" s="1"/>
  <c r="O2296" i="1"/>
  <c r="L2296" i="1"/>
  <c r="J2296" i="1"/>
  <c r="H2296" i="1"/>
  <c r="M2296" i="1" s="1"/>
  <c r="O2295" i="1"/>
  <c r="L2295" i="1"/>
  <c r="J2295" i="1"/>
  <c r="H2295" i="1"/>
  <c r="O2294" i="1"/>
  <c r="L2294" i="1"/>
  <c r="M2294" i="1" s="1"/>
  <c r="J2294" i="1"/>
  <c r="H2294" i="1"/>
  <c r="O2292" i="1"/>
  <c r="L2292" i="1"/>
  <c r="J2292" i="1"/>
  <c r="H2292" i="1"/>
  <c r="M2292" i="1" s="1"/>
  <c r="O2291" i="1"/>
  <c r="L2291" i="1"/>
  <c r="J2291" i="1"/>
  <c r="H2291" i="1"/>
  <c r="M2291" i="1" s="1"/>
  <c r="O2290" i="1"/>
  <c r="L2290" i="1"/>
  <c r="J2290" i="1"/>
  <c r="H2290" i="1"/>
  <c r="O2289" i="1"/>
  <c r="L2289" i="1"/>
  <c r="J2289" i="1"/>
  <c r="H2289" i="1"/>
  <c r="O2288" i="1"/>
  <c r="L2288" i="1"/>
  <c r="J2288" i="1"/>
  <c r="H2288" i="1"/>
  <c r="M2288" i="1" s="1"/>
  <c r="O2286" i="1"/>
  <c r="L2286" i="1"/>
  <c r="J2286" i="1"/>
  <c r="H2286" i="1"/>
  <c r="M2286" i="1" s="1"/>
  <c r="O2285" i="1"/>
  <c r="M2285" i="1"/>
  <c r="L2285" i="1"/>
  <c r="J2285" i="1"/>
  <c r="H2285" i="1"/>
  <c r="O2283" i="1"/>
  <c r="L2283" i="1"/>
  <c r="M2283" i="1" s="1"/>
  <c r="J2283" i="1"/>
  <c r="H2283" i="1"/>
  <c r="O2282" i="1"/>
  <c r="L2282" i="1"/>
  <c r="M2282" i="1" s="1"/>
  <c r="J2282" i="1"/>
  <c r="H2282" i="1"/>
  <c r="O2280" i="1"/>
  <c r="L2280" i="1"/>
  <c r="J2280" i="1"/>
  <c r="H2280" i="1"/>
  <c r="M2280" i="1" s="1"/>
  <c r="O2279" i="1"/>
  <c r="L2279" i="1"/>
  <c r="J2279" i="1"/>
  <c r="H2279" i="1"/>
  <c r="O2276" i="1"/>
  <c r="M2276" i="1"/>
  <c r="L2276" i="1"/>
  <c r="J2276" i="1"/>
  <c r="H2276" i="1"/>
  <c r="O2273" i="1"/>
  <c r="L2273" i="1"/>
  <c r="J2273" i="1"/>
  <c r="H2273" i="1"/>
  <c r="O2272" i="1"/>
  <c r="L2272" i="1"/>
  <c r="J2272" i="1"/>
  <c r="H2272" i="1"/>
  <c r="M2272" i="1" s="1"/>
  <c r="O2271" i="1"/>
  <c r="L2271" i="1"/>
  <c r="J2271" i="1"/>
  <c r="H2271" i="1"/>
  <c r="O2270" i="1"/>
  <c r="M2270" i="1"/>
  <c r="L2270" i="1"/>
  <c r="J2270" i="1"/>
  <c r="H2270" i="1"/>
  <c r="O2269" i="1"/>
  <c r="M2269" i="1"/>
  <c r="L2269" i="1"/>
  <c r="J2269" i="1"/>
  <c r="H2269" i="1"/>
  <c r="O2268" i="1"/>
  <c r="L2268" i="1"/>
  <c r="J2268" i="1"/>
  <c r="H2268" i="1"/>
  <c r="M2268" i="1" s="1"/>
  <c r="O2267" i="1"/>
  <c r="L2267" i="1"/>
  <c r="M2267" i="1" s="1"/>
  <c r="J2267" i="1"/>
  <c r="H2267" i="1"/>
  <c r="O2266" i="1"/>
  <c r="M2266" i="1"/>
  <c r="L2266" i="1"/>
  <c r="J2266" i="1"/>
  <c r="H2266" i="1"/>
  <c r="O2265" i="1"/>
  <c r="M2265" i="1"/>
  <c r="L2265" i="1"/>
  <c r="J2265" i="1"/>
  <c r="H2265" i="1"/>
  <c r="O2264" i="1"/>
  <c r="L2264" i="1"/>
  <c r="J2264" i="1"/>
  <c r="H2264" i="1"/>
  <c r="M2264" i="1" s="1"/>
  <c r="O2263" i="1"/>
  <c r="L2263" i="1"/>
  <c r="J2263" i="1"/>
  <c r="H2263" i="1"/>
  <c r="M2263" i="1" s="1"/>
  <c r="O2262" i="1"/>
  <c r="L2262" i="1"/>
  <c r="M2262" i="1" s="1"/>
  <c r="J2262" i="1"/>
  <c r="H2262" i="1"/>
  <c r="O2260" i="1"/>
  <c r="L2260" i="1"/>
  <c r="J2260" i="1"/>
  <c r="H2260" i="1"/>
  <c r="O2259" i="1"/>
  <c r="L2259" i="1"/>
  <c r="M2259" i="1" s="1"/>
  <c r="J2259" i="1"/>
  <c r="H2259" i="1"/>
  <c r="O2258" i="1"/>
  <c r="L2258" i="1"/>
  <c r="J2258" i="1"/>
  <c r="H2258" i="1"/>
  <c r="O2257" i="1"/>
  <c r="L2257" i="1"/>
  <c r="M2257" i="1" s="1"/>
  <c r="J2257" i="1"/>
  <c r="H2257" i="1"/>
  <c r="O2256" i="1"/>
  <c r="L2256" i="1"/>
  <c r="J2256" i="1"/>
  <c r="H2256" i="1"/>
  <c r="M2256" i="1" s="1"/>
  <c r="O2255" i="1"/>
  <c r="L2255" i="1"/>
  <c r="J2255" i="1"/>
  <c r="H2255" i="1"/>
  <c r="M2255" i="1" s="1"/>
  <c r="O2254" i="1"/>
  <c r="M2254" i="1"/>
  <c r="L2254" i="1"/>
  <c r="J2254" i="1"/>
  <c r="H2254" i="1"/>
  <c r="O2253" i="1"/>
  <c r="M2253" i="1"/>
  <c r="L2253" i="1"/>
  <c r="J2253" i="1"/>
  <c r="H2253" i="1"/>
  <c r="O2251" i="1"/>
  <c r="L2251" i="1"/>
  <c r="J2251" i="1"/>
  <c r="H2251" i="1"/>
  <c r="M2251" i="1" s="1"/>
  <c r="O2249" i="1"/>
  <c r="L2249" i="1"/>
  <c r="J2249" i="1"/>
  <c r="H2249" i="1"/>
  <c r="M2249" i="1" s="1"/>
  <c r="O2248" i="1"/>
  <c r="L2248" i="1"/>
  <c r="J2248" i="1"/>
  <c r="H2248" i="1"/>
  <c r="M2248" i="1" s="1"/>
  <c r="O2247" i="1"/>
  <c r="L2247" i="1"/>
  <c r="M2247" i="1" s="1"/>
  <c r="J2247" i="1"/>
  <c r="H2247" i="1"/>
  <c r="O2246" i="1"/>
  <c r="L2246" i="1"/>
  <c r="M2246" i="1" s="1"/>
  <c r="J2246" i="1"/>
  <c r="H2246" i="1"/>
  <c r="O2245" i="1"/>
  <c r="L2245" i="1"/>
  <c r="J2245" i="1"/>
  <c r="H2245" i="1"/>
  <c r="M2245" i="1" s="1"/>
  <c r="O2244" i="1"/>
  <c r="L2244" i="1"/>
  <c r="J2244" i="1"/>
  <c r="H2244" i="1"/>
  <c r="M2244" i="1" s="1"/>
  <c r="O2243" i="1"/>
  <c r="M2243" i="1"/>
  <c r="L2243" i="1"/>
  <c r="J2243" i="1"/>
  <c r="H2243" i="1"/>
  <c r="O2242" i="1"/>
  <c r="M2242" i="1"/>
  <c r="L2242" i="1"/>
  <c r="J2242" i="1"/>
  <c r="H2242" i="1"/>
  <c r="O2239" i="1"/>
  <c r="M2239" i="1"/>
  <c r="L2239" i="1"/>
  <c r="J2239" i="1"/>
  <c r="H2239" i="1"/>
  <c r="O2238" i="1"/>
  <c r="L2238" i="1"/>
  <c r="M2238" i="1" s="1"/>
  <c r="J2238" i="1"/>
  <c r="H2238" i="1"/>
  <c r="O2237" i="1"/>
  <c r="L2237" i="1"/>
  <c r="M2237" i="1" s="1"/>
  <c r="J2237" i="1"/>
  <c r="H2237" i="1"/>
  <c r="O2236" i="1"/>
  <c r="L2236" i="1"/>
  <c r="J2236" i="1"/>
  <c r="H2236" i="1"/>
  <c r="M2236" i="1" s="1"/>
  <c r="O2235" i="1"/>
  <c r="L2235" i="1"/>
  <c r="J2235" i="1"/>
  <c r="H2235" i="1"/>
  <c r="M2235" i="1" s="1"/>
  <c r="O2234" i="1"/>
  <c r="L2234" i="1"/>
  <c r="J2234" i="1"/>
  <c r="H2234" i="1"/>
  <c r="M2234" i="1" s="1"/>
  <c r="O2232" i="1"/>
  <c r="L2232" i="1"/>
  <c r="M2232" i="1" s="1"/>
  <c r="J2232" i="1"/>
  <c r="H2232" i="1"/>
  <c r="O2231" i="1"/>
  <c r="M2231" i="1"/>
  <c r="L2231" i="1"/>
  <c r="J2231" i="1"/>
  <c r="H2231" i="1"/>
  <c r="O2230" i="1"/>
  <c r="L2230" i="1"/>
  <c r="J2230" i="1"/>
  <c r="H2230" i="1"/>
  <c r="M2230" i="1" s="1"/>
  <c r="O2229" i="1"/>
  <c r="L2229" i="1"/>
  <c r="O2228" i="1"/>
  <c r="M2228" i="1"/>
  <c r="L2228" i="1"/>
  <c r="J2228" i="1"/>
  <c r="H2228" i="1"/>
  <c r="O2226" i="1"/>
  <c r="L2226" i="1"/>
  <c r="J2226" i="1"/>
  <c r="H2226" i="1"/>
  <c r="M2226" i="1" s="1"/>
  <c r="O2225" i="1"/>
  <c r="L2225" i="1"/>
  <c r="J2225" i="1"/>
  <c r="H2225" i="1"/>
  <c r="M2225" i="1" s="1"/>
  <c r="O2223" i="1"/>
  <c r="L2223" i="1"/>
  <c r="J2223" i="1"/>
  <c r="H2223" i="1"/>
  <c r="O2222" i="1"/>
  <c r="M2222" i="1"/>
  <c r="L2222" i="1"/>
  <c r="J2222" i="1"/>
  <c r="H2222" i="1"/>
  <c r="O2220" i="1"/>
  <c r="M2220" i="1"/>
  <c r="L2220" i="1"/>
  <c r="J2220" i="1"/>
  <c r="H2220" i="1"/>
  <c r="O2219" i="1"/>
  <c r="M2219" i="1"/>
  <c r="L2219" i="1"/>
  <c r="J2219" i="1"/>
  <c r="H2219" i="1"/>
  <c r="O2216" i="1"/>
  <c r="M2216" i="1"/>
  <c r="L2216" i="1"/>
  <c r="J2216" i="1"/>
  <c r="H2216" i="1"/>
  <c r="O2213" i="1"/>
  <c r="M2213" i="1"/>
  <c r="L2213" i="1"/>
  <c r="J2213" i="1"/>
  <c r="H2213" i="1"/>
  <c r="O2212" i="1"/>
  <c r="L2212" i="1"/>
  <c r="J2212" i="1"/>
  <c r="H2212" i="1"/>
  <c r="M2212" i="1" s="1"/>
  <c r="O2211" i="1"/>
  <c r="L2211" i="1"/>
  <c r="J2211" i="1"/>
  <c r="H2211" i="1"/>
  <c r="O2210" i="1"/>
  <c r="L2210" i="1"/>
  <c r="M2210" i="1" s="1"/>
  <c r="J2210" i="1"/>
  <c r="H2210" i="1"/>
  <c r="O2209" i="1"/>
  <c r="L2209" i="1"/>
  <c r="M2209" i="1" s="1"/>
  <c r="J2209" i="1"/>
  <c r="H2209" i="1"/>
  <c r="O2208" i="1"/>
  <c r="L2208" i="1"/>
  <c r="J2208" i="1"/>
  <c r="H2208" i="1"/>
  <c r="O2207" i="1"/>
  <c r="L2207" i="1"/>
  <c r="J2207" i="1"/>
  <c r="H2207" i="1"/>
  <c r="M2207" i="1" s="1"/>
  <c r="O2206" i="1"/>
  <c r="M2206" i="1"/>
  <c r="L2206" i="1"/>
  <c r="J2206" i="1"/>
  <c r="H2206" i="1"/>
  <c r="O2205" i="1"/>
  <c r="M2205" i="1"/>
  <c r="L2205" i="1"/>
  <c r="J2205" i="1"/>
  <c r="H2205" i="1"/>
  <c r="O2204" i="1"/>
  <c r="M2204" i="1"/>
  <c r="L2204" i="1"/>
  <c r="J2204" i="1"/>
  <c r="H2204" i="1"/>
  <c r="O2203" i="1"/>
  <c r="L2203" i="1"/>
  <c r="M2203" i="1" s="1"/>
  <c r="J2203" i="1"/>
  <c r="H2203" i="1"/>
  <c r="O2202" i="1"/>
  <c r="L2202" i="1"/>
  <c r="M2202" i="1" s="1"/>
  <c r="J2202" i="1"/>
  <c r="H2202" i="1"/>
  <c r="O2200" i="1"/>
  <c r="M2200" i="1"/>
  <c r="L2200" i="1"/>
  <c r="J2200" i="1"/>
  <c r="H2200" i="1"/>
  <c r="O2199" i="1"/>
  <c r="L2199" i="1"/>
  <c r="J2199" i="1"/>
  <c r="H2199" i="1"/>
  <c r="M2199" i="1" s="1"/>
  <c r="O2198" i="1"/>
  <c r="L2198" i="1"/>
  <c r="J2198" i="1"/>
  <c r="H2198" i="1"/>
  <c r="M2198" i="1" s="1"/>
  <c r="O2197" i="1"/>
  <c r="L2197" i="1"/>
  <c r="M2197" i="1" s="1"/>
  <c r="J2197" i="1"/>
  <c r="H2197" i="1"/>
  <c r="O2196" i="1"/>
  <c r="L2196" i="1"/>
  <c r="J2196" i="1"/>
  <c r="H2196" i="1"/>
  <c r="O2195" i="1"/>
  <c r="L2195" i="1"/>
  <c r="M2195" i="1" s="1"/>
  <c r="J2195" i="1"/>
  <c r="H2195" i="1"/>
  <c r="O2194" i="1"/>
  <c r="L2194" i="1"/>
  <c r="J2194" i="1"/>
  <c r="H2194" i="1"/>
  <c r="O2193" i="1"/>
  <c r="L2193" i="1"/>
  <c r="J2193" i="1"/>
  <c r="H2193" i="1"/>
  <c r="M2193" i="1" s="1"/>
  <c r="O2191" i="1"/>
  <c r="L2191" i="1"/>
  <c r="J2191" i="1"/>
  <c r="H2191" i="1"/>
  <c r="M2191" i="1" s="1"/>
  <c r="O2189" i="1"/>
  <c r="L2189" i="1"/>
  <c r="J2189" i="1"/>
  <c r="H2189" i="1"/>
  <c r="M2189" i="1" s="1"/>
  <c r="O2188" i="1"/>
  <c r="L2188" i="1"/>
  <c r="M2188" i="1" s="1"/>
  <c r="J2188" i="1"/>
  <c r="H2188" i="1"/>
  <c r="O2187" i="1"/>
  <c r="M2187" i="1"/>
  <c r="L2187" i="1"/>
  <c r="J2187" i="1"/>
  <c r="H2187" i="1"/>
  <c r="O2186" i="1"/>
  <c r="M2186" i="1"/>
  <c r="L2186" i="1"/>
  <c r="J2186" i="1"/>
  <c r="H2186" i="1"/>
  <c r="O2185" i="1"/>
  <c r="L2185" i="1"/>
  <c r="J2185" i="1"/>
  <c r="H2185" i="1"/>
  <c r="M2185" i="1" s="1"/>
  <c r="O2184" i="1"/>
  <c r="L2184" i="1"/>
  <c r="J2184" i="1"/>
  <c r="H2184" i="1"/>
  <c r="M2184" i="1" s="1"/>
  <c r="O2183" i="1"/>
  <c r="L2183" i="1"/>
  <c r="M2183" i="1" s="1"/>
  <c r="J2183" i="1"/>
  <c r="H2183" i="1"/>
  <c r="O2182" i="1"/>
  <c r="L2182" i="1"/>
  <c r="M2182" i="1" s="1"/>
  <c r="J2182" i="1"/>
  <c r="H2182" i="1"/>
  <c r="O2179" i="1"/>
  <c r="M2179" i="1"/>
  <c r="L2179" i="1"/>
  <c r="J2179" i="1"/>
  <c r="H2179" i="1"/>
  <c r="O2178" i="1"/>
  <c r="L2178" i="1"/>
  <c r="J2178" i="1"/>
  <c r="H2178" i="1"/>
  <c r="M2178" i="1" s="1"/>
  <c r="O2177" i="1"/>
  <c r="L2177" i="1"/>
  <c r="J2177" i="1"/>
  <c r="H2177" i="1"/>
  <c r="M2177" i="1" s="1"/>
  <c r="O2176" i="1"/>
  <c r="M2176" i="1"/>
  <c r="L2176" i="1"/>
  <c r="J2176" i="1"/>
  <c r="H2176" i="1"/>
  <c r="O2175" i="1"/>
  <c r="M2175" i="1"/>
  <c r="L2175" i="1"/>
  <c r="J2175" i="1"/>
  <c r="H2175" i="1"/>
  <c r="O2174" i="1"/>
  <c r="L2174" i="1"/>
  <c r="M2174" i="1" s="1"/>
  <c r="J2174" i="1"/>
  <c r="H2174" i="1"/>
  <c r="O2172" i="1"/>
  <c r="L2172" i="1"/>
  <c r="M2172" i="1" s="1"/>
  <c r="J2172" i="1"/>
  <c r="H2172" i="1"/>
  <c r="O2171" i="1"/>
  <c r="L2171" i="1"/>
  <c r="J2171" i="1"/>
  <c r="H2171" i="1"/>
  <c r="M2171" i="1" s="1"/>
  <c r="O2170" i="1"/>
  <c r="L2170" i="1"/>
  <c r="J2170" i="1"/>
  <c r="H2170" i="1"/>
  <c r="M2170" i="1" s="1"/>
  <c r="O2169" i="1"/>
  <c r="L2169" i="1"/>
  <c r="J2169" i="1"/>
  <c r="H2169" i="1"/>
  <c r="O2168" i="1"/>
  <c r="L2168" i="1"/>
  <c r="M2168" i="1" s="1"/>
  <c r="J2168" i="1"/>
  <c r="H2168" i="1"/>
  <c r="O2166" i="1"/>
  <c r="L2166" i="1"/>
  <c r="J2166" i="1"/>
  <c r="H2166" i="1"/>
  <c r="M2166" i="1" s="1"/>
  <c r="O2165" i="1"/>
  <c r="M2165" i="1"/>
  <c r="L2165" i="1"/>
  <c r="J2165" i="1"/>
  <c r="H2165" i="1"/>
  <c r="O2163" i="1"/>
  <c r="L2163" i="1"/>
  <c r="J2163" i="1"/>
  <c r="H2163" i="1"/>
  <c r="O2162" i="1"/>
  <c r="L2162" i="1"/>
  <c r="J2162" i="1"/>
  <c r="H2162" i="1"/>
  <c r="M2162" i="1" s="1"/>
  <c r="O2160" i="1"/>
  <c r="M2160" i="1"/>
  <c r="L2160" i="1"/>
  <c r="J2160" i="1"/>
  <c r="H2160" i="1"/>
  <c r="O2159" i="1"/>
  <c r="M2159" i="1"/>
  <c r="L2159" i="1"/>
  <c r="J2159" i="1"/>
  <c r="H2159" i="1"/>
  <c r="O2156" i="1"/>
  <c r="M2156" i="1"/>
  <c r="L2156" i="1"/>
  <c r="J2156" i="1"/>
  <c r="H2156" i="1"/>
  <c r="O2153" i="1"/>
  <c r="L2153" i="1"/>
  <c r="M2153" i="1" s="1"/>
  <c r="J2153" i="1"/>
  <c r="H2153" i="1"/>
  <c r="O2152" i="1"/>
  <c r="L2152" i="1"/>
  <c r="M2152" i="1" s="1"/>
  <c r="J2152" i="1"/>
  <c r="H2152" i="1"/>
  <c r="O2151" i="1"/>
  <c r="L2151" i="1"/>
  <c r="J2151" i="1"/>
  <c r="H2151" i="1"/>
  <c r="M2151" i="1" s="1"/>
  <c r="O2150" i="1"/>
  <c r="L2150" i="1"/>
  <c r="J2150" i="1"/>
  <c r="H2150" i="1"/>
  <c r="O2149" i="1"/>
  <c r="L2149" i="1"/>
  <c r="M2149" i="1" s="1"/>
  <c r="J2149" i="1"/>
  <c r="H2149" i="1"/>
  <c r="O2148" i="1"/>
  <c r="L2148" i="1"/>
  <c r="J2148" i="1"/>
  <c r="H2148" i="1"/>
  <c r="M2148" i="1" s="1"/>
  <c r="O2147" i="1"/>
  <c r="L2147" i="1"/>
  <c r="J2147" i="1"/>
  <c r="H2147" i="1"/>
  <c r="M2147" i="1" s="1"/>
  <c r="O2146" i="1"/>
  <c r="L2146" i="1"/>
  <c r="J2146" i="1"/>
  <c r="H2146" i="1"/>
  <c r="O2145" i="1"/>
  <c r="L2145" i="1"/>
  <c r="O2144" i="1"/>
  <c r="L2144" i="1"/>
  <c r="J2144" i="1"/>
  <c r="H2144" i="1"/>
  <c r="M2144" i="1" s="1"/>
  <c r="O2143" i="1"/>
  <c r="L2143" i="1"/>
  <c r="J2143" i="1"/>
  <c r="H2143" i="1"/>
  <c r="M2143" i="1" s="1"/>
  <c r="O2142" i="1"/>
  <c r="L2142" i="1"/>
  <c r="M2142" i="1" s="1"/>
  <c r="J2142" i="1"/>
  <c r="H2142" i="1"/>
  <c r="O2140" i="1"/>
  <c r="M2140" i="1"/>
  <c r="L2140" i="1"/>
  <c r="J2140" i="1"/>
  <c r="H2140" i="1"/>
  <c r="O2139" i="1"/>
  <c r="L2139" i="1"/>
  <c r="J2139" i="1"/>
  <c r="H2139" i="1"/>
  <c r="M2139" i="1" s="1"/>
  <c r="O2138" i="1"/>
  <c r="L2138" i="1"/>
  <c r="M2138" i="1" s="1"/>
  <c r="J2138" i="1"/>
  <c r="H2138" i="1"/>
  <c r="O2137" i="1"/>
  <c r="L2137" i="1"/>
  <c r="M2137" i="1" s="1"/>
  <c r="J2137" i="1"/>
  <c r="H2137" i="1"/>
  <c r="O2136" i="1"/>
  <c r="M2136" i="1"/>
  <c r="L2136" i="1"/>
  <c r="J2136" i="1"/>
  <c r="H2136" i="1"/>
  <c r="O2135" i="1"/>
  <c r="L2135" i="1"/>
  <c r="J2135" i="1"/>
  <c r="H2135" i="1"/>
  <c r="M2135" i="1" s="1"/>
  <c r="O2134" i="1"/>
  <c r="L2134" i="1"/>
  <c r="J2134" i="1"/>
  <c r="H2134" i="1"/>
  <c r="O2133" i="1"/>
  <c r="M2133" i="1"/>
  <c r="L2133" i="1"/>
  <c r="J2133" i="1"/>
  <c r="H2133" i="1"/>
  <c r="O2131" i="1"/>
  <c r="L2131" i="1"/>
  <c r="J2131" i="1"/>
  <c r="H2131" i="1"/>
  <c r="M2131" i="1" s="1"/>
  <c r="O2129" i="1"/>
  <c r="L2129" i="1"/>
  <c r="M2129" i="1" s="1"/>
  <c r="J2129" i="1"/>
  <c r="H2129" i="1"/>
  <c r="O2128" i="1"/>
  <c r="L2128" i="1"/>
  <c r="J2128" i="1"/>
  <c r="H2128" i="1"/>
  <c r="O2127" i="1"/>
  <c r="L2127" i="1"/>
  <c r="J2127" i="1"/>
  <c r="H2127" i="1"/>
  <c r="M2127" i="1" s="1"/>
  <c r="O2126" i="1"/>
  <c r="L2126" i="1"/>
  <c r="J2126" i="1"/>
  <c r="H2126" i="1"/>
  <c r="M2126" i="1" s="1"/>
  <c r="O2125" i="1"/>
  <c r="L2125" i="1"/>
  <c r="J2125" i="1"/>
  <c r="H2125" i="1"/>
  <c r="M2125" i="1" s="1"/>
  <c r="O2124" i="1"/>
  <c r="L2124" i="1"/>
  <c r="M2124" i="1" s="1"/>
  <c r="J2124" i="1"/>
  <c r="H2124" i="1"/>
  <c r="O2123" i="1"/>
  <c r="L2123" i="1"/>
  <c r="M2123" i="1" s="1"/>
  <c r="J2123" i="1"/>
  <c r="H2123" i="1"/>
  <c r="O2122" i="1"/>
  <c r="L2122" i="1"/>
  <c r="J2122" i="1"/>
  <c r="H2122" i="1"/>
  <c r="M2122" i="1" s="1"/>
  <c r="O2119" i="1"/>
  <c r="L2119" i="1"/>
  <c r="J2119" i="1"/>
  <c r="H2119" i="1"/>
  <c r="M2119" i="1" s="1"/>
  <c r="O2118" i="1"/>
  <c r="L2118" i="1"/>
  <c r="J2118" i="1"/>
  <c r="H2118" i="1"/>
  <c r="M2118" i="1" s="1"/>
  <c r="O2117" i="1"/>
  <c r="M2117" i="1"/>
  <c r="L2117" i="1"/>
  <c r="J2117" i="1"/>
  <c r="H2117" i="1"/>
  <c r="O2116" i="1"/>
  <c r="L2116" i="1"/>
  <c r="J2116" i="1"/>
  <c r="H2116" i="1"/>
  <c r="M2116" i="1" s="1"/>
  <c r="O2115" i="1"/>
  <c r="L2115" i="1"/>
  <c r="J2115" i="1"/>
  <c r="H2115" i="1"/>
  <c r="M2115" i="1" s="1"/>
  <c r="O2114" i="1"/>
  <c r="L2114" i="1"/>
  <c r="J2114" i="1"/>
  <c r="H2114" i="1"/>
  <c r="O2112" i="1"/>
  <c r="L2112" i="1"/>
  <c r="M2112" i="1" s="1"/>
  <c r="J2112" i="1"/>
  <c r="H2112" i="1"/>
  <c r="O2111" i="1"/>
  <c r="L2111" i="1"/>
  <c r="J2111" i="1"/>
  <c r="H2111" i="1"/>
  <c r="M2111" i="1" s="1"/>
  <c r="O2110" i="1"/>
  <c r="L2110" i="1"/>
  <c r="J2110" i="1"/>
  <c r="H2110" i="1"/>
  <c r="M2110" i="1" s="1"/>
  <c r="O2109" i="1"/>
  <c r="M2109" i="1"/>
  <c r="L2109" i="1"/>
  <c r="J2109" i="1"/>
  <c r="H2109" i="1"/>
  <c r="O2108" i="1"/>
  <c r="M2108" i="1"/>
  <c r="L2108" i="1"/>
  <c r="J2108" i="1"/>
  <c r="H2108" i="1"/>
  <c r="O2106" i="1"/>
  <c r="M2106" i="1"/>
  <c r="L2106" i="1"/>
  <c r="J2106" i="1"/>
  <c r="H2106" i="1"/>
  <c r="O2105" i="1"/>
  <c r="L2105" i="1"/>
  <c r="J2105" i="1"/>
  <c r="H2105" i="1"/>
  <c r="M2105" i="1" s="1"/>
  <c r="O2103" i="1"/>
  <c r="L2103" i="1"/>
  <c r="J2103" i="1"/>
  <c r="H2103" i="1"/>
  <c r="M2103" i="1" s="1"/>
  <c r="O2102" i="1"/>
  <c r="M2102" i="1"/>
  <c r="L2102" i="1"/>
  <c r="J2102" i="1"/>
  <c r="H2102" i="1"/>
  <c r="O2100" i="1"/>
  <c r="M2100" i="1"/>
  <c r="L2100" i="1"/>
  <c r="J2100" i="1"/>
  <c r="H2100" i="1"/>
  <c r="O2099" i="1"/>
  <c r="M2099" i="1"/>
  <c r="L2099" i="1"/>
  <c r="J2099" i="1"/>
  <c r="H2099" i="1"/>
  <c r="O2096" i="1"/>
  <c r="L2096" i="1"/>
  <c r="M2096" i="1" s="1"/>
  <c r="J2096" i="1"/>
  <c r="H2096" i="1"/>
  <c r="O2093" i="1"/>
  <c r="L2093" i="1"/>
  <c r="M2093" i="1" s="1"/>
  <c r="J2093" i="1"/>
  <c r="H2093" i="1"/>
  <c r="O2092" i="1"/>
  <c r="L2092" i="1"/>
  <c r="J2092" i="1"/>
  <c r="H2092" i="1"/>
  <c r="M2092" i="1" s="1"/>
  <c r="O2091" i="1"/>
  <c r="L2091" i="1"/>
  <c r="J2091" i="1"/>
  <c r="H2091" i="1"/>
  <c r="M2091" i="1" s="1"/>
  <c r="O2090" i="1"/>
  <c r="L2090" i="1"/>
  <c r="J2090" i="1"/>
  <c r="H2090" i="1"/>
  <c r="O2089" i="1"/>
  <c r="L2089" i="1"/>
  <c r="M2089" i="1" s="1"/>
  <c r="J2089" i="1"/>
  <c r="H2089" i="1"/>
  <c r="O2088" i="1"/>
  <c r="L2088" i="1"/>
  <c r="J2088" i="1"/>
  <c r="H2088" i="1"/>
  <c r="M2088" i="1" s="1"/>
  <c r="O2087" i="1"/>
  <c r="M2087" i="1"/>
  <c r="L2087" i="1"/>
  <c r="J2087" i="1"/>
  <c r="H2087" i="1"/>
  <c r="O2086" i="1"/>
  <c r="L2086" i="1"/>
  <c r="J2086" i="1"/>
  <c r="H2086" i="1"/>
  <c r="O2085" i="1"/>
  <c r="L2085" i="1"/>
  <c r="J2085" i="1"/>
  <c r="H2085" i="1"/>
  <c r="M2085" i="1" s="1"/>
  <c r="O2084" i="1"/>
  <c r="L2084" i="1"/>
  <c r="J2084" i="1"/>
  <c r="H2084" i="1"/>
  <c r="M2084" i="1" s="1"/>
  <c r="O2083" i="1"/>
  <c r="M2083" i="1"/>
  <c r="L2083" i="1"/>
  <c r="J2083" i="1"/>
  <c r="H2083" i="1"/>
  <c r="O2082" i="1"/>
  <c r="M2082" i="1"/>
  <c r="L2082" i="1"/>
  <c r="J2082" i="1"/>
  <c r="H2082" i="1"/>
  <c r="O2080" i="1"/>
  <c r="L2080" i="1"/>
  <c r="M2080" i="1" s="1"/>
  <c r="J2080" i="1"/>
  <c r="H2080" i="1"/>
  <c r="O2079" i="1"/>
  <c r="L2079" i="1"/>
  <c r="M2079" i="1" s="1"/>
  <c r="J2079" i="1"/>
  <c r="H2079" i="1"/>
  <c r="O2078" i="1"/>
  <c r="L2078" i="1"/>
  <c r="J2078" i="1"/>
  <c r="H2078" i="1"/>
  <c r="M2078" i="1" s="1"/>
  <c r="O2077" i="1"/>
  <c r="L2077" i="1"/>
  <c r="J2077" i="1"/>
  <c r="H2077" i="1"/>
  <c r="O2076" i="1"/>
  <c r="L2076" i="1"/>
  <c r="M2076" i="1" s="1"/>
  <c r="J2076" i="1"/>
  <c r="H2076" i="1"/>
  <c r="O2075" i="1"/>
  <c r="L2075" i="1"/>
  <c r="J2075" i="1"/>
  <c r="H2075" i="1"/>
  <c r="M2075" i="1" s="1"/>
  <c r="O2074" i="1"/>
  <c r="L2074" i="1"/>
  <c r="J2074" i="1"/>
  <c r="H2074" i="1"/>
  <c r="M2074" i="1" s="1"/>
  <c r="O2073" i="1"/>
  <c r="L2073" i="1"/>
  <c r="J2073" i="1"/>
  <c r="H2073" i="1"/>
  <c r="M2073" i="1" s="1"/>
  <c r="O2071" i="1"/>
  <c r="L2071" i="1"/>
  <c r="M2071" i="1" s="1"/>
  <c r="J2071" i="1"/>
  <c r="H2071" i="1"/>
  <c r="O2069" i="1"/>
  <c r="M2069" i="1"/>
  <c r="L2069" i="1"/>
  <c r="J2069" i="1"/>
  <c r="H2069" i="1"/>
  <c r="O2068" i="1"/>
  <c r="L2068" i="1"/>
  <c r="J2068" i="1"/>
  <c r="H2068" i="1"/>
  <c r="M2068" i="1" s="1"/>
  <c r="O2067" i="1"/>
  <c r="L2067" i="1"/>
  <c r="M2067" i="1" s="1"/>
  <c r="J2067" i="1"/>
  <c r="H2067" i="1"/>
  <c r="O2066" i="1"/>
  <c r="L2066" i="1"/>
  <c r="M2066" i="1" s="1"/>
  <c r="J2066" i="1"/>
  <c r="H2066" i="1"/>
  <c r="O2065" i="1"/>
  <c r="M2065" i="1"/>
  <c r="L2065" i="1"/>
  <c r="J2065" i="1"/>
  <c r="H2065" i="1"/>
  <c r="O2064" i="1"/>
  <c r="L2064" i="1"/>
  <c r="J2064" i="1"/>
  <c r="H2064" i="1"/>
  <c r="M2064" i="1" s="1"/>
  <c r="O2063" i="1"/>
  <c r="L2063" i="1"/>
  <c r="J2063" i="1"/>
  <c r="H2063" i="1"/>
  <c r="M2063" i="1" s="1"/>
  <c r="O2062" i="1"/>
  <c r="L2062" i="1"/>
  <c r="M2062" i="1" s="1"/>
  <c r="J2062" i="1"/>
  <c r="H2062" i="1"/>
  <c r="O2059" i="1"/>
  <c r="L2059" i="1"/>
  <c r="J2059" i="1"/>
  <c r="H2059" i="1"/>
  <c r="M2059" i="1" s="1"/>
  <c r="O2058" i="1"/>
  <c r="L2058" i="1"/>
  <c r="J2058" i="1"/>
  <c r="H2058" i="1"/>
  <c r="M2058" i="1" s="1"/>
  <c r="O2057" i="1"/>
  <c r="L2057" i="1"/>
  <c r="J2057" i="1"/>
  <c r="H2057" i="1"/>
  <c r="O2056" i="1"/>
  <c r="L2056" i="1"/>
  <c r="J2056" i="1"/>
  <c r="H2056" i="1"/>
  <c r="O2055" i="1"/>
  <c r="L2055" i="1"/>
  <c r="J2055" i="1"/>
  <c r="H2055" i="1"/>
  <c r="M2055" i="1" s="1"/>
  <c r="O2054" i="1"/>
  <c r="L2054" i="1"/>
  <c r="J2054" i="1"/>
  <c r="H2054" i="1"/>
  <c r="M2054" i="1" s="1"/>
  <c r="O2052" i="1"/>
  <c r="L2052" i="1"/>
  <c r="M2052" i="1" s="1"/>
  <c r="J2052" i="1"/>
  <c r="H2052" i="1"/>
  <c r="O2051" i="1"/>
  <c r="L2051" i="1"/>
  <c r="M2051" i="1" s="1"/>
  <c r="J2051" i="1"/>
  <c r="H2051" i="1"/>
  <c r="O2050" i="1"/>
  <c r="L2050" i="1"/>
  <c r="J2050" i="1"/>
  <c r="H2050" i="1"/>
  <c r="M2050" i="1" s="1"/>
  <c r="O2049" i="1"/>
  <c r="L2049" i="1"/>
  <c r="J2049" i="1"/>
  <c r="H2049" i="1"/>
  <c r="M2049" i="1" s="1"/>
  <c r="O2048" i="1"/>
  <c r="L2048" i="1"/>
  <c r="J2048" i="1"/>
  <c r="H2048" i="1"/>
  <c r="M2048" i="1" s="1"/>
  <c r="O2046" i="1"/>
  <c r="L2046" i="1"/>
  <c r="M2046" i="1" s="1"/>
  <c r="J2046" i="1"/>
  <c r="H2046" i="1"/>
  <c r="O2045" i="1"/>
  <c r="L2045" i="1"/>
  <c r="M2045" i="1" s="1"/>
  <c r="J2045" i="1"/>
  <c r="H2045" i="1"/>
  <c r="O2043" i="1"/>
  <c r="L2043" i="1"/>
  <c r="J2043" i="1"/>
  <c r="H2043" i="1"/>
  <c r="M2043" i="1" s="1"/>
  <c r="O2042" i="1"/>
  <c r="L2042" i="1"/>
  <c r="J2042" i="1"/>
  <c r="H2042" i="1"/>
  <c r="M2042" i="1" s="1"/>
  <c r="O2040" i="1"/>
  <c r="M2040" i="1"/>
  <c r="L2040" i="1"/>
  <c r="J2040" i="1"/>
  <c r="H2040" i="1"/>
  <c r="O2039" i="1"/>
  <c r="M2039" i="1"/>
  <c r="L2039" i="1"/>
  <c r="J2039" i="1"/>
  <c r="H2039" i="1"/>
  <c r="O2036" i="1"/>
  <c r="M2036" i="1"/>
  <c r="L2036" i="1"/>
  <c r="J2036" i="1"/>
  <c r="H2036" i="1"/>
  <c r="L2033" i="1"/>
  <c r="H2033" i="1"/>
  <c r="M2033" i="1" s="1"/>
  <c r="M2032" i="1"/>
  <c r="L2032" i="1"/>
  <c r="H2032" i="1"/>
  <c r="L2031" i="1"/>
  <c r="H2031" i="1"/>
  <c r="M2031" i="1" s="1"/>
  <c r="L2030" i="1"/>
  <c r="H2030" i="1"/>
  <c r="L2029" i="1"/>
  <c r="H2029" i="1"/>
  <c r="M2029" i="1" s="1"/>
  <c r="M2028" i="1"/>
  <c r="L2028" i="1"/>
  <c r="H2028" i="1"/>
  <c r="L2027" i="1"/>
  <c r="H2027" i="1"/>
  <c r="M2027" i="1" s="1"/>
  <c r="L2026" i="1"/>
  <c r="H2026" i="1"/>
  <c r="M2026" i="1" s="1"/>
  <c r="M2025" i="1"/>
  <c r="L2025" i="1"/>
  <c r="H2025" i="1"/>
  <c r="M2024" i="1"/>
  <c r="L2024" i="1"/>
  <c r="H2024" i="1"/>
  <c r="L2023" i="1"/>
  <c r="M2023" i="1" s="1"/>
  <c r="H2023" i="1"/>
  <c r="L2022" i="1"/>
  <c r="H2022" i="1"/>
  <c r="M2022" i="1" s="1"/>
  <c r="L2020" i="1"/>
  <c r="M2020" i="1" s="1"/>
  <c r="H2020" i="1"/>
  <c r="M2019" i="1"/>
  <c r="L2019" i="1"/>
  <c r="H2019" i="1"/>
  <c r="M2018" i="1"/>
  <c r="L2018" i="1"/>
  <c r="H2018" i="1"/>
  <c r="L2017" i="1"/>
  <c r="H2017" i="1"/>
  <c r="M2017" i="1" s="1"/>
  <c r="M2016" i="1"/>
  <c r="L2016" i="1"/>
  <c r="H2016" i="1"/>
  <c r="M2015" i="1"/>
  <c r="L2015" i="1"/>
  <c r="H2015" i="1"/>
  <c r="O2014" i="1"/>
  <c r="M2014" i="1"/>
  <c r="L2014" i="1"/>
  <c r="J2014" i="1"/>
  <c r="H2014" i="1"/>
  <c r="O2013" i="1"/>
  <c r="M2013" i="1"/>
  <c r="L2013" i="1"/>
  <c r="J2013" i="1"/>
  <c r="H2013" i="1"/>
  <c r="L2011" i="1"/>
  <c r="H2011" i="1"/>
  <c r="M2011" i="1" s="1"/>
  <c r="O2009" i="1"/>
  <c r="M2009" i="1"/>
  <c r="L2009" i="1"/>
  <c r="J2009" i="1"/>
  <c r="H2009" i="1"/>
  <c r="O2008" i="1"/>
  <c r="M2008" i="1"/>
  <c r="L2008" i="1"/>
  <c r="J2008" i="1"/>
  <c r="H2008" i="1"/>
  <c r="O2007" i="1"/>
  <c r="L2007" i="1"/>
  <c r="M2007" i="1" s="1"/>
  <c r="J2007" i="1"/>
  <c r="H2007" i="1"/>
  <c r="O2006" i="1"/>
  <c r="L2006" i="1"/>
  <c r="J2006" i="1"/>
  <c r="H2006" i="1"/>
  <c r="M2006" i="1" s="1"/>
  <c r="O2005" i="1"/>
  <c r="L2005" i="1"/>
  <c r="J2005" i="1"/>
  <c r="H2005" i="1"/>
  <c r="M2005" i="1" s="1"/>
  <c r="O2004" i="1"/>
  <c r="L2004" i="1"/>
  <c r="J2004" i="1"/>
  <c r="H2004" i="1"/>
  <c r="O2003" i="1"/>
  <c r="L2003" i="1"/>
  <c r="M2003" i="1" s="1"/>
  <c r="J2003" i="1"/>
  <c r="H2003" i="1"/>
  <c r="O2002" i="1"/>
  <c r="L2002" i="1"/>
  <c r="J2002" i="1"/>
  <c r="H2002" i="1"/>
  <c r="M2002" i="1" s="1"/>
  <c r="O1999" i="1"/>
  <c r="M1999" i="1"/>
  <c r="L1999" i="1"/>
  <c r="J1999" i="1"/>
  <c r="H1999" i="1"/>
  <c r="O1998" i="1"/>
  <c r="L1998" i="1"/>
  <c r="J1998" i="1"/>
  <c r="H1998" i="1"/>
  <c r="O1997" i="1"/>
  <c r="L1997" i="1"/>
  <c r="J1997" i="1"/>
  <c r="H1997" i="1"/>
  <c r="M1997" i="1" s="1"/>
  <c r="O1996" i="1"/>
  <c r="L1996" i="1"/>
  <c r="J1996" i="1"/>
  <c r="H1996" i="1"/>
  <c r="M1996" i="1" s="1"/>
  <c r="O1995" i="1"/>
  <c r="L1995" i="1"/>
  <c r="J1995" i="1"/>
  <c r="H1995" i="1"/>
  <c r="M1995" i="1" s="1"/>
  <c r="O1994" i="1"/>
  <c r="M1994" i="1"/>
  <c r="L1994" i="1"/>
  <c r="J1994" i="1"/>
  <c r="H1994" i="1"/>
  <c r="O1992" i="1"/>
  <c r="M1992" i="1"/>
  <c r="L1992" i="1"/>
  <c r="J1992" i="1"/>
  <c r="H1992" i="1"/>
  <c r="O1991" i="1"/>
  <c r="L1991" i="1"/>
  <c r="M1991" i="1" s="1"/>
  <c r="J1991" i="1"/>
  <c r="H1991" i="1"/>
  <c r="O1990" i="1"/>
  <c r="L1990" i="1"/>
  <c r="J1990" i="1"/>
  <c r="H1990" i="1"/>
  <c r="M1990" i="1" s="1"/>
  <c r="O1989" i="1"/>
  <c r="L1989" i="1"/>
  <c r="J1989" i="1"/>
  <c r="H1989" i="1"/>
  <c r="M1989" i="1" s="1"/>
  <c r="O1988" i="1"/>
  <c r="L1988" i="1"/>
  <c r="O1986" i="1"/>
  <c r="L1986" i="1"/>
  <c r="J1986" i="1"/>
  <c r="H1986" i="1"/>
  <c r="M1986" i="1" s="1"/>
  <c r="O1985" i="1"/>
  <c r="L1985" i="1"/>
  <c r="J1985" i="1"/>
  <c r="H1985" i="1"/>
  <c r="O1983" i="1"/>
  <c r="M1983" i="1"/>
  <c r="L1983" i="1"/>
  <c r="J1983" i="1"/>
  <c r="H1983" i="1"/>
  <c r="O1982" i="1"/>
  <c r="M1982" i="1"/>
  <c r="L1982" i="1"/>
  <c r="J1982" i="1"/>
  <c r="H1982" i="1"/>
  <c r="O1980" i="1"/>
  <c r="L1980" i="1"/>
  <c r="J1980" i="1"/>
  <c r="H1980" i="1"/>
  <c r="M1980" i="1" s="1"/>
  <c r="O1979" i="1"/>
  <c r="L1979" i="1"/>
  <c r="J1979" i="1"/>
  <c r="H1979" i="1"/>
  <c r="M1979" i="1" s="1"/>
  <c r="O1976" i="1"/>
  <c r="L1976" i="1"/>
  <c r="M1976" i="1" s="1"/>
  <c r="J1976" i="1"/>
  <c r="H1976" i="1"/>
  <c r="O1973" i="1"/>
  <c r="M1973" i="1"/>
  <c r="L1973" i="1"/>
  <c r="J1973" i="1"/>
  <c r="H1973" i="1"/>
  <c r="O1972" i="1"/>
  <c r="M1972" i="1"/>
  <c r="L1972" i="1"/>
  <c r="J1972" i="1"/>
  <c r="H1972" i="1"/>
  <c r="O1971" i="1"/>
  <c r="L1971" i="1"/>
  <c r="M1971" i="1" s="1"/>
  <c r="J1971" i="1"/>
  <c r="H1971" i="1"/>
  <c r="O1970" i="1"/>
  <c r="M1970" i="1"/>
  <c r="L1970" i="1"/>
  <c r="J1970" i="1"/>
  <c r="H1970" i="1"/>
  <c r="O1969" i="1"/>
  <c r="M1969" i="1"/>
  <c r="L1969" i="1"/>
  <c r="J1969" i="1"/>
  <c r="H1969" i="1"/>
  <c r="O1968" i="1"/>
  <c r="L1968" i="1"/>
  <c r="J1968" i="1"/>
  <c r="H1968" i="1"/>
  <c r="M1968" i="1" s="1"/>
  <c r="O1967" i="1"/>
  <c r="L1967" i="1"/>
  <c r="J1967" i="1"/>
  <c r="H1967" i="1"/>
  <c r="O1966" i="1"/>
  <c r="L1966" i="1"/>
  <c r="M1966" i="1" s="1"/>
  <c r="J1966" i="1"/>
  <c r="H1966" i="1"/>
  <c r="O1965" i="1"/>
  <c r="L1965" i="1"/>
  <c r="M1965" i="1" s="1"/>
  <c r="J1965" i="1"/>
  <c r="H1965" i="1"/>
  <c r="O1964" i="1"/>
  <c r="L1964" i="1"/>
  <c r="M1964" i="1" s="1"/>
  <c r="J1964" i="1"/>
  <c r="H1964" i="1"/>
  <c r="O1963" i="1"/>
  <c r="L1963" i="1"/>
  <c r="J1963" i="1"/>
  <c r="H1963" i="1"/>
  <c r="M1963" i="1" s="1"/>
  <c r="O1962" i="1"/>
  <c r="L1962" i="1"/>
  <c r="J1962" i="1"/>
  <c r="H1962" i="1"/>
  <c r="M1962" i="1" s="1"/>
  <c r="O1960" i="1"/>
  <c r="L1960" i="1"/>
  <c r="J1960" i="1"/>
  <c r="H1960" i="1"/>
  <c r="M1960" i="1" s="1"/>
  <c r="O1959" i="1"/>
  <c r="L1959" i="1"/>
  <c r="J1959" i="1"/>
  <c r="H1959" i="1"/>
  <c r="M1959" i="1" s="1"/>
  <c r="O1958" i="1"/>
  <c r="L1958" i="1"/>
  <c r="M1958" i="1" s="1"/>
  <c r="J1958" i="1"/>
  <c r="H1958" i="1"/>
  <c r="O1957" i="1"/>
  <c r="L1957" i="1"/>
  <c r="M1957" i="1" s="1"/>
  <c r="J1957" i="1"/>
  <c r="H1957" i="1"/>
  <c r="O1956" i="1"/>
  <c r="L1956" i="1"/>
  <c r="O1955" i="1"/>
  <c r="L1955" i="1"/>
  <c r="M1955" i="1" s="1"/>
  <c r="J1955" i="1"/>
  <c r="H1955" i="1"/>
  <c r="O1954" i="1"/>
  <c r="L1954" i="1"/>
  <c r="O1953" i="1"/>
  <c r="M1953" i="1"/>
  <c r="L1953" i="1"/>
  <c r="J1953" i="1"/>
  <c r="H1953" i="1"/>
  <c r="O1951" i="1"/>
  <c r="L1951" i="1"/>
  <c r="M1951" i="1" s="1"/>
  <c r="J1951" i="1"/>
  <c r="H1951" i="1"/>
  <c r="O1949" i="1"/>
  <c r="L1949" i="1"/>
  <c r="M1949" i="1" s="1"/>
  <c r="J1949" i="1"/>
  <c r="H1949" i="1"/>
  <c r="O1948" i="1"/>
  <c r="M1948" i="1"/>
  <c r="L1948" i="1"/>
  <c r="J1948" i="1"/>
  <c r="H1948" i="1"/>
  <c r="O1947" i="1"/>
  <c r="L1947" i="1"/>
  <c r="J1947" i="1"/>
  <c r="H1947" i="1"/>
  <c r="M1947" i="1" s="1"/>
  <c r="O1946" i="1"/>
  <c r="L1946" i="1"/>
  <c r="J1946" i="1"/>
  <c r="H1946" i="1"/>
  <c r="O1945" i="1"/>
  <c r="L1945" i="1"/>
  <c r="M1945" i="1" s="1"/>
  <c r="J1945" i="1"/>
  <c r="H1945" i="1"/>
  <c r="O1944" i="1"/>
  <c r="L1944" i="1"/>
  <c r="J1944" i="1"/>
  <c r="H1944" i="1"/>
  <c r="M1944" i="1" s="1"/>
  <c r="O1943" i="1"/>
  <c r="L1943" i="1"/>
  <c r="J1943" i="1"/>
  <c r="H1943" i="1"/>
  <c r="M1943" i="1" s="1"/>
  <c r="O1942" i="1"/>
  <c r="L1942" i="1"/>
  <c r="J1942" i="1"/>
  <c r="H1942" i="1"/>
  <c r="M1942" i="1" s="1"/>
  <c r="O1939" i="1"/>
  <c r="L1939" i="1"/>
  <c r="M1939" i="1" s="1"/>
  <c r="J1939" i="1"/>
  <c r="H1939" i="1"/>
  <c r="O1938" i="1"/>
  <c r="L1938" i="1"/>
  <c r="M1938" i="1" s="1"/>
  <c r="J1938" i="1"/>
  <c r="H1938" i="1"/>
  <c r="O1937" i="1"/>
  <c r="L1937" i="1"/>
  <c r="J1937" i="1"/>
  <c r="H1937" i="1"/>
  <c r="O1936" i="1"/>
  <c r="L1936" i="1"/>
  <c r="J1936" i="1"/>
  <c r="H1936" i="1"/>
  <c r="M1936" i="1" s="1"/>
  <c r="O1935" i="1"/>
  <c r="L1935" i="1"/>
  <c r="O1934" i="1"/>
  <c r="L1934" i="1"/>
  <c r="J1934" i="1"/>
  <c r="H1934" i="1"/>
  <c r="M1934" i="1" s="1"/>
  <c r="O1932" i="1"/>
  <c r="L1932" i="1"/>
  <c r="J1932" i="1"/>
  <c r="H1932" i="1"/>
  <c r="M1932" i="1" s="1"/>
  <c r="O1931" i="1"/>
  <c r="L1931" i="1"/>
  <c r="J1931" i="1"/>
  <c r="H1931" i="1"/>
  <c r="M1931" i="1" s="1"/>
  <c r="O1930" i="1"/>
  <c r="L1930" i="1"/>
  <c r="J1930" i="1"/>
  <c r="H1930" i="1"/>
  <c r="O1929" i="1"/>
  <c r="L1929" i="1"/>
  <c r="M1929" i="1" s="1"/>
  <c r="J1929" i="1"/>
  <c r="H1929" i="1"/>
  <c r="O1928" i="1"/>
  <c r="M1928" i="1"/>
  <c r="L1928" i="1"/>
  <c r="J1928" i="1"/>
  <c r="H1928" i="1"/>
  <c r="O1926" i="1"/>
  <c r="M1926" i="1"/>
  <c r="L1926" i="1"/>
  <c r="J1926" i="1"/>
  <c r="H1926" i="1"/>
  <c r="O1925" i="1"/>
  <c r="L1925" i="1"/>
  <c r="J1925" i="1"/>
  <c r="H1925" i="1"/>
  <c r="M1925" i="1" s="1"/>
  <c r="O1923" i="1"/>
  <c r="L1923" i="1"/>
  <c r="J1923" i="1"/>
  <c r="H1923" i="1"/>
  <c r="M1923" i="1" s="1"/>
  <c r="O1922" i="1"/>
  <c r="M1922" i="1"/>
  <c r="L1922" i="1"/>
  <c r="J1922" i="1"/>
  <c r="H1922" i="1"/>
  <c r="O1920" i="1"/>
  <c r="M1920" i="1"/>
  <c r="L1920" i="1"/>
  <c r="J1920" i="1"/>
  <c r="H1920" i="1"/>
  <c r="O1919" i="1"/>
  <c r="M1919" i="1"/>
  <c r="L1919" i="1"/>
  <c r="J1919" i="1"/>
  <c r="H1919" i="1"/>
  <c r="O1916" i="1"/>
  <c r="L1916" i="1"/>
  <c r="J1916" i="1"/>
  <c r="H1916" i="1"/>
  <c r="M1916" i="1" s="1"/>
  <c r="L1913" i="1"/>
  <c r="H1913" i="1"/>
  <c r="M1913" i="1" s="1"/>
  <c r="L1912" i="1"/>
  <c r="M1912" i="1" s="1"/>
  <c r="H1912" i="1"/>
  <c r="L1911" i="1"/>
  <c r="H1911" i="1"/>
  <c r="M1911" i="1" s="1"/>
  <c r="L1910" i="1"/>
  <c r="H1910" i="1"/>
  <c r="M1910" i="1" s="1"/>
  <c r="M1909" i="1"/>
  <c r="L1909" i="1"/>
  <c r="H1909" i="1"/>
  <c r="L1908" i="1"/>
  <c r="H1908" i="1"/>
  <c r="M1908" i="1" s="1"/>
  <c r="O1907" i="1"/>
  <c r="L1907" i="1"/>
  <c r="J1907" i="1"/>
  <c r="H1907" i="1"/>
  <c r="M1907" i="1" s="1"/>
  <c r="O1906" i="1"/>
  <c r="M1906" i="1"/>
  <c r="L1906" i="1"/>
  <c r="J1906" i="1"/>
  <c r="H1906" i="1"/>
  <c r="O1905" i="1"/>
  <c r="L1905" i="1"/>
  <c r="L1904" i="1"/>
  <c r="H1904" i="1"/>
  <c r="M1904" i="1" s="1"/>
  <c r="L1903" i="1"/>
  <c r="H1903" i="1"/>
  <c r="M1903" i="1" s="1"/>
  <c r="O1902" i="1"/>
  <c r="L1902" i="1"/>
  <c r="J1902" i="1"/>
  <c r="H1902" i="1"/>
  <c r="M1900" i="1"/>
  <c r="L1900" i="1"/>
  <c r="H1900" i="1"/>
  <c r="O1899" i="1"/>
  <c r="L1899" i="1"/>
  <c r="J1899" i="1"/>
  <c r="H1899" i="1"/>
  <c r="M1899" i="1" s="1"/>
  <c r="O1898" i="1"/>
  <c r="L1898" i="1"/>
  <c r="M1898" i="1" s="1"/>
  <c r="J1898" i="1"/>
  <c r="H1898" i="1"/>
  <c r="O1897" i="1"/>
  <c r="L1897" i="1"/>
  <c r="J1897" i="1"/>
  <c r="H1897" i="1"/>
  <c r="M1897" i="1" s="1"/>
  <c r="O1896" i="1"/>
  <c r="L1896" i="1"/>
  <c r="J1896" i="1"/>
  <c r="H1896" i="1"/>
  <c r="M1896" i="1" s="1"/>
  <c r="O1895" i="1"/>
  <c r="M1895" i="1"/>
  <c r="L1895" i="1"/>
  <c r="J1895" i="1"/>
  <c r="H1895" i="1"/>
  <c r="O1894" i="1"/>
  <c r="L1894" i="1"/>
  <c r="M1894" i="1" s="1"/>
  <c r="J1894" i="1"/>
  <c r="H1894" i="1"/>
  <c r="O1893" i="1"/>
  <c r="M1893" i="1"/>
  <c r="L1893" i="1"/>
  <c r="J1893" i="1"/>
  <c r="H1893" i="1"/>
  <c r="L1891" i="1"/>
  <c r="H1891" i="1"/>
  <c r="M1891" i="1" s="1"/>
  <c r="O1889" i="1"/>
  <c r="L1889" i="1"/>
  <c r="J1889" i="1"/>
  <c r="H1889" i="1"/>
  <c r="M1889" i="1" s="1"/>
  <c r="O1888" i="1"/>
  <c r="L1888" i="1"/>
  <c r="M1888" i="1" s="1"/>
  <c r="J1888" i="1"/>
  <c r="H1888" i="1"/>
  <c r="O1887" i="1"/>
  <c r="L1887" i="1"/>
  <c r="M1887" i="1" s="1"/>
  <c r="J1887" i="1"/>
  <c r="H1887" i="1"/>
  <c r="O1886" i="1"/>
  <c r="L1886" i="1"/>
  <c r="J1886" i="1"/>
  <c r="H1886" i="1"/>
  <c r="M1886" i="1" s="1"/>
  <c r="O1885" i="1"/>
  <c r="L1885" i="1"/>
  <c r="J1885" i="1"/>
  <c r="H1885" i="1"/>
  <c r="M1885" i="1" s="1"/>
  <c r="O1884" i="1"/>
  <c r="L1884" i="1"/>
  <c r="J1884" i="1"/>
  <c r="H1884" i="1"/>
  <c r="M1884" i="1" s="1"/>
  <c r="O1883" i="1"/>
  <c r="M1883" i="1"/>
  <c r="L1883" i="1"/>
  <c r="J1883" i="1"/>
  <c r="H1883" i="1"/>
  <c r="O1882" i="1"/>
  <c r="L1882" i="1"/>
  <c r="M1882" i="1" s="1"/>
  <c r="J1882" i="1"/>
  <c r="H1882" i="1"/>
  <c r="O1879" i="1"/>
  <c r="L1879" i="1"/>
  <c r="M1879" i="1" s="1"/>
  <c r="J1879" i="1"/>
  <c r="H1879" i="1"/>
  <c r="O1878" i="1"/>
  <c r="L1878" i="1"/>
  <c r="J1878" i="1"/>
  <c r="H1878" i="1"/>
  <c r="M1878" i="1" s="1"/>
  <c r="O1877" i="1"/>
  <c r="L1877" i="1"/>
  <c r="J1877" i="1"/>
  <c r="H1877" i="1"/>
  <c r="M1877" i="1" s="1"/>
  <c r="O1876" i="1"/>
  <c r="L1876" i="1"/>
  <c r="J1876" i="1"/>
  <c r="H1876" i="1"/>
  <c r="M1876" i="1" s="1"/>
  <c r="O1875" i="1"/>
  <c r="L1875" i="1"/>
  <c r="J1875" i="1"/>
  <c r="H1875" i="1"/>
  <c r="M1875" i="1" s="1"/>
  <c r="O1874" i="1"/>
  <c r="L1874" i="1"/>
  <c r="M1874" i="1" s="1"/>
  <c r="J1874" i="1"/>
  <c r="H1874" i="1"/>
  <c r="O1872" i="1"/>
  <c r="L1872" i="1"/>
  <c r="J1872" i="1"/>
  <c r="H1872" i="1"/>
  <c r="M1872" i="1" s="1"/>
  <c r="O1871" i="1"/>
  <c r="M1871" i="1"/>
  <c r="L1871" i="1"/>
  <c r="J1871" i="1"/>
  <c r="H1871" i="1"/>
  <c r="O1870" i="1"/>
  <c r="L1870" i="1"/>
  <c r="J1870" i="1"/>
  <c r="H1870" i="1"/>
  <c r="M1870" i="1" s="1"/>
  <c r="O1869" i="1"/>
  <c r="L1869" i="1"/>
  <c r="J1869" i="1"/>
  <c r="H1869" i="1"/>
  <c r="M1869" i="1" s="1"/>
  <c r="O1868" i="1"/>
  <c r="L1868" i="1"/>
  <c r="O1866" i="1"/>
  <c r="L1866" i="1"/>
  <c r="J1866" i="1"/>
  <c r="H1866" i="1"/>
  <c r="M1866" i="1" s="1"/>
  <c r="O1865" i="1"/>
  <c r="L1865" i="1"/>
  <c r="J1865" i="1"/>
  <c r="H1865" i="1"/>
  <c r="M1865" i="1" s="1"/>
  <c r="O1863" i="1"/>
  <c r="M1863" i="1"/>
  <c r="L1863" i="1"/>
  <c r="J1863" i="1"/>
  <c r="H1863" i="1"/>
  <c r="O1862" i="1"/>
  <c r="L1862" i="1"/>
  <c r="M1862" i="1" s="1"/>
  <c r="J1862" i="1"/>
  <c r="H1862" i="1"/>
  <c r="O1860" i="1"/>
  <c r="L1860" i="1"/>
  <c r="M1860" i="1" s="1"/>
  <c r="J1860" i="1"/>
  <c r="H1860" i="1"/>
  <c r="O1859" i="1"/>
  <c r="L1859" i="1"/>
  <c r="J1859" i="1"/>
  <c r="H1859" i="1"/>
  <c r="M1859" i="1" s="1"/>
  <c r="O1856" i="1"/>
  <c r="L1856" i="1"/>
  <c r="J1856" i="1"/>
  <c r="H1856" i="1"/>
  <c r="M1856" i="1" s="1"/>
  <c r="O1853" i="1"/>
  <c r="L1853" i="1"/>
  <c r="J1853" i="1"/>
  <c r="H1853" i="1"/>
  <c r="M1853" i="1" s="1"/>
  <c r="O1852" i="1"/>
  <c r="L1852" i="1"/>
  <c r="J1852" i="1"/>
  <c r="H1852" i="1"/>
  <c r="M1852" i="1" s="1"/>
  <c r="O1851" i="1"/>
  <c r="L1851" i="1"/>
  <c r="M1851" i="1" s="1"/>
  <c r="J1851" i="1"/>
  <c r="H1851" i="1"/>
  <c r="O1850" i="1"/>
  <c r="L1850" i="1"/>
  <c r="J1850" i="1"/>
  <c r="H1850" i="1"/>
  <c r="M1850" i="1" s="1"/>
  <c r="O1849" i="1"/>
  <c r="M1849" i="1"/>
  <c r="L1849" i="1"/>
  <c r="J1849" i="1"/>
  <c r="H1849" i="1"/>
  <c r="O1848" i="1"/>
  <c r="L1848" i="1"/>
  <c r="J1848" i="1"/>
  <c r="H1848" i="1"/>
  <c r="M1848" i="1" s="1"/>
  <c r="O1847" i="1"/>
  <c r="L1847" i="1"/>
  <c r="J1847" i="1"/>
  <c r="H1847" i="1"/>
  <c r="M1847" i="1" s="1"/>
  <c r="O1846" i="1"/>
  <c r="M1846" i="1"/>
  <c r="L1846" i="1"/>
  <c r="J1846" i="1"/>
  <c r="H1846" i="1"/>
  <c r="O1845" i="1"/>
  <c r="L1845" i="1"/>
  <c r="M1845" i="1" s="1"/>
  <c r="J1845" i="1"/>
  <c r="H1845" i="1"/>
  <c r="O1844" i="1"/>
  <c r="M1844" i="1"/>
  <c r="L1844" i="1"/>
  <c r="J1844" i="1"/>
  <c r="H1844" i="1"/>
  <c r="O1843" i="1"/>
  <c r="L1843" i="1"/>
  <c r="J1843" i="1"/>
  <c r="H1843" i="1"/>
  <c r="O1842" i="1"/>
  <c r="L1842" i="1"/>
  <c r="J1842" i="1"/>
  <c r="H1842" i="1"/>
  <c r="M1842" i="1" s="1"/>
  <c r="O1840" i="1"/>
  <c r="L1840" i="1"/>
  <c r="J1840" i="1"/>
  <c r="H1840" i="1"/>
  <c r="M1840" i="1" s="1"/>
  <c r="O1839" i="1"/>
  <c r="M1839" i="1"/>
  <c r="L1839" i="1"/>
  <c r="J1839" i="1"/>
  <c r="H1839" i="1"/>
  <c r="O1838" i="1"/>
  <c r="L1838" i="1"/>
  <c r="M1838" i="1" s="1"/>
  <c r="J1838" i="1"/>
  <c r="H1838" i="1"/>
  <c r="O1837" i="1"/>
  <c r="M1837" i="1"/>
  <c r="L1837" i="1"/>
  <c r="J1837" i="1"/>
  <c r="H1837" i="1"/>
  <c r="O1836" i="1"/>
  <c r="L1836" i="1"/>
  <c r="J1836" i="1"/>
  <c r="H1836" i="1"/>
  <c r="O1835" i="1"/>
  <c r="L1835" i="1"/>
  <c r="J1835" i="1"/>
  <c r="H1835" i="1"/>
  <c r="M1835" i="1" s="1"/>
  <c r="O1834" i="1"/>
  <c r="M1834" i="1"/>
  <c r="L1834" i="1"/>
  <c r="J1834" i="1"/>
  <c r="H1834" i="1"/>
  <c r="O1833" i="1"/>
  <c r="M1833" i="1"/>
  <c r="L1833" i="1"/>
  <c r="J1833" i="1"/>
  <c r="H1833" i="1"/>
  <c r="O1831" i="1"/>
  <c r="L1831" i="1"/>
  <c r="M1831" i="1" s="1"/>
  <c r="J1831" i="1"/>
  <c r="H1831" i="1"/>
  <c r="O1829" i="1"/>
  <c r="L1829" i="1"/>
  <c r="M1829" i="1" s="1"/>
  <c r="J1829" i="1"/>
  <c r="H1829" i="1"/>
  <c r="O1828" i="1"/>
  <c r="L1828" i="1"/>
  <c r="J1828" i="1"/>
  <c r="H1828" i="1"/>
  <c r="M1828" i="1" s="1"/>
  <c r="O1827" i="1"/>
  <c r="L1827" i="1"/>
  <c r="J1827" i="1"/>
  <c r="H1827" i="1"/>
  <c r="M1827" i="1" s="1"/>
  <c r="O1826" i="1"/>
  <c r="L1826" i="1"/>
  <c r="J1826" i="1"/>
  <c r="H1826" i="1"/>
  <c r="M1826" i="1" s="1"/>
  <c r="O1825" i="1"/>
  <c r="L1825" i="1"/>
  <c r="J1825" i="1"/>
  <c r="H1825" i="1"/>
  <c r="M1825" i="1" s="1"/>
  <c r="O1824" i="1"/>
  <c r="L1824" i="1"/>
  <c r="M1824" i="1" s="1"/>
  <c r="J1824" i="1"/>
  <c r="H1824" i="1"/>
  <c r="O1823" i="1"/>
  <c r="M1823" i="1"/>
  <c r="L1823" i="1"/>
  <c r="J1823" i="1"/>
  <c r="H1823" i="1"/>
  <c r="O1822" i="1"/>
  <c r="M1822" i="1"/>
  <c r="L1822" i="1"/>
  <c r="J1822" i="1"/>
  <c r="H1822" i="1"/>
  <c r="O1819" i="1"/>
  <c r="L1819" i="1"/>
  <c r="J1819" i="1"/>
  <c r="H1819" i="1"/>
  <c r="M1819" i="1" s="1"/>
  <c r="O1818" i="1"/>
  <c r="L1818" i="1"/>
  <c r="J1818" i="1"/>
  <c r="H1818" i="1"/>
  <c r="M1818" i="1" s="1"/>
  <c r="O1817" i="1"/>
  <c r="L1817" i="1"/>
  <c r="J1817" i="1"/>
  <c r="H1817" i="1"/>
  <c r="M1817" i="1" s="1"/>
  <c r="O1816" i="1"/>
  <c r="M1816" i="1"/>
  <c r="L1816" i="1"/>
  <c r="J1816" i="1"/>
  <c r="H1816" i="1"/>
  <c r="O1815" i="1"/>
  <c r="M1815" i="1"/>
  <c r="L1815" i="1"/>
  <c r="J1815" i="1"/>
  <c r="H1815" i="1"/>
  <c r="O1814" i="1"/>
  <c r="M1814" i="1"/>
  <c r="L1814" i="1"/>
  <c r="J1814" i="1"/>
  <c r="H1814" i="1"/>
  <c r="O1812" i="1"/>
  <c r="L1812" i="1"/>
  <c r="J1812" i="1"/>
  <c r="H1812" i="1"/>
  <c r="O1811" i="1"/>
  <c r="L1811" i="1"/>
  <c r="J1811" i="1"/>
  <c r="H1811" i="1"/>
  <c r="M1811" i="1" s="1"/>
  <c r="O1810" i="1"/>
  <c r="L1810" i="1"/>
  <c r="M1810" i="1" s="1"/>
  <c r="J1810" i="1"/>
  <c r="H1810" i="1"/>
  <c r="O1809" i="1"/>
  <c r="L1809" i="1"/>
  <c r="O1808" i="1"/>
  <c r="L1808" i="1"/>
  <c r="J1808" i="1"/>
  <c r="H1808" i="1"/>
  <c r="M1808" i="1" s="1"/>
  <c r="O1806" i="1"/>
  <c r="M1806" i="1"/>
  <c r="L1806" i="1"/>
  <c r="J1806" i="1"/>
  <c r="H1806" i="1"/>
  <c r="O1805" i="1"/>
  <c r="M1805" i="1"/>
  <c r="L1805" i="1"/>
  <c r="J1805" i="1"/>
  <c r="H1805" i="1"/>
  <c r="O1803" i="1"/>
  <c r="L1803" i="1"/>
  <c r="J1803" i="1"/>
  <c r="H1803" i="1"/>
  <c r="M1803" i="1" s="1"/>
  <c r="O1802" i="1"/>
  <c r="L1802" i="1"/>
  <c r="J1802" i="1"/>
  <c r="H1802" i="1"/>
  <c r="M1802" i="1" s="1"/>
  <c r="O1800" i="1"/>
  <c r="L1800" i="1"/>
  <c r="J1800" i="1"/>
  <c r="H1800" i="1"/>
  <c r="M1800" i="1" s="1"/>
  <c r="O1799" i="1"/>
  <c r="M1799" i="1"/>
  <c r="L1799" i="1"/>
  <c r="J1799" i="1"/>
  <c r="H1799" i="1"/>
  <c r="O1796" i="1"/>
  <c r="M1796" i="1"/>
  <c r="L1796" i="1"/>
  <c r="J1796" i="1"/>
  <c r="H1796" i="1"/>
  <c r="O1793" i="1"/>
  <c r="L1793" i="1"/>
  <c r="M1793" i="1" s="1"/>
  <c r="J1793" i="1"/>
  <c r="H1793" i="1"/>
  <c r="O1792" i="1"/>
  <c r="L1792" i="1"/>
  <c r="M1792" i="1" s="1"/>
  <c r="J1792" i="1"/>
  <c r="H1792" i="1"/>
  <c r="O1791" i="1"/>
  <c r="L1791" i="1"/>
  <c r="J1791" i="1"/>
  <c r="H1791" i="1"/>
  <c r="M1791" i="1" s="1"/>
  <c r="O1790" i="1"/>
  <c r="L1790" i="1"/>
  <c r="J1790" i="1"/>
  <c r="H1790" i="1"/>
  <c r="O1789" i="1"/>
  <c r="L1789" i="1"/>
  <c r="J1789" i="1"/>
  <c r="H1789" i="1"/>
  <c r="M1789" i="1" s="1"/>
  <c r="O1788" i="1"/>
  <c r="L1788" i="1"/>
  <c r="J1788" i="1"/>
  <c r="H1788" i="1"/>
  <c r="M1788" i="1" s="1"/>
  <c r="O1787" i="1"/>
  <c r="M1787" i="1"/>
  <c r="L1787" i="1"/>
  <c r="J1787" i="1"/>
  <c r="H1787" i="1"/>
  <c r="O1786" i="1"/>
  <c r="M1786" i="1"/>
  <c r="L1786" i="1"/>
  <c r="J1786" i="1"/>
  <c r="H1786" i="1"/>
  <c r="O1785" i="1"/>
  <c r="M1785" i="1"/>
  <c r="L1785" i="1"/>
  <c r="J1785" i="1"/>
  <c r="H1785" i="1"/>
  <c r="O1784" i="1"/>
  <c r="L1784" i="1"/>
  <c r="J1784" i="1"/>
  <c r="H1784" i="1"/>
  <c r="O1783" i="1"/>
  <c r="L1783" i="1"/>
  <c r="J1783" i="1"/>
  <c r="H1783" i="1"/>
  <c r="M1783" i="1" s="1"/>
  <c r="O1782" i="1"/>
  <c r="L1782" i="1"/>
  <c r="J1782" i="1"/>
  <c r="H1782" i="1"/>
  <c r="M1782" i="1" s="1"/>
  <c r="O1780" i="1"/>
  <c r="M1780" i="1"/>
  <c r="L1780" i="1"/>
  <c r="J1780" i="1"/>
  <c r="H1780" i="1"/>
  <c r="O1779" i="1"/>
  <c r="M1779" i="1"/>
  <c r="L1779" i="1"/>
  <c r="J1779" i="1"/>
  <c r="H1779" i="1"/>
  <c r="O1778" i="1"/>
  <c r="L1778" i="1"/>
  <c r="M1778" i="1" s="1"/>
  <c r="J1778" i="1"/>
  <c r="H1778" i="1"/>
  <c r="O1777" i="1"/>
  <c r="L1777" i="1"/>
  <c r="J1777" i="1"/>
  <c r="H1777" i="1"/>
  <c r="M1777" i="1" s="1"/>
  <c r="O1776" i="1"/>
  <c r="L1776" i="1"/>
  <c r="J1776" i="1"/>
  <c r="H1776" i="1"/>
  <c r="M1776" i="1" s="1"/>
  <c r="O1775" i="1"/>
  <c r="L1775" i="1"/>
  <c r="M1775" i="1" s="1"/>
  <c r="J1775" i="1"/>
  <c r="H1775" i="1"/>
  <c r="O1774" i="1"/>
  <c r="L1774" i="1"/>
  <c r="M1774" i="1" s="1"/>
  <c r="J1774" i="1"/>
  <c r="H1774" i="1"/>
  <c r="O1773" i="1"/>
  <c r="L1773" i="1"/>
  <c r="J1773" i="1"/>
  <c r="H1773" i="1"/>
  <c r="M1773" i="1" s="1"/>
  <c r="O1771" i="1"/>
  <c r="L1771" i="1"/>
  <c r="J1771" i="1"/>
  <c r="H1771" i="1"/>
  <c r="M1771" i="1" s="1"/>
  <c r="O1769" i="1"/>
  <c r="L1769" i="1"/>
  <c r="J1769" i="1"/>
  <c r="H1769" i="1"/>
  <c r="O1768" i="1"/>
  <c r="M1768" i="1"/>
  <c r="L1768" i="1"/>
  <c r="J1768" i="1"/>
  <c r="H1768" i="1"/>
  <c r="O1767" i="1"/>
  <c r="L1767" i="1"/>
  <c r="J1767" i="1"/>
  <c r="H1767" i="1"/>
  <c r="M1767" i="1" s="1"/>
  <c r="O1766" i="1"/>
  <c r="L1766" i="1"/>
  <c r="M1766" i="1" s="1"/>
  <c r="J1766" i="1"/>
  <c r="H1766" i="1"/>
  <c r="O1765" i="1"/>
  <c r="L1765" i="1"/>
  <c r="M1765" i="1" s="1"/>
  <c r="J1765" i="1"/>
  <c r="H1765" i="1"/>
  <c r="O1764" i="1"/>
  <c r="M1764" i="1"/>
  <c r="L1764" i="1"/>
  <c r="J1764" i="1"/>
  <c r="H1764" i="1"/>
  <c r="O1763" i="1"/>
  <c r="L1763" i="1"/>
  <c r="J1763" i="1"/>
  <c r="H1763" i="1"/>
  <c r="O1762" i="1"/>
  <c r="L1762" i="1"/>
  <c r="J1762" i="1"/>
  <c r="H1762" i="1"/>
  <c r="M1762" i="1" s="1"/>
  <c r="O1759" i="1"/>
  <c r="L1759" i="1"/>
  <c r="J1759" i="1"/>
  <c r="H1759" i="1"/>
  <c r="M1759" i="1" s="1"/>
  <c r="O1758" i="1"/>
  <c r="L1758" i="1"/>
  <c r="M1758" i="1" s="1"/>
  <c r="J1758" i="1"/>
  <c r="H1758" i="1"/>
  <c r="O1757" i="1"/>
  <c r="M1757" i="1"/>
  <c r="L1757" i="1"/>
  <c r="J1757" i="1"/>
  <c r="H1757" i="1"/>
  <c r="O1756" i="1"/>
  <c r="M1756" i="1"/>
  <c r="L1756" i="1"/>
  <c r="J1756" i="1"/>
  <c r="H1756" i="1"/>
  <c r="O1755" i="1"/>
  <c r="L1755" i="1"/>
  <c r="O1754" i="1"/>
  <c r="M1754" i="1"/>
  <c r="L1754" i="1"/>
  <c r="J1754" i="1"/>
  <c r="H1754" i="1"/>
  <c r="O1752" i="1"/>
  <c r="M1752" i="1"/>
  <c r="L1752" i="1"/>
  <c r="J1752" i="1"/>
  <c r="H1752" i="1"/>
  <c r="O1751" i="1"/>
  <c r="L1751" i="1"/>
  <c r="J1751" i="1"/>
  <c r="H1751" i="1"/>
  <c r="M1751" i="1" s="1"/>
  <c r="O1750" i="1"/>
  <c r="L1750" i="1"/>
  <c r="J1750" i="1"/>
  <c r="H1750" i="1"/>
  <c r="M1750" i="1" s="1"/>
  <c r="O1749" i="1"/>
  <c r="L1749" i="1"/>
  <c r="O1748" i="1"/>
  <c r="L1748" i="1"/>
  <c r="J1748" i="1"/>
  <c r="H1748" i="1"/>
  <c r="M1748" i="1" s="1"/>
  <c r="O1746" i="1"/>
  <c r="M1746" i="1"/>
  <c r="L1746" i="1"/>
  <c r="J1746" i="1"/>
  <c r="H1746" i="1"/>
  <c r="O1745" i="1"/>
  <c r="M1745" i="1"/>
  <c r="L1745" i="1"/>
  <c r="J1745" i="1"/>
  <c r="H1745" i="1"/>
  <c r="O1743" i="1"/>
  <c r="L1743" i="1"/>
  <c r="M1743" i="1" s="1"/>
  <c r="J1743" i="1"/>
  <c r="H1743" i="1"/>
  <c r="O1742" i="1"/>
  <c r="L1742" i="1"/>
  <c r="M1742" i="1" s="1"/>
  <c r="J1742" i="1"/>
  <c r="H1742" i="1"/>
  <c r="O1740" i="1"/>
  <c r="L1740" i="1"/>
  <c r="J1740" i="1"/>
  <c r="H1740" i="1"/>
  <c r="M1740" i="1" s="1"/>
  <c r="O1739" i="1"/>
  <c r="L1739" i="1"/>
  <c r="J1739" i="1"/>
  <c r="H1739" i="1"/>
  <c r="M1739" i="1" s="1"/>
  <c r="O1736" i="1"/>
  <c r="L1736" i="1"/>
  <c r="J1736" i="1"/>
  <c r="H1736" i="1"/>
  <c r="M1736" i="1" s="1"/>
  <c r="O1733" i="1"/>
  <c r="L1733" i="1"/>
  <c r="J1733" i="1"/>
  <c r="H1733" i="1"/>
  <c r="M1733" i="1" s="1"/>
  <c r="O1732" i="1"/>
  <c r="L1732" i="1"/>
  <c r="M1732" i="1" s="1"/>
  <c r="J1732" i="1"/>
  <c r="H1732" i="1"/>
  <c r="O1731" i="1"/>
  <c r="L1731" i="1"/>
  <c r="J1731" i="1"/>
  <c r="H1731" i="1"/>
  <c r="M1731" i="1" s="1"/>
  <c r="O1730" i="1"/>
  <c r="L1730" i="1"/>
  <c r="J1730" i="1"/>
  <c r="H1730" i="1"/>
  <c r="M1730" i="1" s="1"/>
  <c r="O1729" i="1"/>
  <c r="L1729" i="1"/>
  <c r="J1729" i="1"/>
  <c r="H1729" i="1"/>
  <c r="O1728" i="1"/>
  <c r="L1728" i="1"/>
  <c r="J1728" i="1"/>
  <c r="H1728" i="1"/>
  <c r="M1728" i="1" s="1"/>
  <c r="O1727" i="1"/>
  <c r="L1727" i="1"/>
  <c r="J1727" i="1"/>
  <c r="H1727" i="1"/>
  <c r="M1727" i="1" s="1"/>
  <c r="O1726" i="1"/>
  <c r="L1726" i="1"/>
  <c r="M1726" i="1" s="1"/>
  <c r="J1726" i="1"/>
  <c r="H1726" i="1"/>
  <c r="O1725" i="1"/>
  <c r="M1725" i="1"/>
  <c r="L1725" i="1"/>
  <c r="J1725" i="1"/>
  <c r="H1725" i="1"/>
  <c r="O1724" i="1"/>
  <c r="M1724" i="1"/>
  <c r="L1724" i="1"/>
  <c r="J1724" i="1"/>
  <c r="H1724" i="1"/>
  <c r="O1723" i="1"/>
  <c r="L1723" i="1"/>
  <c r="J1723" i="1"/>
  <c r="H1723" i="1"/>
  <c r="O1722" i="1"/>
  <c r="L1722" i="1"/>
  <c r="J1722" i="1"/>
  <c r="H1722" i="1"/>
  <c r="M1722" i="1" s="1"/>
  <c r="O1720" i="1"/>
  <c r="L1720" i="1"/>
  <c r="J1720" i="1"/>
  <c r="H1720" i="1"/>
  <c r="M1720" i="1" s="1"/>
  <c r="O1719" i="1"/>
  <c r="M1719" i="1"/>
  <c r="L1719" i="1"/>
  <c r="J1719" i="1"/>
  <c r="H1719" i="1"/>
  <c r="O1718" i="1"/>
  <c r="L1718" i="1"/>
  <c r="M1718" i="1" s="1"/>
  <c r="J1718" i="1"/>
  <c r="H1718" i="1"/>
  <c r="O1717" i="1"/>
  <c r="L1717" i="1"/>
  <c r="M1717" i="1" s="1"/>
  <c r="J1717" i="1"/>
  <c r="H1717" i="1"/>
  <c r="O1716" i="1"/>
  <c r="L1716" i="1"/>
  <c r="J1716" i="1"/>
  <c r="H1716" i="1"/>
  <c r="M1716" i="1" s="1"/>
  <c r="O1715" i="1"/>
  <c r="L1715" i="1"/>
  <c r="J1715" i="1"/>
  <c r="H1715" i="1"/>
  <c r="M1715" i="1" s="1"/>
  <c r="O1714" i="1"/>
  <c r="M1714" i="1"/>
  <c r="L1714" i="1"/>
  <c r="J1714" i="1"/>
  <c r="H1714" i="1"/>
  <c r="O1713" i="1"/>
  <c r="L1713" i="1"/>
  <c r="M1713" i="1" s="1"/>
  <c r="J1713" i="1"/>
  <c r="H1713" i="1"/>
  <c r="O1711" i="1"/>
  <c r="L1711" i="1"/>
  <c r="M1711" i="1" s="1"/>
  <c r="J1711" i="1"/>
  <c r="H1711" i="1"/>
  <c r="O1709" i="1"/>
  <c r="L1709" i="1"/>
  <c r="J1709" i="1"/>
  <c r="H1709" i="1"/>
  <c r="M1709" i="1" s="1"/>
  <c r="O1708" i="1"/>
  <c r="L1708" i="1"/>
  <c r="J1708" i="1"/>
  <c r="H1708" i="1"/>
  <c r="M1708" i="1" s="1"/>
  <c r="O1707" i="1"/>
  <c r="L1707" i="1"/>
  <c r="J1707" i="1"/>
  <c r="H1707" i="1"/>
  <c r="M1707" i="1" s="1"/>
  <c r="O1706" i="1"/>
  <c r="L1706" i="1"/>
  <c r="O1705" i="1"/>
  <c r="L1705" i="1"/>
  <c r="J1705" i="1"/>
  <c r="H1705" i="1"/>
  <c r="O1704" i="1"/>
  <c r="L1704" i="1"/>
  <c r="J1704" i="1"/>
  <c r="H1704" i="1"/>
  <c r="M1704" i="1" s="1"/>
  <c r="O1703" i="1"/>
  <c r="L1703" i="1"/>
  <c r="J1703" i="1"/>
  <c r="H1703" i="1"/>
  <c r="M1703" i="1" s="1"/>
  <c r="O1702" i="1"/>
  <c r="L1702" i="1"/>
  <c r="M1702" i="1" s="1"/>
  <c r="J1702" i="1"/>
  <c r="H1702" i="1"/>
  <c r="O1699" i="1"/>
  <c r="L1699" i="1"/>
  <c r="M1699" i="1" s="1"/>
  <c r="J1699" i="1"/>
  <c r="H1699" i="1"/>
  <c r="O1698" i="1"/>
  <c r="L1698" i="1"/>
  <c r="M1698" i="1" s="1"/>
  <c r="J1698" i="1"/>
  <c r="H1698" i="1"/>
  <c r="O1697" i="1"/>
  <c r="L1697" i="1"/>
  <c r="J1697" i="1"/>
  <c r="H1697" i="1"/>
  <c r="O1696" i="1"/>
  <c r="L1696" i="1"/>
  <c r="J1696" i="1"/>
  <c r="H1696" i="1"/>
  <c r="M1696" i="1" s="1"/>
  <c r="O1695" i="1"/>
  <c r="L1695" i="1"/>
  <c r="J1695" i="1"/>
  <c r="H1695" i="1"/>
  <c r="M1695" i="1" s="1"/>
  <c r="O1694" i="1"/>
  <c r="L1694" i="1"/>
  <c r="M1694" i="1" s="1"/>
  <c r="J1694" i="1"/>
  <c r="H1694" i="1"/>
  <c r="O1692" i="1"/>
  <c r="L1692" i="1"/>
  <c r="M1692" i="1" s="1"/>
  <c r="J1692" i="1"/>
  <c r="H1692" i="1"/>
  <c r="O1691" i="1"/>
  <c r="L1691" i="1"/>
  <c r="J1691" i="1"/>
  <c r="H1691" i="1"/>
  <c r="M1691" i="1" s="1"/>
  <c r="O1690" i="1"/>
  <c r="L1690" i="1"/>
  <c r="J1690" i="1"/>
  <c r="H1690" i="1"/>
  <c r="M1690" i="1" s="1"/>
  <c r="O1689" i="1"/>
  <c r="L1689" i="1"/>
  <c r="J1689" i="1"/>
  <c r="H1689" i="1"/>
  <c r="M1689" i="1" s="1"/>
  <c r="O1688" i="1"/>
  <c r="L1688" i="1"/>
  <c r="M1688" i="1" s="1"/>
  <c r="J1688" i="1"/>
  <c r="H1688" i="1"/>
  <c r="O1686" i="1"/>
  <c r="L1686" i="1"/>
  <c r="M1686" i="1" s="1"/>
  <c r="J1686" i="1"/>
  <c r="H1686" i="1"/>
  <c r="O1685" i="1"/>
  <c r="L1685" i="1"/>
  <c r="J1685" i="1"/>
  <c r="H1685" i="1"/>
  <c r="M1685" i="1" s="1"/>
  <c r="O1683" i="1"/>
  <c r="L1683" i="1"/>
  <c r="J1683" i="1"/>
  <c r="H1683" i="1"/>
  <c r="M1683" i="1" s="1"/>
  <c r="O1682" i="1"/>
  <c r="L1682" i="1"/>
  <c r="J1682" i="1"/>
  <c r="H1682" i="1"/>
  <c r="M1682" i="1" s="1"/>
  <c r="O1680" i="1"/>
  <c r="M1680" i="1"/>
  <c r="L1680" i="1"/>
  <c r="J1680" i="1"/>
  <c r="H1680" i="1"/>
  <c r="O1679" i="1"/>
  <c r="M1679" i="1"/>
  <c r="L1679" i="1"/>
  <c r="J1679" i="1"/>
  <c r="H1679" i="1"/>
  <c r="O1676" i="1"/>
  <c r="L1676" i="1"/>
  <c r="M1676" i="1" s="1"/>
  <c r="J1676" i="1"/>
  <c r="H1676" i="1"/>
  <c r="O1673" i="1"/>
  <c r="L1673" i="1"/>
  <c r="M1673" i="1" s="1"/>
  <c r="J1673" i="1"/>
  <c r="H1673" i="1"/>
  <c r="O1672" i="1"/>
  <c r="L1672" i="1"/>
  <c r="J1672" i="1"/>
  <c r="H1672" i="1"/>
  <c r="M1672" i="1" s="1"/>
  <c r="O1671" i="1"/>
  <c r="L1671" i="1"/>
  <c r="J1671" i="1"/>
  <c r="H1671" i="1"/>
  <c r="O1670" i="1"/>
  <c r="L1670" i="1"/>
  <c r="J1670" i="1"/>
  <c r="H1670" i="1"/>
  <c r="M1670" i="1" s="1"/>
  <c r="O1669" i="1"/>
  <c r="L1669" i="1"/>
  <c r="J1669" i="1"/>
  <c r="H1669" i="1"/>
  <c r="M1669" i="1" s="1"/>
  <c r="O1668" i="1"/>
  <c r="M1668" i="1"/>
  <c r="L1668" i="1"/>
  <c r="J1668" i="1"/>
  <c r="H1668" i="1"/>
  <c r="O1667" i="1"/>
  <c r="M1667" i="1"/>
  <c r="L1667" i="1"/>
  <c r="J1667" i="1"/>
  <c r="H1667" i="1"/>
  <c r="O1666" i="1"/>
  <c r="L1666" i="1"/>
  <c r="M1666" i="1" s="1"/>
  <c r="J1666" i="1"/>
  <c r="H1666" i="1"/>
  <c r="O1665" i="1"/>
  <c r="L1665" i="1"/>
  <c r="J1665" i="1"/>
  <c r="H1665" i="1"/>
  <c r="M1665" i="1" s="1"/>
  <c r="O1664" i="1"/>
  <c r="L1664" i="1"/>
  <c r="J1664" i="1"/>
  <c r="H1664" i="1"/>
  <c r="M1664" i="1" s="1"/>
  <c r="O1663" i="1"/>
  <c r="M1663" i="1"/>
  <c r="L1663" i="1"/>
  <c r="J1663" i="1"/>
  <c r="H1663" i="1"/>
  <c r="O1662" i="1"/>
  <c r="M1662" i="1"/>
  <c r="L1662" i="1"/>
  <c r="J1662" i="1"/>
  <c r="H1662" i="1"/>
  <c r="O1660" i="1"/>
  <c r="L1660" i="1"/>
  <c r="M1660" i="1" s="1"/>
  <c r="J1660" i="1"/>
  <c r="H1660" i="1"/>
  <c r="O1659" i="1"/>
  <c r="L1659" i="1"/>
  <c r="M1659" i="1" s="1"/>
  <c r="J1659" i="1"/>
  <c r="H1659" i="1"/>
  <c r="O1658" i="1"/>
  <c r="L1658" i="1"/>
  <c r="J1658" i="1"/>
  <c r="H1658" i="1"/>
  <c r="M1658" i="1" s="1"/>
  <c r="O1657" i="1"/>
  <c r="L1657" i="1"/>
  <c r="J1657" i="1"/>
  <c r="H1657" i="1"/>
  <c r="M1657" i="1" s="1"/>
  <c r="O1656" i="1"/>
  <c r="L1656" i="1"/>
  <c r="M1656" i="1" s="1"/>
  <c r="J1656" i="1"/>
  <c r="H1656" i="1"/>
  <c r="O1655" i="1"/>
  <c r="L1655" i="1"/>
  <c r="M1655" i="1" s="1"/>
  <c r="J1655" i="1"/>
  <c r="H1655" i="1"/>
  <c r="O1654" i="1"/>
  <c r="L1654" i="1"/>
  <c r="J1654" i="1"/>
  <c r="H1654" i="1"/>
  <c r="M1654" i="1" s="1"/>
  <c r="O1653" i="1"/>
  <c r="L1653" i="1"/>
  <c r="J1653" i="1"/>
  <c r="H1653" i="1"/>
  <c r="M1653" i="1" s="1"/>
  <c r="O1651" i="1"/>
  <c r="L1651" i="1"/>
  <c r="J1651" i="1"/>
  <c r="H1651" i="1"/>
  <c r="O1649" i="1"/>
  <c r="M1649" i="1"/>
  <c r="L1649" i="1"/>
  <c r="J1649" i="1"/>
  <c r="H1649" i="1"/>
  <c r="O1648" i="1"/>
  <c r="M1648" i="1"/>
  <c r="L1648" i="1"/>
  <c r="J1648" i="1"/>
  <c r="H1648" i="1"/>
  <c r="O1647" i="1"/>
  <c r="L1647" i="1"/>
  <c r="M1647" i="1" s="1"/>
  <c r="J1647" i="1"/>
  <c r="H1647" i="1"/>
  <c r="O1646" i="1"/>
  <c r="L1646" i="1"/>
  <c r="M1646" i="1" s="1"/>
  <c r="J1646" i="1"/>
  <c r="H1646" i="1"/>
  <c r="O1645" i="1"/>
  <c r="L1645" i="1"/>
  <c r="J1645" i="1"/>
  <c r="H1645" i="1"/>
  <c r="M1645" i="1" s="1"/>
  <c r="O1644" i="1"/>
  <c r="L1644" i="1"/>
  <c r="J1644" i="1"/>
  <c r="H1644" i="1"/>
  <c r="O1643" i="1"/>
  <c r="L1643" i="1"/>
  <c r="J1643" i="1"/>
  <c r="H1643" i="1"/>
  <c r="M1643" i="1" s="1"/>
  <c r="O1642" i="1"/>
  <c r="L1642" i="1"/>
  <c r="J1642" i="1"/>
  <c r="H1642" i="1"/>
  <c r="M1642" i="1" s="1"/>
  <c r="O1639" i="1"/>
  <c r="L1639" i="1"/>
  <c r="M1639" i="1" s="1"/>
  <c r="J1639" i="1"/>
  <c r="H1639" i="1"/>
  <c r="O1638" i="1"/>
  <c r="L1638" i="1"/>
  <c r="M1638" i="1" s="1"/>
  <c r="J1638" i="1"/>
  <c r="H1638" i="1"/>
  <c r="O1637" i="1"/>
  <c r="L1637" i="1"/>
  <c r="M1637" i="1" s="1"/>
  <c r="J1637" i="1"/>
  <c r="H1637" i="1"/>
  <c r="O1636" i="1"/>
  <c r="L1636" i="1"/>
  <c r="J1636" i="1"/>
  <c r="H1636" i="1"/>
  <c r="M1636" i="1" s="1"/>
  <c r="O1635" i="1"/>
  <c r="L1635" i="1"/>
  <c r="J1635" i="1"/>
  <c r="H1635" i="1"/>
  <c r="M1635" i="1" s="1"/>
  <c r="O1634" i="1"/>
  <c r="L1634" i="1"/>
  <c r="J1634" i="1"/>
  <c r="H1634" i="1"/>
  <c r="M1634" i="1" s="1"/>
  <c r="O1632" i="1"/>
  <c r="L1632" i="1"/>
  <c r="M1632" i="1" s="1"/>
  <c r="J1632" i="1"/>
  <c r="H1632" i="1"/>
  <c r="O1631" i="1"/>
  <c r="M1631" i="1"/>
  <c r="L1631" i="1"/>
  <c r="J1631" i="1"/>
  <c r="H1631" i="1"/>
  <c r="O1630" i="1"/>
  <c r="L1630" i="1"/>
  <c r="J1630" i="1"/>
  <c r="H1630" i="1"/>
  <c r="M1630" i="1" s="1"/>
  <c r="O1629" i="1"/>
  <c r="L1629" i="1"/>
  <c r="J1629" i="1"/>
  <c r="H1629" i="1"/>
  <c r="M1629" i="1" s="1"/>
  <c r="O1628" i="1"/>
  <c r="L1628" i="1"/>
  <c r="J1628" i="1"/>
  <c r="H1628" i="1"/>
  <c r="M1628" i="1" s="1"/>
  <c r="O1626" i="1"/>
  <c r="L1626" i="1"/>
  <c r="M1626" i="1" s="1"/>
  <c r="J1626" i="1"/>
  <c r="H1626" i="1"/>
  <c r="O1625" i="1"/>
  <c r="M1625" i="1"/>
  <c r="L1625" i="1"/>
  <c r="J1625" i="1"/>
  <c r="H1625" i="1"/>
  <c r="O1623" i="1"/>
  <c r="L1623" i="1"/>
  <c r="J1623" i="1"/>
  <c r="H1623" i="1"/>
  <c r="O1622" i="1"/>
  <c r="L1622" i="1"/>
  <c r="J1622" i="1"/>
  <c r="H1622" i="1"/>
  <c r="M1622" i="1" s="1"/>
  <c r="O1620" i="1"/>
  <c r="L1620" i="1"/>
  <c r="J1620" i="1"/>
  <c r="H1620" i="1"/>
  <c r="M1620" i="1" s="1"/>
  <c r="O1619" i="1"/>
  <c r="M1619" i="1"/>
  <c r="L1619" i="1"/>
  <c r="J1619" i="1"/>
  <c r="H1619" i="1"/>
  <c r="O1616" i="1"/>
  <c r="M1616" i="1"/>
  <c r="L1616" i="1"/>
  <c r="J1616" i="1"/>
  <c r="H1616" i="1"/>
  <c r="O1613" i="1"/>
  <c r="L1613" i="1"/>
  <c r="M1613" i="1" s="1"/>
  <c r="J1613" i="1"/>
  <c r="H1613" i="1"/>
  <c r="O1612" i="1"/>
  <c r="L1612" i="1"/>
  <c r="M1612" i="1" s="1"/>
  <c r="J1612" i="1"/>
  <c r="H1612" i="1"/>
  <c r="O1611" i="1"/>
  <c r="L1611" i="1"/>
  <c r="J1611" i="1"/>
  <c r="H1611" i="1"/>
  <c r="M1611" i="1" s="1"/>
  <c r="O1610" i="1"/>
  <c r="L1610" i="1"/>
  <c r="J1610" i="1"/>
  <c r="H1610" i="1"/>
  <c r="O1609" i="1"/>
  <c r="L1609" i="1"/>
  <c r="J1609" i="1"/>
  <c r="H1609" i="1"/>
  <c r="M1609" i="1" s="1"/>
  <c r="O1608" i="1"/>
  <c r="L1608" i="1"/>
  <c r="J1608" i="1"/>
  <c r="H1608" i="1"/>
  <c r="M1608" i="1" s="1"/>
  <c r="O1607" i="1"/>
  <c r="M1607" i="1"/>
  <c r="L1607" i="1"/>
  <c r="J1607" i="1"/>
  <c r="H1607" i="1"/>
  <c r="O1606" i="1"/>
  <c r="M1606" i="1"/>
  <c r="L1606" i="1"/>
  <c r="J1606" i="1"/>
  <c r="H1606" i="1"/>
  <c r="O1605" i="1"/>
  <c r="M1605" i="1"/>
  <c r="L1605" i="1"/>
  <c r="J1605" i="1"/>
  <c r="H1605" i="1"/>
  <c r="O1604" i="1"/>
  <c r="L1604" i="1"/>
  <c r="J1604" i="1"/>
  <c r="H1604" i="1"/>
  <c r="M1604" i="1" s="1"/>
  <c r="O1603" i="1"/>
  <c r="L1603" i="1"/>
  <c r="J1603" i="1"/>
  <c r="H1603" i="1"/>
  <c r="M1603" i="1" s="1"/>
  <c r="O1602" i="1"/>
  <c r="L1602" i="1"/>
  <c r="J1602" i="1"/>
  <c r="H1602" i="1"/>
  <c r="M1602" i="1" s="1"/>
  <c r="O1600" i="1"/>
  <c r="M1600" i="1"/>
  <c r="L1600" i="1"/>
  <c r="J1600" i="1"/>
  <c r="H1600" i="1"/>
  <c r="O1599" i="1"/>
  <c r="L1599" i="1"/>
  <c r="O1598" i="1"/>
  <c r="L1598" i="1"/>
  <c r="J1598" i="1"/>
  <c r="H1598" i="1"/>
  <c r="M1598" i="1" s="1"/>
  <c r="O1597" i="1"/>
  <c r="M1597" i="1"/>
  <c r="L1597" i="1"/>
  <c r="J1597" i="1"/>
  <c r="H1597" i="1"/>
  <c r="O1596" i="1"/>
  <c r="M1596" i="1"/>
  <c r="L1596" i="1"/>
  <c r="J1596" i="1"/>
  <c r="H1596" i="1"/>
  <c r="O1595" i="1"/>
  <c r="M1595" i="1"/>
  <c r="L1595" i="1"/>
  <c r="J1595" i="1"/>
  <c r="H1595" i="1"/>
  <c r="O1594" i="1"/>
  <c r="L1594" i="1"/>
  <c r="J1594" i="1"/>
  <c r="H1594" i="1"/>
  <c r="M1594" i="1" s="1"/>
  <c r="O1593" i="1"/>
  <c r="L1593" i="1"/>
  <c r="J1593" i="1"/>
  <c r="H1593" i="1"/>
  <c r="M1593" i="1" s="1"/>
  <c r="O1591" i="1"/>
  <c r="L1591" i="1"/>
  <c r="M1591" i="1" s="1"/>
  <c r="J1591" i="1"/>
  <c r="H1591" i="1"/>
  <c r="O1589" i="1"/>
  <c r="L1589" i="1"/>
  <c r="M1589" i="1" s="1"/>
  <c r="J1589" i="1"/>
  <c r="H1589" i="1"/>
  <c r="O1588" i="1"/>
  <c r="L1588" i="1"/>
  <c r="J1588" i="1"/>
  <c r="H1588" i="1"/>
  <c r="O1587" i="1"/>
  <c r="L1587" i="1"/>
  <c r="J1587" i="1"/>
  <c r="H1587" i="1"/>
  <c r="M1587" i="1" s="1"/>
  <c r="O1586" i="1"/>
  <c r="L1586" i="1"/>
  <c r="J1586" i="1"/>
  <c r="H1586" i="1"/>
  <c r="O1585" i="1"/>
  <c r="M1585" i="1"/>
  <c r="L1585" i="1"/>
  <c r="J1585" i="1"/>
  <c r="H1585" i="1"/>
  <c r="O1584" i="1"/>
  <c r="L1584" i="1"/>
  <c r="J1584" i="1"/>
  <c r="H1584" i="1"/>
  <c r="M1584" i="1" s="1"/>
  <c r="O1583" i="1"/>
  <c r="L1583" i="1"/>
  <c r="M1583" i="1" s="1"/>
  <c r="J1583" i="1"/>
  <c r="H1583" i="1"/>
  <c r="O1582" i="1"/>
  <c r="L1582" i="1"/>
  <c r="M1582" i="1" s="1"/>
  <c r="J1582" i="1"/>
  <c r="H1582" i="1"/>
  <c r="O1579" i="1"/>
  <c r="M1579" i="1"/>
  <c r="L1579" i="1"/>
  <c r="J1579" i="1"/>
  <c r="H1579" i="1"/>
  <c r="O1578" i="1"/>
  <c r="L1578" i="1"/>
  <c r="J1578" i="1"/>
  <c r="H1578" i="1"/>
  <c r="O1577" i="1"/>
  <c r="L1577" i="1"/>
  <c r="J1577" i="1"/>
  <c r="H1577" i="1"/>
  <c r="M1577" i="1" s="1"/>
  <c r="O1576" i="1"/>
  <c r="L1576" i="1"/>
  <c r="J1576" i="1"/>
  <c r="H1576" i="1"/>
  <c r="M1576" i="1" s="1"/>
  <c r="O1575" i="1"/>
  <c r="L1575" i="1"/>
  <c r="M1575" i="1" s="1"/>
  <c r="J1575" i="1"/>
  <c r="H1575" i="1"/>
  <c r="O1574" i="1"/>
  <c r="L1574" i="1"/>
  <c r="M1574" i="1" s="1"/>
  <c r="J1574" i="1"/>
  <c r="H1574" i="1"/>
  <c r="O1572" i="1"/>
  <c r="M1572" i="1"/>
  <c r="L1572" i="1"/>
  <c r="J1572" i="1"/>
  <c r="H1572" i="1"/>
  <c r="O1571" i="1"/>
  <c r="L1571" i="1"/>
  <c r="J1571" i="1"/>
  <c r="H1571" i="1"/>
  <c r="O1570" i="1"/>
  <c r="L1570" i="1"/>
  <c r="J1570" i="1"/>
  <c r="H1570" i="1"/>
  <c r="M1570" i="1" s="1"/>
  <c r="O1569" i="1"/>
  <c r="L1569" i="1"/>
  <c r="O1568" i="1"/>
  <c r="L1568" i="1"/>
  <c r="J1568" i="1"/>
  <c r="H1568" i="1"/>
  <c r="M1568" i="1" s="1"/>
  <c r="O1566" i="1"/>
  <c r="L1566" i="1"/>
  <c r="J1566" i="1"/>
  <c r="H1566" i="1"/>
  <c r="M1566" i="1" s="1"/>
  <c r="O1565" i="1"/>
  <c r="M1565" i="1"/>
  <c r="L1565" i="1"/>
  <c r="J1565" i="1"/>
  <c r="H1565" i="1"/>
  <c r="O1563" i="1"/>
  <c r="M1563" i="1"/>
  <c r="L1563" i="1"/>
  <c r="J1563" i="1"/>
  <c r="H1563" i="1"/>
  <c r="O1562" i="1"/>
  <c r="L1562" i="1"/>
  <c r="M1562" i="1" s="1"/>
  <c r="J1562" i="1"/>
  <c r="H1562" i="1"/>
  <c r="O1560" i="1"/>
  <c r="L1560" i="1"/>
  <c r="J1560" i="1"/>
  <c r="H1560" i="1"/>
  <c r="M1560" i="1" s="1"/>
  <c r="O1559" i="1"/>
  <c r="L1559" i="1"/>
  <c r="J1559" i="1"/>
  <c r="H1559" i="1"/>
  <c r="M1559" i="1" s="1"/>
  <c r="O1556" i="1"/>
  <c r="L1556" i="1"/>
  <c r="J1556" i="1"/>
  <c r="H1556" i="1"/>
  <c r="M1556" i="1" s="1"/>
  <c r="O1553" i="1"/>
  <c r="L1553" i="1"/>
  <c r="M1553" i="1" s="1"/>
  <c r="J1553" i="1"/>
  <c r="H1553" i="1"/>
  <c r="O1552" i="1"/>
  <c r="L1552" i="1"/>
  <c r="M1552" i="1" s="1"/>
  <c r="J1552" i="1"/>
  <c r="H1552" i="1"/>
  <c r="O1551" i="1"/>
  <c r="L1551" i="1"/>
  <c r="J1551" i="1"/>
  <c r="H1551" i="1"/>
  <c r="M1551" i="1" s="1"/>
  <c r="O1550" i="1"/>
  <c r="M1550" i="1"/>
  <c r="L1550" i="1"/>
  <c r="J1550" i="1"/>
  <c r="H1550" i="1"/>
  <c r="O1549" i="1"/>
  <c r="L1549" i="1"/>
  <c r="J1549" i="1"/>
  <c r="H1549" i="1"/>
  <c r="O1548" i="1"/>
  <c r="L1548" i="1"/>
  <c r="J1548" i="1"/>
  <c r="H1548" i="1"/>
  <c r="M1548" i="1" s="1"/>
  <c r="O1547" i="1"/>
  <c r="L1547" i="1"/>
  <c r="J1547" i="1"/>
  <c r="H1547" i="1"/>
  <c r="M1547" i="1" s="1"/>
  <c r="O1546" i="1"/>
  <c r="L1546" i="1"/>
  <c r="M1546" i="1" s="1"/>
  <c r="J1546" i="1"/>
  <c r="H1546" i="1"/>
  <c r="O1545" i="1"/>
  <c r="M1545" i="1"/>
  <c r="L1545" i="1"/>
  <c r="J1545" i="1"/>
  <c r="H1545" i="1"/>
  <c r="O1544" i="1"/>
  <c r="M1544" i="1"/>
  <c r="L1544" i="1"/>
  <c r="J1544" i="1"/>
  <c r="H1544" i="1"/>
  <c r="O1543" i="1"/>
  <c r="L1543" i="1"/>
  <c r="J1543" i="1"/>
  <c r="H1543" i="1"/>
  <c r="O1542" i="1"/>
  <c r="L1542" i="1"/>
  <c r="J1542" i="1"/>
  <c r="H1542" i="1"/>
  <c r="M1542" i="1" s="1"/>
  <c r="O1540" i="1"/>
  <c r="L1540" i="1"/>
  <c r="J1540" i="1"/>
  <c r="H1540" i="1"/>
  <c r="M1540" i="1" s="1"/>
  <c r="O1539" i="1"/>
  <c r="M1539" i="1"/>
  <c r="L1539" i="1"/>
  <c r="J1539" i="1"/>
  <c r="H1539" i="1"/>
  <c r="O1538" i="1"/>
  <c r="M1538" i="1"/>
  <c r="L1538" i="1"/>
  <c r="J1538" i="1"/>
  <c r="H1538" i="1"/>
  <c r="O1537" i="1"/>
  <c r="L1537" i="1"/>
  <c r="M1537" i="1" s="1"/>
  <c r="J1537" i="1"/>
  <c r="H1537" i="1"/>
  <c r="O1536" i="1"/>
  <c r="L1536" i="1"/>
  <c r="J1536" i="1"/>
  <c r="H1536" i="1"/>
  <c r="M1536" i="1" s="1"/>
  <c r="O1535" i="1"/>
  <c r="L1535" i="1"/>
  <c r="J1535" i="1"/>
  <c r="H1535" i="1"/>
  <c r="M1535" i="1" s="1"/>
  <c r="O1534" i="1"/>
  <c r="M1534" i="1"/>
  <c r="L1534" i="1"/>
  <c r="J1534" i="1"/>
  <c r="H1534" i="1"/>
  <c r="O1533" i="1"/>
  <c r="L1533" i="1"/>
  <c r="M1533" i="1" s="1"/>
  <c r="J1533" i="1"/>
  <c r="H1533" i="1"/>
  <c r="O1531" i="1"/>
  <c r="L1531" i="1"/>
  <c r="M1531" i="1" s="1"/>
  <c r="J1531" i="1"/>
  <c r="H1531" i="1"/>
  <c r="O1529" i="1"/>
  <c r="L1529" i="1"/>
  <c r="J1529" i="1"/>
  <c r="H1529" i="1"/>
  <c r="M1529" i="1" s="1"/>
  <c r="O1528" i="1"/>
  <c r="L1528" i="1"/>
  <c r="J1528" i="1"/>
  <c r="H1528" i="1"/>
  <c r="M1528" i="1" s="1"/>
  <c r="O1527" i="1"/>
  <c r="L1527" i="1"/>
  <c r="J1527" i="1"/>
  <c r="H1527" i="1"/>
  <c r="M1527" i="1" s="1"/>
  <c r="O1526" i="1"/>
  <c r="L1526" i="1"/>
  <c r="M1526" i="1" s="1"/>
  <c r="J1526" i="1"/>
  <c r="H1526" i="1"/>
  <c r="O1525" i="1"/>
  <c r="L1525" i="1"/>
  <c r="M1525" i="1" s="1"/>
  <c r="J1525" i="1"/>
  <c r="H1525" i="1"/>
  <c r="O1524" i="1"/>
  <c r="L1524" i="1"/>
  <c r="J1524" i="1"/>
  <c r="H1524" i="1"/>
  <c r="M1524" i="1" s="1"/>
  <c r="O1523" i="1"/>
  <c r="L1523" i="1"/>
  <c r="J1523" i="1"/>
  <c r="H1523" i="1"/>
  <c r="M1523" i="1" s="1"/>
  <c r="O1522" i="1"/>
  <c r="L1522" i="1"/>
  <c r="J1522" i="1"/>
  <c r="H1522" i="1"/>
  <c r="O1519" i="1"/>
  <c r="M1519" i="1"/>
  <c r="L1519" i="1"/>
  <c r="J1519" i="1"/>
  <c r="H1519" i="1"/>
  <c r="O1518" i="1"/>
  <c r="L1518" i="1"/>
  <c r="J1518" i="1"/>
  <c r="H1518" i="1"/>
  <c r="M1518" i="1" s="1"/>
  <c r="O1517" i="1"/>
  <c r="L1517" i="1"/>
  <c r="M1517" i="1" s="1"/>
  <c r="J1517" i="1"/>
  <c r="H1517" i="1"/>
  <c r="O1516" i="1"/>
  <c r="L1516" i="1"/>
  <c r="M1516" i="1" s="1"/>
  <c r="J1516" i="1"/>
  <c r="H1516" i="1"/>
  <c r="O1515" i="1"/>
  <c r="L1515" i="1"/>
  <c r="M1515" i="1" s="1"/>
  <c r="J1515" i="1"/>
  <c r="H1515" i="1"/>
  <c r="O1514" i="1"/>
  <c r="L1514" i="1"/>
  <c r="J1514" i="1"/>
  <c r="H1514" i="1"/>
  <c r="O1512" i="1"/>
  <c r="L1512" i="1"/>
  <c r="J1512" i="1"/>
  <c r="H1512" i="1"/>
  <c r="M1512" i="1" s="1"/>
  <c r="O1511" i="1"/>
  <c r="M1511" i="1"/>
  <c r="L1511" i="1"/>
  <c r="J1511" i="1"/>
  <c r="H1511" i="1"/>
  <c r="O1510" i="1"/>
  <c r="M1510" i="1"/>
  <c r="L1510" i="1"/>
  <c r="J1510" i="1"/>
  <c r="H1510" i="1"/>
  <c r="O1509" i="1"/>
  <c r="L1509" i="1"/>
  <c r="M1509" i="1" s="1"/>
  <c r="J1509" i="1"/>
  <c r="H1509" i="1"/>
  <c r="O1508" i="1"/>
  <c r="L1508" i="1"/>
  <c r="M1508" i="1" s="1"/>
  <c r="J1508" i="1"/>
  <c r="H1508" i="1"/>
  <c r="O1506" i="1"/>
  <c r="L1506" i="1"/>
  <c r="J1506" i="1"/>
  <c r="H1506" i="1"/>
  <c r="M1506" i="1" s="1"/>
  <c r="O1505" i="1"/>
  <c r="M1505" i="1"/>
  <c r="L1505" i="1"/>
  <c r="J1505" i="1"/>
  <c r="H1505" i="1"/>
  <c r="O1503" i="1"/>
  <c r="M1503" i="1"/>
  <c r="L1503" i="1"/>
  <c r="J1503" i="1"/>
  <c r="H1503" i="1"/>
  <c r="O1502" i="1"/>
  <c r="L1502" i="1"/>
  <c r="M1502" i="1" s="1"/>
  <c r="J1502" i="1"/>
  <c r="H1502" i="1"/>
  <c r="O1501" i="1"/>
  <c r="L1501" i="1"/>
  <c r="M1501" i="1" s="1"/>
  <c r="J1501" i="1"/>
  <c r="H1501" i="1"/>
  <c r="O1500" i="1"/>
  <c r="L1500" i="1"/>
  <c r="J1500" i="1"/>
  <c r="H1500" i="1"/>
  <c r="M1500" i="1" s="1"/>
  <c r="O1499" i="1"/>
  <c r="L1499" i="1"/>
  <c r="J1499" i="1"/>
  <c r="H1499" i="1"/>
  <c r="M1499" i="1" s="1"/>
  <c r="O1496" i="1"/>
  <c r="L1496" i="1"/>
  <c r="J1496" i="1"/>
  <c r="H1496" i="1"/>
  <c r="M1496" i="1" s="1"/>
  <c r="O1493" i="1"/>
  <c r="L1493" i="1"/>
  <c r="J1493" i="1"/>
  <c r="H1493" i="1"/>
  <c r="M1493" i="1" s="1"/>
  <c r="O1492" i="1"/>
  <c r="L1492" i="1"/>
  <c r="M1492" i="1" s="1"/>
  <c r="J1492" i="1"/>
  <c r="H1492" i="1"/>
  <c r="O1491" i="1"/>
  <c r="L1491" i="1"/>
  <c r="J1491" i="1"/>
  <c r="H1491" i="1"/>
  <c r="M1491" i="1" s="1"/>
  <c r="O1490" i="1"/>
  <c r="L1490" i="1"/>
  <c r="J1490" i="1"/>
  <c r="H1490" i="1"/>
  <c r="M1490" i="1" s="1"/>
  <c r="O1489" i="1"/>
  <c r="L1489" i="1"/>
  <c r="J1489" i="1"/>
  <c r="H1489" i="1"/>
  <c r="O1488" i="1"/>
  <c r="M1488" i="1"/>
  <c r="L1488" i="1"/>
  <c r="J1488" i="1"/>
  <c r="H1488" i="1"/>
  <c r="O1487" i="1"/>
  <c r="L1487" i="1"/>
  <c r="J1487" i="1"/>
  <c r="H1487" i="1"/>
  <c r="M1487" i="1" s="1"/>
  <c r="O1486" i="1"/>
  <c r="L1486" i="1"/>
  <c r="M1486" i="1" s="1"/>
  <c r="J1486" i="1"/>
  <c r="H1486" i="1"/>
  <c r="O1485" i="1"/>
  <c r="M1485" i="1"/>
  <c r="L1485" i="1"/>
  <c r="J1485" i="1"/>
  <c r="H1485" i="1"/>
  <c r="O1484" i="1"/>
  <c r="M1484" i="1"/>
  <c r="L1484" i="1"/>
  <c r="J1484" i="1"/>
  <c r="H1484" i="1"/>
  <c r="O1483" i="1"/>
  <c r="L1483" i="1"/>
  <c r="J1483" i="1"/>
  <c r="H1483" i="1"/>
  <c r="M1483" i="1" s="1"/>
  <c r="O1482" i="1"/>
  <c r="L1482" i="1"/>
  <c r="J1482" i="1"/>
  <c r="H1482" i="1"/>
  <c r="M1482" i="1" s="1"/>
  <c r="O1480" i="1"/>
  <c r="L1480" i="1"/>
  <c r="J1480" i="1"/>
  <c r="H1480" i="1"/>
  <c r="M1480" i="1" s="1"/>
  <c r="O1479" i="1"/>
  <c r="L1479" i="1"/>
  <c r="M1479" i="1" s="1"/>
  <c r="J1479" i="1"/>
  <c r="H1479" i="1"/>
  <c r="O1478" i="1"/>
  <c r="L1478" i="1"/>
  <c r="M1478" i="1" s="1"/>
  <c r="J1478" i="1"/>
  <c r="H1478" i="1"/>
  <c r="O1477" i="1"/>
  <c r="L1477" i="1"/>
  <c r="J1477" i="1"/>
  <c r="H1477" i="1"/>
  <c r="M1477" i="1" s="1"/>
  <c r="O1476" i="1"/>
  <c r="L1476" i="1"/>
  <c r="J1476" i="1"/>
  <c r="H1476" i="1"/>
  <c r="M1476" i="1" s="1"/>
  <c r="O1475" i="1"/>
  <c r="L1475" i="1"/>
  <c r="J1475" i="1"/>
  <c r="H1475" i="1"/>
  <c r="M1475" i="1" s="1"/>
  <c r="O1474" i="1"/>
  <c r="M1474" i="1"/>
  <c r="L1474" i="1"/>
  <c r="J1474" i="1"/>
  <c r="H1474" i="1"/>
  <c r="O1473" i="1"/>
  <c r="L1473" i="1"/>
  <c r="M1473" i="1" s="1"/>
  <c r="J1473" i="1"/>
  <c r="H1473" i="1"/>
  <c r="O1471" i="1"/>
  <c r="L1471" i="1"/>
  <c r="M1471" i="1" s="1"/>
  <c r="J1471" i="1"/>
  <c r="H1471" i="1"/>
  <c r="O1469" i="1"/>
  <c r="L1469" i="1"/>
  <c r="J1469" i="1"/>
  <c r="H1469" i="1"/>
  <c r="O1468" i="1"/>
  <c r="L1468" i="1"/>
  <c r="J1468" i="1"/>
  <c r="H1468" i="1"/>
  <c r="M1468" i="1" s="1"/>
  <c r="O1467" i="1"/>
  <c r="L1467" i="1"/>
  <c r="J1467" i="1"/>
  <c r="H1467" i="1"/>
  <c r="M1467" i="1" s="1"/>
  <c r="O1466" i="1"/>
  <c r="M1466" i="1"/>
  <c r="L1466" i="1"/>
  <c r="J1466" i="1"/>
  <c r="H1466" i="1"/>
  <c r="O1465" i="1"/>
  <c r="L1465" i="1"/>
  <c r="M1465" i="1" s="1"/>
  <c r="J1465" i="1"/>
  <c r="H1465" i="1"/>
  <c r="O1464" i="1"/>
  <c r="L1464" i="1"/>
  <c r="J1464" i="1"/>
  <c r="H1464" i="1"/>
  <c r="M1464" i="1" s="1"/>
  <c r="O1463" i="1"/>
  <c r="L1463" i="1"/>
  <c r="J1463" i="1"/>
  <c r="H1463" i="1"/>
  <c r="M1463" i="1" s="1"/>
  <c r="O1462" i="1"/>
  <c r="L1462" i="1"/>
  <c r="J1462" i="1"/>
  <c r="H1462" i="1"/>
  <c r="O1459" i="1"/>
  <c r="M1459" i="1"/>
  <c r="L1459" i="1"/>
  <c r="J1459" i="1"/>
  <c r="H1459" i="1"/>
  <c r="O1458" i="1"/>
  <c r="L1458" i="1"/>
  <c r="J1458" i="1"/>
  <c r="H1458" i="1"/>
  <c r="M1458" i="1" s="1"/>
  <c r="O1457" i="1"/>
  <c r="L1457" i="1"/>
  <c r="M1457" i="1" s="1"/>
  <c r="J1457" i="1"/>
  <c r="H1457" i="1"/>
  <c r="O1456" i="1"/>
  <c r="L1456" i="1"/>
  <c r="M1456" i="1" s="1"/>
  <c r="J1456" i="1"/>
  <c r="H1456" i="1"/>
  <c r="O1455" i="1"/>
  <c r="L1455" i="1"/>
  <c r="M1455" i="1" s="1"/>
  <c r="J1455" i="1"/>
  <c r="H1455" i="1"/>
  <c r="O1454" i="1"/>
  <c r="L1454" i="1"/>
  <c r="J1454" i="1"/>
  <c r="H1454" i="1"/>
  <c r="O1452" i="1"/>
  <c r="L1452" i="1"/>
  <c r="J1452" i="1"/>
  <c r="H1452" i="1"/>
  <c r="M1452" i="1" s="1"/>
  <c r="O1451" i="1"/>
  <c r="M1451" i="1"/>
  <c r="L1451" i="1"/>
  <c r="J1451" i="1"/>
  <c r="H1451" i="1"/>
  <c r="O1450" i="1"/>
  <c r="M1450" i="1"/>
  <c r="L1450" i="1"/>
  <c r="J1450" i="1"/>
  <c r="H1450" i="1"/>
  <c r="O1449" i="1"/>
  <c r="L1449" i="1"/>
  <c r="M1449" i="1" s="1"/>
  <c r="J1449" i="1"/>
  <c r="H1449" i="1"/>
  <c r="O1448" i="1"/>
  <c r="L1448" i="1"/>
  <c r="M1448" i="1" s="1"/>
  <c r="J1448" i="1"/>
  <c r="H1448" i="1"/>
  <c r="O1446" i="1"/>
  <c r="L1446" i="1"/>
  <c r="J1446" i="1"/>
  <c r="H1446" i="1"/>
  <c r="M1446" i="1" s="1"/>
  <c r="O1445" i="1"/>
  <c r="M1445" i="1"/>
  <c r="L1445" i="1"/>
  <c r="J1445" i="1"/>
  <c r="H1445" i="1"/>
  <c r="O1443" i="1"/>
  <c r="M1443" i="1"/>
  <c r="L1443" i="1"/>
  <c r="J1443" i="1"/>
  <c r="H1443" i="1"/>
  <c r="O1442" i="1"/>
  <c r="L1442" i="1"/>
  <c r="M1442" i="1" s="1"/>
  <c r="J1442" i="1"/>
  <c r="H1442" i="1"/>
  <c r="O1441" i="1"/>
  <c r="L1441" i="1"/>
  <c r="M1441" i="1" s="1"/>
  <c r="J1441" i="1"/>
  <c r="H1441" i="1"/>
  <c r="O1440" i="1"/>
  <c r="L1440" i="1"/>
  <c r="J1440" i="1"/>
  <c r="H1440" i="1"/>
  <c r="O1439" i="1"/>
  <c r="L1439" i="1"/>
  <c r="J1439" i="1"/>
  <c r="H1439" i="1"/>
  <c r="M1439" i="1" s="1"/>
  <c r="O1436" i="1"/>
  <c r="L1436" i="1"/>
  <c r="J1436" i="1"/>
  <c r="H1436" i="1"/>
  <c r="M1436" i="1" s="1"/>
  <c r="O1433" i="1"/>
  <c r="L1433" i="1"/>
  <c r="M1433" i="1" s="1"/>
  <c r="J1433" i="1"/>
  <c r="H1433" i="1"/>
  <c r="O1432" i="1"/>
  <c r="L1432" i="1"/>
  <c r="M1432" i="1" s="1"/>
  <c r="J1432" i="1"/>
  <c r="H1432" i="1"/>
  <c r="O1431" i="1"/>
  <c r="L1431" i="1"/>
  <c r="J1431" i="1"/>
  <c r="H1431" i="1"/>
  <c r="M1431" i="1" s="1"/>
  <c r="O1430" i="1"/>
  <c r="L1430" i="1"/>
  <c r="J1430" i="1"/>
  <c r="H1430" i="1"/>
  <c r="M1430" i="1" s="1"/>
  <c r="O1429" i="1"/>
  <c r="L1429" i="1"/>
  <c r="J1429" i="1"/>
  <c r="H1429" i="1"/>
  <c r="M1429" i="1" s="1"/>
  <c r="O1428" i="1"/>
  <c r="L1428" i="1"/>
  <c r="M1428" i="1" s="1"/>
  <c r="J1428" i="1"/>
  <c r="H1428" i="1"/>
  <c r="O1427" i="1"/>
  <c r="M1427" i="1"/>
  <c r="L1427" i="1"/>
  <c r="J1427" i="1"/>
  <c r="H1427" i="1"/>
  <c r="O1426" i="1"/>
  <c r="L1426" i="1"/>
  <c r="J1426" i="1"/>
  <c r="H1426" i="1"/>
  <c r="M1426" i="1" s="1"/>
  <c r="O1425" i="1"/>
  <c r="L1425" i="1"/>
  <c r="M1425" i="1" s="1"/>
  <c r="J1425" i="1"/>
  <c r="H1425" i="1"/>
  <c r="O1424" i="1"/>
  <c r="L1424" i="1"/>
  <c r="J1424" i="1"/>
  <c r="H1424" i="1"/>
  <c r="M1424" i="1" s="1"/>
  <c r="O1423" i="1"/>
  <c r="L1423" i="1"/>
  <c r="M1423" i="1" s="1"/>
  <c r="J1423" i="1"/>
  <c r="H1423" i="1"/>
  <c r="O1422" i="1"/>
  <c r="L1422" i="1"/>
  <c r="J1422" i="1"/>
  <c r="H1422" i="1"/>
  <c r="M1422" i="1" s="1"/>
  <c r="O1420" i="1"/>
  <c r="L1420" i="1"/>
  <c r="J1420" i="1"/>
  <c r="H1420" i="1"/>
  <c r="O1419" i="1"/>
  <c r="L1419" i="1"/>
  <c r="M1419" i="1" s="1"/>
  <c r="J1419" i="1"/>
  <c r="H1419" i="1"/>
  <c r="O1418" i="1"/>
  <c r="L1418" i="1"/>
  <c r="J1418" i="1"/>
  <c r="H1418" i="1"/>
  <c r="M1418" i="1" s="1"/>
  <c r="O1417" i="1"/>
  <c r="L1417" i="1"/>
  <c r="M1417" i="1" s="1"/>
  <c r="J1417" i="1"/>
  <c r="H1417" i="1"/>
  <c r="O1416" i="1"/>
  <c r="L1416" i="1"/>
  <c r="J1416" i="1"/>
  <c r="H1416" i="1"/>
  <c r="O1415" i="1"/>
  <c r="L1415" i="1"/>
  <c r="J1415" i="1"/>
  <c r="H1415" i="1"/>
  <c r="M1415" i="1" s="1"/>
  <c r="O1414" i="1"/>
  <c r="L1414" i="1"/>
  <c r="J1414" i="1"/>
  <c r="H1414" i="1"/>
  <c r="M1414" i="1" s="1"/>
  <c r="O1413" i="1"/>
  <c r="L1413" i="1"/>
  <c r="J1413" i="1"/>
  <c r="H1413" i="1"/>
  <c r="M1413" i="1" s="1"/>
  <c r="O1411" i="1"/>
  <c r="L1411" i="1"/>
  <c r="M1411" i="1" s="1"/>
  <c r="J1411" i="1"/>
  <c r="H1411" i="1"/>
  <c r="O1409" i="1"/>
  <c r="L1409" i="1"/>
  <c r="M1409" i="1" s="1"/>
  <c r="J1409" i="1"/>
  <c r="H1409" i="1"/>
  <c r="O1408" i="1"/>
  <c r="L1408" i="1"/>
  <c r="M1408" i="1" s="1"/>
  <c r="J1408" i="1"/>
  <c r="H1408" i="1"/>
  <c r="O1407" i="1"/>
  <c r="L1407" i="1"/>
  <c r="J1407" i="1"/>
  <c r="H1407" i="1"/>
  <c r="M1407" i="1" s="1"/>
  <c r="O1406" i="1"/>
  <c r="L1406" i="1"/>
  <c r="J1406" i="1"/>
  <c r="H1406" i="1"/>
  <c r="M1406" i="1" s="1"/>
  <c r="O1405" i="1"/>
  <c r="M1405" i="1"/>
  <c r="L1405" i="1"/>
  <c r="J1405" i="1"/>
  <c r="H1405" i="1"/>
  <c r="O1404" i="1"/>
  <c r="M1404" i="1"/>
  <c r="L1404" i="1"/>
  <c r="J1404" i="1"/>
  <c r="H1404" i="1"/>
  <c r="O1403" i="1"/>
  <c r="L1403" i="1"/>
  <c r="M1403" i="1" s="1"/>
  <c r="J1403" i="1"/>
  <c r="H1403" i="1"/>
  <c r="O1402" i="1"/>
  <c r="L1402" i="1"/>
  <c r="J1402" i="1"/>
  <c r="H1402" i="1"/>
  <c r="M1402" i="1" s="1"/>
  <c r="O1399" i="1"/>
  <c r="L1399" i="1"/>
  <c r="J1399" i="1"/>
  <c r="H1399" i="1"/>
  <c r="M1399" i="1" s="1"/>
  <c r="O1398" i="1"/>
  <c r="M1398" i="1"/>
  <c r="L1398" i="1"/>
  <c r="J1398" i="1"/>
  <c r="H1398" i="1"/>
  <c r="O1397" i="1"/>
  <c r="L1397" i="1"/>
  <c r="M1397" i="1" s="1"/>
  <c r="J1397" i="1"/>
  <c r="H1397" i="1"/>
  <c r="O1396" i="1"/>
  <c r="L1396" i="1"/>
  <c r="M1396" i="1" s="1"/>
  <c r="J1396" i="1"/>
  <c r="H1396" i="1"/>
  <c r="O1395" i="1"/>
  <c r="L1395" i="1"/>
  <c r="J1395" i="1"/>
  <c r="H1395" i="1"/>
  <c r="M1395" i="1" s="1"/>
  <c r="O1394" i="1"/>
  <c r="L1394" i="1"/>
  <c r="J1394" i="1"/>
  <c r="H1394" i="1"/>
  <c r="M1394" i="1" s="1"/>
  <c r="O1392" i="1"/>
  <c r="L1392" i="1"/>
  <c r="J1392" i="1"/>
  <c r="H1392" i="1"/>
  <c r="M1392" i="1" s="1"/>
  <c r="O1391" i="1"/>
  <c r="L1391" i="1"/>
  <c r="M1391" i="1" s="1"/>
  <c r="J1391" i="1"/>
  <c r="H1391" i="1"/>
  <c r="O1390" i="1"/>
  <c r="L1390" i="1"/>
  <c r="M1390" i="1" s="1"/>
  <c r="J1390" i="1"/>
  <c r="H1390" i="1"/>
  <c r="O1389" i="1"/>
  <c r="L1389" i="1"/>
  <c r="J1389" i="1"/>
  <c r="H1389" i="1"/>
  <c r="O1388" i="1"/>
  <c r="L1388" i="1"/>
  <c r="J1388" i="1"/>
  <c r="H1388" i="1"/>
  <c r="M1388" i="1" s="1"/>
  <c r="O1386" i="1"/>
  <c r="L1386" i="1"/>
  <c r="J1386" i="1"/>
  <c r="H1386" i="1"/>
  <c r="O1385" i="1"/>
  <c r="M1385" i="1"/>
  <c r="L1385" i="1"/>
  <c r="J1385" i="1"/>
  <c r="H1385" i="1"/>
  <c r="O1383" i="1"/>
  <c r="M1383" i="1"/>
  <c r="L1383" i="1"/>
  <c r="J1383" i="1"/>
  <c r="H1383" i="1"/>
  <c r="O1382" i="1"/>
  <c r="L1382" i="1"/>
  <c r="J1382" i="1"/>
  <c r="H1382" i="1"/>
  <c r="M1382" i="1" s="1"/>
  <c r="O1381" i="1"/>
  <c r="L1381" i="1"/>
  <c r="M1381" i="1" s="1"/>
  <c r="J1381" i="1"/>
  <c r="H1381" i="1"/>
  <c r="O1380" i="1"/>
  <c r="L1380" i="1"/>
  <c r="J1380" i="1"/>
  <c r="H1380" i="1"/>
  <c r="M1380" i="1" s="1"/>
  <c r="O1379" i="1"/>
  <c r="M1379" i="1"/>
  <c r="L1379" i="1"/>
  <c r="J1379" i="1"/>
  <c r="H1379" i="1"/>
  <c r="O1376" i="1"/>
  <c r="L1376" i="1"/>
  <c r="M1376" i="1" s="1"/>
  <c r="J1376" i="1"/>
  <c r="H1376" i="1"/>
  <c r="O1373" i="1"/>
  <c r="L1373" i="1"/>
  <c r="M1373" i="1" s="1"/>
  <c r="J1373" i="1"/>
  <c r="H1373" i="1"/>
  <c r="O1372" i="1"/>
  <c r="L1372" i="1"/>
  <c r="J1372" i="1"/>
  <c r="H1372" i="1"/>
  <c r="M1372" i="1" s="1"/>
  <c r="O1371" i="1"/>
  <c r="L1371" i="1"/>
  <c r="J1371" i="1"/>
  <c r="H1371" i="1"/>
  <c r="M1371" i="1" s="1"/>
  <c r="O1370" i="1"/>
  <c r="L1370" i="1"/>
  <c r="J1370" i="1"/>
  <c r="H1370" i="1"/>
  <c r="M1370" i="1" s="1"/>
  <c r="O1369" i="1"/>
  <c r="L1369" i="1"/>
  <c r="M1369" i="1" s="1"/>
  <c r="J1369" i="1"/>
  <c r="H1369" i="1"/>
  <c r="O1368" i="1"/>
  <c r="L1368" i="1"/>
  <c r="M1368" i="1" s="1"/>
  <c r="J1368" i="1"/>
  <c r="H1368" i="1"/>
  <c r="O1367" i="1"/>
  <c r="M1367" i="1"/>
  <c r="L1367" i="1"/>
  <c r="J1367" i="1"/>
  <c r="H1367" i="1"/>
  <c r="O1366" i="1"/>
  <c r="L1366" i="1"/>
  <c r="J1366" i="1"/>
  <c r="H1366" i="1"/>
  <c r="O1365" i="1"/>
  <c r="L1365" i="1"/>
  <c r="O1364" i="1"/>
  <c r="L1364" i="1"/>
  <c r="M1364" i="1" s="1"/>
  <c r="J1364" i="1"/>
  <c r="H1364" i="1"/>
  <c r="O1363" i="1"/>
  <c r="L1363" i="1"/>
  <c r="J1363" i="1"/>
  <c r="H1363" i="1"/>
  <c r="O1362" i="1"/>
  <c r="L1362" i="1"/>
  <c r="J1362" i="1"/>
  <c r="H1362" i="1"/>
  <c r="M1362" i="1" s="1"/>
  <c r="O1360" i="1"/>
  <c r="M1360" i="1"/>
  <c r="L1360" i="1"/>
  <c r="J1360" i="1"/>
  <c r="H1360" i="1"/>
  <c r="O1359" i="1"/>
  <c r="M1359" i="1"/>
  <c r="L1359" i="1"/>
  <c r="J1359" i="1"/>
  <c r="H1359" i="1"/>
  <c r="O1358" i="1"/>
  <c r="L1358" i="1"/>
  <c r="M1358" i="1" s="1"/>
  <c r="J1358" i="1"/>
  <c r="H1358" i="1"/>
  <c r="O1357" i="1"/>
  <c r="L1357" i="1"/>
  <c r="M1357" i="1" s="1"/>
  <c r="J1357" i="1"/>
  <c r="H1357" i="1"/>
  <c r="O1356" i="1"/>
  <c r="L1356" i="1"/>
  <c r="J1356" i="1"/>
  <c r="H1356" i="1"/>
  <c r="M1356" i="1" s="1"/>
  <c r="O1355" i="1"/>
  <c r="L1355" i="1"/>
  <c r="J1355" i="1"/>
  <c r="H1355" i="1"/>
  <c r="M1355" i="1" s="1"/>
  <c r="O1354" i="1"/>
  <c r="L1354" i="1"/>
  <c r="J1354" i="1"/>
  <c r="H1354" i="1"/>
  <c r="M1354" i="1" s="1"/>
  <c r="O1353" i="1"/>
  <c r="L1353" i="1"/>
  <c r="M1353" i="1" s="1"/>
  <c r="J1353" i="1"/>
  <c r="H1353" i="1"/>
  <c r="O1351" i="1"/>
  <c r="L1351" i="1"/>
  <c r="M1351" i="1" s="1"/>
  <c r="J1351" i="1"/>
  <c r="H1351" i="1"/>
  <c r="O1349" i="1"/>
  <c r="L1349" i="1"/>
  <c r="J1349" i="1"/>
  <c r="H1349" i="1"/>
  <c r="M1349" i="1" s="1"/>
  <c r="O1348" i="1"/>
  <c r="L1348" i="1"/>
  <c r="J1348" i="1"/>
  <c r="H1348" i="1"/>
  <c r="O1347" i="1"/>
  <c r="L1347" i="1"/>
  <c r="J1347" i="1"/>
  <c r="H1347" i="1"/>
  <c r="M1347" i="1" s="1"/>
  <c r="O1346" i="1"/>
  <c r="L1346" i="1"/>
  <c r="J1346" i="1"/>
  <c r="H1346" i="1"/>
  <c r="M1346" i="1" s="1"/>
  <c r="O1345" i="1"/>
  <c r="M1345" i="1"/>
  <c r="L1345" i="1"/>
  <c r="J1345" i="1"/>
  <c r="H1345" i="1"/>
  <c r="O1344" i="1"/>
  <c r="M1344" i="1"/>
  <c r="L1344" i="1"/>
  <c r="J1344" i="1"/>
  <c r="H1344" i="1"/>
  <c r="O1343" i="1"/>
  <c r="L1343" i="1"/>
  <c r="M1343" i="1" s="1"/>
  <c r="J1343" i="1"/>
  <c r="H1343" i="1"/>
  <c r="O1342" i="1"/>
  <c r="L1342" i="1"/>
  <c r="J1342" i="1"/>
  <c r="H1342" i="1"/>
  <c r="M1342" i="1" s="1"/>
  <c r="O1339" i="1"/>
  <c r="L1339" i="1"/>
  <c r="J1339" i="1"/>
  <c r="H1339" i="1"/>
  <c r="M1339" i="1" s="1"/>
  <c r="O1338" i="1"/>
  <c r="L1338" i="1"/>
  <c r="J1338" i="1"/>
  <c r="H1338" i="1"/>
  <c r="M1338" i="1" s="1"/>
  <c r="O1337" i="1"/>
  <c r="L1337" i="1"/>
  <c r="M1337" i="1" s="1"/>
  <c r="J1337" i="1"/>
  <c r="H1337" i="1"/>
  <c r="O1336" i="1"/>
  <c r="L1336" i="1"/>
  <c r="M1336" i="1" s="1"/>
  <c r="J1336" i="1"/>
  <c r="H1336" i="1"/>
  <c r="O1335" i="1"/>
  <c r="L1335" i="1"/>
  <c r="O1334" i="1"/>
  <c r="L1334" i="1"/>
  <c r="M1334" i="1" s="1"/>
  <c r="J1334" i="1"/>
  <c r="H1334" i="1"/>
  <c r="O1332" i="1"/>
  <c r="L1332" i="1"/>
  <c r="M1332" i="1" s="1"/>
  <c r="J1332" i="1"/>
  <c r="H1332" i="1"/>
  <c r="O1331" i="1"/>
  <c r="L1331" i="1"/>
  <c r="J1331" i="1"/>
  <c r="H1331" i="1"/>
  <c r="M1331" i="1" s="1"/>
  <c r="O1330" i="1"/>
  <c r="L1330" i="1"/>
  <c r="J1330" i="1"/>
  <c r="H1330" i="1"/>
  <c r="M1330" i="1" s="1"/>
  <c r="O1329" i="1"/>
  <c r="L1329" i="1"/>
  <c r="O1328" i="1"/>
  <c r="M1328" i="1"/>
  <c r="L1328" i="1"/>
  <c r="J1328" i="1"/>
  <c r="H1328" i="1"/>
  <c r="O1326" i="1"/>
  <c r="L1326" i="1"/>
  <c r="J1326" i="1"/>
  <c r="H1326" i="1"/>
  <c r="O1325" i="1"/>
  <c r="L1325" i="1"/>
  <c r="J1325" i="1"/>
  <c r="H1325" i="1"/>
  <c r="M1325" i="1" s="1"/>
  <c r="O1323" i="1"/>
  <c r="L1323" i="1"/>
  <c r="J1323" i="1"/>
  <c r="H1323" i="1"/>
  <c r="M1323" i="1" s="1"/>
  <c r="O1322" i="1"/>
  <c r="M1322" i="1"/>
  <c r="L1322" i="1"/>
  <c r="J1322" i="1"/>
  <c r="H1322" i="1"/>
  <c r="O1321" i="1"/>
  <c r="L1321" i="1"/>
  <c r="M1321" i="1" s="1"/>
  <c r="J1321" i="1"/>
  <c r="H1321" i="1"/>
  <c r="O1320" i="1"/>
  <c r="L1320" i="1"/>
  <c r="O1319" i="1"/>
  <c r="M1319" i="1"/>
  <c r="L1319" i="1"/>
  <c r="J1319" i="1"/>
  <c r="H1319" i="1"/>
  <c r="O1316" i="1"/>
  <c r="L1316" i="1"/>
  <c r="M1316" i="1" s="1"/>
  <c r="J1316" i="1"/>
  <c r="H1316" i="1"/>
  <c r="M1043" i="1"/>
  <c r="M931" i="1"/>
  <c r="M713" i="1"/>
  <c r="M712" i="1"/>
  <c r="M711" i="1"/>
  <c r="M710" i="1"/>
  <c r="M709" i="1"/>
  <c r="M708" i="1"/>
  <c r="M707" i="1"/>
  <c r="M706" i="1"/>
  <c r="M705" i="1"/>
  <c r="M704" i="1"/>
  <c r="M703" i="1"/>
  <c r="M702" i="1"/>
  <c r="M700" i="1"/>
  <c r="M699" i="1"/>
  <c r="M698" i="1"/>
  <c r="M697" i="1"/>
  <c r="M696" i="1"/>
  <c r="M695" i="1"/>
  <c r="M694" i="1"/>
  <c r="M693" i="1"/>
  <c r="M691" i="1"/>
  <c r="M689" i="1"/>
  <c r="M688" i="1"/>
  <c r="M687" i="1"/>
  <c r="M686" i="1"/>
  <c r="M685" i="1"/>
  <c r="M684" i="1"/>
  <c r="M683" i="1"/>
  <c r="M682" i="1"/>
  <c r="M679" i="1"/>
  <c r="M678" i="1"/>
  <c r="M677" i="1"/>
  <c r="M676" i="1"/>
  <c r="M675" i="1"/>
  <c r="M674" i="1"/>
  <c r="M673" i="1"/>
  <c r="M672" i="1"/>
  <c r="M671" i="1"/>
  <c r="M670" i="1"/>
  <c r="M668" i="1"/>
  <c r="M666" i="1"/>
  <c r="M665" i="1"/>
  <c r="M664" i="1"/>
  <c r="M663" i="1"/>
  <c r="M661" i="1"/>
  <c r="M660" i="1"/>
  <c r="M659" i="1"/>
  <c r="M658" i="1"/>
  <c r="M657" i="1"/>
  <c r="M656" i="1"/>
  <c r="M655" i="1"/>
  <c r="M654" i="1"/>
  <c r="J318" i="1"/>
  <c r="R3534" i="1"/>
  <c r="S3534" i="1"/>
  <c r="R3594" i="1"/>
  <c r="S3594" i="1"/>
  <c r="R3654" i="1"/>
  <c r="S3654" i="1"/>
  <c r="R3714" i="1"/>
  <c r="S3714" i="1"/>
  <c r="R3774" i="1"/>
  <c r="S3774" i="1"/>
  <c r="M1389" i="1" l="1"/>
  <c r="M1469" i="1"/>
  <c r="M1543" i="1"/>
  <c r="M1967" i="1"/>
  <c r="M2090" i="1"/>
  <c r="M1348" i="1"/>
  <c r="M1440" i="1"/>
  <c r="M1697" i="1"/>
  <c r="M1784" i="1"/>
  <c r="M2260" i="1"/>
  <c r="M2410" i="1"/>
  <c r="M3426" i="1"/>
  <c r="M1326" i="1"/>
  <c r="M1366" i="1"/>
  <c r="M1571" i="1"/>
  <c r="M1623" i="1"/>
  <c r="M1723" i="1"/>
  <c r="M1812" i="1"/>
  <c r="M1836" i="1"/>
  <c r="M2004" i="1"/>
  <c r="M2683" i="1"/>
  <c r="M1363" i="1"/>
  <c r="M1420" i="1"/>
  <c r="M1588" i="1"/>
  <c r="M1930" i="1"/>
  <c r="M2056" i="1"/>
  <c r="M2857" i="1"/>
  <c r="M3369" i="1"/>
  <c r="M1386" i="1"/>
  <c r="M1586" i="1"/>
  <c r="M1651" i="1"/>
  <c r="M1769" i="1"/>
  <c r="M2134" i="1"/>
  <c r="M2289" i="1"/>
  <c r="M2435" i="1"/>
  <c r="M2592" i="1"/>
  <c r="M2607" i="1"/>
  <c r="M2976" i="1"/>
  <c r="M1462" i="1"/>
  <c r="M1522" i="1"/>
  <c r="M1610" i="1"/>
  <c r="M1671" i="1"/>
  <c r="M1790" i="1"/>
  <c r="M1902" i="1"/>
  <c r="M2030" i="1"/>
  <c r="M2789" i="1"/>
  <c r="M3488" i="1"/>
  <c r="M1489" i="1"/>
  <c r="M1549" i="1"/>
  <c r="M1578" i="1"/>
  <c r="M1644" i="1"/>
  <c r="M1705" i="1"/>
  <c r="M1729" i="1"/>
  <c r="M1763" i="1"/>
  <c r="M1843" i="1"/>
  <c r="M2077" i="1"/>
  <c r="M2273" i="1"/>
  <c r="M2750" i="1"/>
  <c r="M2949" i="1"/>
  <c r="M3154" i="1"/>
  <c r="M1416" i="1"/>
  <c r="M1454" i="1"/>
  <c r="M1514" i="1"/>
  <c r="M1937" i="1"/>
  <c r="M2086" i="1"/>
  <c r="M2169" i="1"/>
  <c r="M2408" i="1"/>
  <c r="M2452" i="1"/>
  <c r="M2502" i="1"/>
  <c r="M3371" i="1"/>
  <c r="M1946" i="1"/>
  <c r="M2146" i="1"/>
  <c r="M2290" i="1"/>
  <c r="M2364" i="1"/>
  <c r="M2411" i="1"/>
  <c r="M2507" i="1"/>
  <c r="M2570" i="1"/>
  <c r="M2624" i="1"/>
  <c r="M2659" i="1"/>
  <c r="M2768" i="1"/>
  <c r="M3050" i="1"/>
  <c r="M3217" i="1"/>
  <c r="M1985" i="1"/>
  <c r="M1998" i="1"/>
  <c r="M2196" i="1"/>
  <c r="M2223" i="1"/>
  <c r="M2271" i="1"/>
  <c r="M2295" i="1"/>
  <c r="M2324" i="1"/>
  <c r="M2416" i="1"/>
  <c r="M2845" i="1"/>
  <c r="M2911" i="1"/>
  <c r="M3104" i="1"/>
  <c r="M3276" i="1"/>
  <c r="M2057" i="1"/>
  <c r="M2128" i="1"/>
  <c r="M2163" i="1"/>
  <c r="M2208" i="1"/>
  <c r="M2554" i="1"/>
  <c r="M2724" i="1"/>
  <c r="M2772" i="1"/>
  <c r="M2980" i="1"/>
  <c r="M3036" i="1"/>
  <c r="M3264" i="1"/>
  <c r="M3327" i="1"/>
  <c r="M2114" i="1"/>
  <c r="M2150" i="1"/>
  <c r="M2211" i="1"/>
  <c r="M2279" i="1"/>
  <c r="M2342" i="1"/>
  <c r="M2551" i="1"/>
  <c r="M2623" i="1"/>
  <c r="M2727" i="1"/>
  <c r="M3084" i="1"/>
  <c r="M3103" i="1"/>
  <c r="M3147" i="1"/>
  <c r="M3517" i="1"/>
  <c r="M2356" i="1"/>
  <c r="M2392" i="1"/>
  <c r="M2485" i="1"/>
  <c r="M2526" i="1"/>
  <c r="M2590" i="1"/>
  <c r="M2657" i="1"/>
  <c r="M2675" i="1"/>
  <c r="M2744" i="1"/>
  <c r="M2787" i="1"/>
  <c r="M2807" i="1"/>
  <c r="M3037" i="1"/>
  <c r="M3079" i="1"/>
  <c r="M3448" i="1"/>
  <c r="M3471" i="1"/>
  <c r="M2450" i="1"/>
  <c r="M2494" i="1"/>
  <c r="M2556" i="1"/>
  <c r="M2649" i="1"/>
  <c r="M2843" i="1"/>
  <c r="M2871" i="1"/>
  <c r="M2896" i="1"/>
  <c r="M2931" i="1"/>
  <c r="M2959" i="1"/>
  <c r="M2992" i="1"/>
  <c r="M3017" i="1"/>
  <c r="M3372" i="1"/>
  <c r="M3404" i="1"/>
  <c r="M2194" i="1"/>
  <c r="M2258" i="1"/>
  <c r="M2319" i="1"/>
  <c r="M2362" i="1"/>
  <c r="M2489" i="1"/>
  <c r="M2680" i="1"/>
  <c r="M2691" i="1"/>
  <c r="M2748" i="1"/>
  <c r="M2811" i="1"/>
  <c r="M3100" i="1"/>
  <c r="M3130" i="1"/>
  <c r="L2746" i="5" l="1"/>
  <c r="K2746" i="5"/>
  <c r="O3833" i="1"/>
  <c r="L3833" i="1"/>
  <c r="J3833" i="1"/>
  <c r="H3833" i="1"/>
  <c r="O3832" i="1"/>
  <c r="L3832" i="1"/>
  <c r="J3832" i="1"/>
  <c r="H3832" i="1"/>
  <c r="O3831" i="1"/>
  <c r="L3831" i="1"/>
  <c r="J3831" i="1"/>
  <c r="H3831" i="1"/>
  <c r="O3830" i="1"/>
  <c r="M3830" i="1"/>
  <c r="L3830" i="1"/>
  <c r="J3830" i="1"/>
  <c r="H3830" i="1"/>
  <c r="O3829" i="1"/>
  <c r="L3829" i="1"/>
  <c r="J3829" i="1"/>
  <c r="H3829" i="1"/>
  <c r="M3829" i="1" s="1"/>
  <c r="O3823" i="1"/>
  <c r="L3823" i="1"/>
  <c r="J3823" i="1"/>
  <c r="H3823" i="1"/>
  <c r="M3823" i="1" s="1"/>
  <c r="O3818" i="1"/>
  <c r="L3818" i="1"/>
  <c r="J3818" i="1"/>
  <c r="H3818" i="1"/>
  <c r="M3818" i="1" s="1"/>
  <c r="O3817" i="1"/>
  <c r="L3817" i="1"/>
  <c r="J3817" i="1"/>
  <c r="H3817" i="1"/>
  <c r="O3816" i="1"/>
  <c r="L3816" i="1"/>
  <c r="J3816" i="1"/>
  <c r="H3816" i="1"/>
  <c r="M3816" i="1" s="1"/>
  <c r="O3815" i="1"/>
  <c r="M3815" i="1"/>
  <c r="L3815" i="1"/>
  <c r="J3815" i="1"/>
  <c r="H3815" i="1"/>
  <c r="O3814" i="1"/>
  <c r="L3814" i="1"/>
  <c r="J3814" i="1"/>
  <c r="H3814" i="1"/>
  <c r="O3811" i="1"/>
  <c r="M3811" i="1"/>
  <c r="L3811" i="1"/>
  <c r="J3811" i="1"/>
  <c r="H3811" i="1"/>
  <c r="O3809" i="1"/>
  <c r="L3809" i="1"/>
  <c r="J3809" i="1"/>
  <c r="H3809" i="1"/>
  <c r="M3809" i="1" s="1"/>
  <c r="O3808" i="1"/>
  <c r="L3808" i="1"/>
  <c r="M3808" i="1" s="1"/>
  <c r="J3808" i="1"/>
  <c r="H3808" i="1"/>
  <c r="O3807" i="1"/>
  <c r="M3807" i="1"/>
  <c r="L3807" i="1"/>
  <c r="J3807" i="1"/>
  <c r="H3807" i="1"/>
  <c r="O3806" i="1"/>
  <c r="L3806" i="1"/>
  <c r="J3806" i="1"/>
  <c r="H3806" i="1"/>
  <c r="M3806" i="1" s="1"/>
  <c r="O3805" i="1"/>
  <c r="L3805" i="1"/>
  <c r="J3805" i="1"/>
  <c r="H3805" i="1"/>
  <c r="M3805" i="1" s="1"/>
  <c r="O3804" i="1"/>
  <c r="L3804" i="1"/>
  <c r="J3804" i="1"/>
  <c r="H3804" i="1"/>
  <c r="O3803" i="1"/>
  <c r="L3803" i="1"/>
  <c r="J3803" i="1"/>
  <c r="H3803" i="1"/>
  <c r="M3803" i="1" s="1"/>
  <c r="O3802" i="1"/>
  <c r="L3802" i="1"/>
  <c r="J3802" i="1"/>
  <c r="H3802" i="1"/>
  <c r="M3802" i="1" s="1"/>
  <c r="O3799" i="1"/>
  <c r="L3799" i="1"/>
  <c r="J3799" i="1"/>
  <c r="H3799" i="1"/>
  <c r="O3798" i="1"/>
  <c r="L3798" i="1"/>
  <c r="J3798" i="1"/>
  <c r="H3798" i="1"/>
  <c r="M3798" i="1" s="1"/>
  <c r="O3797" i="1"/>
  <c r="M3797" i="1"/>
  <c r="L3797" i="1"/>
  <c r="J3797" i="1"/>
  <c r="H3797" i="1"/>
  <c r="O3796" i="1"/>
  <c r="L3796" i="1"/>
  <c r="J3796" i="1"/>
  <c r="H3796" i="1"/>
  <c r="O3795" i="1"/>
  <c r="L3795" i="1"/>
  <c r="J3795" i="1"/>
  <c r="H3795" i="1"/>
  <c r="O3792" i="1"/>
  <c r="L3792" i="1"/>
  <c r="M3792" i="1" s="1"/>
  <c r="J3792" i="1"/>
  <c r="H3792" i="1"/>
  <c r="O3790" i="1"/>
  <c r="L3790" i="1"/>
  <c r="J3790" i="1"/>
  <c r="H3790" i="1"/>
  <c r="O3789" i="1"/>
  <c r="L3789" i="1"/>
  <c r="J3789" i="1"/>
  <c r="H3789" i="1"/>
  <c r="M3789" i="1" s="1"/>
  <c r="O3788" i="1"/>
  <c r="L3788" i="1"/>
  <c r="J3788" i="1"/>
  <c r="H3788" i="1"/>
  <c r="O3785" i="1"/>
  <c r="L3785" i="1"/>
  <c r="J3785" i="1"/>
  <c r="H3785" i="1"/>
  <c r="M3785" i="1" s="1"/>
  <c r="O3773" i="1"/>
  <c r="L3773" i="1"/>
  <c r="J3773" i="1"/>
  <c r="H3773" i="1"/>
  <c r="M3773" i="1" s="1"/>
  <c r="O3772" i="1"/>
  <c r="L3772" i="1"/>
  <c r="J3772" i="1"/>
  <c r="H3772" i="1"/>
  <c r="M3772" i="1" s="1"/>
  <c r="O3771" i="1"/>
  <c r="L3771" i="1"/>
  <c r="J3771" i="1"/>
  <c r="H3771" i="1"/>
  <c r="M3771" i="1" s="1"/>
  <c r="O3770" i="1"/>
  <c r="L3770" i="1"/>
  <c r="J3770" i="1"/>
  <c r="H3770" i="1"/>
  <c r="M3770" i="1" s="1"/>
  <c r="O3769" i="1"/>
  <c r="L3769" i="1"/>
  <c r="J3769" i="1"/>
  <c r="H3769" i="1"/>
  <c r="M3769" i="1" s="1"/>
  <c r="O3763" i="1"/>
  <c r="L3763" i="1"/>
  <c r="J3763" i="1"/>
  <c r="H3763" i="1"/>
  <c r="O3758" i="1"/>
  <c r="L3758" i="1"/>
  <c r="M3758" i="1" s="1"/>
  <c r="J3758" i="1"/>
  <c r="H3758" i="1"/>
  <c r="O3757" i="1"/>
  <c r="L3757" i="1"/>
  <c r="J3757" i="1"/>
  <c r="H3757" i="1"/>
  <c r="O3756" i="1"/>
  <c r="L3756" i="1"/>
  <c r="J3756" i="1"/>
  <c r="H3756" i="1"/>
  <c r="M3756" i="1" s="1"/>
  <c r="O3755" i="1"/>
  <c r="L3755" i="1"/>
  <c r="J3755" i="1"/>
  <c r="H3755" i="1"/>
  <c r="O3754" i="1"/>
  <c r="L3754" i="1"/>
  <c r="J3754" i="1"/>
  <c r="H3754" i="1"/>
  <c r="M3754" i="1" s="1"/>
  <c r="O3751" i="1"/>
  <c r="L3751" i="1"/>
  <c r="M3751" i="1" s="1"/>
  <c r="J3751" i="1"/>
  <c r="H3751" i="1"/>
  <c r="O3749" i="1"/>
  <c r="L3749" i="1"/>
  <c r="J3749" i="1"/>
  <c r="H3749" i="1"/>
  <c r="M3749" i="1" s="1"/>
  <c r="O3748" i="1"/>
  <c r="L3748" i="1"/>
  <c r="J3748" i="1"/>
  <c r="H3748" i="1"/>
  <c r="M3748" i="1" s="1"/>
  <c r="O3747" i="1"/>
  <c r="L3747" i="1"/>
  <c r="J3747" i="1"/>
  <c r="H3747" i="1"/>
  <c r="M3747" i="1" s="1"/>
  <c r="O3746" i="1"/>
  <c r="L3746" i="1"/>
  <c r="J3746" i="1"/>
  <c r="H3746" i="1"/>
  <c r="M3746" i="1" s="1"/>
  <c r="O3745" i="1"/>
  <c r="M3745" i="1"/>
  <c r="L3745" i="1"/>
  <c r="J3745" i="1"/>
  <c r="H3745" i="1"/>
  <c r="O3744" i="1"/>
  <c r="L3744" i="1"/>
  <c r="J3744" i="1"/>
  <c r="H3744" i="1"/>
  <c r="O3743" i="1"/>
  <c r="L3743" i="1"/>
  <c r="J3743" i="1"/>
  <c r="H3743" i="1"/>
  <c r="O3742" i="1"/>
  <c r="L3742" i="1"/>
  <c r="M3742" i="1" s="1"/>
  <c r="J3742" i="1"/>
  <c r="H3742" i="1"/>
  <c r="O3739" i="1"/>
  <c r="L3739" i="1"/>
  <c r="M3739" i="1" s="1"/>
  <c r="J3739" i="1"/>
  <c r="H3739" i="1"/>
  <c r="O3738" i="1"/>
  <c r="L3738" i="1"/>
  <c r="J3738" i="1"/>
  <c r="H3738" i="1"/>
  <c r="M3738" i="1" s="1"/>
  <c r="O3737" i="1"/>
  <c r="M3737" i="1"/>
  <c r="L3737" i="1"/>
  <c r="J3737" i="1"/>
  <c r="H3737" i="1"/>
  <c r="O3736" i="1"/>
  <c r="L3736" i="1"/>
  <c r="J3736" i="1"/>
  <c r="H3736" i="1"/>
  <c r="M3736" i="1" s="1"/>
  <c r="O3735" i="1"/>
  <c r="L3735" i="1"/>
  <c r="J3735" i="1"/>
  <c r="H3735" i="1"/>
  <c r="M3735" i="1" s="1"/>
  <c r="O3732" i="1"/>
  <c r="L3732" i="1"/>
  <c r="J3732" i="1"/>
  <c r="H3732" i="1"/>
  <c r="O3730" i="1"/>
  <c r="L3730" i="1"/>
  <c r="J3730" i="1"/>
  <c r="H3730" i="1"/>
  <c r="M3730" i="1" s="1"/>
  <c r="O3729" i="1"/>
  <c r="L3729" i="1"/>
  <c r="M3729" i="1" s="1"/>
  <c r="J3729" i="1"/>
  <c r="H3729" i="1"/>
  <c r="O3728" i="1"/>
  <c r="L3728" i="1"/>
  <c r="J3728" i="1"/>
  <c r="H3728" i="1"/>
  <c r="M3728" i="1" s="1"/>
  <c r="O3725" i="1"/>
  <c r="L3725" i="1"/>
  <c r="J3725" i="1"/>
  <c r="H3725" i="1"/>
  <c r="L2745" i="5"/>
  <c r="K2745" i="5"/>
  <c r="G1764" i="3"/>
  <c r="F1764" i="3"/>
  <c r="F1761" i="3"/>
  <c r="F1760" i="3"/>
  <c r="G1760" i="3" s="1"/>
  <c r="F1757" i="3"/>
  <c r="G1756" i="3"/>
  <c r="F1756" i="3"/>
  <c r="F1755" i="3"/>
  <c r="F1754" i="3"/>
  <c r="F1753" i="3"/>
  <c r="G1752" i="3"/>
  <c r="F1752" i="3"/>
  <c r="F1748" i="3"/>
  <c r="G1748" i="3" s="1"/>
  <c r="F1745" i="3"/>
  <c r="G1744" i="3" s="1"/>
  <c r="F1744" i="3"/>
  <c r="F1742" i="3"/>
  <c r="F1741" i="3"/>
  <c r="F1740" i="3"/>
  <c r="G1740" i="3" s="1"/>
  <c r="F1739" i="3"/>
  <c r="F1738" i="3"/>
  <c r="F1737" i="3"/>
  <c r="G1736" i="3" s="1"/>
  <c r="F1736" i="3"/>
  <c r="L2744" i="5"/>
  <c r="K2744" i="5"/>
  <c r="O3713" i="1"/>
  <c r="L3713" i="1"/>
  <c r="M3713" i="1" s="1"/>
  <c r="J3713" i="1"/>
  <c r="H3713" i="1"/>
  <c r="O3712" i="1"/>
  <c r="L3712" i="1"/>
  <c r="J3712" i="1"/>
  <c r="H3712" i="1"/>
  <c r="M3712" i="1" s="1"/>
  <c r="O3711" i="1"/>
  <c r="L3711" i="1"/>
  <c r="J3711" i="1"/>
  <c r="H3711" i="1"/>
  <c r="O3710" i="1"/>
  <c r="L3710" i="1"/>
  <c r="J3710" i="1"/>
  <c r="H3710" i="1"/>
  <c r="M3710" i="1" s="1"/>
  <c r="O3709" i="1"/>
  <c r="L3709" i="1"/>
  <c r="J3709" i="1"/>
  <c r="H3709" i="1"/>
  <c r="O3703" i="1"/>
  <c r="M3703" i="1"/>
  <c r="L3703" i="1"/>
  <c r="J3703" i="1"/>
  <c r="H3703" i="1"/>
  <c r="O3698" i="1"/>
  <c r="L3698" i="1"/>
  <c r="J3698" i="1"/>
  <c r="H3698" i="1"/>
  <c r="M3698" i="1" s="1"/>
  <c r="O3697" i="1"/>
  <c r="L3697" i="1"/>
  <c r="J3697" i="1"/>
  <c r="H3697" i="1"/>
  <c r="M3697" i="1" s="1"/>
  <c r="O3696" i="1"/>
  <c r="L3696" i="1"/>
  <c r="J3696" i="1"/>
  <c r="H3696" i="1"/>
  <c r="O3695" i="1"/>
  <c r="L3695" i="1"/>
  <c r="J3695" i="1"/>
  <c r="H3695" i="1"/>
  <c r="O3694" i="1"/>
  <c r="L3694" i="1"/>
  <c r="J3694" i="1"/>
  <c r="H3694" i="1"/>
  <c r="M3694" i="1" s="1"/>
  <c r="O3691" i="1"/>
  <c r="L3691" i="1"/>
  <c r="J3691" i="1"/>
  <c r="H3691" i="1"/>
  <c r="O3689" i="1"/>
  <c r="L3689" i="1"/>
  <c r="J3689" i="1"/>
  <c r="H3689" i="1"/>
  <c r="M3689" i="1" s="1"/>
  <c r="O3688" i="1"/>
  <c r="M3688" i="1"/>
  <c r="L3688" i="1"/>
  <c r="J3688" i="1"/>
  <c r="H3688" i="1"/>
  <c r="O3687" i="1"/>
  <c r="L3687" i="1"/>
  <c r="J3687" i="1"/>
  <c r="H3687" i="1"/>
  <c r="M3687" i="1" s="1"/>
  <c r="O3686" i="1"/>
  <c r="L3686" i="1"/>
  <c r="J3686" i="1"/>
  <c r="H3686" i="1"/>
  <c r="O3685" i="1"/>
  <c r="L3685" i="1"/>
  <c r="J3685" i="1"/>
  <c r="H3685" i="1"/>
  <c r="M3685" i="1" s="1"/>
  <c r="O3684" i="1"/>
  <c r="L3684" i="1"/>
  <c r="J3684" i="1"/>
  <c r="H3684" i="1"/>
  <c r="O3683" i="1"/>
  <c r="L3683" i="1"/>
  <c r="J3683" i="1"/>
  <c r="H3683" i="1"/>
  <c r="O3682" i="1"/>
  <c r="M3682" i="1"/>
  <c r="L3682" i="1"/>
  <c r="J3682" i="1"/>
  <c r="H3682" i="1"/>
  <c r="O3679" i="1"/>
  <c r="L3679" i="1"/>
  <c r="J3679" i="1"/>
  <c r="H3679" i="1"/>
  <c r="M3679" i="1" s="1"/>
  <c r="O3678" i="1"/>
  <c r="L3678" i="1"/>
  <c r="J3678" i="1"/>
  <c r="H3678" i="1"/>
  <c r="M3678" i="1" s="1"/>
  <c r="O3677" i="1"/>
  <c r="L3677" i="1"/>
  <c r="J3677" i="1"/>
  <c r="H3677" i="1"/>
  <c r="M3677" i="1" s="1"/>
  <c r="O3676" i="1"/>
  <c r="L3676" i="1"/>
  <c r="J3676" i="1"/>
  <c r="H3676" i="1"/>
  <c r="M3676" i="1" s="1"/>
  <c r="O3675" i="1"/>
  <c r="L3675" i="1"/>
  <c r="O3672" i="1"/>
  <c r="M3672" i="1"/>
  <c r="L3672" i="1"/>
  <c r="J3672" i="1"/>
  <c r="H3672" i="1"/>
  <c r="O3670" i="1"/>
  <c r="L3670" i="1"/>
  <c r="O3669" i="1"/>
  <c r="L3669" i="1"/>
  <c r="J3669" i="1"/>
  <c r="H3669" i="1"/>
  <c r="O3668" i="1"/>
  <c r="L3668" i="1"/>
  <c r="J3668" i="1"/>
  <c r="H3668" i="1"/>
  <c r="M3668" i="1" s="1"/>
  <c r="O3665" i="1"/>
  <c r="L3665" i="1"/>
  <c r="M3665" i="1" s="1"/>
  <c r="J3665" i="1"/>
  <c r="H3665" i="1"/>
  <c r="L2743" i="5"/>
  <c r="K2743" i="5"/>
  <c r="O3653" i="1"/>
  <c r="L3653" i="1"/>
  <c r="J3653" i="1"/>
  <c r="H3653" i="1"/>
  <c r="O3652" i="1"/>
  <c r="L3652" i="1"/>
  <c r="J3652" i="1"/>
  <c r="H3652" i="1"/>
  <c r="M3652" i="1" s="1"/>
  <c r="O3651" i="1"/>
  <c r="L3651" i="1"/>
  <c r="O3650" i="1"/>
  <c r="L3650" i="1"/>
  <c r="J3650" i="1"/>
  <c r="H3650" i="1"/>
  <c r="M3650" i="1" s="1"/>
  <c r="O3649" i="1"/>
  <c r="M3649" i="1"/>
  <c r="L3649" i="1"/>
  <c r="J3649" i="1"/>
  <c r="H3649" i="1"/>
  <c r="O3643" i="1"/>
  <c r="L3643" i="1"/>
  <c r="J3643" i="1"/>
  <c r="H3643" i="1"/>
  <c r="M3643" i="1" s="1"/>
  <c r="O3638" i="1"/>
  <c r="L3638" i="1"/>
  <c r="J3638" i="1"/>
  <c r="H3638" i="1"/>
  <c r="O3637" i="1"/>
  <c r="L3637" i="1"/>
  <c r="J3637" i="1"/>
  <c r="H3637" i="1"/>
  <c r="O3636" i="1"/>
  <c r="L3636" i="1"/>
  <c r="J3636" i="1"/>
  <c r="H3636" i="1"/>
  <c r="O3635" i="1"/>
  <c r="L3635" i="1"/>
  <c r="J3635" i="1"/>
  <c r="H3635" i="1"/>
  <c r="O3634" i="1"/>
  <c r="M3634" i="1"/>
  <c r="L3634" i="1"/>
  <c r="J3634" i="1"/>
  <c r="H3634" i="1"/>
  <c r="O3631" i="1"/>
  <c r="L3631" i="1"/>
  <c r="J3631" i="1"/>
  <c r="H3631" i="1"/>
  <c r="M3631" i="1" s="1"/>
  <c r="O3629" i="1"/>
  <c r="L3629" i="1"/>
  <c r="J3629" i="1"/>
  <c r="H3629" i="1"/>
  <c r="O3628" i="1"/>
  <c r="L3628" i="1"/>
  <c r="O3627" i="1"/>
  <c r="L3627" i="1"/>
  <c r="M3627" i="1" s="1"/>
  <c r="J3627" i="1"/>
  <c r="H3627" i="1"/>
  <c r="O3626" i="1"/>
  <c r="L3626" i="1"/>
  <c r="J3626" i="1"/>
  <c r="H3626" i="1"/>
  <c r="M3626" i="1" s="1"/>
  <c r="O3625" i="1"/>
  <c r="M3625" i="1"/>
  <c r="L3625" i="1"/>
  <c r="J3625" i="1"/>
  <c r="H3625" i="1"/>
  <c r="O3624" i="1"/>
  <c r="L3624" i="1"/>
  <c r="J3624" i="1"/>
  <c r="H3624" i="1"/>
  <c r="M3624" i="1" s="1"/>
  <c r="O3623" i="1"/>
  <c r="L3623" i="1"/>
  <c r="J3623" i="1"/>
  <c r="H3623" i="1"/>
  <c r="O3622" i="1"/>
  <c r="M3622" i="1"/>
  <c r="L3622" i="1"/>
  <c r="J3622" i="1"/>
  <c r="H3622" i="1"/>
  <c r="O3619" i="1"/>
  <c r="L3619" i="1"/>
  <c r="J3619" i="1"/>
  <c r="H3619" i="1"/>
  <c r="M3619" i="1" s="1"/>
  <c r="O3618" i="1"/>
  <c r="L3618" i="1"/>
  <c r="M3618" i="1" s="1"/>
  <c r="J3618" i="1"/>
  <c r="H3618" i="1"/>
  <c r="O3617" i="1"/>
  <c r="L3617" i="1"/>
  <c r="J3617" i="1"/>
  <c r="H3617" i="1"/>
  <c r="M3617" i="1" s="1"/>
  <c r="O3616" i="1"/>
  <c r="L3616" i="1"/>
  <c r="J3616" i="1"/>
  <c r="H3616" i="1"/>
  <c r="M3616" i="1" s="1"/>
  <c r="O3615" i="1"/>
  <c r="L3615" i="1"/>
  <c r="J3615" i="1"/>
  <c r="H3615" i="1"/>
  <c r="M3615" i="1" s="1"/>
  <c r="O3612" i="1"/>
  <c r="L3612" i="1"/>
  <c r="J3612" i="1"/>
  <c r="H3612" i="1"/>
  <c r="M3612" i="1" s="1"/>
  <c r="O3610" i="1"/>
  <c r="L3610" i="1"/>
  <c r="O3609" i="1"/>
  <c r="L3609" i="1"/>
  <c r="J3609" i="1"/>
  <c r="H3609" i="1"/>
  <c r="O3608" i="1"/>
  <c r="L3608" i="1"/>
  <c r="J3608" i="1"/>
  <c r="H3608" i="1"/>
  <c r="M3608" i="1" s="1"/>
  <c r="O3605" i="1"/>
  <c r="M3605" i="1"/>
  <c r="L3605" i="1"/>
  <c r="J3605" i="1"/>
  <c r="H3605" i="1"/>
  <c r="K2741" i="5"/>
  <c r="L2742" i="5"/>
  <c r="K2742" i="5"/>
  <c r="O3593" i="1"/>
  <c r="L3593" i="1"/>
  <c r="J3593" i="1"/>
  <c r="H3593" i="1"/>
  <c r="M3593" i="1" s="1"/>
  <c r="O3592" i="1"/>
  <c r="L3592" i="1"/>
  <c r="J3592" i="1"/>
  <c r="H3592" i="1"/>
  <c r="O3591" i="1"/>
  <c r="L3591" i="1"/>
  <c r="J3591" i="1"/>
  <c r="H3591" i="1"/>
  <c r="M3591" i="1" s="1"/>
  <c r="O3590" i="1"/>
  <c r="L3590" i="1"/>
  <c r="J3590" i="1"/>
  <c r="H3590" i="1"/>
  <c r="O3589" i="1"/>
  <c r="L3589" i="1"/>
  <c r="J3589" i="1"/>
  <c r="H3589" i="1"/>
  <c r="M3589" i="1" s="1"/>
  <c r="O3584" i="1"/>
  <c r="L3584" i="1"/>
  <c r="J3584" i="1"/>
  <c r="H3584" i="1"/>
  <c r="O3583" i="1"/>
  <c r="L3583" i="1"/>
  <c r="J3583" i="1"/>
  <c r="H3583" i="1"/>
  <c r="M3583" i="1" s="1"/>
  <c r="O3580" i="1"/>
  <c r="L3580" i="1"/>
  <c r="J3580" i="1"/>
  <c r="H3580" i="1"/>
  <c r="M3580" i="1" s="1"/>
  <c r="O3578" i="1"/>
  <c r="L3578" i="1"/>
  <c r="J3578" i="1"/>
  <c r="H3578" i="1"/>
  <c r="M3578" i="1" s="1"/>
  <c r="O3577" i="1"/>
  <c r="L3577" i="1"/>
  <c r="J3577" i="1"/>
  <c r="H3577" i="1"/>
  <c r="M3577" i="1" s="1"/>
  <c r="O3576" i="1"/>
  <c r="L3576" i="1"/>
  <c r="M3576" i="1" s="1"/>
  <c r="J3576" i="1"/>
  <c r="H3576" i="1"/>
  <c r="O3574" i="1"/>
  <c r="L3574" i="1"/>
  <c r="J3574" i="1"/>
  <c r="H3574" i="1"/>
  <c r="M3574" i="1" s="1"/>
  <c r="O3571" i="1"/>
  <c r="M3571" i="1"/>
  <c r="L3571" i="1"/>
  <c r="J3571" i="1"/>
  <c r="H3571" i="1"/>
  <c r="O3569" i="1"/>
  <c r="L3569" i="1"/>
  <c r="J3569" i="1"/>
  <c r="H3569" i="1"/>
  <c r="M3569" i="1" s="1"/>
  <c r="O3568" i="1"/>
  <c r="L3568" i="1"/>
  <c r="J3568" i="1"/>
  <c r="H3568" i="1"/>
  <c r="O3567" i="1"/>
  <c r="L3567" i="1"/>
  <c r="J3567" i="1"/>
  <c r="H3567" i="1"/>
  <c r="M3567" i="1" s="1"/>
  <c r="O3566" i="1"/>
  <c r="L3566" i="1"/>
  <c r="M3566" i="1" s="1"/>
  <c r="J3566" i="1"/>
  <c r="H3566" i="1"/>
  <c r="O3565" i="1"/>
  <c r="L3565" i="1"/>
  <c r="J3565" i="1"/>
  <c r="H3565" i="1"/>
  <c r="M3565" i="1" s="1"/>
  <c r="O3564" i="1"/>
  <c r="M3564" i="1"/>
  <c r="L3564" i="1"/>
  <c r="J3564" i="1"/>
  <c r="H3564" i="1"/>
  <c r="O3563" i="1"/>
  <c r="L3563" i="1"/>
  <c r="J3563" i="1"/>
  <c r="H3563" i="1"/>
  <c r="O3562" i="1"/>
  <c r="L3562" i="1"/>
  <c r="J3562" i="1"/>
  <c r="H3562" i="1"/>
  <c r="M3562" i="1" s="1"/>
  <c r="O3559" i="1"/>
  <c r="L3559" i="1"/>
  <c r="J3559" i="1"/>
  <c r="H3559" i="1"/>
  <c r="M3559" i="1" s="1"/>
  <c r="O3558" i="1"/>
  <c r="L3558" i="1"/>
  <c r="J3558" i="1"/>
  <c r="H3558" i="1"/>
  <c r="M3558" i="1" s="1"/>
  <c r="O3557" i="1"/>
  <c r="M3557" i="1"/>
  <c r="L3557" i="1"/>
  <c r="J3557" i="1"/>
  <c r="H3557" i="1"/>
  <c r="O3556" i="1"/>
  <c r="L3556" i="1"/>
  <c r="J3556" i="1"/>
  <c r="H3556" i="1"/>
  <c r="M3556" i="1" s="1"/>
  <c r="O3555" i="1"/>
  <c r="L3555" i="1"/>
  <c r="M3555" i="1" s="1"/>
  <c r="J3555" i="1"/>
  <c r="H3555" i="1"/>
  <c r="O3554" i="1"/>
  <c r="L3554" i="1"/>
  <c r="J3554" i="1"/>
  <c r="O3552" i="1"/>
  <c r="L3552" i="1"/>
  <c r="M3552" i="1" s="1"/>
  <c r="J3552" i="1"/>
  <c r="H3552" i="1"/>
  <c r="O3551" i="1"/>
  <c r="L3551" i="1"/>
  <c r="J3551" i="1"/>
  <c r="H3551" i="1"/>
  <c r="M3551" i="1" s="1"/>
  <c r="O3550" i="1"/>
  <c r="L3550" i="1"/>
  <c r="J3550" i="1"/>
  <c r="H3550" i="1"/>
  <c r="O3549" i="1"/>
  <c r="L3549" i="1"/>
  <c r="J3549" i="1"/>
  <c r="H3549" i="1"/>
  <c r="M3549" i="1" s="1"/>
  <c r="O3548" i="1"/>
  <c r="M3548" i="1"/>
  <c r="L3548" i="1"/>
  <c r="J3548" i="1"/>
  <c r="H3548" i="1"/>
  <c r="O3546" i="1"/>
  <c r="L3546" i="1"/>
  <c r="J3546" i="1"/>
  <c r="H3546" i="1"/>
  <c r="M3546" i="1" s="1"/>
  <c r="O3545" i="1"/>
  <c r="L3545" i="1"/>
  <c r="J3545" i="1"/>
  <c r="H3545" i="1"/>
  <c r="M3545" i="1" s="1"/>
  <c r="O3543" i="1"/>
  <c r="L3543" i="1"/>
  <c r="J3543" i="1"/>
  <c r="H3543" i="1"/>
  <c r="L2741" i="5"/>
  <c r="L2740" i="5"/>
  <c r="K2740" i="5"/>
  <c r="L2739" i="5"/>
  <c r="K2739" i="5"/>
  <c r="S3354" i="1"/>
  <c r="L2738" i="5"/>
  <c r="K2738" i="5"/>
  <c r="L2737" i="5"/>
  <c r="K2737" i="5"/>
  <c r="F1671" i="3"/>
  <c r="F1670" i="3"/>
  <c r="F1669" i="3"/>
  <c r="G1668" i="3"/>
  <c r="F1668" i="3"/>
  <c r="F1667" i="3"/>
  <c r="F1666" i="3"/>
  <c r="G1664" i="3" s="1"/>
  <c r="F1665" i="3"/>
  <c r="F1664" i="3"/>
  <c r="F1663" i="3"/>
  <c r="F1662" i="3"/>
  <c r="F1661" i="3"/>
  <c r="F1660" i="3"/>
  <c r="G1660" i="3" s="1"/>
  <c r="F1659" i="3"/>
  <c r="F1658" i="3"/>
  <c r="F1657" i="3"/>
  <c r="F1656" i="3"/>
  <c r="G1656" i="3" s="1"/>
  <c r="S3234" i="1"/>
  <c r="F1655" i="3"/>
  <c r="F1654" i="3"/>
  <c r="F1653" i="3"/>
  <c r="G1652" i="3"/>
  <c r="F1652" i="3"/>
  <c r="F1651" i="3"/>
  <c r="F1650" i="3"/>
  <c r="F1649" i="3"/>
  <c r="F1648" i="3"/>
  <c r="G1648" i="3" s="1"/>
  <c r="F1647" i="3"/>
  <c r="F1646" i="3"/>
  <c r="F1645" i="3"/>
  <c r="F1644" i="3"/>
  <c r="G1644" i="3" s="1"/>
  <c r="F1643" i="3"/>
  <c r="F1642" i="3"/>
  <c r="F1641" i="3"/>
  <c r="F1640" i="3"/>
  <c r="G1640" i="3" s="1"/>
  <c r="L2736" i="5"/>
  <c r="K2736" i="5"/>
  <c r="L2735" i="5"/>
  <c r="K2735" i="5"/>
  <c r="F1639" i="3"/>
  <c r="F1638" i="3"/>
  <c r="F1637" i="3"/>
  <c r="F1636" i="3"/>
  <c r="G1636" i="3" s="1"/>
  <c r="F1635" i="3"/>
  <c r="F1634" i="3"/>
  <c r="F1633" i="3"/>
  <c r="G1632" i="3" s="1"/>
  <c r="F1632" i="3"/>
  <c r="F1631" i="3"/>
  <c r="F1630" i="3"/>
  <c r="F1629" i="3"/>
  <c r="G1628" i="3"/>
  <c r="F1628" i="3"/>
  <c r="F1627" i="3"/>
  <c r="F1626" i="3"/>
  <c r="F1625" i="3"/>
  <c r="F1624" i="3"/>
  <c r="G1624" i="3" s="1"/>
  <c r="F1620" i="3"/>
  <c r="G1620" i="3" s="1"/>
  <c r="F1617" i="3"/>
  <c r="G1616" i="3"/>
  <c r="F1616" i="3"/>
  <c r="F1612" i="3"/>
  <c r="G1612" i="3" s="1"/>
  <c r="F1611" i="3"/>
  <c r="F1610" i="3"/>
  <c r="F1609" i="3"/>
  <c r="F1608" i="3"/>
  <c r="G1608" i="3" s="1"/>
  <c r="L2734" i="5"/>
  <c r="K2734" i="5"/>
  <c r="F1607" i="3"/>
  <c r="F1606" i="3"/>
  <c r="F1605" i="3"/>
  <c r="G1604" i="3"/>
  <c r="F1604" i="3"/>
  <c r="F1603" i="3"/>
  <c r="F1602" i="3"/>
  <c r="F1601" i="3"/>
  <c r="F1600" i="3"/>
  <c r="G1600" i="3" s="1"/>
  <c r="F1599" i="3"/>
  <c r="F1598" i="3"/>
  <c r="G1596" i="3" s="1"/>
  <c r="F1597" i="3"/>
  <c r="F1596" i="3"/>
  <c r="F1595" i="3"/>
  <c r="F1594" i="3"/>
  <c r="F1593" i="3"/>
  <c r="F1592" i="3"/>
  <c r="G1592" i="3" s="1"/>
  <c r="F1589" i="3"/>
  <c r="G1588" i="3"/>
  <c r="F1588" i="3"/>
  <c r="F1585" i="3"/>
  <c r="F1584" i="3"/>
  <c r="G1584" i="3" s="1"/>
  <c r="F1581" i="3"/>
  <c r="G1580" i="3"/>
  <c r="F1580" i="3"/>
  <c r="F1579" i="3"/>
  <c r="F1578" i="3"/>
  <c r="F1577" i="3"/>
  <c r="F1576" i="3"/>
  <c r="G1576" i="3" s="1"/>
  <c r="L2733" i="5"/>
  <c r="K2733" i="5"/>
  <c r="L2732" i="5"/>
  <c r="K2732" i="5"/>
  <c r="L2731" i="5"/>
  <c r="K2731" i="5"/>
  <c r="L2730" i="5"/>
  <c r="K2730" i="5"/>
  <c r="F1573" i="3"/>
  <c r="G1572" i="3"/>
  <c r="F1572" i="3"/>
  <c r="F1570" i="3"/>
  <c r="G1568" i="3" s="1"/>
  <c r="F1569" i="3"/>
  <c r="F1568" i="3"/>
  <c r="G1564" i="3"/>
  <c r="F1564" i="3"/>
  <c r="F1563" i="3"/>
  <c r="F1562" i="3"/>
  <c r="F1561" i="3"/>
  <c r="F1560" i="3"/>
  <c r="G1560" i="3" s="1"/>
  <c r="F1557" i="3"/>
  <c r="G1556" i="3"/>
  <c r="F1556" i="3"/>
  <c r="F1555" i="3"/>
  <c r="F1554" i="3"/>
  <c r="F1553" i="3"/>
  <c r="F1552" i="3"/>
  <c r="G1552" i="3" s="1"/>
  <c r="F1551" i="3"/>
  <c r="F1550" i="3"/>
  <c r="G1548" i="3" s="1"/>
  <c r="F1549" i="3"/>
  <c r="F1548" i="3"/>
  <c r="F1547" i="3"/>
  <c r="F1546" i="3"/>
  <c r="F1545" i="3"/>
  <c r="F1544" i="3"/>
  <c r="G1544" i="3" s="1"/>
  <c r="F1515" i="3"/>
  <c r="F1514" i="3"/>
  <c r="F1513" i="3"/>
  <c r="G1512" i="3" s="1"/>
  <c r="F1512" i="3"/>
  <c r="F1540" i="3"/>
  <c r="G1540" i="3" s="1"/>
  <c r="F1536" i="3"/>
  <c r="G1536" i="3" s="1"/>
  <c r="F1532" i="3"/>
  <c r="G1532" i="3" s="1"/>
  <c r="F1531" i="3"/>
  <c r="G1528" i="3" s="1"/>
  <c r="F1530" i="3"/>
  <c r="F1529" i="3"/>
  <c r="F1528" i="3"/>
  <c r="F1525" i="3"/>
  <c r="F1524" i="3"/>
  <c r="G1524" i="3" s="1"/>
  <c r="F1522" i="3"/>
  <c r="F1521" i="3"/>
  <c r="F1520" i="3"/>
  <c r="G1520" i="3" s="1"/>
  <c r="F1518" i="3"/>
  <c r="F1517" i="3"/>
  <c r="F1516" i="3"/>
  <c r="G1516" i="3" s="1"/>
  <c r="F1508" i="3"/>
  <c r="G1508" i="3" s="1"/>
  <c r="F1504" i="3"/>
  <c r="G1504" i="3" s="1"/>
  <c r="F1500" i="3"/>
  <c r="G1500" i="3" s="1"/>
  <c r="F1497" i="3"/>
  <c r="G1496" i="3" s="1"/>
  <c r="F1496" i="3"/>
  <c r="I2732" i="5"/>
  <c r="I2731" i="5"/>
  <c r="I2730" i="5"/>
  <c r="I2729" i="5"/>
  <c r="I2728" i="5"/>
  <c r="I2727" i="5"/>
  <c r="I2574" i="5"/>
  <c r="G2732" i="5"/>
  <c r="G2731" i="5"/>
  <c r="G2730" i="5"/>
  <c r="G2729" i="5"/>
  <c r="G2728" i="5"/>
  <c r="G2727" i="5"/>
  <c r="G2574" i="5"/>
  <c r="K2334" i="5"/>
  <c r="S3174" i="1" l="1"/>
  <c r="M3744" i="1"/>
  <c r="M3796" i="1"/>
  <c r="M3814" i="1"/>
  <c r="S3414" i="1"/>
  <c r="M3637" i="1"/>
  <c r="M3832" i="1"/>
  <c r="S2994" i="1"/>
  <c r="S3294" i="1"/>
  <c r="R3114" i="1"/>
  <c r="R3174" i="1"/>
  <c r="R3474" i="1"/>
  <c r="M3550" i="1"/>
  <c r="M3584" i="1"/>
  <c r="M3636" i="1"/>
  <c r="M3638" i="1"/>
  <c r="M3653" i="1"/>
  <c r="M3684" i="1"/>
  <c r="M3686" i="1"/>
  <c r="M3709" i="1"/>
  <c r="M3711" i="1"/>
  <c r="M3755" i="1"/>
  <c r="M3788" i="1"/>
  <c r="M3831" i="1"/>
  <c r="M3833" i="1"/>
  <c r="R3054" i="1"/>
  <c r="M3568" i="1"/>
  <c r="M3590" i="1"/>
  <c r="M3592" i="1"/>
  <c r="M3609" i="1"/>
  <c r="M3629" i="1"/>
  <c r="M3669" i="1"/>
  <c r="M3696" i="1"/>
  <c r="M3725" i="1"/>
  <c r="M3743" i="1"/>
  <c r="M3757" i="1"/>
  <c r="M3790" i="1"/>
  <c r="M3795" i="1"/>
  <c r="M3804" i="1"/>
  <c r="M3543" i="1"/>
  <c r="M3691" i="1"/>
  <c r="M3732" i="1"/>
  <c r="M3763" i="1"/>
  <c r="M3799" i="1"/>
  <c r="M3817" i="1"/>
  <c r="S3114" i="1"/>
  <c r="S3474" i="1"/>
  <c r="R3294" i="1"/>
  <c r="S3054" i="1"/>
  <c r="S2934" i="1"/>
  <c r="F1495" i="3"/>
  <c r="F1494" i="3"/>
  <c r="F1493" i="3"/>
  <c r="F1492" i="3"/>
  <c r="G1492" i="3" s="1"/>
  <c r="F1491" i="3"/>
  <c r="F1490" i="3"/>
  <c r="F1489" i="3"/>
  <c r="G1488" i="3"/>
  <c r="F1488" i="3"/>
  <c r="F1487" i="3"/>
  <c r="F1486" i="3"/>
  <c r="F1485" i="3"/>
  <c r="G1484" i="3"/>
  <c r="F1484" i="3"/>
  <c r="F1483" i="3"/>
  <c r="F1482" i="3"/>
  <c r="G1480" i="3" s="1"/>
  <c r="F1481" i="3"/>
  <c r="F1480" i="3"/>
  <c r="F1471" i="3"/>
  <c r="F1470" i="3"/>
  <c r="F1469" i="3"/>
  <c r="F1468" i="3"/>
  <c r="F1479" i="3"/>
  <c r="F1478" i="3"/>
  <c r="F1477" i="3"/>
  <c r="F1476" i="3"/>
  <c r="G1476" i="3" s="1"/>
  <c r="F1475" i="3"/>
  <c r="F1474" i="3"/>
  <c r="F1473" i="3"/>
  <c r="F1472" i="3"/>
  <c r="F1467" i="3"/>
  <c r="F1466" i="3"/>
  <c r="F1465" i="3"/>
  <c r="F1464" i="3"/>
  <c r="G1464" i="3" s="1"/>
  <c r="R3414" i="1" l="1"/>
  <c r="R2934" i="1"/>
  <c r="R3354" i="1"/>
  <c r="R3234" i="1"/>
  <c r="R2994" i="1"/>
  <c r="S2874" i="1"/>
  <c r="S2814" i="1"/>
  <c r="G1472" i="3"/>
  <c r="G1468" i="3"/>
  <c r="R2814" i="1" l="1"/>
  <c r="R2874" i="1"/>
  <c r="L2729" i="5"/>
  <c r="L2728" i="5"/>
  <c r="L2727" i="5"/>
  <c r="L2574" i="5"/>
  <c r="L2514" i="5"/>
  <c r="L2454" i="5"/>
  <c r="L2394" i="5"/>
  <c r="L2334" i="5"/>
  <c r="L2274" i="5"/>
  <c r="L2214" i="5"/>
  <c r="L2154" i="5"/>
  <c r="L2094" i="5"/>
  <c r="L2034" i="5"/>
  <c r="L1974" i="5"/>
  <c r="L1914" i="5"/>
  <c r="L1854" i="5"/>
  <c r="L1794" i="5"/>
  <c r="L1734" i="5"/>
  <c r="L1674" i="5"/>
  <c r="L1614" i="5"/>
  <c r="L1554" i="5"/>
  <c r="L1494" i="5"/>
  <c r="L1434" i="5"/>
  <c r="L1374" i="5"/>
  <c r="L1314" i="5"/>
  <c r="L1254" i="5"/>
  <c r="L1194" i="5"/>
  <c r="L1134" i="5"/>
  <c r="L1074" i="5"/>
  <c r="L1014" i="5"/>
  <c r="L954" i="5"/>
  <c r="L894" i="5"/>
  <c r="L834" i="5"/>
  <c r="L774" i="5"/>
  <c r="L714" i="5"/>
  <c r="L654" i="5"/>
  <c r="L594" i="5"/>
  <c r="L534" i="5"/>
  <c r="L474" i="5"/>
  <c r="L414" i="5"/>
  <c r="L354" i="5"/>
  <c r="L294" i="5"/>
  <c r="L234" i="5"/>
  <c r="L174" i="5"/>
  <c r="L114" i="5"/>
  <c r="L58" i="5"/>
  <c r="L2" i="5"/>
  <c r="K2729" i="5" l="1"/>
  <c r="K2728" i="5"/>
  <c r="K2727" i="5"/>
  <c r="K2574" i="5"/>
  <c r="K2514" i="5"/>
  <c r="K2454" i="5"/>
  <c r="K2394" i="5"/>
  <c r="K2274" i="5"/>
  <c r="K2214" i="5"/>
  <c r="K2154" i="5"/>
  <c r="K2094" i="5"/>
  <c r="K2034" i="5"/>
  <c r="K1974" i="5"/>
  <c r="K1914" i="5"/>
  <c r="K1854" i="5"/>
  <c r="K1794" i="5"/>
  <c r="K1734" i="5"/>
  <c r="K1674" i="5"/>
  <c r="K1614" i="5"/>
  <c r="K1554" i="5"/>
  <c r="K1494" i="5"/>
  <c r="K1434" i="5"/>
  <c r="K1374" i="5"/>
  <c r="K1314" i="5"/>
  <c r="K1254" i="5"/>
  <c r="K1194" i="5"/>
  <c r="K1134" i="5"/>
  <c r="K1074" i="5"/>
  <c r="K1014" i="5"/>
  <c r="K954" i="5"/>
  <c r="K894" i="5"/>
  <c r="K834" i="5"/>
  <c r="K774" i="5"/>
  <c r="K714" i="5"/>
  <c r="K654" i="5"/>
  <c r="K594" i="5"/>
  <c r="K534" i="5"/>
  <c r="K474" i="5"/>
  <c r="K414" i="5"/>
  <c r="K354" i="5"/>
  <c r="K294" i="5"/>
  <c r="K234" i="5"/>
  <c r="K174" i="5"/>
  <c r="K114" i="5"/>
  <c r="K58" i="5"/>
  <c r="K2" i="5"/>
  <c r="F1462" i="3" l="1"/>
  <c r="F1461" i="3"/>
  <c r="G1460" i="3"/>
  <c r="F1460" i="3"/>
  <c r="F1458" i="3"/>
  <c r="F1457" i="3"/>
  <c r="G1456" i="3"/>
  <c r="F1456" i="3"/>
  <c r="F1455" i="3"/>
  <c r="F1454" i="3"/>
  <c r="F1453" i="3"/>
  <c r="G1452" i="3" s="1"/>
  <c r="F1452" i="3"/>
  <c r="F1451" i="3"/>
  <c r="F1450" i="3"/>
  <c r="F1449" i="3"/>
  <c r="F1448" i="3"/>
  <c r="G1448" i="3" s="1"/>
  <c r="F1447" i="3"/>
  <c r="F1446" i="3"/>
  <c r="F1445" i="3"/>
  <c r="F1444" i="3"/>
  <c r="G1444" i="3" s="1"/>
  <c r="F1442" i="3"/>
  <c r="F1441" i="3"/>
  <c r="F1440" i="3"/>
  <c r="G1440" i="3" s="1"/>
  <c r="F1439" i="3"/>
  <c r="F1438" i="3"/>
  <c r="F1437" i="3"/>
  <c r="G1436" i="3"/>
  <c r="F1436" i="3"/>
  <c r="F1435" i="3"/>
  <c r="F1434" i="3"/>
  <c r="F1433" i="3"/>
  <c r="G1432" i="3" s="1"/>
  <c r="F1432" i="3"/>
  <c r="S2754" i="1" l="1"/>
  <c r="F1431" i="3"/>
  <c r="F1430" i="3"/>
  <c r="F1429" i="3"/>
  <c r="F1428" i="3"/>
  <c r="G1428" i="3" s="1"/>
  <c r="F1424" i="3"/>
  <c r="G1424" i="3" s="1"/>
  <c r="F1423" i="3"/>
  <c r="F1422" i="3"/>
  <c r="F1421" i="3"/>
  <c r="G1420" i="3"/>
  <c r="F1420" i="3"/>
  <c r="F1419" i="3"/>
  <c r="F1418" i="3"/>
  <c r="F1417" i="3"/>
  <c r="G1416" i="3" s="1"/>
  <c r="F1416" i="3"/>
  <c r="F1414" i="3"/>
  <c r="F1413" i="3"/>
  <c r="G1412" i="3" s="1"/>
  <c r="F1412" i="3"/>
  <c r="F1408" i="3"/>
  <c r="G1408" i="3" s="1"/>
  <c r="F1407" i="3"/>
  <c r="F1406" i="3"/>
  <c r="F1405" i="3"/>
  <c r="G1404" i="3"/>
  <c r="F1404" i="3"/>
  <c r="F1403" i="3"/>
  <c r="F1402" i="3"/>
  <c r="F1401" i="3"/>
  <c r="G1400" i="3" s="1"/>
  <c r="F1400" i="3"/>
  <c r="F1396" i="3"/>
  <c r="G1396" i="3" s="1"/>
  <c r="G1392" i="3"/>
  <c r="F1392" i="3"/>
  <c r="F1388" i="3"/>
  <c r="G1388" i="3" s="1"/>
  <c r="G1384" i="3"/>
  <c r="F1384" i="3"/>
  <c r="R2754" i="1" l="1"/>
  <c r="S2694" i="1"/>
  <c r="R2694" i="1" l="1"/>
  <c r="F1381" i="3"/>
  <c r="F1380" i="3"/>
  <c r="G1380" i="3" s="1"/>
  <c r="F1378" i="3"/>
  <c r="F1377" i="3"/>
  <c r="G1376" i="3"/>
  <c r="F1376" i="3"/>
  <c r="F1373" i="3"/>
  <c r="F1372" i="3"/>
  <c r="G1372" i="3" s="1"/>
  <c r="F1371" i="3"/>
  <c r="F1370" i="3"/>
  <c r="F1369" i="3"/>
  <c r="G1368" i="3"/>
  <c r="F1368" i="3"/>
  <c r="F1367" i="3"/>
  <c r="F1366" i="3"/>
  <c r="F1365" i="3"/>
  <c r="F1364" i="3"/>
  <c r="G1364" i="3" s="1"/>
  <c r="F1363" i="3"/>
  <c r="F1362" i="3"/>
  <c r="G1360" i="3" s="1"/>
  <c r="F1361" i="3"/>
  <c r="F1360" i="3"/>
  <c r="F1359" i="3"/>
  <c r="F1358" i="3"/>
  <c r="F1357" i="3"/>
  <c r="F1356" i="3"/>
  <c r="G1356" i="3" s="1"/>
  <c r="F1355" i="3"/>
  <c r="F1354" i="3"/>
  <c r="F1353" i="3"/>
  <c r="F1352" i="3"/>
  <c r="G1352" i="3" s="1"/>
  <c r="S2634" i="1"/>
  <c r="R2634" i="1" l="1"/>
  <c r="I2514" i="5" l="1"/>
  <c r="I2454" i="5"/>
  <c r="I2394" i="5"/>
  <c r="I2334" i="5"/>
  <c r="I2274" i="5"/>
  <c r="I2214" i="5"/>
  <c r="I2154" i="5"/>
  <c r="I2094" i="5"/>
  <c r="I2034" i="5"/>
  <c r="I1974" i="5"/>
  <c r="I1914" i="5"/>
  <c r="I1854" i="5"/>
  <c r="I1794" i="5"/>
  <c r="I1734" i="5"/>
  <c r="I1674" i="5"/>
  <c r="I1614" i="5"/>
  <c r="I1554" i="5"/>
  <c r="I1494" i="5"/>
  <c r="I1434" i="5"/>
  <c r="I1374" i="5"/>
  <c r="I1314" i="5"/>
  <c r="I1254" i="5"/>
  <c r="I1194" i="5"/>
  <c r="I1134" i="5"/>
  <c r="I1074" i="5"/>
  <c r="I1014" i="5"/>
  <c r="I954" i="5"/>
  <c r="I894" i="5"/>
  <c r="I834" i="5"/>
  <c r="I774" i="5"/>
  <c r="I714" i="5"/>
  <c r="I654" i="5"/>
  <c r="I594" i="5"/>
  <c r="I534" i="5"/>
  <c r="I474" i="5"/>
  <c r="I414" i="5"/>
  <c r="I354" i="5"/>
  <c r="I294" i="5"/>
  <c r="I234" i="5"/>
  <c r="I174" i="5"/>
  <c r="I114" i="5"/>
  <c r="I58" i="5"/>
  <c r="I2" i="5"/>
  <c r="G2514" i="5"/>
  <c r="G2454" i="5"/>
  <c r="G2394" i="5"/>
  <c r="G2334" i="5"/>
  <c r="G2274" i="5"/>
  <c r="G2214" i="5"/>
  <c r="G2154" i="5"/>
  <c r="G2094" i="5"/>
  <c r="G2034" i="5"/>
  <c r="G1974" i="5"/>
  <c r="G1914" i="5"/>
  <c r="G1854" i="5"/>
  <c r="G1794" i="5"/>
  <c r="G1734" i="5"/>
  <c r="G1674" i="5"/>
  <c r="G1614" i="5"/>
  <c r="G1554" i="5"/>
  <c r="G1494" i="5"/>
  <c r="G1434" i="5"/>
  <c r="G1374" i="5"/>
  <c r="G1314" i="5"/>
  <c r="G1254" i="5"/>
  <c r="G1194" i="5"/>
  <c r="G1134" i="5"/>
  <c r="G1074" i="5"/>
  <c r="G1014" i="5"/>
  <c r="G954" i="5"/>
  <c r="G894" i="5"/>
  <c r="G834" i="5"/>
  <c r="G774" i="5"/>
  <c r="G714" i="5"/>
  <c r="G654" i="5"/>
  <c r="G594" i="5"/>
  <c r="G534" i="5"/>
  <c r="G474" i="5"/>
  <c r="G414" i="5"/>
  <c r="G354" i="5"/>
  <c r="G294" i="5"/>
  <c r="G234" i="5"/>
  <c r="G174" i="5"/>
  <c r="G114" i="5"/>
  <c r="G58" i="5"/>
  <c r="G2" i="5"/>
  <c r="S1254" i="1" l="1"/>
  <c r="S1194" i="1"/>
  <c r="S1134" i="1"/>
  <c r="S1074" i="1"/>
  <c r="S1014" i="1"/>
  <c r="S954" i="1"/>
  <c r="S894" i="1"/>
  <c r="S834" i="1"/>
  <c r="S774" i="1"/>
  <c r="S714" i="1"/>
  <c r="S654" i="1"/>
  <c r="S594" i="1"/>
  <c r="S534" i="1"/>
  <c r="S474" i="1"/>
  <c r="S414" i="1"/>
  <c r="S354" i="1"/>
  <c r="S294" i="1"/>
  <c r="S234" i="1"/>
  <c r="S174" i="1"/>
  <c r="S114" i="1"/>
  <c r="S58" i="1"/>
  <c r="S2" i="1"/>
  <c r="R1254" i="1"/>
  <c r="R1194" i="1"/>
  <c r="R1134" i="1"/>
  <c r="R1074" i="1"/>
  <c r="R954" i="1"/>
  <c r="R834" i="1"/>
  <c r="R774" i="1"/>
  <c r="R714" i="1"/>
  <c r="R594" i="1"/>
  <c r="R534" i="1"/>
  <c r="R474" i="1"/>
  <c r="R414" i="1"/>
  <c r="R354" i="1"/>
  <c r="R294" i="1"/>
  <c r="R234" i="1"/>
  <c r="R174" i="1"/>
  <c r="R114" i="1"/>
  <c r="R58" i="1"/>
  <c r="R2" i="1"/>
  <c r="F1351" i="3" l="1"/>
  <c r="F1350" i="3"/>
  <c r="F1349" i="3"/>
  <c r="G1348" i="3"/>
  <c r="F1348" i="3"/>
  <c r="F1347" i="3"/>
  <c r="F1346" i="3"/>
  <c r="F1345" i="3"/>
  <c r="F1344" i="3"/>
  <c r="G1344" i="3" s="1"/>
  <c r="F1343" i="3"/>
  <c r="F1342" i="3"/>
  <c r="F1341" i="3"/>
  <c r="F1340" i="3"/>
  <c r="G1340" i="3" s="1"/>
  <c r="F1339" i="3"/>
  <c r="F1338" i="3"/>
  <c r="F1337" i="3"/>
  <c r="F1336" i="3"/>
  <c r="G1336" i="3" s="1"/>
  <c r="G1332" i="3"/>
  <c r="F1332" i="3"/>
  <c r="F1328" i="3"/>
  <c r="G1328" i="3" s="1"/>
  <c r="F1325" i="3"/>
  <c r="G1324" i="3" s="1"/>
  <c r="F1324" i="3"/>
  <c r="F1321" i="3"/>
  <c r="G1320" i="3" s="1"/>
  <c r="F1320" i="3"/>
  <c r="S2574" i="1" l="1"/>
  <c r="R1014" i="1"/>
  <c r="R894" i="1"/>
  <c r="F1318" i="3"/>
  <c r="F1316" i="3"/>
  <c r="F1317" i="3"/>
  <c r="G1316" i="3"/>
  <c r="F1315" i="3"/>
  <c r="F1314" i="3"/>
  <c r="F1313" i="3"/>
  <c r="F1312" i="3"/>
  <c r="G1312" i="3"/>
  <c r="F1311" i="3"/>
  <c r="F1310" i="3"/>
  <c r="F1309" i="3"/>
  <c r="F1308" i="3"/>
  <c r="G1308" i="3"/>
  <c r="F1307" i="3"/>
  <c r="F1306" i="3"/>
  <c r="F1305" i="3"/>
  <c r="F1304" i="3"/>
  <c r="G1304" i="3"/>
  <c r="F1303" i="3"/>
  <c r="F1302" i="3"/>
  <c r="F1301" i="3"/>
  <c r="F1300" i="3"/>
  <c r="G1300" i="3"/>
  <c r="F1298" i="3"/>
  <c r="F1296" i="3"/>
  <c r="F1297" i="3"/>
  <c r="G1296" i="3"/>
  <c r="F1292" i="3"/>
  <c r="G1292" i="3"/>
  <c r="F1291" i="3"/>
  <c r="F1290" i="3"/>
  <c r="F1289" i="3"/>
  <c r="F1288" i="3"/>
  <c r="G1288" i="3"/>
  <c r="F359" i="3"/>
  <c r="F358" i="3"/>
  <c r="F357" i="3"/>
  <c r="F356" i="3"/>
  <c r="G359" i="3"/>
  <c r="F355" i="3"/>
  <c r="F354" i="3"/>
  <c r="F353" i="3"/>
  <c r="F352" i="3"/>
  <c r="F351" i="3"/>
  <c r="F350" i="3"/>
  <c r="F349" i="3"/>
  <c r="F348" i="3"/>
  <c r="F347" i="3"/>
  <c r="F346" i="3"/>
  <c r="F345" i="3"/>
  <c r="F344" i="3"/>
  <c r="F343" i="3"/>
  <c r="F342" i="3"/>
  <c r="F341" i="3"/>
  <c r="F340" i="3"/>
  <c r="F339" i="3"/>
  <c r="F338" i="3"/>
  <c r="F337" i="3"/>
  <c r="F336" i="3"/>
  <c r="G339" i="3"/>
  <c r="F335" i="3"/>
  <c r="F334" i="3"/>
  <c r="F333" i="3"/>
  <c r="F332" i="3"/>
  <c r="F331" i="3"/>
  <c r="F330" i="3"/>
  <c r="F329" i="3"/>
  <c r="F328" i="3"/>
  <c r="F321" i="3"/>
  <c r="F320" i="3"/>
  <c r="F313" i="3"/>
  <c r="F312" i="3"/>
  <c r="G347" i="3"/>
  <c r="G355" i="3"/>
  <c r="G313" i="3"/>
  <c r="G343" i="3"/>
  <c r="G331" i="3"/>
  <c r="G335" i="3"/>
  <c r="G321" i="3"/>
  <c r="G351" i="3"/>
  <c r="F1157" i="3"/>
  <c r="F1156" i="3"/>
  <c r="F1152" i="3"/>
  <c r="G1152" i="3"/>
  <c r="F1150" i="3"/>
  <c r="F1149" i="3"/>
  <c r="F1148" i="3"/>
  <c r="F1147" i="3"/>
  <c r="F1146" i="3"/>
  <c r="F1145" i="3"/>
  <c r="F1144" i="3"/>
  <c r="F1140" i="3"/>
  <c r="G1140" i="3"/>
  <c r="F1136" i="3"/>
  <c r="G1136" i="3"/>
  <c r="F1132" i="3"/>
  <c r="G1132" i="3"/>
  <c r="F1131" i="3"/>
  <c r="F1130" i="3"/>
  <c r="F1129" i="3"/>
  <c r="F1128" i="3"/>
  <c r="G1128" i="3"/>
  <c r="G1144" i="3"/>
  <c r="G1156" i="3"/>
  <c r="G1148" i="3"/>
  <c r="F1125" i="3"/>
  <c r="F1124" i="3"/>
  <c r="F1121" i="3"/>
  <c r="F1120" i="3"/>
  <c r="F1119" i="3"/>
  <c r="F1118" i="3"/>
  <c r="F1117" i="3"/>
  <c r="F1116" i="3"/>
  <c r="F1115" i="3"/>
  <c r="F1114" i="3"/>
  <c r="F1113" i="3"/>
  <c r="F1112" i="3"/>
  <c r="F1108" i="3"/>
  <c r="G1108" i="3"/>
  <c r="F1104" i="3"/>
  <c r="G1104" i="3"/>
  <c r="F1100" i="3"/>
  <c r="G1100" i="3"/>
  <c r="F1099" i="3"/>
  <c r="F1098" i="3"/>
  <c r="F1097" i="3"/>
  <c r="F1096" i="3"/>
  <c r="G1124" i="3"/>
  <c r="G1116" i="3"/>
  <c r="G1112" i="3"/>
  <c r="G1120" i="3"/>
  <c r="G1096" i="3"/>
  <c r="F1095" i="3"/>
  <c r="F1094" i="3"/>
  <c r="F1093" i="3"/>
  <c r="F1092" i="3"/>
  <c r="F1091" i="3"/>
  <c r="F1090" i="3"/>
  <c r="F1089" i="3"/>
  <c r="F1088" i="3"/>
  <c r="F1087" i="3"/>
  <c r="F1086" i="3"/>
  <c r="F1085" i="3"/>
  <c r="F1084" i="3"/>
  <c r="F1083" i="3"/>
  <c r="F1082" i="3"/>
  <c r="F1081" i="3"/>
  <c r="F1080" i="3"/>
  <c r="F1076" i="3"/>
  <c r="G1076" i="3"/>
  <c r="F1074" i="3"/>
  <c r="F1073" i="3"/>
  <c r="F1072" i="3"/>
  <c r="F1070" i="3"/>
  <c r="F1069" i="3"/>
  <c r="F1068" i="3"/>
  <c r="F1067" i="3"/>
  <c r="F1066" i="3"/>
  <c r="F1065" i="3"/>
  <c r="F1064" i="3"/>
  <c r="G1068" i="3"/>
  <c r="G1088" i="3"/>
  <c r="G1080" i="3"/>
  <c r="G1064" i="3"/>
  <c r="G1072" i="3"/>
  <c r="G1084" i="3"/>
  <c r="G1092" i="3"/>
  <c r="F1063" i="3"/>
  <c r="F1062" i="3"/>
  <c r="F1061" i="3"/>
  <c r="F1060" i="3"/>
  <c r="F1058" i="3"/>
  <c r="F1057" i="3"/>
  <c r="F1056" i="3"/>
  <c r="F1055" i="3"/>
  <c r="F1054" i="3"/>
  <c r="F1053" i="3"/>
  <c r="F1052" i="3"/>
  <c r="F1051" i="3"/>
  <c r="F1050" i="3"/>
  <c r="F1049" i="3"/>
  <c r="F1048" i="3"/>
  <c r="F1040" i="3"/>
  <c r="G1040" i="3"/>
  <c r="F1035" i="3"/>
  <c r="F1034" i="3"/>
  <c r="F1033" i="3"/>
  <c r="F1032" i="3"/>
  <c r="F1031" i="3"/>
  <c r="F1030" i="3"/>
  <c r="F1029" i="3"/>
  <c r="F1028" i="3"/>
  <c r="F1025" i="3"/>
  <c r="F1024" i="3"/>
  <c r="F1023" i="3"/>
  <c r="F1022" i="3"/>
  <c r="F1021" i="3"/>
  <c r="F1020" i="3"/>
  <c r="F1019" i="3"/>
  <c r="F1018" i="3"/>
  <c r="F1017" i="3"/>
  <c r="F1016" i="3"/>
  <c r="F1013" i="3"/>
  <c r="F1012" i="3"/>
  <c r="F1011" i="3"/>
  <c r="F1010" i="3"/>
  <c r="F1009" i="3"/>
  <c r="F1008" i="3"/>
  <c r="F1004" i="3"/>
  <c r="G1004" i="3"/>
  <c r="F1003" i="3"/>
  <c r="F1002" i="3"/>
  <c r="F1001" i="3"/>
  <c r="F1000" i="3"/>
  <c r="F999" i="3"/>
  <c r="F998" i="3"/>
  <c r="F997" i="3"/>
  <c r="F996" i="3"/>
  <c r="F993" i="3"/>
  <c r="F992" i="3"/>
  <c r="F991" i="3"/>
  <c r="F990" i="3"/>
  <c r="F989" i="3"/>
  <c r="F988" i="3"/>
  <c r="F987" i="3"/>
  <c r="F986" i="3"/>
  <c r="F985" i="3"/>
  <c r="F984" i="3"/>
  <c r="F976" i="3"/>
  <c r="G976" i="3"/>
  <c r="F971" i="3"/>
  <c r="F970" i="3"/>
  <c r="F969" i="3"/>
  <c r="F968" i="3"/>
  <c r="F967" i="3"/>
  <c r="F966" i="3"/>
  <c r="F965" i="3"/>
  <c r="F964" i="3"/>
  <c r="F963" i="3"/>
  <c r="F962" i="3"/>
  <c r="F961" i="3"/>
  <c r="F960" i="3"/>
  <c r="F959" i="3"/>
  <c r="F958" i="3"/>
  <c r="F957" i="3"/>
  <c r="F956" i="3"/>
  <c r="F955" i="3"/>
  <c r="F954" i="3"/>
  <c r="F953" i="3"/>
  <c r="F952" i="3"/>
  <c r="F945" i="3"/>
  <c r="F944" i="3"/>
  <c r="G944" i="3"/>
  <c r="F940" i="3"/>
  <c r="G940" i="3"/>
  <c r="F939" i="3"/>
  <c r="F938" i="3"/>
  <c r="F937" i="3"/>
  <c r="F936" i="3"/>
  <c r="F932" i="3"/>
  <c r="G932" i="3"/>
  <c r="F929" i="3"/>
  <c r="F928" i="3"/>
  <c r="F923" i="3"/>
  <c r="F922" i="3"/>
  <c r="F921" i="3"/>
  <c r="F920" i="3"/>
  <c r="F918" i="3"/>
  <c r="F917" i="3"/>
  <c r="F916" i="3"/>
  <c r="G916" i="3"/>
  <c r="F915" i="3"/>
  <c r="F914" i="3"/>
  <c r="F913" i="3"/>
  <c r="F912" i="3"/>
  <c r="F910" i="3"/>
  <c r="F909" i="3"/>
  <c r="F908" i="3"/>
  <c r="F907" i="3"/>
  <c r="F906" i="3"/>
  <c r="F905" i="3"/>
  <c r="F904" i="3"/>
  <c r="F900" i="3"/>
  <c r="G900" i="3"/>
  <c r="F897" i="3"/>
  <c r="F896" i="3"/>
  <c r="F891" i="3"/>
  <c r="F890" i="3"/>
  <c r="F889" i="3"/>
  <c r="F888" i="3"/>
  <c r="F887" i="3"/>
  <c r="F886" i="3"/>
  <c r="F885" i="3"/>
  <c r="F884" i="3"/>
  <c r="F883" i="3"/>
  <c r="F882" i="3"/>
  <c r="F881" i="3"/>
  <c r="F880" i="3"/>
  <c r="F879" i="3"/>
  <c r="F878" i="3"/>
  <c r="F877" i="3"/>
  <c r="F876" i="3"/>
  <c r="F875" i="3"/>
  <c r="F874" i="3"/>
  <c r="F873" i="3"/>
  <c r="F872" i="3"/>
  <c r="F868" i="3"/>
  <c r="G868" i="3"/>
  <c r="F867" i="3"/>
  <c r="F866" i="3"/>
  <c r="F865" i="3"/>
  <c r="F864" i="3"/>
  <c r="F861" i="3"/>
  <c r="F860" i="3"/>
  <c r="G860" i="3"/>
  <c r="F859" i="3"/>
  <c r="F858" i="3"/>
  <c r="F857" i="3"/>
  <c r="F856" i="3"/>
  <c r="F855" i="3"/>
  <c r="F854" i="3"/>
  <c r="F853" i="3"/>
  <c r="F852" i="3"/>
  <c r="F849" i="3"/>
  <c r="F848" i="3"/>
  <c r="F847" i="3"/>
  <c r="F846" i="3"/>
  <c r="F845" i="3"/>
  <c r="F844" i="3"/>
  <c r="F843" i="3"/>
  <c r="F842" i="3"/>
  <c r="F841" i="3"/>
  <c r="F840" i="3"/>
  <c r="F837" i="3"/>
  <c r="F836" i="3"/>
  <c r="F832" i="3"/>
  <c r="G832" i="3"/>
  <c r="F829" i="3"/>
  <c r="F828" i="3"/>
  <c r="F827" i="3"/>
  <c r="F826" i="3"/>
  <c r="F825" i="3"/>
  <c r="F824" i="3"/>
  <c r="F816" i="3"/>
  <c r="G816" i="3"/>
  <c r="F808" i="3"/>
  <c r="G808" i="3"/>
  <c r="F807" i="3"/>
  <c r="F806" i="3"/>
  <c r="F805" i="3"/>
  <c r="F804" i="3"/>
  <c r="F803" i="3"/>
  <c r="F802" i="3"/>
  <c r="F801" i="3"/>
  <c r="F800" i="3"/>
  <c r="F799" i="3"/>
  <c r="F798" i="3"/>
  <c r="F797" i="3"/>
  <c r="F796" i="3"/>
  <c r="F795" i="3"/>
  <c r="F794" i="3"/>
  <c r="F793" i="3"/>
  <c r="F792" i="3"/>
  <c r="F784" i="3"/>
  <c r="G784" i="3"/>
  <c r="F776" i="3"/>
  <c r="G776" i="3"/>
  <c r="F774" i="3"/>
  <c r="F773" i="3"/>
  <c r="F772"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37" i="3"/>
  <c r="F736" i="3"/>
  <c r="F732" i="3"/>
  <c r="G732" i="3"/>
  <c r="F731" i="3"/>
  <c r="F730" i="3"/>
  <c r="F729" i="3"/>
  <c r="F728" i="3"/>
  <c r="F724" i="3"/>
  <c r="G724" i="3"/>
  <c r="F720" i="3"/>
  <c r="G720" i="3"/>
  <c r="G716" i="3"/>
  <c r="F712" i="3"/>
  <c r="G712" i="3"/>
  <c r="F711" i="3"/>
  <c r="F710" i="3"/>
  <c r="F709" i="3"/>
  <c r="F708" i="3"/>
  <c r="F707" i="3"/>
  <c r="F706" i="3"/>
  <c r="F705" i="3"/>
  <c r="F704" i="3"/>
  <c r="F703" i="3"/>
  <c r="F702" i="3"/>
  <c r="F701" i="3"/>
  <c r="F700" i="3"/>
  <c r="F699" i="3"/>
  <c r="F698" i="3"/>
  <c r="F697" i="3"/>
  <c r="F696" i="3"/>
  <c r="F695" i="3"/>
  <c r="F694" i="3"/>
  <c r="F693" i="3"/>
  <c r="F692" i="3"/>
  <c r="F689" i="3"/>
  <c r="F688" i="3"/>
  <c r="F684" i="3"/>
  <c r="G684" i="3"/>
  <c r="F683" i="3"/>
  <c r="F682" i="3"/>
  <c r="F681" i="3"/>
  <c r="F680" i="3"/>
  <c r="F679" i="3"/>
  <c r="F678" i="3"/>
  <c r="F677" i="3"/>
  <c r="F676" i="3"/>
  <c r="F675" i="3"/>
  <c r="F674" i="3"/>
  <c r="F673" i="3"/>
  <c r="F672" i="3"/>
  <c r="F671" i="3"/>
  <c r="F670" i="3"/>
  <c r="F669" i="3"/>
  <c r="F668" i="3"/>
  <c r="F667" i="3"/>
  <c r="F666" i="3"/>
  <c r="F665" i="3"/>
  <c r="F664" i="3"/>
  <c r="F662" i="3"/>
  <c r="F661" i="3"/>
  <c r="F660" i="3"/>
  <c r="F658" i="3"/>
  <c r="F657" i="3"/>
  <c r="F656" i="3"/>
  <c r="F655" i="3"/>
  <c r="F654" i="3"/>
  <c r="F653" i="3"/>
  <c r="F652" i="3"/>
  <c r="F651" i="3"/>
  <c r="F650" i="3"/>
  <c r="F649" i="3"/>
  <c r="F648" i="3"/>
  <c r="F644" i="3"/>
  <c r="G644" i="3"/>
  <c r="F641" i="3"/>
  <c r="F640" i="3"/>
  <c r="F636" i="3"/>
  <c r="G636" i="3"/>
  <c r="F635" i="3"/>
  <c r="F634" i="3"/>
  <c r="F633" i="3"/>
  <c r="F632" i="3"/>
  <c r="F631" i="3"/>
  <c r="F630" i="3"/>
  <c r="F629" i="3"/>
  <c r="F628" i="3"/>
  <c r="F627" i="3"/>
  <c r="F626" i="3"/>
  <c r="F625" i="3"/>
  <c r="F624" i="3"/>
  <c r="F623" i="3"/>
  <c r="F622" i="3"/>
  <c r="F621" i="3"/>
  <c r="F620" i="3"/>
  <c r="F619" i="3"/>
  <c r="F618" i="3"/>
  <c r="F617" i="3"/>
  <c r="F616" i="3"/>
  <c r="F612" i="3"/>
  <c r="G612" i="3"/>
  <c r="F609" i="3"/>
  <c r="F608" i="3"/>
  <c r="F605" i="3"/>
  <c r="F604" i="3"/>
  <c r="F603" i="3"/>
  <c r="F602" i="3"/>
  <c r="F601" i="3"/>
  <c r="F600" i="3"/>
  <c r="F599" i="3"/>
  <c r="F598" i="3"/>
  <c r="F597" i="3"/>
  <c r="F596" i="3"/>
  <c r="F595" i="3"/>
  <c r="F594" i="3"/>
  <c r="F593" i="3"/>
  <c r="F592" i="3"/>
  <c r="F591" i="3"/>
  <c r="F590" i="3"/>
  <c r="F589" i="3"/>
  <c r="F588" i="3"/>
  <c r="F587" i="3"/>
  <c r="F586" i="3"/>
  <c r="F585" i="3"/>
  <c r="F584"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0" i="3"/>
  <c r="G420" i="3"/>
  <c r="F419" i="3"/>
  <c r="F418" i="3"/>
  <c r="F417" i="3"/>
  <c r="F416" i="3"/>
  <c r="F415" i="3"/>
  <c r="F414" i="3"/>
  <c r="F413" i="3"/>
  <c r="F412" i="3"/>
  <c r="F411" i="3"/>
  <c r="F410" i="3"/>
  <c r="F409" i="3"/>
  <c r="F408" i="3"/>
  <c r="F404" i="3"/>
  <c r="G404" i="3"/>
  <c r="F400" i="3"/>
  <c r="G400" i="3"/>
  <c r="F396" i="3"/>
  <c r="G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11" i="3"/>
  <c r="F310" i="3"/>
  <c r="F309" i="3"/>
  <c r="F308" i="3"/>
  <c r="F307" i="3"/>
  <c r="F306" i="3"/>
  <c r="F305" i="3"/>
  <c r="F304" i="3"/>
  <c r="F303" i="3"/>
  <c r="F302" i="3"/>
  <c r="F301" i="3"/>
  <c r="F300" i="3"/>
  <c r="F299" i="3"/>
  <c r="F298" i="3"/>
  <c r="F297" i="3"/>
  <c r="F296" i="3"/>
  <c r="F291" i="3"/>
  <c r="F290" i="3"/>
  <c r="F289" i="3"/>
  <c r="F288" i="3"/>
  <c r="F283" i="3"/>
  <c r="F282" i="3"/>
  <c r="F281" i="3"/>
  <c r="F280" i="3"/>
  <c r="F232" i="3"/>
  <c r="G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1" i="3"/>
  <c r="F10" i="3"/>
  <c r="F9" i="3"/>
  <c r="F8" i="3"/>
  <c r="F7" i="3"/>
  <c r="F6" i="3"/>
  <c r="F5" i="3"/>
  <c r="F4" i="3"/>
  <c r="F3" i="3"/>
  <c r="F2" i="3"/>
  <c r="G848" i="3"/>
  <c r="G360" i="3"/>
  <c r="G392" i="3"/>
  <c r="G608" i="3"/>
  <c r="G836" i="3"/>
  <c r="G856" i="3"/>
  <c r="G1056" i="3"/>
  <c r="G132" i="3"/>
  <c r="G952" i="3"/>
  <c r="G1028" i="3"/>
  <c r="G412" i="3"/>
  <c r="G464" i="3"/>
  <c r="G480" i="3"/>
  <c r="G528" i="3"/>
  <c r="G544" i="3"/>
  <c r="G128" i="3"/>
  <c r="G136" i="3"/>
  <c r="G200" i="3"/>
  <c r="G208" i="3"/>
  <c r="G224" i="3"/>
  <c r="G660" i="3"/>
  <c r="G152" i="3"/>
  <c r="G432" i="3"/>
  <c r="G552" i="3"/>
  <c r="G908" i="3"/>
  <c r="G844" i="3"/>
  <c r="G560" i="3"/>
  <c r="G604" i="3"/>
  <c r="G500" i="3"/>
  <c r="G640" i="3"/>
  <c r="G956" i="3"/>
  <c r="G992" i="3"/>
  <c r="G1000" i="3"/>
  <c r="G144" i="3"/>
  <c r="G160" i="3"/>
  <c r="G192" i="3"/>
  <c r="G564" i="3"/>
  <c r="G804" i="3"/>
  <c r="G896" i="3"/>
  <c r="G1024" i="3"/>
  <c r="G120" i="3"/>
  <c r="G488" i="3"/>
  <c r="G168" i="3"/>
  <c r="G184" i="3"/>
  <c r="G600" i="3"/>
  <c r="G408" i="3"/>
  <c r="G496" i="3"/>
  <c r="G692" i="3"/>
  <c r="G140" i="3"/>
  <c r="G148" i="3"/>
  <c r="G156" i="3"/>
  <c r="G304" i="3"/>
  <c r="G384" i="3"/>
  <c r="G460" i="3"/>
  <c r="G588" i="3"/>
  <c r="G596" i="3"/>
  <c r="G616" i="3"/>
  <c r="G680" i="3"/>
  <c r="G760" i="3"/>
  <c r="G960" i="3"/>
  <c r="G196" i="3"/>
  <c r="G204" i="3"/>
  <c r="G212" i="3"/>
  <c r="G484" i="3"/>
  <c r="G492" i="3"/>
  <c r="G524" i="3"/>
  <c r="G648" i="3"/>
  <c r="G704" i="3"/>
  <c r="G852" i="3"/>
  <c r="G988" i="3"/>
  <c r="G1048" i="3"/>
  <c r="G548" i="3"/>
  <c r="G556" i="3"/>
  <c r="G580" i="3"/>
  <c r="G764" i="3"/>
  <c r="G800" i="3"/>
  <c r="G864" i="3"/>
  <c r="G888" i="3"/>
  <c r="G928" i="3"/>
  <c r="G1012" i="3"/>
  <c r="G1032" i="3"/>
  <c r="G216" i="3"/>
  <c r="G308" i="3"/>
  <c r="G372" i="3"/>
  <c r="G380" i="3"/>
  <c r="G416" i="3"/>
  <c r="G428" i="3"/>
  <c r="G472" i="3"/>
  <c r="G540" i="3"/>
  <c r="G652" i="3"/>
  <c r="G696" i="3"/>
  <c r="G748" i="3"/>
  <c r="G756" i="3"/>
  <c r="G768" i="3"/>
  <c r="G792" i="3"/>
  <c r="G840" i="3"/>
  <c r="G880" i="3"/>
  <c r="G964" i="3"/>
  <c r="G984" i="3"/>
  <c r="G1008" i="3"/>
  <c r="G1052" i="3"/>
  <c r="G112" i="3"/>
  <c r="G164" i="3"/>
  <c r="G172" i="3"/>
  <c r="G180" i="3"/>
  <c r="G188" i="3"/>
  <c r="G364" i="3"/>
  <c r="G452" i="3"/>
  <c r="G512" i="3"/>
  <c r="G520" i="3"/>
  <c r="G532" i="3"/>
  <c r="G632" i="3"/>
  <c r="G772" i="3"/>
  <c r="G872" i="3"/>
  <c r="G912" i="3"/>
  <c r="G936" i="3"/>
  <c r="G1020" i="3"/>
  <c r="G280" i="3"/>
  <c r="G388" i="3"/>
  <c r="G436" i="3"/>
  <c r="G444" i="3"/>
  <c r="G504" i="3"/>
  <c r="G572" i="3"/>
  <c r="G624" i="3"/>
  <c r="G672" i="3"/>
  <c r="G688" i="3"/>
  <c r="G736" i="3"/>
  <c r="G828" i="3"/>
  <c r="G920" i="3"/>
  <c r="G220" i="3"/>
  <c r="G296" i="3"/>
  <c r="G584" i="3"/>
  <c r="G592" i="3"/>
  <c r="G664" i="3"/>
  <c r="G708" i="3"/>
  <c r="G368" i="3"/>
  <c r="G468" i="3"/>
  <c r="G476" i="3"/>
  <c r="G536" i="3"/>
  <c r="G656" i="3"/>
  <c r="G700" i="3"/>
  <c r="G752" i="3"/>
  <c r="G796" i="3"/>
  <c r="G876" i="3"/>
  <c r="G884" i="3"/>
  <c r="G904" i="3"/>
  <c r="G968" i="3"/>
  <c r="G996" i="3"/>
  <c r="G108" i="3"/>
  <c r="G116" i="3"/>
  <c r="G176" i="3"/>
  <c r="G228" i="3"/>
  <c r="G376" i="3"/>
  <c r="G424" i="3"/>
  <c r="G448" i="3"/>
  <c r="G516" i="3"/>
  <c r="G576" i="3"/>
  <c r="G628" i="3"/>
  <c r="G744" i="3"/>
  <c r="G1060" i="3"/>
  <c r="G124" i="3"/>
  <c r="G288" i="3"/>
  <c r="G300" i="3"/>
  <c r="G440" i="3"/>
  <c r="G456" i="3"/>
  <c r="G508" i="3"/>
  <c r="G568" i="3"/>
  <c r="G620" i="3"/>
  <c r="G668" i="3"/>
  <c r="G676" i="3"/>
  <c r="G728" i="3"/>
  <c r="G824" i="3"/>
  <c r="G1016" i="3"/>
  <c r="S2214" i="1" l="1"/>
  <c r="S2394" i="1"/>
  <c r="S2274" i="1"/>
  <c r="S1974" i="1"/>
  <c r="S2514" i="1"/>
  <c r="S2034" i="1"/>
  <c r="S2094" i="1"/>
  <c r="S1674" i="1"/>
  <c r="S1914" i="1"/>
  <c r="R654" i="1"/>
  <c r="R2574" i="1"/>
  <c r="S1734" i="1"/>
  <c r="S1794" i="1"/>
  <c r="S2334" i="1"/>
  <c r="S2454" i="1"/>
  <c r="S1374" i="1"/>
  <c r="S1434" i="1"/>
  <c r="S1494" i="1"/>
  <c r="S1554" i="1"/>
  <c r="S1614" i="1"/>
  <c r="S1854" i="1"/>
  <c r="S2154" i="1"/>
  <c r="S1314" i="1"/>
  <c r="R1314" i="1" l="1"/>
  <c r="R1554" i="1"/>
  <c r="R2514" i="1"/>
  <c r="R2214" i="1"/>
  <c r="R1734" i="1"/>
  <c r="R1674" i="1"/>
  <c r="R1494" i="1"/>
  <c r="R1374" i="1"/>
  <c r="R2154" i="1"/>
  <c r="R2454" i="1"/>
  <c r="R2394" i="1"/>
  <c r="R1854" i="1"/>
  <c r="R2274" i="1"/>
  <c r="R1914" i="1"/>
  <c r="R2094" i="1"/>
  <c r="R1794" i="1"/>
  <c r="R1434" i="1"/>
  <c r="R1614" i="1"/>
  <c r="R2334" i="1"/>
  <c r="R1974" i="1"/>
  <c r="R2034" i="1"/>
</calcChain>
</file>

<file path=xl/sharedStrings.xml><?xml version="1.0" encoding="utf-8"?>
<sst xmlns="http://schemas.openxmlformats.org/spreadsheetml/2006/main" count="21576" uniqueCount="196">
  <si>
    <t>ID</t>
  </si>
  <si>
    <t>X_COORD</t>
  </si>
  <si>
    <t>Y_COORD</t>
  </si>
  <si>
    <t>Day</t>
  </si>
  <si>
    <t>Month</t>
  </si>
  <si>
    <t>Year</t>
  </si>
  <si>
    <t>WW Pal in</t>
  </si>
  <si>
    <t>DW Pal in</t>
  </si>
  <si>
    <t>WW Unpal in</t>
  </si>
  <si>
    <t>DW Unpal in</t>
  </si>
  <si>
    <t>WW Pal out</t>
  </si>
  <si>
    <t>DW Pal out</t>
  </si>
  <si>
    <t>DW offtake</t>
  </si>
  <si>
    <t>WW Unpal out</t>
  </si>
  <si>
    <t>DW Unpal out</t>
  </si>
  <si>
    <t>Notes</t>
  </si>
  <si>
    <t>Placed out</t>
  </si>
  <si>
    <t>Palatable</t>
  </si>
  <si>
    <t>NA</t>
  </si>
  <si>
    <t>Cage had blown over</t>
  </si>
  <si>
    <t>Unpalatable</t>
  </si>
  <si>
    <t>On airstrip so not used</t>
  </si>
  <si>
    <t>On border so not used</t>
  </si>
  <si>
    <t>Cage crushed by vehicle</t>
  </si>
  <si>
    <t>April</t>
  </si>
  <si>
    <t>Wet Weight (kg)</t>
  </si>
  <si>
    <t>In compiling biomass data 2009-2017, I have:</t>
  </si>
  <si>
    <t>Drying for correction factors: 80oC, 48h</t>
  </si>
  <si>
    <t>Method notes:</t>
  </si>
  <si>
    <t>2009 april</t>
  </si>
  <si>
    <t>Sampling date</t>
  </si>
  <si>
    <t>30/7/09</t>
  </si>
  <si>
    <t>2009 july</t>
  </si>
  <si>
    <t>July</t>
  </si>
  <si>
    <t>28 &amp; 29/10/2009</t>
  </si>
  <si>
    <t>blown over - not measured</t>
  </si>
  <si>
    <t>October</t>
  </si>
  <si>
    <t>2010 jan</t>
  </si>
  <si>
    <t>26 &amp; 27/1/2010</t>
  </si>
  <si>
    <t>Blown over - only outside measured</t>
  </si>
  <si>
    <t>January</t>
  </si>
  <si>
    <t>Forage type</t>
  </si>
  <si>
    <t>Sub-sample</t>
  </si>
  <si>
    <t>Mean DW correction factor</t>
  </si>
  <si>
    <t>Inside palatable</t>
  </si>
  <si>
    <t>A</t>
  </si>
  <si>
    <t>B</t>
  </si>
  <si>
    <t>C</t>
  </si>
  <si>
    <t>D</t>
  </si>
  <si>
    <t>Inside unpalatable</t>
  </si>
  <si>
    <t>Outside palatable</t>
  </si>
  <si>
    <t>Outside unpalatable</t>
  </si>
  <si>
    <t>2010 april</t>
  </si>
  <si>
    <t>DW Correction</t>
  </si>
  <si>
    <t>27/7/2010</t>
  </si>
  <si>
    <t>28/7/2010</t>
  </si>
  <si>
    <t>29/7/2010</t>
  </si>
  <si>
    <t>Fallen over so outside measurements only</t>
  </si>
  <si>
    <t>Not measured as recently moved by contractors. Moved to 0438126, 5688998.</t>
  </si>
  <si>
    <t>2010 july</t>
  </si>
  <si>
    <t>2010 nov</t>
  </si>
  <si>
    <t>November</t>
  </si>
  <si>
    <t>5/2/1011</t>
  </si>
  <si>
    <t>2011 feb</t>
  </si>
  <si>
    <t>February</t>
  </si>
  <si>
    <t>unpal out and in = fleabane</t>
  </si>
  <si>
    <t>unpal out  = fleabane</t>
  </si>
  <si>
    <t>unpal in incl ~44.7 g acaena and unpal out incl 60g acaena (wet weights)</t>
  </si>
  <si>
    <t>unpal in - fleabane</t>
  </si>
  <si>
    <t>unpal in and out = acaena</t>
  </si>
  <si>
    <t>unpal in = feabane</t>
  </si>
  <si>
    <t>unpal out = fleabane</t>
  </si>
  <si>
    <t>unpal in = fleabane</t>
  </si>
  <si>
    <t>unpal out and unpal in = fleabane</t>
  </si>
  <si>
    <t>2011 april</t>
  </si>
  <si>
    <t>13 &amp; 14 &amp; 15/4/2011</t>
  </si>
  <si>
    <t xml:space="preserve">In some instances (presumably when weather conditions were consistent) correction factors were not determined for each sampling day (data pooled across days). </t>
  </si>
  <si>
    <t>Cage blown over - only measured outside</t>
  </si>
  <si>
    <t>2011 july</t>
  </si>
  <si>
    <t>2009 oct</t>
  </si>
  <si>
    <t>outside measured inside blown over</t>
  </si>
  <si>
    <t>underwater - not sampled</t>
  </si>
  <si>
    <t>palatable inside</t>
  </si>
  <si>
    <t>palatable outside</t>
  </si>
  <si>
    <t>unpalatable inside</t>
  </si>
  <si>
    <t>unpalatable outside</t>
  </si>
  <si>
    <t>E</t>
  </si>
  <si>
    <t>F</t>
  </si>
  <si>
    <t>2011 oct/nov</t>
  </si>
  <si>
    <t>On airstrip: not used</t>
  </si>
  <si>
    <t>Converted any data that was in g to kg</t>
  </si>
  <si>
    <t>2012 july</t>
  </si>
  <si>
    <t>2012 nov</t>
  </si>
  <si>
    <t>blown over</t>
  </si>
  <si>
    <t>2013 jan</t>
  </si>
  <si>
    <t>inside Blown over - not measured</t>
  </si>
  <si>
    <t>May</t>
  </si>
  <si>
    <t>2013 may</t>
  </si>
  <si>
    <t>2013 aug</t>
  </si>
  <si>
    <t>August</t>
  </si>
  <si>
    <t>cage blown over</t>
  </si>
  <si>
    <t>2013 nov</t>
  </si>
  <si>
    <t>2014 feb</t>
  </si>
  <si>
    <t>Blown over</t>
  </si>
  <si>
    <t>2014 may</t>
  </si>
  <si>
    <t>knocked over</t>
  </si>
  <si>
    <t>2014 july</t>
  </si>
  <si>
    <t>Removed</t>
  </si>
  <si>
    <t>2014 nov</t>
  </si>
  <si>
    <t>Removed July 2014</t>
  </si>
  <si>
    <t>Pushed over</t>
  </si>
  <si>
    <t>Not removed</t>
  </si>
  <si>
    <t>Pushed over - wombat</t>
  </si>
  <si>
    <t>2015 feb</t>
  </si>
  <si>
    <t>Pal in - nothing to cut</t>
  </si>
  <si>
    <t>Pal out - nothing to cut</t>
  </si>
  <si>
    <t>2015 april</t>
  </si>
  <si>
    <t>na</t>
  </si>
  <si>
    <t>2015 july</t>
  </si>
  <si>
    <t>2015 oct</t>
  </si>
  <si>
    <t>2016 feb</t>
  </si>
  <si>
    <t>2016 april</t>
  </si>
  <si>
    <t>2016 june</t>
  </si>
  <si>
    <t>June</t>
  </si>
  <si>
    <t>2016 oct</t>
  </si>
  <si>
    <t>Pal in blown over</t>
  </si>
  <si>
    <t>2017 feb</t>
  </si>
  <si>
    <t>BLOWN OVER</t>
  </si>
  <si>
    <t>26 &amp; 27/04/2017</t>
  </si>
  <si>
    <t>2017 april</t>
  </si>
  <si>
    <t>Dry Weight (kg)</t>
  </si>
  <si>
    <t>2012 feb</t>
  </si>
  <si>
    <t>NA - so little material that each individual sample dried and weighed in entirity giving absolute dry weights</t>
  </si>
  <si>
    <t>Years/months of sampling included in this database:</t>
  </si>
  <si>
    <t>Copied and pasted some data as 'values' not formulae to remove links to other documents</t>
  </si>
  <si>
    <t>Feb 2011 spreadsheet had errors in forumlae for correction factors. These have been corrected here. These errors did not alter Dry Weight correction factors.</t>
  </si>
  <si>
    <t>For early data, correction factors determined using 1 subsample for each sampling day (unless data for multiple samples taken but only total recorded). This was done for palatable and unpalatable, and did not differentiate between palatable 'in' vs palatable 'out', or unpalatable 'in' vs unpalatable 'out' (data pooled across in/out). In April 2010 sampling for correction factors became more rigorous with 4 sub-samples per day and per sample type (unless insufficient material was available to do this) with 'in' and 'out' correction factors calculated separately.</t>
  </si>
  <si>
    <t>Correction factors calculated slightly differently by Emily during October/November 2011 and 5-6 sub-samples used (overall result should be the same).</t>
  </si>
  <si>
    <t>date not recorded on datasheet but assumed to be Feb 6th as this plot is usually sampled on the same day as the neighbouring plot</t>
  </si>
  <si>
    <t>During Feb 2001, date not recorded on datasheet for Plot 11. Assumed to be Feb 6th as this plot is usually sampled on the same day as the neighbouring plot.</t>
  </si>
  <si>
    <t>26 &amp; 27/04/2010</t>
  </si>
  <si>
    <t>2017 July</t>
  </si>
  <si>
    <t>2017 Oct</t>
  </si>
  <si>
    <t>2018 feb</t>
  </si>
  <si>
    <t>2018 may</t>
  </si>
  <si>
    <t>2018 july-aug</t>
  </si>
  <si>
    <t>burnt by campfire inside and outside</t>
  </si>
  <si>
    <t>Removed Feb 2019</t>
  </si>
  <si>
    <t>removed today</t>
  </si>
  <si>
    <t>Removed July 2019</t>
  </si>
  <si>
    <t>cage blown over - in not sampled</t>
  </si>
  <si>
    <t>blown over, not used</t>
  </si>
  <si>
    <t>Season</t>
  </si>
  <si>
    <t>autumn</t>
  </si>
  <si>
    <t>winter</t>
  </si>
  <si>
    <t>spring</t>
  </si>
  <si>
    <t>summer</t>
  </si>
  <si>
    <t>Average DW offtake</t>
  </si>
  <si>
    <t>Average DW pal in</t>
  </si>
  <si>
    <t>Emily sampled spring 2011 and summer 2012 which are high, but also autumn 2012 which looks fine</t>
  </si>
  <si>
    <t>Average daily rainfall</t>
  </si>
  <si>
    <t>Average daily rainfall ( mm / 1000)</t>
  </si>
  <si>
    <t>Average daily max temp (/ 1000)</t>
  </si>
  <si>
    <t xml:space="preserve">Average daily max temp </t>
  </si>
  <si>
    <t>Emily did not calculate dry weights during October/November 2011. I have done this using her correction factor.</t>
  </si>
  <si>
    <t xml:space="preserve">The additions/subtractions in cells for this plot are due to moving Acaena from Pal to Unpal </t>
  </si>
  <si>
    <t>Removed Aug 2020</t>
  </si>
  <si>
    <t>Out pellets noted by Emily as baby - could be deer?</t>
  </si>
  <si>
    <t>Out Ring had been moved but there was still a sample for this plot</t>
  </si>
  <si>
    <t>not recorded</t>
  </si>
  <si>
    <t xml:space="preserve">knocked over </t>
  </si>
  <si>
    <t>marked as collected on field datasheet but no samples provided</t>
  </si>
  <si>
    <t>DW pal in g/m2</t>
  </si>
  <si>
    <t>DW offtake in g/m2</t>
  </si>
  <si>
    <t>Removed Feb 2021</t>
  </si>
  <si>
    <t>6-7/02/2021</t>
  </si>
  <si>
    <t>27-28/04/2021</t>
  </si>
  <si>
    <t>Cage crushed - replaced Aug 2021</t>
  </si>
  <si>
    <t>Cage blown over</t>
  </si>
  <si>
    <t>15-16/2/22</t>
  </si>
  <si>
    <t>cage stolen</t>
  </si>
  <si>
    <t>27-29/01/2023</t>
  </si>
  <si>
    <t>found out sampling ring knocked over - replaced 23 Sept</t>
  </si>
  <si>
    <t>Removed Feb 2024</t>
  </si>
  <si>
    <t>Removed Feb 2024, pushed over</t>
  </si>
  <si>
    <t>Disturbed by people</t>
  </si>
  <si>
    <t>Blown out</t>
  </si>
  <si>
    <t>30-31/07/2024</t>
  </si>
  <si>
    <t>Cage shifted by PV - inside not sampled</t>
  </si>
  <si>
    <t>Cage shifted by PV but inside &amp; outside sampled</t>
  </si>
  <si>
    <t>PAL IN sample missing</t>
  </si>
  <si>
    <t>PAL IN &amp; PAL OUT samples missing</t>
  </si>
  <si>
    <t>moved when buildings removed so shifted to north of watertanks - not sampled</t>
  </si>
  <si>
    <t>No pal inside!</t>
  </si>
  <si>
    <t>Nothing to cut</t>
  </si>
  <si>
    <t>tampered with - only outside sampled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</si>
</sst>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7" formatCode="0.000"/>
    <numFmt numFmtId="168" formatCode="0.00000000"/>
  </numFmts>
  <fonts count="8" x14ac:knownFonts="1">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8"/>
      <name val="Arial"/>
      <family val="2"/>
    </font>
    <font>
      <sz val="10"/>
      <color indexed="10"/>
      <name val="Arial"/>
      <family val="2"/>
    </font>
    <font>
      <sz val="11"/>
      <color rgb="FFFF0000"/>
      <name val="Calibri"/>
      <family val="2"/>
      <scheme val="minor"/>
    </font>
  </fonts>
  <fills count="11">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rgb="FFFF99CC"/>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2" fillId="0" borderId="0"/>
  </cellStyleXfs>
  <cellXfs count="116">
    <xf numFmtId="0" fontId="0" fillId="0" borderId="0" xfId="0"/>
    <xf numFmtId="1" fontId="1" fillId="0" borderId="1" xfId="0" applyNumberFormat="1"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2" fillId="0" borderId="0" xfId="0" applyFont="1"/>
    <xf numFmtId="1" fontId="2" fillId="0" borderId="1" xfId="0" applyNumberFormat="1" applyFont="1" applyBorder="1"/>
    <xf numFmtId="1" fontId="2" fillId="0" borderId="1" xfId="0" applyNumberFormat="1" applyFont="1" applyBorder="1" applyAlignment="1">
      <alignment horizontal="center"/>
    </xf>
    <xf numFmtId="14" fontId="2" fillId="0" borderId="1" xfId="0" applyNumberFormat="1" applyFont="1" applyBorder="1" applyAlignment="1">
      <alignment horizontal="center"/>
    </xf>
    <xf numFmtId="14" fontId="2" fillId="0" borderId="0" xfId="0" applyNumberFormat="1" applyFont="1" applyAlignment="1">
      <alignment horizontal="center"/>
    </xf>
    <xf numFmtId="1" fontId="2" fillId="2" borderId="1" xfId="0" applyNumberFormat="1" applyFont="1" applyFill="1" applyBorder="1"/>
    <xf numFmtId="1" fontId="2" fillId="2" borderId="1" xfId="0" applyNumberFormat="1" applyFont="1"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2" fillId="0" borderId="1" xfId="0" applyFont="1" applyBorder="1"/>
    <xf numFmtId="0" fontId="2" fillId="0" borderId="1" xfId="0" applyFont="1" applyBorder="1" applyAlignment="1">
      <alignment vertical="top" wrapText="1"/>
    </xf>
    <xf numFmtId="0" fontId="3" fillId="0" borderId="0" xfId="0" applyFont="1"/>
    <xf numFmtId="0" fontId="3" fillId="0" borderId="1" xfId="0" applyFont="1" applyBorder="1"/>
    <xf numFmtId="2" fontId="3" fillId="0" borderId="0" xfId="0" applyNumberFormat="1" applyFont="1"/>
    <xf numFmtId="0" fontId="4" fillId="0" borderId="1" xfId="0" applyFont="1" applyBorder="1"/>
    <xf numFmtId="164" fontId="2" fillId="0" borderId="1" xfId="0" applyNumberFormat="1" applyFont="1" applyBorder="1" applyAlignment="1">
      <alignment horizontal="center"/>
    </xf>
    <xf numFmtId="17" fontId="3" fillId="0" borderId="1" xfId="0" applyNumberFormat="1" applyFont="1" applyBorder="1"/>
    <xf numFmtId="14" fontId="3" fillId="0" borderId="1" xfId="0" applyNumberFormat="1" applyFont="1" applyBorder="1"/>
    <xf numFmtId="0" fontId="2" fillId="0" borderId="1" xfId="0" applyFont="1" applyBorder="1" applyAlignment="1">
      <alignment horizontal="center" vertical="top" wrapText="1"/>
    </xf>
    <xf numFmtId="14" fontId="2" fillId="0" borderId="1" xfId="0" applyNumberFormat="1" applyFont="1" applyBorder="1"/>
    <xf numFmtId="0" fontId="5" fillId="0" borderId="0" xfId="0" applyFont="1"/>
    <xf numFmtId="14" fontId="3" fillId="0" borderId="2" xfId="0" applyNumberFormat="1" applyFont="1" applyBorder="1"/>
    <xf numFmtId="0" fontId="2" fillId="0" borderId="2" xfId="0" applyFont="1" applyBorder="1" applyAlignment="1">
      <alignment vertical="top" wrapText="1"/>
    </xf>
    <xf numFmtId="0" fontId="2" fillId="0" borderId="2" xfId="0" applyFont="1" applyBorder="1" applyAlignment="1">
      <alignment horizontal="center" vertical="top" wrapText="1"/>
    </xf>
    <xf numFmtId="1" fontId="2" fillId="0" borderId="0" xfId="0" applyNumberFormat="1" applyFont="1"/>
    <xf numFmtId="1" fontId="2" fillId="0" borderId="0" xfId="0" applyNumberFormat="1" applyFont="1" applyAlignment="1">
      <alignment horizontal="center"/>
    </xf>
    <xf numFmtId="0" fontId="3" fillId="0" borderId="0" xfId="0" applyFont="1" applyAlignment="1">
      <alignment horizontal="center"/>
    </xf>
    <xf numFmtId="1" fontId="2" fillId="2" borderId="0" xfId="0" applyNumberFormat="1" applyFont="1" applyFill="1"/>
    <xf numFmtId="1" fontId="2" fillId="2" borderId="0" xfId="0" applyNumberFormat="1" applyFont="1" applyFill="1" applyAlignment="1">
      <alignment horizontal="center"/>
    </xf>
    <xf numFmtId="0" fontId="3" fillId="2" borderId="0" xfId="0" applyFont="1" applyFill="1"/>
    <xf numFmtId="0" fontId="3" fillId="4" borderId="0" xfId="0" applyFont="1" applyFill="1"/>
    <xf numFmtId="0" fontId="3" fillId="5" borderId="0" xfId="0" applyFont="1" applyFill="1"/>
    <xf numFmtId="0" fontId="2" fillId="5" borderId="0" xfId="0" applyFont="1" applyFill="1"/>
    <xf numFmtId="1" fontId="2" fillId="4" borderId="0" xfId="0" applyNumberFormat="1" applyFont="1" applyFill="1"/>
    <xf numFmtId="1" fontId="2" fillId="4" borderId="0" xfId="0" applyNumberFormat="1" applyFont="1" applyFill="1" applyAlignment="1">
      <alignment horizontal="center"/>
    </xf>
    <xf numFmtId="1" fontId="2" fillId="5" borderId="0" xfId="0" applyNumberFormat="1" applyFont="1" applyFill="1"/>
    <xf numFmtId="1" fontId="2" fillId="5" borderId="0" xfId="0" applyNumberFormat="1" applyFont="1" applyFill="1" applyAlignment="1">
      <alignment horizontal="center"/>
    </xf>
    <xf numFmtId="1" fontId="2" fillId="6" borderId="0" xfId="0" applyNumberFormat="1" applyFont="1" applyFill="1"/>
    <xf numFmtId="1" fontId="2" fillId="6" borderId="0" xfId="0" applyNumberFormat="1"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0" borderId="0" xfId="0" applyFont="1" applyAlignment="1">
      <alignment horizontal="center"/>
    </xf>
    <xf numFmtId="0" fontId="2" fillId="0" borderId="0" xfId="0" applyFont="1" applyAlignment="1">
      <alignment horizontal="right"/>
    </xf>
    <xf numFmtId="0" fontId="2" fillId="4" borderId="0" xfId="0" applyFont="1" applyFill="1" applyAlignment="1">
      <alignment horizontal="center"/>
    </xf>
    <xf numFmtId="0" fontId="2" fillId="4" borderId="0" xfId="0" applyFont="1" applyFill="1" applyAlignment="1">
      <alignment horizontal="right"/>
    </xf>
    <xf numFmtId="0" fontId="2" fillId="5" borderId="0" xfId="0" applyFont="1" applyFill="1" applyAlignment="1">
      <alignment horizontal="center"/>
    </xf>
    <xf numFmtId="0" fontId="2" fillId="5" borderId="0" xfId="0" applyFont="1" applyFill="1" applyAlignment="1">
      <alignment horizontal="right"/>
    </xf>
    <xf numFmtId="0" fontId="2" fillId="7" borderId="0" xfId="0" applyFont="1" applyFill="1"/>
    <xf numFmtId="0" fontId="1" fillId="0" borderId="0" xfId="0" applyFont="1"/>
    <xf numFmtId="0" fontId="2" fillId="7" borderId="0" xfId="0" applyFont="1" applyFill="1" applyAlignment="1">
      <alignment horizontal="right"/>
    </xf>
    <xf numFmtId="0" fontId="2" fillId="8" borderId="0" xfId="0" applyFont="1" applyFill="1" applyAlignment="1">
      <alignment horizontal="center"/>
    </xf>
    <xf numFmtId="1" fontId="2" fillId="8" borderId="0" xfId="0" applyNumberFormat="1" applyFont="1" applyFill="1" applyAlignment="1">
      <alignment horizontal="center"/>
    </xf>
    <xf numFmtId="0" fontId="2" fillId="8" borderId="0" xfId="0" applyFont="1" applyFill="1" applyAlignment="1">
      <alignment horizontal="right"/>
    </xf>
    <xf numFmtId="0" fontId="2" fillId="8" borderId="0" xfId="0" applyFont="1" applyFill="1"/>
    <xf numFmtId="1" fontId="1" fillId="0" borderId="0" xfId="0" applyNumberFormat="1" applyFont="1" applyAlignment="1">
      <alignment horizontal="center"/>
    </xf>
    <xf numFmtId="164" fontId="1" fillId="0" borderId="0" xfId="0" applyNumberFormat="1" applyFont="1" applyAlignment="1">
      <alignment horizontal="center"/>
    </xf>
    <xf numFmtId="0" fontId="1" fillId="0" borderId="0" xfId="0" applyFont="1" applyAlignment="1">
      <alignment horizontal="center"/>
    </xf>
    <xf numFmtId="14" fontId="3" fillId="0" borderId="3" xfId="0" applyNumberFormat="1" applyFont="1" applyBorder="1"/>
    <xf numFmtId="0" fontId="2" fillId="0" borderId="3" xfId="0" applyFont="1" applyBorder="1" applyAlignment="1">
      <alignment vertical="top" wrapText="1"/>
    </xf>
    <xf numFmtId="0" fontId="2" fillId="0" borderId="3" xfId="0" applyFont="1" applyBorder="1" applyAlignment="1">
      <alignment horizontal="center" vertical="top" wrapText="1"/>
    </xf>
    <xf numFmtId="1" fontId="2" fillId="9" borderId="0" xfId="0" applyNumberFormat="1" applyFont="1" applyFill="1"/>
    <xf numFmtId="1" fontId="2" fillId="9" borderId="0" xfId="0" applyNumberFormat="1" applyFont="1" applyFill="1" applyAlignment="1">
      <alignment horizontal="center"/>
    </xf>
    <xf numFmtId="0" fontId="2" fillId="9" borderId="0" xfId="0" applyFont="1" applyFill="1" applyAlignment="1">
      <alignment horizontal="right"/>
    </xf>
    <xf numFmtId="0" fontId="3" fillId="0" borderId="3" xfId="0" applyFont="1" applyBorder="1"/>
    <xf numFmtId="0" fontId="7" fillId="0" borderId="0" xfId="0" applyFont="1"/>
    <xf numFmtId="0" fontId="1" fillId="10" borderId="0" xfId="0" applyFont="1" applyFill="1"/>
    <xf numFmtId="0" fontId="2" fillId="0" borderId="0" xfId="1"/>
    <xf numFmtId="167" fontId="2" fillId="0" borderId="0" xfId="0" applyNumberFormat="1" applyFont="1" applyAlignment="1">
      <alignment horizontal="center"/>
    </xf>
    <xf numFmtId="165" fontId="2" fillId="0" borderId="1" xfId="0" applyNumberFormat="1" applyFont="1" applyBorder="1" applyAlignment="1">
      <alignment horizontal="center"/>
    </xf>
    <xf numFmtId="165" fontId="3" fillId="0" borderId="1" xfId="0" applyNumberFormat="1" applyFont="1" applyBorder="1"/>
    <xf numFmtId="165" fontId="2" fillId="0" borderId="1" xfId="0" applyNumberFormat="1" applyFont="1" applyBorder="1"/>
    <xf numFmtId="165" fontId="2" fillId="0" borderId="1" xfId="0" applyNumberFormat="1" applyFont="1" applyBorder="1" applyAlignment="1">
      <alignment vertical="top" wrapText="1"/>
    </xf>
    <xf numFmtId="165" fontId="2" fillId="0" borderId="2" xfId="0" applyNumberFormat="1" applyFont="1" applyBorder="1" applyAlignment="1">
      <alignment vertical="top" wrapText="1"/>
    </xf>
    <xf numFmtId="165" fontId="3" fillId="0" borderId="2" xfId="0" applyNumberFormat="1" applyFont="1" applyBorder="1"/>
    <xf numFmtId="165" fontId="2" fillId="0" borderId="3" xfId="0" applyNumberFormat="1" applyFont="1" applyBorder="1"/>
    <xf numFmtId="165" fontId="2" fillId="0" borderId="3" xfId="0" applyNumberFormat="1" applyFont="1" applyBorder="1" applyAlignment="1">
      <alignment vertical="top" wrapText="1"/>
    </xf>
    <xf numFmtId="165" fontId="3" fillId="0" borderId="3" xfId="0" applyNumberFormat="1" applyFont="1" applyBorder="1"/>
    <xf numFmtId="165" fontId="6" fillId="0" borderId="1" xfId="0" applyNumberFormat="1" applyFont="1" applyBorder="1"/>
    <xf numFmtId="1" fontId="2" fillId="9" borderId="0" xfId="0" applyNumberFormat="1" applyFont="1" applyFill="1" applyAlignment="1">
      <alignment horizontal="right"/>
    </xf>
    <xf numFmtId="167" fontId="2" fillId="0" borderId="0" xfId="0" applyNumberFormat="1" applyFont="1" applyAlignment="1">
      <alignment horizontal="right"/>
    </xf>
    <xf numFmtId="167" fontId="2" fillId="9" borderId="0" xfId="0" applyNumberFormat="1" applyFont="1" applyFill="1" applyAlignment="1">
      <alignment horizontal="right"/>
    </xf>
    <xf numFmtId="167" fontId="2" fillId="5" borderId="0" xfId="0" applyNumberFormat="1" applyFont="1" applyFill="1" applyAlignment="1">
      <alignment horizontal="right"/>
    </xf>
    <xf numFmtId="2" fontId="0" fillId="0" borderId="0" xfId="0" applyNumberFormat="1"/>
    <xf numFmtId="2" fontId="0" fillId="0" borderId="4" xfId="0" applyNumberFormat="1" applyBorder="1"/>
    <xf numFmtId="1" fontId="2" fillId="10" borderId="0" xfId="0" applyNumberFormat="1" applyFont="1" applyFill="1"/>
    <xf numFmtId="1" fontId="2" fillId="10" borderId="0" xfId="0" applyNumberFormat="1" applyFont="1" applyFill="1" applyAlignment="1">
      <alignment horizontal="center"/>
    </xf>
    <xf numFmtId="0" fontId="2" fillId="0" borderId="3" xfId="0" applyFont="1" applyBorder="1"/>
    <xf numFmtId="0" fontId="2" fillId="0" borderId="0" xfId="0" applyFont="1" applyAlignment="1">
      <alignment horizontal="left"/>
    </xf>
    <xf numFmtId="0" fontId="3" fillId="2" borderId="0" xfId="0" applyFont="1" applyFill="1" applyAlignment="1">
      <alignment horizontal="center"/>
    </xf>
    <xf numFmtId="0" fontId="3" fillId="4" borderId="0" xfId="0" applyFont="1" applyFill="1" applyAlignment="1">
      <alignment horizontal="left"/>
    </xf>
    <xf numFmtId="0" fontId="3" fillId="0" borderId="0" xfId="0" applyFont="1" applyAlignment="1">
      <alignment horizontal="left"/>
    </xf>
    <xf numFmtId="0" fontId="3" fillId="4" borderId="0" xfId="0" applyFont="1" applyFill="1" applyAlignment="1">
      <alignment horizontal="center"/>
    </xf>
    <xf numFmtId="14" fontId="2" fillId="4" borderId="0" xfId="0" applyNumberFormat="1" applyFont="1" applyFill="1" applyAlignment="1">
      <alignment horizontal="center"/>
    </xf>
    <xf numFmtId="0" fontId="2" fillId="3" borderId="0" xfId="0" applyFont="1" applyFill="1" applyAlignment="1">
      <alignment horizontal="left"/>
    </xf>
    <xf numFmtId="0" fontId="3" fillId="5" borderId="0" xfId="0" applyFont="1" applyFill="1" applyAlignment="1">
      <alignment horizontal="center"/>
    </xf>
    <xf numFmtId="0" fontId="3" fillId="5" borderId="0" xfId="0" applyFont="1" applyFill="1" applyAlignment="1">
      <alignment horizontal="left"/>
    </xf>
    <xf numFmtId="0" fontId="2" fillId="5" borderId="0" xfId="0" applyFont="1" applyFill="1" applyAlignment="1">
      <alignment horizontal="left"/>
    </xf>
    <xf numFmtId="0" fontId="2" fillId="6" borderId="0" xfId="0" applyFont="1" applyFill="1" applyAlignment="1">
      <alignment horizontal="left"/>
    </xf>
    <xf numFmtId="0" fontId="2" fillId="4" borderId="0" xfId="0" applyFont="1" applyFill="1" applyAlignment="1">
      <alignment horizontal="left"/>
    </xf>
    <xf numFmtId="0" fontId="2" fillId="8" borderId="0" xfId="0" applyFont="1" applyFill="1" applyAlignment="1">
      <alignment horizontal="left"/>
    </xf>
    <xf numFmtId="0" fontId="2" fillId="9" borderId="0" xfId="0" applyFont="1" applyFill="1" applyAlignment="1">
      <alignment horizontal="left"/>
    </xf>
    <xf numFmtId="0" fontId="2" fillId="7" borderId="0" xfId="0" applyFont="1" applyFill="1" applyAlignment="1">
      <alignment horizontal="center"/>
    </xf>
    <xf numFmtId="0" fontId="2" fillId="0" borderId="0" xfId="1" applyAlignment="1">
      <alignment horizontal="center"/>
    </xf>
    <xf numFmtId="167" fontId="2" fillId="9" borderId="0" xfId="0" applyNumberFormat="1" applyFont="1" applyFill="1" applyAlignment="1">
      <alignment horizontal="center"/>
    </xf>
    <xf numFmtId="167" fontId="2" fillId="6" borderId="0" xfId="0" applyNumberFormat="1" applyFont="1" applyFill="1" applyAlignment="1">
      <alignment horizontal="center"/>
    </xf>
    <xf numFmtId="167" fontId="2" fillId="4" borderId="0" xfId="0" applyNumberFormat="1" applyFont="1" applyFill="1" applyAlignment="1">
      <alignment horizontal="center"/>
    </xf>
    <xf numFmtId="0" fontId="2" fillId="0" borderId="0" xfId="1" applyAlignment="1">
      <alignment horizontal="right"/>
    </xf>
    <xf numFmtId="168" fontId="2" fillId="0" borderId="0" xfId="0" applyNumberFormat="1" applyFont="1" applyAlignment="1">
      <alignment horizontal="right"/>
    </xf>
    <xf numFmtId="0" fontId="2" fillId="10" borderId="0" xfId="0" applyFont="1" applyFill="1" applyAlignment="1">
      <alignment horizontal="left"/>
    </xf>
    <xf numFmtId="167" fontId="2" fillId="0" borderId="0" xfId="0" applyNumberFormat="1" applyFont="1" applyAlignment="1">
      <alignment horizontal="left"/>
    </xf>
    <xf numFmtId="1" fontId="2" fillId="10" borderId="0" xfId="0" applyNumberFormat="1" applyFont="1" applyFill="1" applyAlignment="1">
      <alignment horizontal="left"/>
    </xf>
  </cellXfs>
  <cellStyles count="2">
    <cellStyle name="Normal" xfId="0" builtinId="0"/>
    <cellStyle name="Normal 2" xfId="1" xr:uid="{B0630313-E696-4F5A-B970-F2E723F20B5C}"/>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'check of DW means'!$D$1</c:f>
              <c:strCache>
                <c:ptCount val="1"/>
                <c:pt idx="0">
                  <c:v>Average DW offtake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means'!$D$2:$D$2749</c:f>
              <c:numCache>
                <c:formatCode>General</c:formatCode>
                <c:ptCount val="67"/>
                <c:pt idx="0">
                  <c:v>8.4273545195204143E-3</c:v>
                </c:pt>
                <c:pt idx="1">
                  <c:v>1.0357931091999997E-2</c:v>
                </c:pt>
                <c:pt idx="2">
                  <c:v>2.3278125334953048E-2</c:v>
                </c:pt>
                <c:pt idx="3">
                  <c:v>2.309934183463597E-2</c:v>
                </c:pt>
                <c:pt idx="4">
                  <c:v>3.1491441792592591E-2</c:v>
                </c:pt>
                <c:pt idx="5">
                  <c:v>2.2135634757925689E-2</c:v>
                </c:pt>
                <c:pt idx="6">
                  <c:v>3.133206557964887E-2</c:v>
                </c:pt>
                <c:pt idx="7">
                  <c:v>2.9234860644369975E-2</c:v>
                </c:pt>
                <c:pt idx="8">
                  <c:v>1.2778954601058027E-2</c:v>
                </c:pt>
                <c:pt idx="9">
                  <c:v>1.7020705620883161E-2</c:v>
                </c:pt>
                <c:pt idx="10">
                  <c:v>5.1828180000000001E-2</c:v>
                </c:pt>
                <c:pt idx="11">
                  <c:v>4.7232019230769237E-2</c:v>
                </c:pt>
                <c:pt idx="12">
                  <c:v>1.4476481481481481E-2</c:v>
                </c:pt>
                <c:pt idx="13">
                  <c:v>9.2849061956703123E-3</c:v>
                </c:pt>
                <c:pt idx="14">
                  <c:v>2.09179347505235E-2</c:v>
                </c:pt>
                <c:pt idx="15">
                  <c:v>1.0054488751609612E-2</c:v>
                </c:pt>
                <c:pt idx="16">
                  <c:v>1.2399204586173667E-2</c:v>
                </c:pt>
                <c:pt idx="17">
                  <c:v>7.0527029166981888E-3</c:v>
                </c:pt>
                <c:pt idx="18">
                  <c:v>1.5732922989915417E-2</c:v>
                </c:pt>
                <c:pt idx="19">
                  <c:v>1.2303976241012484E-2</c:v>
                </c:pt>
                <c:pt idx="20">
                  <c:v>1.0459568927278371E-2</c:v>
                </c:pt>
                <c:pt idx="21">
                  <c:v>4.1592400195145356E-3</c:v>
                </c:pt>
                <c:pt idx="22">
                  <c:v>2.3423492085140142E-2</c:v>
                </c:pt>
                <c:pt idx="23">
                  <c:v>8.2464510121798059E-3</c:v>
                </c:pt>
                <c:pt idx="24">
                  <c:v>7.9837114865601733E-3</c:v>
                </c:pt>
                <c:pt idx="25">
                  <c:v>4.3261216708766898E-3</c:v>
                </c:pt>
                <c:pt idx="26">
                  <c:v>6.3752702690081939E-3</c:v>
                </c:pt>
                <c:pt idx="27">
                  <c:v>4.577034709274232E-3</c:v>
                </c:pt>
                <c:pt idx="28">
                  <c:v>1.008422902596926E-2</c:v>
                </c:pt>
                <c:pt idx="29">
                  <c:v>9.3774920790329688E-3</c:v>
                </c:pt>
                <c:pt idx="30">
                  <c:v>1.4757205438679175E-2</c:v>
                </c:pt>
                <c:pt idx="31">
                  <c:v>1.0175399960606478E-2</c:v>
                </c:pt>
                <c:pt idx="32">
                  <c:v>1.4563282118310449E-2</c:v>
                </c:pt>
                <c:pt idx="33">
                  <c:v>8.0689540466297952E-3</c:v>
                </c:pt>
                <c:pt idx="34">
                  <c:v>1.1911491053429845E-2</c:v>
                </c:pt>
                <c:pt idx="35">
                  <c:v>9.240980227157752E-3</c:v>
                </c:pt>
                <c:pt idx="36">
                  <c:v>1.5224600359282341E-2</c:v>
                </c:pt>
                <c:pt idx="37">
                  <c:v>5.0340668174955108E-3</c:v>
                </c:pt>
                <c:pt idx="38">
                  <c:v>9.6638779334384615E-3</c:v>
                </c:pt>
                <c:pt idx="39">
                  <c:v>8.4360219726265506E-3</c:v>
                </c:pt>
                <c:pt idx="40">
                  <c:v>1.2003715379132564E-2</c:v>
                </c:pt>
                <c:pt idx="41">
                  <c:v>7.8196781134865969E-3</c:v>
                </c:pt>
                <c:pt idx="42">
                  <c:v>1.6526863915957736E-2</c:v>
                </c:pt>
                <c:pt idx="43">
                  <c:v>1.4629903920866567E-2</c:v>
                </c:pt>
                <c:pt idx="44">
                  <c:v>1.6393373806496178E-2</c:v>
                </c:pt>
                <c:pt idx="45">
                  <c:v>5.7007965639672186E-3</c:v>
                </c:pt>
                <c:pt idx="46">
                  <c:v>8.4578344452214162E-3</c:v>
                </c:pt>
                <c:pt idx="47">
                  <c:v>1.6607947898188962E-2</c:v>
                </c:pt>
                <c:pt idx="48">
                  <c:v>7.1716381230311176E-3</c:v>
                </c:pt>
                <c:pt idx="49">
                  <c:v>1.7126308002243761E-2</c:v>
                </c:pt>
                <c:pt idx="50">
                  <c:v>2.1265534808832625E-2</c:v>
                </c:pt>
                <c:pt idx="51">
                  <c:v>9.9023652653162288E-3</c:v>
                </c:pt>
                <c:pt idx="52">
                  <c:v>-3.5257030505241E-4</c:v>
                </c:pt>
                <c:pt idx="53">
                  <c:v>7.4832867787451443E-3</c:v>
                </c:pt>
                <c:pt idx="54">
                  <c:v>1.2649432561523101E-2</c:v>
                </c:pt>
                <c:pt idx="55">
                  <c:v>6.5801825495931544E-3</c:v>
                </c:pt>
                <c:pt idx="56">
                  <c:v>1.3949434583733199E-2</c:v>
                </c:pt>
                <c:pt idx="57">
                  <c:v>7.9474711439675855E-3</c:v>
                </c:pt>
                <c:pt idx="58">
                  <c:v>1.2651981595513789E-2</c:v>
                </c:pt>
                <c:pt idx="59">
                  <c:v>1.1677252740817786E-2</c:v>
                </c:pt>
                <c:pt idx="60">
                  <c:v>4.1512404778480819E-3</c:v>
                </c:pt>
                <c:pt idx="61">
                  <c:v>9.2636964014244216E-3</c:v>
                </c:pt>
                <c:pt idx="62">
                  <c:v>1.6138156377116974E-2</c:v>
                </c:pt>
                <c:pt idx="63">
                  <c:v>7.5026705201677668E-3</c:v>
                </c:pt>
              </c:numCache>
            </c:numRef>
          </c:val>
          <c:smooth val="0"/>
          <c:extLst>
            <c:ext xmlns:c16="http://schemas.microsoft.com/office/drawing/2014/chart" uri="{C3380CC4-5D6E-409C-BE32-E72D297353CC}">
              <c16:uniqueId val="{00000000-7E89-43BA-8138-8E59F548DAF0}"/>
            </c:ext>
          </c:extLst>
        </c:ser>
        <c:ser>
          <c:idx val="1"/>
          <c:order val="1"/>
          <c:tx>
            <c:strRef>
              <c:f>'check of DW means'!$E$1</c:f>
              <c:strCache>
                <c:ptCount val="1"/>
                <c:pt idx="0">
                  <c:v>Average DW pal 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means'!$E$2:$E$2749</c:f>
              <c:numCache>
                <c:formatCode>General</c:formatCode>
                <c:ptCount val="67"/>
                <c:pt idx="0">
                  <c:v>1.1417104554431744E-2</c:v>
                </c:pt>
                <c:pt idx="1">
                  <c:v>1.5652057561999999E-2</c:v>
                </c:pt>
                <c:pt idx="2">
                  <c:v>2.9976935581835767E-2</c:v>
                </c:pt>
                <c:pt idx="3">
                  <c:v>3.0869600987248062E-2</c:v>
                </c:pt>
                <c:pt idx="4">
                  <c:v>4.3106291792592594E-2</c:v>
                </c:pt>
                <c:pt idx="5">
                  <c:v>3.0621873674414504E-2</c:v>
                </c:pt>
                <c:pt idx="6">
                  <c:v>4.6817444236618773E-2</c:v>
                </c:pt>
                <c:pt idx="7">
                  <c:v>4.1889596177811211E-2</c:v>
                </c:pt>
                <c:pt idx="8">
                  <c:v>3.1344185809034059E-2</c:v>
                </c:pt>
                <c:pt idx="9">
                  <c:v>2.7832063332406815E-2</c:v>
                </c:pt>
                <c:pt idx="10">
                  <c:v>6.653619999999999E-2</c:v>
                </c:pt>
                <c:pt idx="11">
                  <c:v>5.5505423076923084E-2</c:v>
                </c:pt>
                <c:pt idx="12">
                  <c:v>2.3990925925925926E-2</c:v>
                </c:pt>
                <c:pt idx="13">
                  <c:v>1.6991221784663876E-2</c:v>
                </c:pt>
                <c:pt idx="14">
                  <c:v>2.7224486016789232E-2</c:v>
                </c:pt>
                <c:pt idx="15">
                  <c:v>1.3414673516746991E-2</c:v>
                </c:pt>
                <c:pt idx="16">
                  <c:v>1.6593061063648537E-2</c:v>
                </c:pt>
                <c:pt idx="17">
                  <c:v>8.9179854396439617E-3</c:v>
                </c:pt>
                <c:pt idx="18">
                  <c:v>2.0377967968440439E-2</c:v>
                </c:pt>
                <c:pt idx="19">
                  <c:v>1.5235917567048448E-2</c:v>
                </c:pt>
                <c:pt idx="20">
                  <c:v>1.6238502549333803E-2</c:v>
                </c:pt>
                <c:pt idx="21">
                  <c:v>7.7593245721312562E-3</c:v>
                </c:pt>
                <c:pt idx="22">
                  <c:v>2.6436462561384336E-2</c:v>
                </c:pt>
                <c:pt idx="23">
                  <c:v>1.0151407453577168E-2</c:v>
                </c:pt>
                <c:pt idx="24">
                  <c:v>1.209700380453483E-2</c:v>
                </c:pt>
                <c:pt idx="25">
                  <c:v>6.8674664768375235E-3</c:v>
                </c:pt>
                <c:pt idx="26">
                  <c:v>9.4941332604070831E-3</c:v>
                </c:pt>
                <c:pt idx="27">
                  <c:v>6.6908423470617177E-3</c:v>
                </c:pt>
                <c:pt idx="28">
                  <c:v>1.6946381573443504E-2</c:v>
                </c:pt>
                <c:pt idx="29">
                  <c:v>1.4731663688374554E-2</c:v>
                </c:pt>
                <c:pt idx="30">
                  <c:v>2.4808454195540123E-2</c:v>
                </c:pt>
                <c:pt idx="31">
                  <c:v>1.3087785597107679E-2</c:v>
                </c:pt>
                <c:pt idx="32">
                  <c:v>1.7215437309586763E-2</c:v>
                </c:pt>
                <c:pt idx="33">
                  <c:v>1.2834760132212833E-2</c:v>
                </c:pt>
                <c:pt idx="34">
                  <c:v>2.0155776552110451E-2</c:v>
                </c:pt>
                <c:pt idx="35">
                  <c:v>1.1002399412102825E-2</c:v>
                </c:pt>
                <c:pt idx="36">
                  <c:v>2.0145511222271668E-2</c:v>
                </c:pt>
                <c:pt idx="37">
                  <c:v>9.0211623759593965E-3</c:v>
                </c:pt>
                <c:pt idx="38">
                  <c:v>1.5038539430381439E-2</c:v>
                </c:pt>
                <c:pt idx="39">
                  <c:v>1.0195480693974043E-2</c:v>
                </c:pt>
                <c:pt idx="40">
                  <c:v>1.7803636311487941E-2</c:v>
                </c:pt>
                <c:pt idx="41">
                  <c:v>1.4114440985183897E-2</c:v>
                </c:pt>
                <c:pt idx="42">
                  <c:v>2.0460501110257469E-2</c:v>
                </c:pt>
                <c:pt idx="43">
                  <c:v>2.0649840844092368E-2</c:v>
                </c:pt>
                <c:pt idx="44">
                  <c:v>2.5838018791197903E-2</c:v>
                </c:pt>
                <c:pt idx="45">
                  <c:v>7.0393378045199339E-3</c:v>
                </c:pt>
                <c:pt idx="46">
                  <c:v>1.3529058549117418E-2</c:v>
                </c:pt>
                <c:pt idx="47">
                  <c:v>2.4034715137484695E-2</c:v>
                </c:pt>
                <c:pt idx="48">
                  <c:v>1.6646499156933833E-2</c:v>
                </c:pt>
                <c:pt idx="49">
                  <c:v>2.1461335155141498E-2</c:v>
                </c:pt>
                <c:pt idx="50">
                  <c:v>3.2179817731253224E-2</c:v>
                </c:pt>
                <c:pt idx="51">
                  <c:v>2.0626856191269419E-2</c:v>
                </c:pt>
                <c:pt idx="52">
                  <c:v>1.0202864852186281E-2</c:v>
                </c:pt>
                <c:pt idx="53">
                  <c:v>1.2218490196221621E-2</c:v>
                </c:pt>
                <c:pt idx="54">
                  <c:v>1.9039519658344526E-2</c:v>
                </c:pt>
                <c:pt idx="55">
                  <c:v>1.2489865518651241E-2</c:v>
                </c:pt>
                <c:pt idx="56">
                  <c:v>1.6965597626171676E-2</c:v>
                </c:pt>
                <c:pt idx="57">
                  <c:v>1.1825017315617515E-2</c:v>
                </c:pt>
                <c:pt idx="58">
                  <c:v>1.6307539869333722E-2</c:v>
                </c:pt>
                <c:pt idx="59">
                  <c:v>2.2802812093808071E-2</c:v>
                </c:pt>
                <c:pt idx="60">
                  <c:v>9.8872196117024327E-3</c:v>
                </c:pt>
                <c:pt idx="61">
                  <c:v>1.5084993817326078E-2</c:v>
                </c:pt>
                <c:pt idx="62">
                  <c:v>2.1389079113335034E-2</c:v>
                </c:pt>
                <c:pt idx="63">
                  <c:v>9.8593161349111013E-3</c:v>
                </c:pt>
              </c:numCache>
            </c:numRef>
          </c:val>
          <c:smooth val="0"/>
          <c:extLst>
            <c:ext xmlns:c16="http://schemas.microsoft.com/office/drawing/2014/chart" uri="{C3380CC4-5D6E-409C-BE32-E72D297353CC}">
              <c16:uniqueId val="{00000001-7E89-43BA-8138-8E59F548DAF0}"/>
            </c:ext>
          </c:extLst>
        </c:ser>
        <c:ser>
          <c:idx val="2"/>
          <c:order val="2"/>
          <c:tx>
            <c:strRef>
              <c:f>'check of DW means'!$F$1</c:f>
              <c:strCache>
                <c:ptCount val="1"/>
                <c:pt idx="0">
                  <c:v>Average daily rainfall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means'!$F$2:$F$2749</c:f>
              <c:numCache>
                <c:formatCode>General</c:formatCode>
                <c:ptCount val="67"/>
                <c:pt idx="0">
                  <c:v>2.3472826086956502</c:v>
                </c:pt>
                <c:pt idx="1">
                  <c:v>3.6548913043478262</c:v>
                </c:pt>
                <c:pt idx="2">
                  <c:v>2.8989010989010988</c:v>
                </c:pt>
                <c:pt idx="3">
                  <c:v>2.0738888888888884</c:v>
                </c:pt>
                <c:pt idx="4">
                  <c:v>2.2597826086956521</c:v>
                </c:pt>
                <c:pt idx="5">
                  <c:v>3.2173913043478262</c:v>
                </c:pt>
                <c:pt idx="6">
                  <c:v>2.3670329670329666</c:v>
                </c:pt>
                <c:pt idx="7">
                  <c:v>3.0577777777777775</c:v>
                </c:pt>
                <c:pt idx="8">
                  <c:v>3.7739130434782595</c:v>
                </c:pt>
                <c:pt idx="9">
                  <c:v>2.8565217391304332</c:v>
                </c:pt>
                <c:pt idx="10">
                  <c:v>2.3164835164835158</c:v>
                </c:pt>
                <c:pt idx="11">
                  <c:v>1.8296703296703301</c:v>
                </c:pt>
                <c:pt idx="12">
                  <c:v>3.6549450549450557</c:v>
                </c:pt>
                <c:pt idx="13">
                  <c:v>2.2782608695652171</c:v>
                </c:pt>
                <c:pt idx="14">
                  <c:v>1.9076923076923076</c:v>
                </c:pt>
                <c:pt idx="15">
                  <c:v>0.96222222222222231</c:v>
                </c:pt>
                <c:pt idx="16">
                  <c:v>1.4652173913043482</c:v>
                </c:pt>
                <c:pt idx="17">
                  <c:v>4.0754098360655728</c:v>
                </c:pt>
                <c:pt idx="18">
                  <c:v>3.3428571428571421</c:v>
                </c:pt>
                <c:pt idx="19">
                  <c:v>1.2800000000000002</c:v>
                </c:pt>
                <c:pt idx="20">
                  <c:v>1.486956521739131</c:v>
                </c:pt>
                <c:pt idx="21">
                  <c:v>2.4043478260869557</c:v>
                </c:pt>
                <c:pt idx="22">
                  <c:v>1.9208791208791209</c:v>
                </c:pt>
                <c:pt idx="23">
                  <c:v>1.4022222222222223</c:v>
                </c:pt>
                <c:pt idx="24">
                  <c:v>1.7749999999999999</c:v>
                </c:pt>
                <c:pt idx="25">
                  <c:v>1.5021739130434779</c:v>
                </c:pt>
                <c:pt idx="26">
                  <c:v>1.052747252747253</c:v>
                </c:pt>
                <c:pt idx="27">
                  <c:v>1.2857142857142858</c:v>
                </c:pt>
                <c:pt idx="28">
                  <c:v>1.9000000000000004</c:v>
                </c:pt>
                <c:pt idx="29">
                  <c:v>3.0847826086956509</c:v>
                </c:pt>
                <c:pt idx="30">
                  <c:v>2.6637362637362632</c:v>
                </c:pt>
                <c:pt idx="31">
                  <c:v>1.6977777777777776</c:v>
                </c:pt>
                <c:pt idx="32">
                  <c:v>2.1108695652173917</c:v>
                </c:pt>
                <c:pt idx="33">
                  <c:v>2.5195652173913041</c:v>
                </c:pt>
                <c:pt idx="34">
                  <c:v>2.6698795180722872</c:v>
                </c:pt>
                <c:pt idx="35">
                  <c:v>2.2837209302325578</c:v>
                </c:pt>
                <c:pt idx="36">
                  <c:v>2.2373626373626365</c:v>
                </c:pt>
                <c:pt idx="37">
                  <c:v>3.0847826086956518</c:v>
                </c:pt>
                <c:pt idx="38">
                  <c:v>1.8307692307692309</c:v>
                </c:pt>
                <c:pt idx="39">
                  <c:v>1.1244444444444446</c:v>
                </c:pt>
                <c:pt idx="40">
                  <c:v>2.523595505617978</c:v>
                </c:pt>
                <c:pt idx="41">
                  <c:v>3.0217391304347818</c:v>
                </c:pt>
                <c:pt idx="42">
                  <c:v>2.3011235955056177</c:v>
                </c:pt>
                <c:pt idx="43">
                  <c:v>1.8711111111111112</c:v>
                </c:pt>
                <c:pt idx="44">
                  <c:v>3.2333333333333334</c:v>
                </c:pt>
                <c:pt idx="45">
                  <c:v>2.0326086956521743</c:v>
                </c:pt>
                <c:pt idx="46">
                  <c:v>2.3130434782608695</c:v>
                </c:pt>
                <c:pt idx="47">
                  <c:v>1.8422222222222224</c:v>
                </c:pt>
                <c:pt idx="48">
                  <c:v>1.215217391304348</c:v>
                </c:pt>
                <c:pt idx="49">
                  <c:v>3.0100000000000007</c:v>
                </c:pt>
              </c:numCache>
            </c:numRef>
          </c:val>
          <c:smooth val="0"/>
          <c:extLst xmlns:c15="http://schemas.microsoft.com/office/drawing/2012/chart">
            <c:ext xmlns:c16="http://schemas.microsoft.com/office/drawing/2014/chart" uri="{C3380CC4-5D6E-409C-BE32-E72D297353CC}">
              <c16:uniqueId val="{00000002-7E89-43BA-8138-8E59F548DAF0}"/>
            </c:ext>
          </c:extLst>
        </c:ser>
        <c:ser>
          <c:idx val="3"/>
          <c:order val="3"/>
          <c:tx>
            <c:strRef>
              <c:f>'check of DW means'!$G$1</c:f>
              <c:strCache>
                <c:ptCount val="1"/>
                <c:pt idx="0">
                  <c:v>Average daily rainfall ( mm / 1000)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means'!$G$2:$G$2749</c:f>
              <c:numCache>
                <c:formatCode>General</c:formatCode>
                <c:ptCount val="67"/>
                <c:pt idx="0">
                  <c:v>2.3472826086956503E-3</c:v>
                </c:pt>
                <c:pt idx="1">
                  <c:v>3.654891304347826E-3</c:v>
                </c:pt>
                <c:pt idx="2">
                  <c:v>2.8989010989010989E-3</c:v>
                </c:pt>
                <c:pt idx="3">
                  <c:v>2.0738888888888886E-3</c:v>
                </c:pt>
                <c:pt idx="4">
                  <c:v>2.2597826086956522E-3</c:v>
                </c:pt>
                <c:pt idx="5">
                  <c:v>3.217391304347826E-3</c:v>
                </c:pt>
                <c:pt idx="6">
                  <c:v>2.3670329670329665E-3</c:v>
                </c:pt>
                <c:pt idx="7">
                  <c:v>3.0577777777777773E-3</c:v>
                </c:pt>
                <c:pt idx="8">
                  <c:v>3.7739130434782595E-3</c:v>
                </c:pt>
                <c:pt idx="9">
                  <c:v>2.856521739130433E-3</c:v>
                </c:pt>
                <c:pt idx="10">
                  <c:v>2.3164835164835159E-3</c:v>
                </c:pt>
                <c:pt idx="11">
                  <c:v>1.8296703296703301E-3</c:v>
                </c:pt>
                <c:pt idx="12">
                  <c:v>3.6549450549450556E-3</c:v>
                </c:pt>
                <c:pt idx="13">
                  <c:v>2.278260869565217E-3</c:v>
                </c:pt>
                <c:pt idx="14">
                  <c:v>1.9076923076923075E-3</c:v>
                </c:pt>
                <c:pt idx="15">
                  <c:v>9.6222222222222228E-4</c:v>
                </c:pt>
                <c:pt idx="16">
                  <c:v>1.4652173913043483E-3</c:v>
                </c:pt>
                <c:pt idx="17">
                  <c:v>4.075409836065573E-3</c:v>
                </c:pt>
                <c:pt idx="18">
                  <c:v>3.3428571428571422E-3</c:v>
                </c:pt>
                <c:pt idx="19">
                  <c:v>1.2800000000000003E-3</c:v>
                </c:pt>
                <c:pt idx="20">
                  <c:v>1.4869565217391308E-3</c:v>
                </c:pt>
                <c:pt idx="21">
                  <c:v>2.4043478260869556E-3</c:v>
                </c:pt>
                <c:pt idx="22">
                  <c:v>1.9208791208791209E-3</c:v>
                </c:pt>
                <c:pt idx="23">
                  <c:v>1.4022222222222222E-3</c:v>
                </c:pt>
                <c:pt idx="24">
                  <c:v>1.7749999999999999E-3</c:v>
                </c:pt>
                <c:pt idx="25">
                  <c:v>1.5021739130434779E-3</c:v>
                </c:pt>
                <c:pt idx="26">
                  <c:v>1.052747252747253E-3</c:v>
                </c:pt>
                <c:pt idx="27">
                  <c:v>1.2857142857142859E-3</c:v>
                </c:pt>
                <c:pt idx="28">
                  <c:v>1.9000000000000004E-3</c:v>
                </c:pt>
                <c:pt idx="29">
                  <c:v>3.0847826086956511E-3</c:v>
                </c:pt>
                <c:pt idx="30">
                  <c:v>2.6637362637362632E-3</c:v>
                </c:pt>
                <c:pt idx="31">
                  <c:v>1.6977777777777777E-3</c:v>
                </c:pt>
                <c:pt idx="32">
                  <c:v>2.1108695652173916E-3</c:v>
                </c:pt>
                <c:pt idx="33">
                  <c:v>2.5195652173913043E-3</c:v>
                </c:pt>
                <c:pt idx="34">
                  <c:v>2.6698795180722873E-3</c:v>
                </c:pt>
                <c:pt idx="35">
                  <c:v>2.283720930232558E-3</c:v>
                </c:pt>
                <c:pt idx="36">
                  <c:v>2.2373626373626363E-3</c:v>
                </c:pt>
                <c:pt idx="37">
                  <c:v>3.0847826086956519E-3</c:v>
                </c:pt>
                <c:pt idx="38">
                  <c:v>1.8307692307692309E-3</c:v>
                </c:pt>
                <c:pt idx="39">
                  <c:v>1.1244444444444446E-3</c:v>
                </c:pt>
                <c:pt idx="40">
                  <c:v>2.523595505617978E-3</c:v>
                </c:pt>
                <c:pt idx="41">
                  <c:v>3.0217391304347817E-3</c:v>
                </c:pt>
                <c:pt idx="42">
                  <c:v>2.3011235955056179E-3</c:v>
                </c:pt>
                <c:pt idx="43">
                  <c:v>1.8711111111111112E-3</c:v>
                </c:pt>
                <c:pt idx="44">
                  <c:v>3.2333333333333333E-3</c:v>
                </c:pt>
                <c:pt idx="45">
                  <c:v>2.0326086956521743E-3</c:v>
                </c:pt>
                <c:pt idx="46">
                  <c:v>2.3130434782608696E-3</c:v>
                </c:pt>
                <c:pt idx="47">
                  <c:v>1.8422222222222225E-3</c:v>
                </c:pt>
                <c:pt idx="48">
                  <c:v>1.2152173913043481E-3</c:v>
                </c:pt>
                <c:pt idx="49">
                  <c:v>3.0100000000000005E-3</c:v>
                </c:pt>
              </c:numCache>
            </c:numRef>
          </c:val>
          <c:smooth val="0"/>
          <c:extLst>
            <c:ext xmlns:c16="http://schemas.microsoft.com/office/drawing/2014/chart" uri="{C3380CC4-5D6E-409C-BE32-E72D297353CC}">
              <c16:uniqueId val="{00000003-7E89-43BA-8138-8E59F548DAF0}"/>
            </c:ext>
          </c:extLst>
        </c:ser>
        <c:ser>
          <c:idx val="4"/>
          <c:order val="4"/>
          <c:tx>
            <c:strRef>
              <c:f>'check of DW means'!$H$1</c:f>
              <c:strCache>
                <c:ptCount val="1"/>
                <c:pt idx="0">
                  <c:v>Average daily max temp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means'!$H$2:$H$2749</c:f>
              <c:numCache>
                <c:formatCode>General</c:formatCode>
                <c:ptCount val="67"/>
                <c:pt idx="0">
                  <c:v>18.282608695652176</c:v>
                </c:pt>
                <c:pt idx="1">
                  <c:v>14.336956521739131</c:v>
                </c:pt>
                <c:pt idx="2">
                  <c:v>18.263736263736263</c:v>
                </c:pt>
                <c:pt idx="3">
                  <c:v>22.933333333333334</c:v>
                </c:pt>
                <c:pt idx="4">
                  <c:v>19.815217391304348</c:v>
                </c:pt>
                <c:pt idx="5">
                  <c:v>13.77173913043478</c:v>
                </c:pt>
                <c:pt idx="6">
                  <c:v>17.461538461538453</c:v>
                </c:pt>
                <c:pt idx="7">
                  <c:v>22.114444444444437</c:v>
                </c:pt>
                <c:pt idx="8">
                  <c:v>17.634782608695659</c:v>
                </c:pt>
                <c:pt idx="9">
                  <c:v>13.838043478260863</c:v>
                </c:pt>
                <c:pt idx="10">
                  <c:v>18.676923076923089</c:v>
                </c:pt>
                <c:pt idx="11">
                  <c:v>22.449450549450543</c:v>
                </c:pt>
                <c:pt idx="12">
                  <c:v>19.104395604395606</c:v>
                </c:pt>
                <c:pt idx="13">
                  <c:v>13.989130434782618</c:v>
                </c:pt>
                <c:pt idx="14">
                  <c:v>18.171428571428574</c:v>
                </c:pt>
                <c:pt idx="15">
                  <c:v>22.796666666666656</c:v>
                </c:pt>
                <c:pt idx="16">
                  <c:v>20.380434782608699</c:v>
                </c:pt>
                <c:pt idx="17">
                  <c:v>15.412295081967219</c:v>
                </c:pt>
                <c:pt idx="18">
                  <c:v>18.048351648351645</c:v>
                </c:pt>
                <c:pt idx="19">
                  <c:v>23.417777777777786</c:v>
                </c:pt>
                <c:pt idx="20">
                  <c:v>20.551086956521733</c:v>
                </c:pt>
                <c:pt idx="21">
                  <c:v>14.773913043478254</c:v>
                </c:pt>
                <c:pt idx="22">
                  <c:v>18.836263736263735</c:v>
                </c:pt>
                <c:pt idx="23">
                  <c:v>23.324444444444449</c:v>
                </c:pt>
                <c:pt idx="24">
                  <c:v>19.368478260869566</c:v>
                </c:pt>
                <c:pt idx="25">
                  <c:v>13.8945652173913</c:v>
                </c:pt>
                <c:pt idx="26">
                  <c:v>19.256043956043964</c:v>
                </c:pt>
                <c:pt idx="27">
                  <c:v>24.150549450549438</c:v>
                </c:pt>
                <c:pt idx="28">
                  <c:v>20.618478260869562</c:v>
                </c:pt>
                <c:pt idx="29">
                  <c:v>14.08586956521739</c:v>
                </c:pt>
                <c:pt idx="30">
                  <c:v>17.347252747252746</c:v>
                </c:pt>
                <c:pt idx="31">
                  <c:v>23.321348314606745</c:v>
                </c:pt>
                <c:pt idx="32">
                  <c:v>20.22417582417582</c:v>
                </c:pt>
                <c:pt idx="33">
                  <c:v>14.207692307692303</c:v>
                </c:pt>
                <c:pt idx="34">
                  <c:v>18.845569620253166</c:v>
                </c:pt>
                <c:pt idx="35">
                  <c:v>23.724418604651166</c:v>
                </c:pt>
                <c:pt idx="36">
                  <c:v>19.851648351648358</c:v>
                </c:pt>
                <c:pt idx="37">
                  <c:v>13.947777777777777</c:v>
                </c:pt>
                <c:pt idx="38">
                  <c:v>17.818681318681314</c:v>
                </c:pt>
                <c:pt idx="39">
                  <c:v>24.333333333333343</c:v>
                </c:pt>
                <c:pt idx="40">
                  <c:v>20.154444444444454</c:v>
                </c:pt>
                <c:pt idx="41">
                  <c:v>13.95652173913043</c:v>
                </c:pt>
                <c:pt idx="42">
                  <c:v>17.891208791208786</c:v>
                </c:pt>
                <c:pt idx="43">
                  <c:v>22.248888888888892</c:v>
                </c:pt>
                <c:pt idx="44">
                  <c:v>18.64777777777778</c:v>
                </c:pt>
                <c:pt idx="45">
                  <c:v>13.880219780219784</c:v>
                </c:pt>
                <c:pt idx="46">
                  <c:v>18.535164835164831</c:v>
                </c:pt>
                <c:pt idx="47">
                  <c:v>21.919318181818173</c:v>
                </c:pt>
                <c:pt idx="48">
                  <c:v>19.141758241758239</c:v>
                </c:pt>
                <c:pt idx="49">
                  <c:v>14.475609756097558</c:v>
                </c:pt>
              </c:numCache>
            </c:numRef>
          </c:val>
          <c:smooth val="0"/>
          <c:extLst xmlns:c15="http://schemas.microsoft.com/office/drawing/2012/chart">
            <c:ext xmlns:c16="http://schemas.microsoft.com/office/drawing/2014/chart" uri="{C3380CC4-5D6E-409C-BE32-E72D297353CC}">
              <c16:uniqueId val="{00000004-7E89-43BA-8138-8E59F548DAF0}"/>
            </c:ext>
          </c:extLst>
        </c:ser>
        <c:ser>
          <c:idx val="5"/>
          <c:order val="5"/>
          <c:tx>
            <c:strRef>
              <c:f>'check of DW means'!$I$1</c:f>
              <c:strCache>
                <c:ptCount val="1"/>
                <c:pt idx="0">
                  <c:v>Average daily max temp (/ 1000)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means'!$I$2:$I$2749</c:f>
              <c:numCache>
                <c:formatCode>General</c:formatCode>
                <c:ptCount val="67"/>
                <c:pt idx="0">
                  <c:v>1.8282608695652177E-2</c:v>
                </c:pt>
                <c:pt idx="1">
                  <c:v>1.4336956521739131E-2</c:v>
                </c:pt>
                <c:pt idx="2">
                  <c:v>1.8263736263736261E-2</c:v>
                </c:pt>
                <c:pt idx="3">
                  <c:v>2.2933333333333333E-2</c:v>
                </c:pt>
                <c:pt idx="4">
                  <c:v>1.9815217391304346E-2</c:v>
                </c:pt>
                <c:pt idx="5">
                  <c:v>1.3771739130434779E-2</c:v>
                </c:pt>
                <c:pt idx="6">
                  <c:v>1.7461538461538452E-2</c:v>
                </c:pt>
                <c:pt idx="7">
                  <c:v>2.2114444444444437E-2</c:v>
                </c:pt>
                <c:pt idx="8">
                  <c:v>1.7634782608695658E-2</c:v>
                </c:pt>
                <c:pt idx="9">
                  <c:v>1.3838043478260863E-2</c:v>
                </c:pt>
                <c:pt idx="10">
                  <c:v>1.8676923076923087E-2</c:v>
                </c:pt>
                <c:pt idx="11">
                  <c:v>2.2449450549450543E-2</c:v>
                </c:pt>
                <c:pt idx="12">
                  <c:v>1.9104395604395606E-2</c:v>
                </c:pt>
                <c:pt idx="13">
                  <c:v>1.3989130434782619E-2</c:v>
                </c:pt>
                <c:pt idx="14">
                  <c:v>1.8171428571428574E-2</c:v>
                </c:pt>
                <c:pt idx="15">
                  <c:v>2.2796666666666656E-2</c:v>
                </c:pt>
                <c:pt idx="16">
                  <c:v>2.0380434782608699E-2</c:v>
                </c:pt>
                <c:pt idx="17">
                  <c:v>1.5412295081967219E-2</c:v>
                </c:pt>
                <c:pt idx="18">
                  <c:v>1.8048351648351644E-2</c:v>
                </c:pt>
                <c:pt idx="19">
                  <c:v>2.3417777777777787E-2</c:v>
                </c:pt>
                <c:pt idx="20">
                  <c:v>2.0551086956521733E-2</c:v>
                </c:pt>
                <c:pt idx="21">
                  <c:v>1.4773913043478254E-2</c:v>
                </c:pt>
                <c:pt idx="22">
                  <c:v>1.8836263736263736E-2</c:v>
                </c:pt>
                <c:pt idx="23">
                  <c:v>2.332444444444445E-2</c:v>
                </c:pt>
                <c:pt idx="24">
                  <c:v>1.9368478260869567E-2</c:v>
                </c:pt>
                <c:pt idx="25">
                  <c:v>1.38945652173913E-2</c:v>
                </c:pt>
                <c:pt idx="26">
                  <c:v>1.9256043956043963E-2</c:v>
                </c:pt>
                <c:pt idx="27">
                  <c:v>2.4150549450549438E-2</c:v>
                </c:pt>
                <c:pt idx="28">
                  <c:v>2.0618478260869561E-2</c:v>
                </c:pt>
                <c:pt idx="29">
                  <c:v>1.4085869565217389E-2</c:v>
                </c:pt>
                <c:pt idx="30">
                  <c:v>1.7347252747252746E-2</c:v>
                </c:pt>
                <c:pt idx="31">
                  <c:v>2.3321348314606746E-2</c:v>
                </c:pt>
                <c:pt idx="32">
                  <c:v>2.0224175824175818E-2</c:v>
                </c:pt>
                <c:pt idx="33">
                  <c:v>1.4207692307692303E-2</c:v>
                </c:pt>
                <c:pt idx="34">
                  <c:v>1.8845569620253164E-2</c:v>
                </c:pt>
                <c:pt idx="35">
                  <c:v>2.3724418604651167E-2</c:v>
                </c:pt>
                <c:pt idx="36">
                  <c:v>1.9851648351648356E-2</c:v>
                </c:pt>
                <c:pt idx="37">
                  <c:v>1.3947777777777776E-2</c:v>
                </c:pt>
                <c:pt idx="38">
                  <c:v>1.7818681318681313E-2</c:v>
                </c:pt>
                <c:pt idx="39">
                  <c:v>2.4333333333333342E-2</c:v>
                </c:pt>
                <c:pt idx="40">
                  <c:v>2.0154444444444454E-2</c:v>
                </c:pt>
                <c:pt idx="41">
                  <c:v>1.395652173913043E-2</c:v>
                </c:pt>
                <c:pt idx="42">
                  <c:v>1.7891208791208785E-2</c:v>
                </c:pt>
                <c:pt idx="43">
                  <c:v>2.2248888888888891E-2</c:v>
                </c:pt>
                <c:pt idx="44">
                  <c:v>1.864777777777778E-2</c:v>
                </c:pt>
                <c:pt idx="45">
                  <c:v>1.3880219780219784E-2</c:v>
                </c:pt>
                <c:pt idx="46">
                  <c:v>1.8535164835164833E-2</c:v>
                </c:pt>
                <c:pt idx="47">
                  <c:v>2.1919318181818172E-2</c:v>
                </c:pt>
                <c:pt idx="48">
                  <c:v>1.914175824175824E-2</c:v>
                </c:pt>
                <c:pt idx="49">
                  <c:v>1.4475609756097558E-2</c:v>
                </c:pt>
              </c:numCache>
            </c:numRef>
          </c:val>
          <c:smooth val="0"/>
          <c:extLst xmlns:c15="http://schemas.microsoft.com/office/drawing/2012/chart">
            <c:ext xmlns:c16="http://schemas.microsoft.com/office/drawing/2014/chart" uri="{C3380CC4-5D6E-409C-BE32-E72D297353CC}">
              <c16:uniqueId val="{00000005-7E89-43BA-8138-8E59F548DAF0}"/>
            </c:ext>
          </c:extLst>
        </c:ser>
        <c:ser>
          <c:idx val="6"/>
          <c:order val="6"/>
          <c:tx>
            <c:strRef>
              <c:f>'check of DW means'!$J$1</c:f>
              <c:strCache>
                <c:ptCount val="1"/>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means'!$J$2:$J$2749</c:f>
              <c:numCache>
                <c:formatCode>General</c:formatCode>
                <c:ptCount val="67"/>
                <c:pt idx="0">
                  <c:v>0</c:v>
                </c:pt>
              </c:numCache>
            </c:numRef>
          </c:val>
          <c:smooth val="0"/>
          <c:extLst xmlns:c15="http://schemas.microsoft.com/office/drawing/2012/chart">
            <c:ext xmlns:c16="http://schemas.microsoft.com/office/drawing/2014/chart" uri="{C3380CC4-5D6E-409C-BE32-E72D297353CC}">
              <c16:uniqueId val="{00000001-4A8E-44E1-BFE0-2495C8AA1B50}"/>
            </c:ext>
          </c:extLst>
        </c:ser>
        <c:ser>
          <c:idx val="7"/>
          <c:order val="7"/>
          <c:tx>
            <c:strRef>
              <c:f>'check of DW means'!$K$1</c:f>
              <c:strCache>
                <c:ptCount val="1"/>
                <c:pt idx="0">
                  <c:v>DW pal in g/m2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means'!$K$2:$K$2749</c:f>
              <c:numCache>
                <c:formatCode>0.00</c:formatCode>
                <c:ptCount val="67"/>
                <c:pt idx="0">
                  <c:v>45.66841821772698</c:v>
                </c:pt>
                <c:pt idx="1">
                  <c:v>62.608230247999998</c:v>
                </c:pt>
                <c:pt idx="2">
                  <c:v>119.90774232734307</c:v>
                </c:pt>
                <c:pt idx="3">
                  <c:v>123.47840394899225</c:v>
                </c:pt>
                <c:pt idx="4">
                  <c:v>172.42516717037037</c:v>
                </c:pt>
                <c:pt idx="5">
                  <c:v>122.48749469765802</c:v>
                </c:pt>
                <c:pt idx="6">
                  <c:v>187.2697769464751</c:v>
                </c:pt>
                <c:pt idx="7">
                  <c:v>167.55838471124486</c:v>
                </c:pt>
                <c:pt idx="8">
                  <c:v>125.37674323613624</c:v>
                </c:pt>
                <c:pt idx="9">
                  <c:v>111.32825332962726</c:v>
                </c:pt>
                <c:pt idx="10">
                  <c:v>266.14479999999998</c:v>
                </c:pt>
                <c:pt idx="11">
                  <c:v>222.02169230769235</c:v>
                </c:pt>
                <c:pt idx="12">
                  <c:v>95.9637037037037</c:v>
                </c:pt>
                <c:pt idx="13">
                  <c:v>67.964887138655499</c:v>
                </c:pt>
                <c:pt idx="14">
                  <c:v>108.89794406715693</c:v>
                </c:pt>
                <c:pt idx="15">
                  <c:v>53.658694066987962</c:v>
                </c:pt>
                <c:pt idx="16">
                  <c:v>66.37224425459415</c:v>
                </c:pt>
                <c:pt idx="17">
                  <c:v>35.671941758575848</c:v>
                </c:pt>
                <c:pt idx="18">
                  <c:v>81.511871873761763</c:v>
                </c:pt>
                <c:pt idx="19">
                  <c:v>60.943670268193792</c:v>
                </c:pt>
                <c:pt idx="20">
                  <c:v>64.954010197335208</c:v>
                </c:pt>
                <c:pt idx="21">
                  <c:v>31.037298288525026</c:v>
                </c:pt>
                <c:pt idx="22">
                  <c:v>105.74585024553734</c:v>
                </c:pt>
                <c:pt idx="23">
                  <c:v>40.605629814308671</c:v>
                </c:pt>
                <c:pt idx="24">
                  <c:v>48.388015218139316</c:v>
                </c:pt>
                <c:pt idx="25">
                  <c:v>27.469865907350094</c:v>
                </c:pt>
                <c:pt idx="26">
                  <c:v>37.976533041628329</c:v>
                </c:pt>
                <c:pt idx="27">
                  <c:v>26.763369388246872</c:v>
                </c:pt>
                <c:pt idx="28">
                  <c:v>67.785526293774012</c:v>
                </c:pt>
                <c:pt idx="29">
                  <c:v>58.926654753498219</c:v>
                </c:pt>
                <c:pt idx="30">
                  <c:v>99.233816782160488</c:v>
                </c:pt>
                <c:pt idx="31">
                  <c:v>52.351142388430716</c:v>
                </c:pt>
                <c:pt idx="32">
                  <c:v>68.861749238347045</c:v>
                </c:pt>
                <c:pt idx="33">
                  <c:v>51.339040528851335</c:v>
                </c:pt>
                <c:pt idx="34">
                  <c:v>80.623106208441811</c:v>
                </c:pt>
                <c:pt idx="35">
                  <c:v>44.009597648411301</c:v>
                </c:pt>
                <c:pt idx="36">
                  <c:v>80.582044889086674</c:v>
                </c:pt>
                <c:pt idx="37">
                  <c:v>36.084649503837589</c:v>
                </c:pt>
                <c:pt idx="38">
                  <c:v>60.154157721525756</c:v>
                </c:pt>
                <c:pt idx="39">
                  <c:v>40.78192277589617</c:v>
                </c:pt>
                <c:pt idx="40">
                  <c:v>71.214545245951768</c:v>
                </c:pt>
                <c:pt idx="41">
                  <c:v>56.457763940735589</c:v>
                </c:pt>
                <c:pt idx="42">
                  <c:v>81.842004441029871</c:v>
                </c:pt>
                <c:pt idx="43">
                  <c:v>82.599363376369467</c:v>
                </c:pt>
                <c:pt idx="44">
                  <c:v>103.35207516479161</c:v>
                </c:pt>
                <c:pt idx="45">
                  <c:v>28.157351218079736</c:v>
                </c:pt>
                <c:pt idx="46">
                  <c:v>54.116234196469676</c:v>
                </c:pt>
                <c:pt idx="47">
                  <c:v>96.138860549938784</c:v>
                </c:pt>
                <c:pt idx="48">
                  <c:v>66.585996627735327</c:v>
                </c:pt>
                <c:pt idx="49">
                  <c:v>85.845340620565992</c:v>
                </c:pt>
                <c:pt idx="50">
                  <c:v>128.71927092501289</c:v>
                </c:pt>
                <c:pt idx="51">
                  <c:v>82.507424765077673</c:v>
                </c:pt>
                <c:pt idx="52">
                  <c:v>40.811459408745122</c:v>
                </c:pt>
                <c:pt idx="53">
                  <c:v>48.873960784886485</c:v>
                </c:pt>
                <c:pt idx="54">
                  <c:v>76.158078633378111</c:v>
                </c:pt>
                <c:pt idx="55">
                  <c:v>49.959462074604964</c:v>
                </c:pt>
                <c:pt idx="56">
                  <c:v>67.862390504686701</c:v>
                </c:pt>
                <c:pt idx="57">
                  <c:v>47.30006926247006</c:v>
                </c:pt>
                <c:pt idx="58">
                  <c:v>65.230159477334894</c:v>
                </c:pt>
                <c:pt idx="59">
                  <c:v>91.211248375232287</c:v>
                </c:pt>
                <c:pt idx="60">
                  <c:v>39.548878446809731</c:v>
                </c:pt>
                <c:pt idx="61">
                  <c:v>60.339975269304311</c:v>
                </c:pt>
                <c:pt idx="62">
                  <c:v>85.556316453340131</c:v>
                </c:pt>
                <c:pt idx="63">
                  <c:v>39.437264539644403</c:v>
                </c:pt>
              </c:numCache>
            </c:numRef>
          </c:val>
          <c:smooth val="0"/>
          <c:extLst xmlns:c15="http://schemas.microsoft.com/office/drawing/2012/chart">
            <c:ext xmlns:c16="http://schemas.microsoft.com/office/drawing/2014/chart" uri="{C3380CC4-5D6E-409C-BE32-E72D297353CC}">
              <c16:uniqueId val="{00000002-4A8E-44E1-BFE0-2495C8AA1B50}"/>
            </c:ext>
          </c:extLst>
        </c:ser>
        <c:ser>
          <c:idx val="8"/>
          <c:order val="8"/>
          <c:tx>
            <c:strRef>
              <c:f>'check of DW means'!$L$1</c:f>
              <c:strCache>
                <c:ptCount val="1"/>
                <c:pt idx="0">
                  <c:v>DW offtake in g/m2</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multiLvlStrRef>
              <c:f>'check of DW means'!$B$2:$C$2749</c:f>
              <c:multiLvlStrCache>
                <c:ptCount val="67"/>
                <c:lvl>
                  <c:pt idx="0">
                    <c:v>autumn</c:v>
                  </c:pt>
                  <c:pt idx="1">
                    <c:v>winter</c:v>
                  </c:pt>
                  <c:pt idx="2">
                    <c:v>spring</c:v>
                  </c:pt>
                  <c:pt idx="3">
                    <c:v>summer</c:v>
                  </c:pt>
                  <c:pt idx="4">
                    <c:v>autumn</c:v>
                  </c:pt>
                  <c:pt idx="5">
                    <c:v>winter</c:v>
                  </c:pt>
                  <c:pt idx="6">
                    <c:v>spring</c:v>
                  </c:pt>
                  <c:pt idx="7">
                    <c:v>summer</c:v>
                  </c:pt>
                  <c:pt idx="8">
                    <c:v>autumn</c:v>
                  </c:pt>
                  <c:pt idx="9">
                    <c:v>winter</c:v>
                  </c:pt>
                  <c:pt idx="10">
                    <c:v>spring</c:v>
                  </c:pt>
                  <c:pt idx="11">
                    <c:v>summer</c:v>
                  </c:pt>
                  <c:pt idx="12">
                    <c:v>autumn</c:v>
                  </c:pt>
                  <c:pt idx="13">
                    <c:v>winter</c:v>
                  </c:pt>
                  <c:pt idx="14">
                    <c:v>spring</c:v>
                  </c:pt>
                  <c:pt idx="15">
                    <c:v>summer</c:v>
                  </c:pt>
                  <c:pt idx="16">
                    <c:v>autumn</c:v>
                  </c:pt>
                  <c:pt idx="17">
                    <c:v>winter</c:v>
                  </c:pt>
                  <c:pt idx="18">
                    <c:v>spring</c:v>
                  </c:pt>
                  <c:pt idx="19">
                    <c:v>summer</c:v>
                  </c:pt>
                  <c:pt idx="20">
                    <c:v>autumn</c:v>
                  </c:pt>
                  <c:pt idx="21">
                    <c:v>winter</c:v>
                  </c:pt>
                  <c:pt idx="22">
                    <c:v>spring</c:v>
                  </c:pt>
                  <c:pt idx="23">
                    <c:v>summer</c:v>
                  </c:pt>
                  <c:pt idx="24">
                    <c:v>autumn</c:v>
                  </c:pt>
                  <c:pt idx="25">
                    <c:v>winter</c:v>
                  </c:pt>
                  <c:pt idx="26">
                    <c:v>spring</c:v>
                  </c:pt>
                  <c:pt idx="27">
                    <c:v>summer</c:v>
                  </c:pt>
                  <c:pt idx="28">
                    <c:v>autumn</c:v>
                  </c:pt>
                  <c:pt idx="29">
                    <c:v>winter</c:v>
                  </c:pt>
                  <c:pt idx="30">
                    <c:v>spring</c:v>
                  </c:pt>
                  <c:pt idx="31">
                    <c:v>summer</c:v>
                  </c:pt>
                  <c:pt idx="32">
                    <c:v>autumn</c:v>
                  </c:pt>
                  <c:pt idx="33">
                    <c:v>winter</c:v>
                  </c:pt>
                  <c:pt idx="34">
                    <c:v>spring</c:v>
                  </c:pt>
                  <c:pt idx="35">
                    <c:v>summer</c:v>
                  </c:pt>
                  <c:pt idx="36">
                    <c:v>autumn</c:v>
                  </c:pt>
                  <c:pt idx="37">
                    <c:v>winter</c:v>
                  </c:pt>
                  <c:pt idx="38">
                    <c:v>spring</c:v>
                  </c:pt>
                  <c:pt idx="39">
                    <c:v>summer</c:v>
                  </c:pt>
                  <c:pt idx="40">
                    <c:v>autumn</c:v>
                  </c:pt>
                  <c:pt idx="41">
                    <c:v>winter</c:v>
                  </c:pt>
                  <c:pt idx="42">
                    <c:v>spring</c:v>
                  </c:pt>
                  <c:pt idx="43">
                    <c:v>summer</c:v>
                  </c:pt>
                  <c:pt idx="44">
                    <c:v>autumn</c:v>
                  </c:pt>
                  <c:pt idx="45">
                    <c:v>winter</c:v>
                  </c:pt>
                  <c:pt idx="46">
                    <c:v>spring</c:v>
                  </c:pt>
                  <c:pt idx="47">
                    <c:v>summer</c:v>
                  </c:pt>
                  <c:pt idx="48">
                    <c:v>autumn</c:v>
                  </c:pt>
                  <c:pt idx="49">
                    <c:v>winter</c:v>
                  </c:pt>
                  <c:pt idx="50">
                    <c:v>spring</c:v>
                  </c:pt>
                  <c:pt idx="51">
                    <c:v>summer</c:v>
                  </c:pt>
                  <c:pt idx="52">
                    <c:v>autumn</c:v>
                  </c:pt>
                  <c:pt idx="53">
                    <c:v>winter</c:v>
                  </c:pt>
                  <c:pt idx="54">
                    <c:v>spring</c:v>
                  </c:pt>
                  <c:pt idx="55">
                    <c:v>summer</c:v>
                  </c:pt>
                  <c:pt idx="56">
                    <c:v>autumn</c:v>
                  </c:pt>
                  <c:pt idx="57">
                    <c:v>winter</c:v>
                  </c:pt>
                  <c:pt idx="58">
                    <c:v>spring</c:v>
                  </c:pt>
                  <c:pt idx="59">
                    <c:v>summer</c:v>
                  </c:pt>
                  <c:pt idx="60">
                    <c:v>autumn</c:v>
                  </c:pt>
                  <c:pt idx="61">
                    <c:v>winter</c:v>
                  </c:pt>
                  <c:pt idx="62">
                    <c:v>spring</c:v>
                  </c:pt>
                  <c:pt idx="63">
                    <c:v>summer</c:v>
                  </c:pt>
                  <c:pt idx="64">
                    <c:v>autumn</c:v>
                  </c:pt>
                  <c:pt idx="65">
                    <c:v>winter</c:v>
                  </c:pt>
                  <c:pt idx="66">
                    <c:v>spring</c:v>
                  </c:pt>
                </c:lvl>
                <c:lvl>
                  <c:pt idx="0">
                    <c:v>2009</c:v>
                  </c:pt>
                  <c:pt idx="3">
                    <c:v>2010</c:v>
                  </c:pt>
                  <c:pt idx="7">
                    <c:v>2011</c:v>
                  </c:pt>
                  <c:pt idx="11">
                    <c:v>2012</c:v>
                  </c:pt>
                  <c:pt idx="15">
                    <c:v>2013</c:v>
                  </c:pt>
                  <c:pt idx="19">
                    <c:v>2014</c:v>
                  </c:pt>
                  <c:pt idx="23">
                    <c:v>2015</c:v>
                  </c:pt>
                  <c:pt idx="27">
                    <c:v>2016</c:v>
                  </c:pt>
                  <c:pt idx="31">
                    <c:v>2017</c:v>
                  </c:pt>
                  <c:pt idx="35">
                    <c:v>2018</c:v>
                  </c:pt>
                  <c:pt idx="39">
                    <c:v>2019</c:v>
                  </c:pt>
                  <c:pt idx="43">
                    <c:v>2020</c:v>
                  </c:pt>
                  <c:pt idx="47">
                    <c:v>2021</c:v>
                  </c:pt>
                  <c:pt idx="51">
                    <c:v>2022</c:v>
                  </c:pt>
                  <c:pt idx="55">
                    <c:v>2023</c:v>
                  </c:pt>
                  <c:pt idx="59">
                    <c:v>2024</c:v>
                  </c:pt>
                  <c:pt idx="63">
                    <c:v>2025</c:v>
                  </c:pt>
                </c:lvl>
              </c:multiLvlStrCache>
            </c:multiLvlStrRef>
          </c:cat>
          <c:val>
            <c:numRef>
              <c:f>'check of DW means'!$L$2:$L$2749</c:f>
              <c:numCache>
                <c:formatCode>0.00</c:formatCode>
                <c:ptCount val="67"/>
                <c:pt idx="0">
                  <c:v>33.709418078081654</c:v>
                </c:pt>
                <c:pt idx="1">
                  <c:v>41.43172436799999</c:v>
                </c:pt>
                <c:pt idx="2">
                  <c:v>93.112501339812198</c:v>
                </c:pt>
                <c:pt idx="3">
                  <c:v>92.397367338543887</c:v>
                </c:pt>
                <c:pt idx="4">
                  <c:v>125.96576717037037</c:v>
                </c:pt>
                <c:pt idx="5">
                  <c:v>88.542539031702759</c:v>
                </c:pt>
                <c:pt idx="6">
                  <c:v>125.32826231859548</c:v>
                </c:pt>
                <c:pt idx="7">
                  <c:v>116.93944257747989</c:v>
                </c:pt>
                <c:pt idx="8">
                  <c:v>51.115818404232108</c:v>
                </c:pt>
                <c:pt idx="9">
                  <c:v>68.082822483532652</c:v>
                </c:pt>
                <c:pt idx="10">
                  <c:v>207.31272000000001</c:v>
                </c:pt>
                <c:pt idx="11">
                  <c:v>188.92807692307696</c:v>
                </c:pt>
                <c:pt idx="12">
                  <c:v>57.905925925925921</c:v>
                </c:pt>
                <c:pt idx="13">
                  <c:v>37.139624782681253</c:v>
                </c:pt>
                <c:pt idx="14">
                  <c:v>83.671739002094</c:v>
                </c:pt>
                <c:pt idx="15">
                  <c:v>40.217955006438444</c:v>
                </c:pt>
                <c:pt idx="16">
                  <c:v>49.596818344694668</c:v>
                </c:pt>
                <c:pt idx="17">
                  <c:v>28.210811666792754</c:v>
                </c:pt>
                <c:pt idx="18">
                  <c:v>62.93169195966167</c:v>
                </c:pt>
                <c:pt idx="19">
                  <c:v>49.215904964049933</c:v>
                </c:pt>
                <c:pt idx="20">
                  <c:v>41.838275709113482</c:v>
                </c:pt>
                <c:pt idx="21">
                  <c:v>16.636960078058141</c:v>
                </c:pt>
                <c:pt idx="22">
                  <c:v>93.693968340560573</c:v>
                </c:pt>
                <c:pt idx="23">
                  <c:v>32.985804048719224</c:v>
                </c:pt>
                <c:pt idx="24">
                  <c:v>31.934845946240692</c:v>
                </c:pt>
                <c:pt idx="25">
                  <c:v>17.304486683506759</c:v>
                </c:pt>
                <c:pt idx="26">
                  <c:v>25.501081076032776</c:v>
                </c:pt>
                <c:pt idx="27">
                  <c:v>18.308138837096926</c:v>
                </c:pt>
                <c:pt idx="28">
                  <c:v>40.336916103877037</c:v>
                </c:pt>
                <c:pt idx="29">
                  <c:v>37.509968316131875</c:v>
                </c:pt>
                <c:pt idx="30">
                  <c:v>59.028821754716702</c:v>
                </c:pt>
                <c:pt idx="31">
                  <c:v>40.701599842425914</c:v>
                </c:pt>
                <c:pt idx="32">
                  <c:v>58.253128473241794</c:v>
                </c:pt>
                <c:pt idx="33">
                  <c:v>32.275816186519179</c:v>
                </c:pt>
                <c:pt idx="34">
                  <c:v>47.645964213719381</c:v>
                </c:pt>
                <c:pt idx="35">
                  <c:v>36.96392090863101</c:v>
                </c:pt>
                <c:pt idx="36">
                  <c:v>60.898401437129365</c:v>
                </c:pt>
                <c:pt idx="37">
                  <c:v>20.136267269982042</c:v>
                </c:pt>
                <c:pt idx="38">
                  <c:v>38.655511733753848</c:v>
                </c:pt>
                <c:pt idx="39">
                  <c:v>33.744087890506201</c:v>
                </c:pt>
                <c:pt idx="40">
                  <c:v>48.014861516530253</c:v>
                </c:pt>
                <c:pt idx="41">
                  <c:v>31.278712453946387</c:v>
                </c:pt>
                <c:pt idx="42">
                  <c:v>66.107455663830947</c:v>
                </c:pt>
                <c:pt idx="43">
                  <c:v>58.51961568346627</c:v>
                </c:pt>
                <c:pt idx="44">
                  <c:v>65.573495225984715</c:v>
                </c:pt>
                <c:pt idx="45">
                  <c:v>22.803186255868873</c:v>
                </c:pt>
                <c:pt idx="46">
                  <c:v>33.831337780885661</c:v>
                </c:pt>
                <c:pt idx="47">
                  <c:v>66.431791592755843</c:v>
                </c:pt>
                <c:pt idx="48">
                  <c:v>28.68655249212447</c:v>
                </c:pt>
                <c:pt idx="49">
                  <c:v>68.505232008975042</c:v>
                </c:pt>
                <c:pt idx="50">
                  <c:v>85.062139235330505</c:v>
                </c:pt>
                <c:pt idx="51">
                  <c:v>39.609461061264916</c:v>
                </c:pt>
                <c:pt idx="52">
                  <c:v>-1.41028122020964</c:v>
                </c:pt>
                <c:pt idx="53">
                  <c:v>29.933147114980578</c:v>
                </c:pt>
                <c:pt idx="54">
                  <c:v>50.597730246092404</c:v>
                </c:pt>
                <c:pt idx="55">
                  <c:v>26.320730198372619</c:v>
                </c:pt>
                <c:pt idx="56">
                  <c:v>55.797738334932795</c:v>
                </c:pt>
                <c:pt idx="57">
                  <c:v>31.789884575870342</c:v>
                </c:pt>
                <c:pt idx="58">
                  <c:v>50.607926382055155</c:v>
                </c:pt>
                <c:pt idx="59">
                  <c:v>46.709010963271147</c:v>
                </c:pt>
                <c:pt idx="60">
                  <c:v>16.604961911392326</c:v>
                </c:pt>
                <c:pt idx="61">
                  <c:v>37.054785605697688</c:v>
                </c:pt>
                <c:pt idx="62">
                  <c:v>64.552625508467898</c:v>
                </c:pt>
                <c:pt idx="63">
                  <c:v>30.010682080671067</c:v>
                </c:pt>
              </c:numCache>
            </c:numRef>
          </c:val>
          <c:smooth val="0"/>
          <c:extLst xmlns:c15="http://schemas.microsoft.com/office/drawing/2012/chart">
            <c:ext xmlns:c16="http://schemas.microsoft.com/office/drawing/2014/chart" uri="{C3380CC4-5D6E-409C-BE32-E72D297353CC}">
              <c16:uniqueId val="{00000003-4A8E-44E1-BFE0-2495C8AA1B50}"/>
            </c:ext>
          </c:extLst>
        </c:ser>
        <c:dLbls>
          <c:showLegendKey val="0"/>
          <c:showVal val="0"/>
          <c:showCatName val="0"/>
          <c:showSerName val="0"/>
          <c:showPercent val="0"/>
          <c:showBubbleSize val="0"/>
        </c:dLbls>
        <c:marker val="1"/>
        <c:smooth val="0"/>
        <c:axId val="533635128"/>
        <c:axId val="533635456"/>
        <c:extLst/>
      </c:lineChart>
      <c:catAx>
        <c:axId val="5336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35456"/>
        <c:crosses val="autoZero"/>
        <c:auto val="1"/>
        <c:lblAlgn val="ctr"/>
        <c:lblOffset val="100"/>
        <c:noMultiLvlLbl val="0"/>
      </c:catAx>
      <c:valAx>
        <c:axId val="53363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35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104775</xdr:colOff>
      <xdr:row>57</xdr:row>
      <xdr:rowOff>58736</xdr:rowOff>
    </xdr:from>
    <xdr:to>
      <xdr:col>32</xdr:col>
      <xdr:colOff>142874</xdr:colOff>
      <xdr:row>1373</xdr:row>
      <xdr:rowOff>25399</xdr:rowOff>
    </xdr:to>
    <xdr:graphicFrame macro="">
      <xdr:nvGraphicFramePr>
        <xdr:cNvPr id="2" name="Chart 1">
          <a:extLst>
            <a:ext uri="{FF2B5EF4-FFF2-40B4-BE49-F238E27FC236}">
              <a16:creationId xmlns:a16="http://schemas.microsoft.com/office/drawing/2014/main" id="{793D72BE-A900-4CB3-AC27-8A2B2214F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833"/>
  <sheetViews>
    <sheetView tabSelected="1" zoomScale="110" zoomScaleNormal="110" workbookViewId="0">
      <pane ySplit="1" topLeftCell="A3812" activePane="bottomLeft" state="frozen"/>
      <selection pane="bottomLeft" activeCell="G3833" sqref="G3833"/>
    </sheetView>
  </sheetViews>
  <sheetFormatPr defaultColWidth="9.109375" defaultRowHeight="13.2" x14ac:dyDescent="0.25"/>
  <cols>
    <col min="1" max="3" width="9.109375" style="16"/>
    <col min="4" max="4" width="11.44140625" style="31" customWidth="1"/>
    <col min="5" max="5" width="10.44140625" style="31" customWidth="1"/>
    <col min="6" max="6" width="9.109375" style="31"/>
    <col min="7" max="17" width="9.109375" style="16"/>
    <col min="18" max="18" width="17.109375" style="16" customWidth="1"/>
    <col min="19" max="16384" width="9.109375" style="16"/>
  </cols>
  <sheetData>
    <row r="1" spans="1:19" s="5" customFormat="1" x14ac:dyDescent="0.25">
      <c r="A1" s="59" t="s">
        <v>0</v>
      </c>
      <c r="B1" s="60" t="s">
        <v>1</v>
      </c>
      <c r="C1" s="60" t="s">
        <v>2</v>
      </c>
      <c r="D1" s="60" t="s">
        <v>3</v>
      </c>
      <c r="E1" s="60" t="s">
        <v>4</v>
      </c>
      <c r="F1" s="61" t="s">
        <v>5</v>
      </c>
      <c r="G1" s="61" t="s">
        <v>6</v>
      </c>
      <c r="H1" s="61" t="s">
        <v>7</v>
      </c>
      <c r="I1" s="61" t="s">
        <v>8</v>
      </c>
      <c r="J1" s="61" t="s">
        <v>9</v>
      </c>
      <c r="K1" s="61" t="s">
        <v>10</v>
      </c>
      <c r="L1" s="61" t="s">
        <v>11</v>
      </c>
      <c r="M1" s="61" t="s">
        <v>12</v>
      </c>
      <c r="N1" s="61" t="s">
        <v>13</v>
      </c>
      <c r="O1" s="61" t="s">
        <v>14</v>
      </c>
      <c r="P1" s="61" t="s">
        <v>15</v>
      </c>
      <c r="R1" s="70" t="s">
        <v>157</v>
      </c>
      <c r="S1" s="70" t="s">
        <v>158</v>
      </c>
    </row>
    <row r="2" spans="1:19" s="5" customFormat="1" x14ac:dyDescent="0.25">
      <c r="A2" s="29">
        <v>1</v>
      </c>
      <c r="B2" s="30">
        <v>437930.10856199998</v>
      </c>
      <c r="C2" s="30">
        <v>5688036.3324180003</v>
      </c>
      <c r="D2" s="31">
        <v>23</v>
      </c>
      <c r="E2" s="9" t="s">
        <v>24</v>
      </c>
      <c r="F2" s="46">
        <v>2009</v>
      </c>
      <c r="G2" s="5">
        <v>3.5999999999999997E-2</v>
      </c>
      <c r="H2" s="5">
        <v>8.8258064516129036E-3</v>
      </c>
      <c r="I2" s="5">
        <v>1.9E-2</v>
      </c>
      <c r="J2" s="5">
        <v>7.4965986394557819E-3</v>
      </c>
      <c r="K2" s="5">
        <v>0.01</v>
      </c>
      <c r="L2" s="5">
        <v>2.4516129032258064E-3</v>
      </c>
      <c r="M2" s="5">
        <v>6.3741935483870972E-3</v>
      </c>
      <c r="N2" s="5">
        <v>2E-3</v>
      </c>
      <c r="O2" s="5">
        <v>7.8911564625850337E-4</v>
      </c>
      <c r="P2" s="92"/>
      <c r="R2" s="5">
        <f>AVERAGE(M2:M57)</f>
        <v>8.4273545195204143E-3</v>
      </c>
      <c r="S2" s="5">
        <f>AVERAGE(H2:H57)</f>
        <v>1.1417104554431744E-2</v>
      </c>
    </row>
    <row r="3" spans="1:19" s="5" customFormat="1" x14ac:dyDescent="0.25">
      <c r="A3" s="29">
        <v>2</v>
      </c>
      <c r="B3" s="30">
        <v>437811.10856199998</v>
      </c>
      <c r="C3" s="30">
        <v>5688155.3324180003</v>
      </c>
      <c r="D3" s="31">
        <v>23</v>
      </c>
      <c r="E3" s="9" t="s">
        <v>24</v>
      </c>
      <c r="F3" s="46">
        <v>2009</v>
      </c>
      <c r="G3" s="5">
        <v>1.4E-2</v>
      </c>
      <c r="H3" s="5">
        <v>3.4322580645161291E-3</v>
      </c>
      <c r="I3" s="5">
        <v>0</v>
      </c>
      <c r="J3" s="5">
        <v>0</v>
      </c>
      <c r="K3" s="5">
        <v>5.0000000000000001E-3</v>
      </c>
      <c r="L3" s="5">
        <v>1.2258064516129032E-3</v>
      </c>
      <c r="M3" s="5">
        <v>2.2064516129032255E-3</v>
      </c>
      <c r="N3" s="5">
        <v>0</v>
      </c>
      <c r="O3" s="5">
        <v>0</v>
      </c>
      <c r="P3" s="92"/>
    </row>
    <row r="4" spans="1:19" s="5" customFormat="1" x14ac:dyDescent="0.25">
      <c r="A4" s="29">
        <v>3</v>
      </c>
      <c r="B4" s="30">
        <v>437930.10856199998</v>
      </c>
      <c r="C4" s="30">
        <v>5688155.3324180003</v>
      </c>
      <c r="D4" s="31">
        <v>23</v>
      </c>
      <c r="E4" s="9" t="s">
        <v>24</v>
      </c>
      <c r="F4" s="46">
        <v>2009</v>
      </c>
      <c r="G4" s="5">
        <v>1.7999999999999999E-2</v>
      </c>
      <c r="H4" s="5">
        <v>4.4129032258064518E-3</v>
      </c>
      <c r="I4" s="5">
        <v>0</v>
      </c>
      <c r="J4" s="5">
        <v>0</v>
      </c>
      <c r="K4" s="5">
        <v>2.5999999999999999E-2</v>
      </c>
      <c r="L4" s="5">
        <v>6.3741935483870964E-3</v>
      </c>
      <c r="M4" s="5">
        <v>-1.961290322580645E-3</v>
      </c>
      <c r="N4" s="5">
        <v>0</v>
      </c>
      <c r="O4" s="5">
        <v>0</v>
      </c>
      <c r="P4" s="92"/>
    </row>
    <row r="5" spans="1:19" s="5" customFormat="1" x14ac:dyDescent="0.25">
      <c r="A5" s="29">
        <v>4</v>
      </c>
      <c r="B5" s="30">
        <v>438049.10856199998</v>
      </c>
      <c r="C5" s="30">
        <v>5688155.3324180003</v>
      </c>
      <c r="D5" s="31">
        <v>23</v>
      </c>
      <c r="E5" s="9" t="s">
        <v>24</v>
      </c>
      <c r="F5" s="46">
        <v>2009</v>
      </c>
      <c r="G5" s="5">
        <v>0.02</v>
      </c>
      <c r="H5" s="5">
        <v>4.9032258064516127E-3</v>
      </c>
      <c r="I5" s="5">
        <v>0</v>
      </c>
      <c r="J5" s="5">
        <v>0</v>
      </c>
      <c r="K5" s="5">
        <v>1.2999999999999999E-2</v>
      </c>
      <c r="L5" s="5">
        <v>3.1870967741935482E-3</v>
      </c>
      <c r="M5" s="5">
        <v>1.7161290322580648E-3</v>
      </c>
      <c r="N5" s="5">
        <v>0</v>
      </c>
      <c r="O5" s="5">
        <v>0</v>
      </c>
      <c r="P5" s="92"/>
    </row>
    <row r="6" spans="1:19" s="5" customFormat="1" x14ac:dyDescent="0.25">
      <c r="A6" s="29">
        <v>5</v>
      </c>
      <c r="B6" s="30">
        <v>437573.10856199998</v>
      </c>
      <c r="C6" s="30">
        <v>5688274.3324180003</v>
      </c>
      <c r="D6" s="31">
        <v>23</v>
      </c>
      <c r="E6" s="9" t="s">
        <v>24</v>
      </c>
      <c r="F6" s="46">
        <v>2009</v>
      </c>
      <c r="G6" s="5">
        <v>8.0000000000000002E-3</v>
      </c>
      <c r="H6" s="5">
        <v>1.961290322580645E-3</v>
      </c>
      <c r="I6" s="5">
        <v>4.1000000000000002E-2</v>
      </c>
      <c r="J6" s="5">
        <v>1.6176870748299318E-2</v>
      </c>
      <c r="K6" s="5">
        <v>6.0000000000000001E-3</v>
      </c>
      <c r="L6" s="5">
        <v>1.4709677419354839E-3</v>
      </c>
      <c r="M6" s="5">
        <v>4.9032258064516125E-4</v>
      </c>
      <c r="N6" s="5">
        <v>2.3E-2</v>
      </c>
      <c r="O6" s="5">
        <v>9.0748299319727901E-3</v>
      </c>
      <c r="P6" s="92"/>
    </row>
    <row r="7" spans="1:19" s="5" customFormat="1" x14ac:dyDescent="0.25">
      <c r="A7" s="29">
        <v>6</v>
      </c>
      <c r="B7" s="30">
        <v>437692.10856199998</v>
      </c>
      <c r="C7" s="30">
        <v>5688274.3324180003</v>
      </c>
      <c r="D7" s="31">
        <v>23</v>
      </c>
      <c r="E7" s="9" t="s">
        <v>24</v>
      </c>
      <c r="F7" s="46">
        <v>2009</v>
      </c>
      <c r="G7" s="31" t="s">
        <v>18</v>
      </c>
      <c r="H7" s="31" t="s">
        <v>18</v>
      </c>
      <c r="I7" s="31" t="s">
        <v>18</v>
      </c>
      <c r="J7" s="31" t="s">
        <v>18</v>
      </c>
      <c r="K7" s="5">
        <v>2E-3</v>
      </c>
      <c r="L7" s="5">
        <v>4.9032258064516125E-4</v>
      </c>
      <c r="M7" s="31" t="s">
        <v>18</v>
      </c>
      <c r="N7" s="5">
        <v>0</v>
      </c>
      <c r="O7" s="5">
        <v>0</v>
      </c>
      <c r="P7" s="92" t="s">
        <v>19</v>
      </c>
    </row>
    <row r="8" spans="1:19" s="5" customFormat="1" x14ac:dyDescent="0.25">
      <c r="A8" s="29">
        <v>7</v>
      </c>
      <c r="B8" s="30">
        <v>437811.10856199998</v>
      </c>
      <c r="C8" s="30">
        <v>5688274.3324180003</v>
      </c>
      <c r="D8" s="31">
        <v>23</v>
      </c>
      <c r="E8" s="9" t="s">
        <v>24</v>
      </c>
      <c r="F8" s="46">
        <v>2009</v>
      </c>
      <c r="G8" s="5">
        <v>3.4000000000000002E-2</v>
      </c>
      <c r="H8" s="5">
        <v>8.3354838709677418E-3</v>
      </c>
      <c r="I8" s="5">
        <v>0</v>
      </c>
      <c r="J8" s="5">
        <v>0</v>
      </c>
      <c r="K8" s="5">
        <v>8.0000000000000002E-3</v>
      </c>
      <c r="L8" s="5">
        <v>1.961290322580645E-3</v>
      </c>
      <c r="M8" s="5">
        <v>6.3741935483870972E-3</v>
      </c>
      <c r="N8" s="5">
        <v>0</v>
      </c>
      <c r="O8" s="5">
        <v>0</v>
      </c>
      <c r="P8" s="92"/>
    </row>
    <row r="9" spans="1:19" s="5" customFormat="1" x14ac:dyDescent="0.25">
      <c r="A9" s="29">
        <v>8</v>
      </c>
      <c r="B9" s="30">
        <v>437930.10856199998</v>
      </c>
      <c r="C9" s="30">
        <v>5688274.3324180003</v>
      </c>
      <c r="D9" s="31">
        <v>23</v>
      </c>
      <c r="E9" s="9" t="s">
        <v>24</v>
      </c>
      <c r="F9" s="46">
        <v>2009</v>
      </c>
      <c r="G9" s="5">
        <v>5.3999999999999999E-2</v>
      </c>
      <c r="H9" s="5">
        <v>1.3238709677419355E-2</v>
      </c>
      <c r="I9" s="5">
        <v>0</v>
      </c>
      <c r="J9" s="5">
        <v>0</v>
      </c>
      <c r="K9" s="5">
        <v>1.4999999999999999E-2</v>
      </c>
      <c r="L9" s="5">
        <v>3.6774193548387095E-3</v>
      </c>
      <c r="M9" s="5">
        <v>9.5612903225806446E-3</v>
      </c>
      <c r="N9" s="5">
        <v>0</v>
      </c>
      <c r="O9" s="5">
        <v>0</v>
      </c>
      <c r="P9" s="92"/>
    </row>
    <row r="10" spans="1:19" s="5" customFormat="1" x14ac:dyDescent="0.25">
      <c r="A10" s="29">
        <v>9</v>
      </c>
      <c r="B10" s="30">
        <v>438287.10856199998</v>
      </c>
      <c r="C10" s="30">
        <v>5688274.3324180003</v>
      </c>
      <c r="D10" s="31">
        <v>23</v>
      </c>
      <c r="E10" s="9" t="s">
        <v>24</v>
      </c>
      <c r="F10" s="46">
        <v>2009</v>
      </c>
      <c r="G10" s="31" t="s">
        <v>18</v>
      </c>
      <c r="H10" s="31" t="s">
        <v>18</v>
      </c>
      <c r="I10" s="31" t="s">
        <v>18</v>
      </c>
      <c r="J10" s="31" t="s">
        <v>18</v>
      </c>
      <c r="K10" s="5">
        <v>4.0000000000000001E-3</v>
      </c>
      <c r="L10" s="5">
        <v>9.806451612903225E-4</v>
      </c>
      <c r="M10" s="31" t="s">
        <v>18</v>
      </c>
      <c r="N10" s="5">
        <v>2.5000000000000001E-2</v>
      </c>
      <c r="O10" s="5">
        <v>1.0714285714285714E-2</v>
      </c>
      <c r="P10" s="92" t="s">
        <v>19</v>
      </c>
    </row>
    <row r="11" spans="1:19" s="5" customFormat="1" x14ac:dyDescent="0.25">
      <c r="A11" s="29">
        <v>10</v>
      </c>
      <c r="B11" s="30">
        <v>438406.10856199998</v>
      </c>
      <c r="C11" s="30">
        <v>5688274.3324180003</v>
      </c>
      <c r="D11" s="31">
        <v>23</v>
      </c>
      <c r="E11" s="9" t="s">
        <v>24</v>
      </c>
      <c r="F11" s="46">
        <v>2009</v>
      </c>
      <c r="G11" s="5">
        <v>1.6E-2</v>
      </c>
      <c r="H11" s="5">
        <v>3.7402597402597403E-3</v>
      </c>
      <c r="I11" s="5">
        <v>4.0000000000000001E-3</v>
      </c>
      <c r="J11" s="5">
        <v>1.7142857142857142E-3</v>
      </c>
      <c r="K11" s="5">
        <v>5.0000000000000001E-3</v>
      </c>
      <c r="L11" s="5">
        <v>1.1688311688311688E-3</v>
      </c>
      <c r="M11" s="5">
        <v>2.5714285714285713E-3</v>
      </c>
      <c r="N11" s="5">
        <v>7.0000000000000001E-3</v>
      </c>
      <c r="O11" s="5">
        <v>3.0000000000000001E-3</v>
      </c>
      <c r="P11" s="92"/>
    </row>
    <row r="12" spans="1:19" s="5" customFormat="1" x14ac:dyDescent="0.25">
      <c r="A12" s="29">
        <v>11</v>
      </c>
      <c r="B12" s="30">
        <v>437454.10856199998</v>
      </c>
      <c r="C12" s="30">
        <v>5688393.3324180003</v>
      </c>
      <c r="D12" s="31">
        <v>23</v>
      </c>
      <c r="E12" s="9" t="s">
        <v>24</v>
      </c>
      <c r="F12" s="46">
        <v>2009</v>
      </c>
      <c r="G12" s="5">
        <v>6.0999999999999999E-2</v>
      </c>
      <c r="H12" s="5">
        <v>1.4954838709677417E-2</v>
      </c>
      <c r="I12" s="5">
        <v>3.3000000000000002E-2</v>
      </c>
      <c r="J12" s="5">
        <v>1.3020408163265305E-2</v>
      </c>
      <c r="K12" s="5">
        <v>8.0000000000000002E-3</v>
      </c>
      <c r="L12" s="5">
        <v>1.961290322580645E-3</v>
      </c>
      <c r="M12" s="5">
        <v>1.2993548387096774E-2</v>
      </c>
      <c r="N12" s="5">
        <v>3.1E-2</v>
      </c>
      <c r="O12" s="5">
        <v>1.2231292517006803E-2</v>
      </c>
      <c r="P12" s="92"/>
    </row>
    <row r="13" spans="1:19" s="5" customFormat="1" x14ac:dyDescent="0.25">
      <c r="A13" s="29">
        <v>12</v>
      </c>
      <c r="B13" s="30">
        <v>437573.10856199998</v>
      </c>
      <c r="C13" s="30">
        <v>5688393.3324180003</v>
      </c>
      <c r="D13" s="31">
        <v>23</v>
      </c>
      <c r="E13" s="9" t="s">
        <v>24</v>
      </c>
      <c r="F13" s="46">
        <v>2009</v>
      </c>
      <c r="G13" s="5">
        <v>0.04</v>
      </c>
      <c r="H13" s="5">
        <v>9.8064516129032255E-3</v>
      </c>
      <c r="I13" s="5">
        <v>0</v>
      </c>
      <c r="J13" s="5">
        <v>0</v>
      </c>
      <c r="K13" s="5">
        <v>6.0000000000000001E-3</v>
      </c>
      <c r="L13" s="5">
        <v>1.4709677419354839E-3</v>
      </c>
      <c r="M13" s="5">
        <v>8.3354838709677418E-3</v>
      </c>
      <c r="N13" s="5">
        <v>0</v>
      </c>
      <c r="O13" s="5">
        <v>0</v>
      </c>
      <c r="P13" s="92"/>
    </row>
    <row r="14" spans="1:19" s="5" customFormat="1" x14ac:dyDescent="0.25">
      <c r="A14" s="29">
        <v>13</v>
      </c>
      <c r="B14" s="30">
        <v>437692.10856199998</v>
      </c>
      <c r="C14" s="30">
        <v>5688393.3324180003</v>
      </c>
      <c r="D14" s="31">
        <v>23</v>
      </c>
      <c r="E14" s="9" t="s">
        <v>24</v>
      </c>
      <c r="F14" s="46">
        <v>2009</v>
      </c>
      <c r="G14" s="5">
        <v>2.1999999999999999E-2</v>
      </c>
      <c r="H14" s="5">
        <v>5.3935483870967745E-3</v>
      </c>
      <c r="I14" s="5">
        <v>6.2E-2</v>
      </c>
      <c r="J14" s="5">
        <v>2.4462585034013606E-2</v>
      </c>
      <c r="K14" s="5">
        <v>1.0999999999999999E-2</v>
      </c>
      <c r="L14" s="5">
        <v>2.6967741935483873E-3</v>
      </c>
      <c r="M14" s="5">
        <v>2.6967741935483873E-3</v>
      </c>
      <c r="N14" s="5">
        <v>7.5999999999999998E-2</v>
      </c>
      <c r="O14" s="5">
        <v>2.9986394557823128E-2</v>
      </c>
      <c r="P14" s="92"/>
    </row>
    <row r="15" spans="1:19" s="5" customFormat="1" x14ac:dyDescent="0.25">
      <c r="A15" s="32">
        <v>14</v>
      </c>
      <c r="B15" s="33">
        <v>437811.10856199998</v>
      </c>
      <c r="C15" s="33">
        <v>5688393.3324180003</v>
      </c>
      <c r="D15" s="93">
        <v>23</v>
      </c>
      <c r="E15" s="93" t="s">
        <v>24</v>
      </c>
      <c r="F15" s="93">
        <v>2009</v>
      </c>
      <c r="G15" s="93" t="s">
        <v>18</v>
      </c>
      <c r="H15" s="93" t="s">
        <v>18</v>
      </c>
      <c r="I15" s="93" t="s">
        <v>18</v>
      </c>
      <c r="J15" s="93" t="s">
        <v>18</v>
      </c>
      <c r="K15" s="93" t="s">
        <v>18</v>
      </c>
      <c r="L15" s="93" t="s">
        <v>18</v>
      </c>
      <c r="M15" s="93" t="s">
        <v>18</v>
      </c>
      <c r="N15" s="93" t="s">
        <v>18</v>
      </c>
      <c r="O15" s="93" t="s">
        <v>18</v>
      </c>
      <c r="P15" s="94" t="s">
        <v>21</v>
      </c>
    </row>
    <row r="16" spans="1:19" s="5" customFormat="1" x14ac:dyDescent="0.25">
      <c r="A16" s="29">
        <v>15</v>
      </c>
      <c r="B16" s="30">
        <v>437930.10856199998</v>
      </c>
      <c r="C16" s="30">
        <v>5688393.3324180003</v>
      </c>
      <c r="D16" s="31">
        <v>22</v>
      </c>
      <c r="E16" s="9" t="s">
        <v>24</v>
      </c>
      <c r="F16" s="46">
        <v>2009</v>
      </c>
      <c r="G16" s="31" t="s">
        <v>18</v>
      </c>
      <c r="H16" s="31" t="s">
        <v>18</v>
      </c>
      <c r="I16" s="31" t="s">
        <v>18</v>
      </c>
      <c r="J16" s="31" t="s">
        <v>18</v>
      </c>
      <c r="K16" s="5">
        <v>3.0000000000000001E-3</v>
      </c>
      <c r="L16" s="5">
        <v>7.0129870129870134E-4</v>
      </c>
      <c r="M16" s="31" t="s">
        <v>18</v>
      </c>
      <c r="N16" s="5">
        <v>0.107</v>
      </c>
      <c r="O16" s="5">
        <v>4.5857142857142853E-2</v>
      </c>
      <c r="P16" s="92" t="s">
        <v>19</v>
      </c>
    </row>
    <row r="17" spans="1:16" s="5" customFormat="1" x14ac:dyDescent="0.25">
      <c r="A17" s="29">
        <v>16</v>
      </c>
      <c r="B17" s="30">
        <v>438049.10856199998</v>
      </c>
      <c r="C17" s="30">
        <v>5688393.3324180003</v>
      </c>
      <c r="D17" s="31">
        <v>22</v>
      </c>
      <c r="E17" s="9" t="s">
        <v>24</v>
      </c>
      <c r="F17" s="46">
        <v>2009</v>
      </c>
      <c r="G17" s="5">
        <v>1.7999999999999999E-2</v>
      </c>
      <c r="H17" s="5">
        <v>4.207792207792208E-3</v>
      </c>
      <c r="I17" s="5">
        <v>0.16400000000000001</v>
      </c>
      <c r="J17" s="5">
        <v>7.0285714285714271E-2</v>
      </c>
      <c r="K17" s="5">
        <v>1.2E-2</v>
      </c>
      <c r="L17" s="5">
        <v>2.8051948051948054E-3</v>
      </c>
      <c r="M17" s="5">
        <v>1.4025974025974027E-3</v>
      </c>
      <c r="N17" s="5">
        <v>6.4000000000000001E-2</v>
      </c>
      <c r="O17" s="5">
        <v>2.7428571428571427E-2</v>
      </c>
      <c r="P17" s="92"/>
    </row>
    <row r="18" spans="1:16" s="5" customFormat="1" x14ac:dyDescent="0.25">
      <c r="A18" s="29">
        <v>17</v>
      </c>
      <c r="B18" s="30">
        <v>438168.10856199998</v>
      </c>
      <c r="C18" s="30">
        <v>5688393.3324180003</v>
      </c>
      <c r="D18" s="31">
        <v>22</v>
      </c>
      <c r="E18" s="9" t="s">
        <v>24</v>
      </c>
      <c r="F18" s="46">
        <v>2009</v>
      </c>
      <c r="G18" s="5">
        <v>4.3999999999999997E-2</v>
      </c>
      <c r="H18" s="5">
        <v>1.0285714285714285E-2</v>
      </c>
      <c r="I18" s="5">
        <v>1.2E-2</v>
      </c>
      <c r="J18" s="5">
        <v>5.1428571428571426E-3</v>
      </c>
      <c r="K18" s="5">
        <v>0.01</v>
      </c>
      <c r="L18" s="5">
        <v>2.3376623376623377E-3</v>
      </c>
      <c r="M18" s="5">
        <v>7.9480519480519471E-3</v>
      </c>
      <c r="N18" s="5">
        <v>1.9E-2</v>
      </c>
      <c r="O18" s="5">
        <v>8.1428571428571427E-3</v>
      </c>
      <c r="P18" s="92"/>
    </row>
    <row r="19" spans="1:16" s="5" customFormat="1" x14ac:dyDescent="0.25">
      <c r="A19" s="29">
        <v>18</v>
      </c>
      <c r="B19" s="30">
        <v>438287.10856199998</v>
      </c>
      <c r="C19" s="30">
        <v>5688393.3324180003</v>
      </c>
      <c r="D19" s="31">
        <v>22</v>
      </c>
      <c r="E19" s="9" t="s">
        <v>24</v>
      </c>
      <c r="F19" s="46">
        <v>2009</v>
      </c>
      <c r="G19" s="5">
        <v>5.1999999999999998E-2</v>
      </c>
      <c r="H19" s="5">
        <v>1.2155844155844156E-2</v>
      </c>
      <c r="I19" s="5">
        <v>0.126</v>
      </c>
      <c r="J19" s="5">
        <v>5.3999999999999999E-2</v>
      </c>
      <c r="K19" s="5">
        <v>2.1000000000000001E-2</v>
      </c>
      <c r="L19" s="5">
        <v>4.909090909090909E-3</v>
      </c>
      <c r="M19" s="5">
        <v>7.2467532467532462E-3</v>
      </c>
      <c r="N19" s="5">
        <v>3.6999999999999998E-2</v>
      </c>
      <c r="O19" s="5">
        <v>1.5857142857142854E-2</v>
      </c>
      <c r="P19" s="92"/>
    </row>
    <row r="20" spans="1:16" s="5" customFormat="1" x14ac:dyDescent="0.25">
      <c r="A20" s="29">
        <v>19</v>
      </c>
      <c r="B20" s="30">
        <v>438406.10856199998</v>
      </c>
      <c r="C20" s="30">
        <v>5688393.3324180003</v>
      </c>
      <c r="D20" s="31">
        <v>22</v>
      </c>
      <c r="E20" s="9" t="s">
        <v>24</v>
      </c>
      <c r="F20" s="46">
        <v>2009</v>
      </c>
      <c r="G20" s="5">
        <v>5.8999999999999997E-2</v>
      </c>
      <c r="H20" s="5">
        <v>1.3792207792207791E-2</v>
      </c>
      <c r="I20" s="5">
        <v>0</v>
      </c>
      <c r="J20" s="5">
        <v>0</v>
      </c>
      <c r="K20" s="5">
        <v>5.0000000000000001E-3</v>
      </c>
      <c r="L20" s="5">
        <v>1.1688311688311688E-3</v>
      </c>
      <c r="M20" s="5">
        <v>1.2623376623376623E-2</v>
      </c>
      <c r="N20" s="5">
        <v>0</v>
      </c>
      <c r="O20" s="5">
        <v>0</v>
      </c>
      <c r="P20" s="92"/>
    </row>
    <row r="21" spans="1:16" s="5" customFormat="1" x14ac:dyDescent="0.25">
      <c r="A21" s="29">
        <v>20</v>
      </c>
      <c r="B21" s="30">
        <v>437335.10856199998</v>
      </c>
      <c r="C21" s="30">
        <v>5688512.3324180003</v>
      </c>
      <c r="D21" s="31">
        <v>23</v>
      </c>
      <c r="E21" s="9" t="s">
        <v>24</v>
      </c>
      <c r="F21" s="46">
        <v>2009</v>
      </c>
      <c r="G21" s="5">
        <v>7.2999999999999995E-2</v>
      </c>
      <c r="H21" s="5">
        <v>1.7896774193548386E-2</v>
      </c>
      <c r="I21" s="5">
        <v>0</v>
      </c>
      <c r="J21" s="5">
        <v>0</v>
      </c>
      <c r="K21" s="5">
        <v>1.0999999999999999E-2</v>
      </c>
      <c r="L21" s="5">
        <v>2.6967741935483873E-3</v>
      </c>
      <c r="M21" s="5">
        <v>1.5199999999999998E-2</v>
      </c>
      <c r="N21" s="5">
        <v>0</v>
      </c>
      <c r="O21" s="5">
        <v>0</v>
      </c>
      <c r="P21" s="92"/>
    </row>
    <row r="22" spans="1:16" s="5" customFormat="1" x14ac:dyDescent="0.25">
      <c r="A22" s="29">
        <v>21</v>
      </c>
      <c r="B22" s="30">
        <v>437454.10856199998</v>
      </c>
      <c r="C22" s="30">
        <v>5688512.3324180003</v>
      </c>
      <c r="D22" s="31">
        <v>23</v>
      </c>
      <c r="E22" s="9" t="s">
        <v>24</v>
      </c>
      <c r="F22" s="46">
        <v>2009</v>
      </c>
      <c r="G22" s="5">
        <v>2.5000000000000001E-2</v>
      </c>
      <c r="H22" s="5">
        <v>6.1290322580645163E-3</v>
      </c>
      <c r="I22" s="5">
        <v>0</v>
      </c>
      <c r="J22" s="5">
        <v>0</v>
      </c>
      <c r="K22" s="5">
        <v>3.0000000000000001E-3</v>
      </c>
      <c r="L22" s="5">
        <v>7.3548387096774193E-4</v>
      </c>
      <c r="M22" s="5">
        <v>5.3935483870967745E-3</v>
      </c>
      <c r="N22" s="5">
        <v>0</v>
      </c>
      <c r="O22" s="5">
        <v>0</v>
      </c>
      <c r="P22" s="92"/>
    </row>
    <row r="23" spans="1:16" s="5" customFormat="1" x14ac:dyDescent="0.25">
      <c r="A23" s="29">
        <v>22</v>
      </c>
      <c r="B23" s="30">
        <v>437573.10856199998</v>
      </c>
      <c r="C23" s="30">
        <v>5688512.3324180003</v>
      </c>
      <c r="D23" s="31">
        <v>23</v>
      </c>
      <c r="E23" s="9" t="s">
        <v>24</v>
      </c>
      <c r="F23" s="46">
        <v>2009</v>
      </c>
      <c r="G23" s="5">
        <v>4.5999999999999999E-2</v>
      </c>
      <c r="H23" s="5">
        <v>1.1277419354838709E-2</v>
      </c>
      <c r="I23" s="5">
        <v>0.108</v>
      </c>
      <c r="J23" s="5">
        <v>4.2612244897959187E-2</v>
      </c>
      <c r="K23" s="5">
        <v>1.2999999999999999E-2</v>
      </c>
      <c r="L23" s="5">
        <v>3.1870967741935482E-3</v>
      </c>
      <c r="M23" s="5">
        <v>8.0903225806451609E-3</v>
      </c>
      <c r="N23" s="5">
        <v>6.4000000000000001E-2</v>
      </c>
      <c r="O23" s="5">
        <v>2.5251700680272108E-2</v>
      </c>
      <c r="P23" s="92"/>
    </row>
    <row r="24" spans="1:16" s="5" customFormat="1" x14ac:dyDescent="0.25">
      <c r="A24" s="29">
        <v>23</v>
      </c>
      <c r="B24" s="30">
        <v>437692.10856199998</v>
      </c>
      <c r="C24" s="30">
        <v>5688512.3324180003</v>
      </c>
      <c r="D24" s="31">
        <v>23</v>
      </c>
      <c r="E24" s="9" t="s">
        <v>24</v>
      </c>
      <c r="F24" s="46">
        <v>2009</v>
      </c>
      <c r="G24" s="5">
        <v>3.7999999999999999E-2</v>
      </c>
      <c r="H24" s="5">
        <v>9.3161290322580654E-3</v>
      </c>
      <c r="I24" s="5">
        <v>0</v>
      </c>
      <c r="J24" s="5">
        <v>0</v>
      </c>
      <c r="K24" s="5">
        <v>8.9999999999999993E-3</v>
      </c>
      <c r="L24" s="5">
        <v>2.2064516129032259E-3</v>
      </c>
      <c r="M24" s="5">
        <v>7.1096774193548382E-3</v>
      </c>
      <c r="N24" s="5">
        <v>0</v>
      </c>
      <c r="O24" s="5">
        <v>0</v>
      </c>
      <c r="P24" s="92"/>
    </row>
    <row r="25" spans="1:16" s="5" customFormat="1" x14ac:dyDescent="0.25">
      <c r="A25" s="29">
        <v>24</v>
      </c>
      <c r="B25" s="30">
        <v>437811.10856199998</v>
      </c>
      <c r="C25" s="30">
        <v>5688512.3324180003</v>
      </c>
      <c r="D25" s="31">
        <v>23</v>
      </c>
      <c r="E25" s="9" t="s">
        <v>24</v>
      </c>
      <c r="F25" s="46">
        <v>2009</v>
      </c>
      <c r="G25" s="31" t="s">
        <v>18</v>
      </c>
      <c r="H25" s="31" t="s">
        <v>18</v>
      </c>
      <c r="I25" s="31" t="s">
        <v>18</v>
      </c>
      <c r="J25" s="31" t="s">
        <v>18</v>
      </c>
      <c r="K25" s="5">
        <v>8.9999999999999993E-3</v>
      </c>
      <c r="L25" s="5">
        <v>2.2064516129032259E-3</v>
      </c>
      <c r="M25" s="31" t="s">
        <v>18</v>
      </c>
      <c r="N25" s="5">
        <v>0</v>
      </c>
      <c r="O25" s="5">
        <v>0</v>
      </c>
      <c r="P25" s="92" t="s">
        <v>19</v>
      </c>
    </row>
    <row r="26" spans="1:16" x14ac:dyDescent="0.25">
      <c r="A26" s="29">
        <v>25</v>
      </c>
      <c r="B26" s="31">
        <v>437995</v>
      </c>
      <c r="C26" s="31">
        <v>5688493</v>
      </c>
      <c r="D26" s="31">
        <v>22</v>
      </c>
      <c r="E26" s="9" t="s">
        <v>24</v>
      </c>
      <c r="F26" s="46">
        <v>2009</v>
      </c>
      <c r="G26" s="16">
        <v>3.7999999999999999E-2</v>
      </c>
      <c r="H26" s="16">
        <v>8.8831168831168816E-3</v>
      </c>
      <c r="I26" s="16">
        <v>0</v>
      </c>
      <c r="J26" s="16">
        <v>0</v>
      </c>
      <c r="K26" s="16">
        <v>8.0000000000000002E-3</v>
      </c>
      <c r="L26" s="16">
        <v>1.8701298701298702E-3</v>
      </c>
      <c r="M26" s="16">
        <v>7.0129870129870125E-3</v>
      </c>
      <c r="N26" s="16">
        <v>0</v>
      </c>
      <c r="O26" s="16">
        <v>0</v>
      </c>
      <c r="P26" s="95"/>
    </row>
    <row r="27" spans="1:16" x14ac:dyDescent="0.25">
      <c r="A27" s="29">
        <v>26</v>
      </c>
      <c r="B27" s="31">
        <v>438112</v>
      </c>
      <c r="C27" s="31">
        <v>5688567</v>
      </c>
      <c r="D27" s="31">
        <v>22</v>
      </c>
      <c r="E27" s="9" t="s">
        <v>24</v>
      </c>
      <c r="F27" s="46">
        <v>2009</v>
      </c>
      <c r="G27" s="16">
        <v>3.5000000000000003E-2</v>
      </c>
      <c r="H27" s="16">
        <v>8.1818181818181825E-3</v>
      </c>
      <c r="I27" s="16">
        <v>3.0000000000000001E-3</v>
      </c>
      <c r="J27" s="16">
        <v>1.2857142857142856E-3</v>
      </c>
      <c r="K27" s="16">
        <v>0.03</v>
      </c>
      <c r="L27" s="16">
        <v>7.0129870129870134E-3</v>
      </c>
      <c r="M27" s="16">
        <v>1.1688311688311686E-3</v>
      </c>
      <c r="N27" s="16">
        <v>0</v>
      </c>
      <c r="O27" s="16">
        <v>0</v>
      </c>
      <c r="P27" s="95"/>
    </row>
    <row r="28" spans="1:16" s="5" customFormat="1" x14ac:dyDescent="0.25">
      <c r="A28" s="32">
        <v>27</v>
      </c>
      <c r="B28" s="33">
        <v>438168.10856199998</v>
      </c>
      <c r="C28" s="33">
        <v>5688512.3324180003</v>
      </c>
      <c r="D28" s="96">
        <v>22</v>
      </c>
      <c r="E28" s="97" t="s">
        <v>24</v>
      </c>
      <c r="F28" s="48">
        <v>2009</v>
      </c>
      <c r="G28" s="96" t="s">
        <v>18</v>
      </c>
      <c r="H28" s="93" t="s">
        <v>18</v>
      </c>
      <c r="I28" s="93" t="s">
        <v>18</v>
      </c>
      <c r="J28" s="93" t="s">
        <v>18</v>
      </c>
      <c r="K28" s="93" t="s">
        <v>18</v>
      </c>
      <c r="L28" s="93" t="s">
        <v>18</v>
      </c>
      <c r="M28" s="93" t="s">
        <v>18</v>
      </c>
      <c r="N28" s="93" t="s">
        <v>18</v>
      </c>
      <c r="O28" s="93" t="s">
        <v>18</v>
      </c>
      <c r="P28" s="94" t="s">
        <v>21</v>
      </c>
    </row>
    <row r="29" spans="1:16" s="5" customFormat="1" x14ac:dyDescent="0.25">
      <c r="A29" s="32">
        <v>28</v>
      </c>
      <c r="B29" s="33">
        <v>438287.10856199998</v>
      </c>
      <c r="C29" s="33">
        <v>5688512.3324180003</v>
      </c>
      <c r="D29" s="96">
        <v>22</v>
      </c>
      <c r="E29" s="97" t="s">
        <v>24</v>
      </c>
      <c r="F29" s="48">
        <v>2009</v>
      </c>
      <c r="G29" s="96" t="s">
        <v>18</v>
      </c>
      <c r="H29" s="93" t="s">
        <v>18</v>
      </c>
      <c r="I29" s="93" t="s">
        <v>18</v>
      </c>
      <c r="J29" s="93" t="s">
        <v>18</v>
      </c>
      <c r="K29" s="93" t="s">
        <v>18</v>
      </c>
      <c r="L29" s="93" t="s">
        <v>18</v>
      </c>
      <c r="M29" s="93" t="s">
        <v>18</v>
      </c>
      <c r="N29" s="93" t="s">
        <v>18</v>
      </c>
      <c r="O29" s="93" t="s">
        <v>18</v>
      </c>
      <c r="P29" s="94" t="s">
        <v>21</v>
      </c>
    </row>
    <row r="30" spans="1:16" s="5" customFormat="1" x14ac:dyDescent="0.25">
      <c r="A30" s="29">
        <v>29</v>
      </c>
      <c r="B30" s="30">
        <v>438381</v>
      </c>
      <c r="C30" s="30">
        <v>5688526</v>
      </c>
      <c r="D30" s="31">
        <v>22</v>
      </c>
      <c r="E30" s="9" t="s">
        <v>24</v>
      </c>
      <c r="F30" s="46">
        <v>2009</v>
      </c>
      <c r="G30" s="5">
        <v>2.3E-2</v>
      </c>
      <c r="H30" s="5">
        <v>5.3766233766233762E-3</v>
      </c>
      <c r="I30" s="5">
        <v>0</v>
      </c>
      <c r="J30" s="5">
        <v>0</v>
      </c>
      <c r="K30" s="5">
        <v>0</v>
      </c>
      <c r="L30" s="5">
        <v>0</v>
      </c>
      <c r="M30" s="5">
        <v>5.3766233766233762E-3</v>
      </c>
      <c r="N30" s="5">
        <v>6.0000000000000001E-3</v>
      </c>
      <c r="O30" s="5">
        <v>2.5714285714285713E-3</v>
      </c>
      <c r="P30" s="92"/>
    </row>
    <row r="31" spans="1:16" s="5" customFormat="1" x14ac:dyDescent="0.25">
      <c r="A31" s="29">
        <v>30</v>
      </c>
      <c r="B31" s="30">
        <v>438525.10856199998</v>
      </c>
      <c r="C31" s="30">
        <v>5688512.3324180003</v>
      </c>
      <c r="D31" s="31">
        <v>22</v>
      </c>
      <c r="E31" s="9" t="s">
        <v>24</v>
      </c>
      <c r="F31" s="46">
        <v>2009</v>
      </c>
      <c r="G31" s="5">
        <v>4.4999999999999998E-2</v>
      </c>
      <c r="H31" s="5">
        <v>1.0519480519480519E-2</v>
      </c>
      <c r="I31" s="5">
        <v>0</v>
      </c>
      <c r="J31" s="5">
        <v>0</v>
      </c>
      <c r="K31" s="5">
        <v>0.01</v>
      </c>
      <c r="L31" s="5">
        <v>2.3376623376623377E-3</v>
      </c>
      <c r="M31" s="5">
        <v>8.1818181818181825E-3</v>
      </c>
      <c r="N31" s="5">
        <v>0</v>
      </c>
      <c r="O31" s="5">
        <v>0</v>
      </c>
      <c r="P31" s="92"/>
    </row>
    <row r="32" spans="1:16" s="5" customFormat="1" x14ac:dyDescent="0.25">
      <c r="A32" s="29">
        <v>31</v>
      </c>
      <c r="B32" s="30">
        <v>437335.10856199998</v>
      </c>
      <c r="C32" s="30">
        <v>5688631.3324180003</v>
      </c>
      <c r="D32" s="31">
        <v>23</v>
      </c>
      <c r="E32" s="9" t="s">
        <v>24</v>
      </c>
      <c r="F32" s="46">
        <v>2009</v>
      </c>
      <c r="G32" s="5">
        <v>0.13600000000000001</v>
      </c>
      <c r="H32" s="5">
        <v>3.3341935483870967E-2</v>
      </c>
      <c r="I32" s="5">
        <v>0</v>
      </c>
      <c r="J32" s="5">
        <v>0</v>
      </c>
      <c r="K32" s="5">
        <v>1.0999999999999999E-2</v>
      </c>
      <c r="L32" s="5">
        <v>2.6967741935483873E-3</v>
      </c>
      <c r="M32" s="5">
        <v>3.0645161290322583E-2</v>
      </c>
      <c r="N32" s="5">
        <v>0</v>
      </c>
      <c r="O32" s="5">
        <v>0</v>
      </c>
      <c r="P32" s="92"/>
    </row>
    <row r="33" spans="1:16" s="5" customFormat="1" x14ac:dyDescent="0.25">
      <c r="A33" s="29">
        <v>32</v>
      </c>
      <c r="B33" s="30">
        <v>437454.10856199998</v>
      </c>
      <c r="C33" s="30">
        <v>5688631.3324180003</v>
      </c>
      <c r="D33" s="31">
        <v>23</v>
      </c>
      <c r="E33" s="9" t="s">
        <v>24</v>
      </c>
      <c r="F33" s="46">
        <v>2009</v>
      </c>
      <c r="G33" s="5">
        <v>2.5000000000000001E-2</v>
      </c>
      <c r="H33" s="5">
        <v>6.1290322580645163E-3</v>
      </c>
      <c r="I33" s="5">
        <v>0</v>
      </c>
      <c r="J33" s="5">
        <v>0</v>
      </c>
      <c r="K33" s="5">
        <v>7.0000000000000001E-3</v>
      </c>
      <c r="L33" s="5">
        <v>1.7161290322580645E-3</v>
      </c>
      <c r="M33" s="5">
        <v>4.4129032258064518E-3</v>
      </c>
      <c r="N33" s="5">
        <v>0</v>
      </c>
      <c r="O33" s="5">
        <v>0</v>
      </c>
      <c r="P33" s="92"/>
    </row>
    <row r="34" spans="1:16" s="5" customFormat="1" x14ac:dyDescent="0.25">
      <c r="A34" s="29">
        <v>33</v>
      </c>
      <c r="B34" s="30">
        <v>437573.10856199998</v>
      </c>
      <c r="C34" s="30">
        <v>5688631.3324180003</v>
      </c>
      <c r="D34" s="31">
        <v>23</v>
      </c>
      <c r="E34" s="9" t="s">
        <v>24</v>
      </c>
      <c r="F34" s="46">
        <v>2009</v>
      </c>
      <c r="G34" s="5">
        <v>3.5000000000000003E-2</v>
      </c>
      <c r="H34" s="5">
        <v>8.5806451612903227E-3</v>
      </c>
      <c r="I34" s="5">
        <v>0</v>
      </c>
      <c r="J34" s="5">
        <v>0</v>
      </c>
      <c r="K34" s="5">
        <v>0.02</v>
      </c>
      <c r="L34" s="5">
        <v>4.9032258064516127E-3</v>
      </c>
      <c r="M34" s="5">
        <v>3.6774193548387091E-3</v>
      </c>
      <c r="N34" s="5">
        <v>0</v>
      </c>
      <c r="O34" s="5">
        <v>0</v>
      </c>
      <c r="P34" s="92"/>
    </row>
    <row r="35" spans="1:16" s="5" customFormat="1" x14ac:dyDescent="0.25">
      <c r="A35" s="29">
        <v>34</v>
      </c>
      <c r="B35" s="30">
        <v>437692.10856199998</v>
      </c>
      <c r="C35" s="30">
        <v>5688631.3324180003</v>
      </c>
      <c r="D35" s="31">
        <v>23</v>
      </c>
      <c r="E35" s="9" t="s">
        <v>24</v>
      </c>
      <c r="F35" s="46">
        <v>2009</v>
      </c>
      <c r="G35" s="5">
        <v>3.5000000000000003E-2</v>
      </c>
      <c r="H35" s="5">
        <v>8.5806451612903227E-3</v>
      </c>
      <c r="I35" s="5">
        <v>0</v>
      </c>
      <c r="J35" s="5">
        <v>0</v>
      </c>
      <c r="K35" s="5">
        <v>2.9000000000000001E-2</v>
      </c>
      <c r="L35" s="5">
        <v>7.1096774193548382E-3</v>
      </c>
      <c r="M35" s="5">
        <v>1.4709677419354836E-3</v>
      </c>
      <c r="N35" s="5">
        <v>0</v>
      </c>
      <c r="O35" s="5">
        <v>0</v>
      </c>
      <c r="P35" s="92"/>
    </row>
    <row r="36" spans="1:16" s="5" customFormat="1" x14ac:dyDescent="0.25">
      <c r="A36" s="29">
        <v>35</v>
      </c>
      <c r="B36" s="30">
        <v>437811.10856199998</v>
      </c>
      <c r="C36" s="30">
        <v>5688631.3324180003</v>
      </c>
      <c r="D36" s="31">
        <v>22</v>
      </c>
      <c r="E36" s="9" t="s">
        <v>24</v>
      </c>
      <c r="F36" s="46">
        <v>2009</v>
      </c>
      <c r="G36" s="5">
        <v>3.5999999999999997E-2</v>
      </c>
      <c r="H36" s="5">
        <v>8.4155844155844161E-3</v>
      </c>
      <c r="I36" s="5">
        <v>0</v>
      </c>
      <c r="J36" s="5">
        <v>0</v>
      </c>
      <c r="K36" s="5">
        <v>1.4E-2</v>
      </c>
      <c r="L36" s="5">
        <v>3.2727272727272726E-3</v>
      </c>
      <c r="M36" s="5">
        <v>5.1428571428571435E-3</v>
      </c>
      <c r="N36" s="5">
        <v>5.0000000000000001E-3</v>
      </c>
      <c r="O36" s="5">
        <v>2.142857142857143E-3</v>
      </c>
      <c r="P36" s="92"/>
    </row>
    <row r="37" spans="1:16" s="5" customFormat="1" x14ac:dyDescent="0.25">
      <c r="A37" s="29">
        <v>36</v>
      </c>
      <c r="B37" s="30">
        <v>437930.10856199998</v>
      </c>
      <c r="C37" s="30">
        <v>5688631.3324180003</v>
      </c>
      <c r="D37" s="31">
        <v>22</v>
      </c>
      <c r="E37" s="9" t="s">
        <v>24</v>
      </c>
      <c r="F37" s="46">
        <v>2009</v>
      </c>
      <c r="G37" s="31" t="s">
        <v>18</v>
      </c>
      <c r="H37" s="31" t="s">
        <v>18</v>
      </c>
      <c r="I37" s="31" t="s">
        <v>18</v>
      </c>
      <c r="J37" s="31" t="s">
        <v>18</v>
      </c>
      <c r="K37" s="5">
        <v>8.9999999999999993E-3</v>
      </c>
      <c r="L37" s="5">
        <v>2.103896103896104E-3</v>
      </c>
      <c r="M37" s="31" t="s">
        <v>18</v>
      </c>
      <c r="N37" s="5">
        <v>0</v>
      </c>
      <c r="O37" s="5">
        <v>0</v>
      </c>
      <c r="P37" s="98" t="s">
        <v>188</v>
      </c>
    </row>
    <row r="38" spans="1:16" s="5" customFormat="1" x14ac:dyDescent="0.25">
      <c r="A38" s="32">
        <v>37</v>
      </c>
      <c r="B38" s="33">
        <v>438049.10856199998</v>
      </c>
      <c r="C38" s="33">
        <v>5688631.3324180003</v>
      </c>
      <c r="D38" s="93">
        <v>22</v>
      </c>
      <c r="E38" s="93" t="s">
        <v>24</v>
      </c>
      <c r="F38" s="93">
        <v>2009</v>
      </c>
      <c r="G38" s="93" t="s">
        <v>18</v>
      </c>
      <c r="H38" s="93" t="s">
        <v>18</v>
      </c>
      <c r="I38" s="93" t="s">
        <v>18</v>
      </c>
      <c r="J38" s="93" t="s">
        <v>18</v>
      </c>
      <c r="K38" s="93" t="s">
        <v>18</v>
      </c>
      <c r="L38" s="93" t="s">
        <v>18</v>
      </c>
      <c r="M38" s="93" t="s">
        <v>18</v>
      </c>
      <c r="N38" s="93" t="s">
        <v>18</v>
      </c>
      <c r="O38" s="93" t="s">
        <v>18</v>
      </c>
      <c r="P38" s="94" t="s">
        <v>21</v>
      </c>
    </row>
    <row r="39" spans="1:16" s="5" customFormat="1" x14ac:dyDescent="0.25">
      <c r="A39" s="29">
        <v>38</v>
      </c>
      <c r="B39" s="30">
        <v>438168.10856199998</v>
      </c>
      <c r="C39" s="30">
        <v>5688631.3324180003</v>
      </c>
      <c r="D39" s="31">
        <v>22</v>
      </c>
      <c r="E39" s="9" t="s">
        <v>24</v>
      </c>
      <c r="F39" s="46">
        <v>2009</v>
      </c>
      <c r="G39" s="5">
        <v>6.3E-2</v>
      </c>
      <c r="H39" s="5">
        <v>1.4727272727272726E-2</v>
      </c>
      <c r="I39" s="5">
        <v>0</v>
      </c>
      <c r="J39" s="5">
        <v>0</v>
      </c>
      <c r="K39" s="5">
        <v>2E-3</v>
      </c>
      <c r="L39" s="5">
        <v>4.6753246753246754E-4</v>
      </c>
      <c r="M39" s="5">
        <v>1.4259740259740259E-2</v>
      </c>
      <c r="N39" s="5">
        <v>0</v>
      </c>
      <c r="O39" s="5">
        <v>0</v>
      </c>
      <c r="P39" s="98" t="s">
        <v>189</v>
      </c>
    </row>
    <row r="40" spans="1:16" s="5" customFormat="1" x14ac:dyDescent="0.25">
      <c r="A40" s="32">
        <v>39</v>
      </c>
      <c r="B40" s="33">
        <v>438287.10856199998</v>
      </c>
      <c r="C40" s="33">
        <v>5688631.3324180003</v>
      </c>
      <c r="D40" s="93">
        <v>22</v>
      </c>
      <c r="E40" s="93" t="s">
        <v>24</v>
      </c>
      <c r="F40" s="93">
        <v>2009</v>
      </c>
      <c r="G40" s="93" t="s">
        <v>18</v>
      </c>
      <c r="H40" s="93" t="s">
        <v>18</v>
      </c>
      <c r="I40" s="93" t="s">
        <v>18</v>
      </c>
      <c r="J40" s="93" t="s">
        <v>18</v>
      </c>
      <c r="K40" s="93" t="s">
        <v>18</v>
      </c>
      <c r="L40" s="93" t="s">
        <v>18</v>
      </c>
      <c r="M40" s="93" t="s">
        <v>18</v>
      </c>
      <c r="N40" s="93" t="s">
        <v>18</v>
      </c>
      <c r="O40" s="93" t="s">
        <v>18</v>
      </c>
      <c r="P40" s="94" t="s">
        <v>22</v>
      </c>
    </row>
    <row r="41" spans="1:16" s="5" customFormat="1" x14ac:dyDescent="0.25">
      <c r="A41" s="29">
        <v>40</v>
      </c>
      <c r="B41" s="30">
        <v>438406.10856199998</v>
      </c>
      <c r="C41" s="30">
        <v>5688631.3324180003</v>
      </c>
      <c r="D41" s="31">
        <v>22</v>
      </c>
      <c r="E41" s="9" t="s">
        <v>24</v>
      </c>
      <c r="F41" s="46">
        <v>2009</v>
      </c>
      <c r="G41" s="5">
        <v>3.9E-2</v>
      </c>
      <c r="H41" s="5">
        <v>9.116883116883117E-3</v>
      </c>
      <c r="I41" s="5">
        <v>0</v>
      </c>
      <c r="J41" s="5">
        <v>0</v>
      </c>
      <c r="K41" s="5">
        <v>4.0000000000000001E-3</v>
      </c>
      <c r="L41" s="5">
        <v>9.3506493506493509E-4</v>
      </c>
      <c r="M41" s="5">
        <v>8.1818181818181825E-3</v>
      </c>
      <c r="N41" s="5">
        <v>0</v>
      </c>
      <c r="O41" s="5">
        <v>0</v>
      </c>
      <c r="P41" s="92"/>
    </row>
    <row r="42" spans="1:16" s="5" customFormat="1" x14ac:dyDescent="0.25">
      <c r="A42" s="29">
        <v>41</v>
      </c>
      <c r="B42" s="30">
        <v>437310</v>
      </c>
      <c r="C42" s="30">
        <v>5688729</v>
      </c>
      <c r="D42" s="31">
        <v>23</v>
      </c>
      <c r="E42" s="9" t="s">
        <v>24</v>
      </c>
      <c r="F42" s="46">
        <v>2009</v>
      </c>
      <c r="G42" s="5">
        <v>3.5999999999999997E-2</v>
      </c>
      <c r="H42" s="5">
        <v>8.8258064516129036E-3</v>
      </c>
      <c r="I42" s="5">
        <v>0</v>
      </c>
      <c r="J42" s="5">
        <v>0</v>
      </c>
      <c r="K42" s="5">
        <v>1.2E-2</v>
      </c>
      <c r="L42" s="5">
        <v>2.9419354838709677E-3</v>
      </c>
      <c r="M42" s="5">
        <v>5.8838709677419363E-3</v>
      </c>
      <c r="N42" s="5">
        <v>0</v>
      </c>
      <c r="O42" s="5">
        <v>0</v>
      </c>
      <c r="P42" s="92"/>
    </row>
    <row r="43" spans="1:16" s="5" customFormat="1" x14ac:dyDescent="0.25">
      <c r="A43" s="29">
        <v>42</v>
      </c>
      <c r="B43" s="30">
        <v>437454.10856199998</v>
      </c>
      <c r="C43" s="30">
        <v>5688750.3324180003</v>
      </c>
      <c r="D43" s="31">
        <v>23</v>
      </c>
      <c r="E43" s="9" t="s">
        <v>24</v>
      </c>
      <c r="F43" s="46">
        <v>2009</v>
      </c>
      <c r="G43" s="5">
        <v>0.112</v>
      </c>
      <c r="H43" s="5">
        <v>2.7458064516129033E-2</v>
      </c>
      <c r="I43" s="5">
        <v>2.7E-2</v>
      </c>
      <c r="J43" s="5">
        <v>1.0653061224489797E-2</v>
      </c>
      <c r="K43" s="5">
        <v>2.5999999999999999E-2</v>
      </c>
      <c r="L43" s="5">
        <v>6.3741935483870964E-3</v>
      </c>
      <c r="M43" s="5">
        <v>2.1083870967741933E-2</v>
      </c>
      <c r="N43" s="5">
        <v>5.3999999999999999E-2</v>
      </c>
      <c r="O43" s="5">
        <v>2.1306122448979593E-2</v>
      </c>
      <c r="P43" s="92"/>
    </row>
    <row r="44" spans="1:16" s="5" customFormat="1" x14ac:dyDescent="0.25">
      <c r="A44" s="29">
        <v>43</v>
      </c>
      <c r="B44" s="30">
        <v>437573.10856199998</v>
      </c>
      <c r="C44" s="30">
        <v>5688750.3324180003</v>
      </c>
      <c r="D44" s="31">
        <v>23</v>
      </c>
      <c r="E44" s="9" t="s">
        <v>24</v>
      </c>
      <c r="F44" s="46">
        <v>2009</v>
      </c>
      <c r="G44" s="5">
        <v>6.9000000000000006E-2</v>
      </c>
      <c r="H44" s="5">
        <v>1.6916129032258063E-2</v>
      </c>
      <c r="I44" s="5">
        <v>2.5999999999999999E-2</v>
      </c>
      <c r="J44" s="5">
        <v>1.0258503401360544E-2</v>
      </c>
      <c r="K44" s="5">
        <v>0.03</v>
      </c>
      <c r="L44" s="5">
        <v>7.3548387096774191E-3</v>
      </c>
      <c r="M44" s="5">
        <v>9.5612903225806428E-3</v>
      </c>
      <c r="N44" s="5">
        <v>4.9000000000000002E-2</v>
      </c>
      <c r="O44" s="5">
        <v>1.9333333333333331E-2</v>
      </c>
      <c r="P44" s="92"/>
    </row>
    <row r="45" spans="1:16" s="5" customFormat="1" x14ac:dyDescent="0.25">
      <c r="A45" s="29">
        <v>44</v>
      </c>
      <c r="B45" s="30">
        <v>437692.10856199998</v>
      </c>
      <c r="C45" s="30">
        <v>5688750.3324180003</v>
      </c>
      <c r="D45" s="31">
        <v>23</v>
      </c>
      <c r="E45" s="9" t="s">
        <v>24</v>
      </c>
      <c r="F45" s="46">
        <v>2009</v>
      </c>
      <c r="G45" s="31" t="s">
        <v>18</v>
      </c>
      <c r="H45" s="31" t="s">
        <v>18</v>
      </c>
      <c r="I45" s="31" t="s">
        <v>18</v>
      </c>
      <c r="J45" s="31" t="s">
        <v>18</v>
      </c>
      <c r="K45" s="5">
        <v>1.9E-2</v>
      </c>
      <c r="L45" s="5">
        <v>4.6580645161290327E-3</v>
      </c>
      <c r="M45" s="31" t="s">
        <v>18</v>
      </c>
      <c r="N45" s="5">
        <v>0</v>
      </c>
      <c r="O45" s="5">
        <v>0</v>
      </c>
      <c r="P45" s="92" t="s">
        <v>19</v>
      </c>
    </row>
    <row r="46" spans="1:16" s="5" customFormat="1" x14ac:dyDescent="0.25">
      <c r="A46" s="29">
        <v>45</v>
      </c>
      <c r="B46" s="30">
        <v>437811.10856199998</v>
      </c>
      <c r="C46" s="30">
        <v>5688750.3324180003</v>
      </c>
      <c r="D46" s="31">
        <v>23</v>
      </c>
      <c r="E46" s="9" t="s">
        <v>24</v>
      </c>
      <c r="F46" s="46">
        <v>2009</v>
      </c>
      <c r="G46" s="5">
        <v>8.2000000000000003E-2</v>
      </c>
      <c r="H46" s="5">
        <v>2.0103225806451613E-2</v>
      </c>
      <c r="I46" s="5">
        <v>0.01</v>
      </c>
      <c r="J46" s="5">
        <v>3.9455782312925172E-3</v>
      </c>
      <c r="K46" s="5">
        <v>2.8000000000000001E-2</v>
      </c>
      <c r="L46" s="5">
        <v>6.8645161290322582E-3</v>
      </c>
      <c r="M46" s="5">
        <v>1.3238709677419355E-2</v>
      </c>
      <c r="N46" s="5">
        <v>0</v>
      </c>
      <c r="O46" s="5">
        <v>0</v>
      </c>
      <c r="P46" s="92"/>
    </row>
    <row r="47" spans="1:16" s="5" customFormat="1" x14ac:dyDescent="0.25">
      <c r="A47" s="29">
        <v>46</v>
      </c>
      <c r="B47" s="30">
        <v>437930.10856199998</v>
      </c>
      <c r="C47" s="30">
        <v>5688750.3324180003</v>
      </c>
      <c r="D47" s="31">
        <v>22</v>
      </c>
      <c r="E47" s="9" t="s">
        <v>24</v>
      </c>
      <c r="F47" s="46">
        <v>2009</v>
      </c>
      <c r="G47" s="5">
        <v>0.08</v>
      </c>
      <c r="H47" s="5">
        <v>1.8701298701298701E-2</v>
      </c>
      <c r="I47" s="5">
        <v>0.02</v>
      </c>
      <c r="J47" s="5">
        <v>8.5714285714285719E-3</v>
      </c>
      <c r="K47" s="5">
        <v>1.9E-2</v>
      </c>
      <c r="L47" s="5">
        <v>4.4415584415584408E-3</v>
      </c>
      <c r="M47" s="5">
        <v>1.4259740259740259E-2</v>
      </c>
      <c r="N47" s="5">
        <v>7.3999999999999996E-2</v>
      </c>
      <c r="O47" s="5">
        <v>3.1714285714285709E-2</v>
      </c>
      <c r="P47" s="92"/>
    </row>
    <row r="48" spans="1:16" s="5" customFormat="1" x14ac:dyDescent="0.25">
      <c r="A48" s="29">
        <v>47</v>
      </c>
      <c r="B48" s="30">
        <v>438049.10856199998</v>
      </c>
      <c r="C48" s="30">
        <v>5688750.3324180003</v>
      </c>
      <c r="D48" s="31">
        <v>22</v>
      </c>
      <c r="E48" s="9" t="s">
        <v>24</v>
      </c>
      <c r="F48" s="46">
        <v>2009</v>
      </c>
      <c r="G48" s="31" t="s">
        <v>18</v>
      </c>
      <c r="H48" s="31" t="s">
        <v>18</v>
      </c>
      <c r="I48" s="31" t="s">
        <v>18</v>
      </c>
      <c r="J48" s="31" t="s">
        <v>18</v>
      </c>
      <c r="K48" s="5">
        <v>7.0000000000000001E-3</v>
      </c>
      <c r="L48" s="5">
        <v>1.6363636363636363E-3</v>
      </c>
      <c r="M48" s="31" t="s">
        <v>18</v>
      </c>
      <c r="N48" s="5">
        <v>0</v>
      </c>
      <c r="O48" s="5">
        <v>0</v>
      </c>
      <c r="P48" s="98" t="s">
        <v>23</v>
      </c>
    </row>
    <row r="49" spans="1:19" s="5" customFormat="1" x14ac:dyDescent="0.25">
      <c r="A49" s="32">
        <v>48</v>
      </c>
      <c r="B49" s="33">
        <v>438168.10856199998</v>
      </c>
      <c r="C49" s="33">
        <v>5688750.3324180003</v>
      </c>
      <c r="D49" s="93">
        <v>22</v>
      </c>
      <c r="E49" s="93" t="s">
        <v>24</v>
      </c>
      <c r="F49" s="93">
        <v>2009</v>
      </c>
      <c r="G49" s="93" t="s">
        <v>18</v>
      </c>
      <c r="H49" s="93" t="s">
        <v>18</v>
      </c>
      <c r="I49" s="93" t="s">
        <v>18</v>
      </c>
      <c r="J49" s="93" t="s">
        <v>18</v>
      </c>
      <c r="K49" s="93" t="s">
        <v>18</v>
      </c>
      <c r="L49" s="93" t="s">
        <v>18</v>
      </c>
      <c r="M49" s="93" t="s">
        <v>18</v>
      </c>
      <c r="N49" s="93" t="s">
        <v>18</v>
      </c>
      <c r="O49" s="93" t="s">
        <v>18</v>
      </c>
      <c r="P49" s="94" t="s">
        <v>21</v>
      </c>
    </row>
    <row r="50" spans="1:19" s="5" customFormat="1" x14ac:dyDescent="0.25">
      <c r="A50" s="29">
        <v>49</v>
      </c>
      <c r="B50" s="30">
        <v>437454.10856199998</v>
      </c>
      <c r="C50" s="30">
        <v>5688869.3324180003</v>
      </c>
      <c r="D50" s="31">
        <v>23</v>
      </c>
      <c r="E50" s="9" t="s">
        <v>24</v>
      </c>
      <c r="F50" s="46">
        <v>2009</v>
      </c>
      <c r="G50" s="5">
        <v>1E-3</v>
      </c>
      <c r="H50" s="5">
        <v>2.4516129032258063E-4</v>
      </c>
      <c r="I50" s="5">
        <v>0</v>
      </c>
      <c r="J50" s="5">
        <v>0</v>
      </c>
      <c r="K50" s="5">
        <v>1.6E-2</v>
      </c>
      <c r="L50" s="5">
        <v>3.92258064516129E-3</v>
      </c>
      <c r="M50" s="5">
        <v>-3.6774193548387095E-3</v>
      </c>
      <c r="N50" s="5">
        <v>1E-3</v>
      </c>
      <c r="O50" s="5">
        <v>3.9455782312925169E-4</v>
      </c>
      <c r="P50" s="92"/>
    </row>
    <row r="51" spans="1:19" s="5" customFormat="1" x14ac:dyDescent="0.25">
      <c r="A51" s="29">
        <v>50</v>
      </c>
      <c r="B51" s="30">
        <v>437811.10856199998</v>
      </c>
      <c r="C51" s="30">
        <v>5688869.3324180003</v>
      </c>
      <c r="D51" s="31">
        <v>23</v>
      </c>
      <c r="E51" s="9" t="s">
        <v>24</v>
      </c>
      <c r="F51" s="46">
        <v>2009</v>
      </c>
      <c r="G51" s="5">
        <v>0.10199999999999999</v>
      </c>
      <c r="H51" s="5">
        <v>2.5006451612903224E-2</v>
      </c>
      <c r="I51" s="5">
        <v>0</v>
      </c>
      <c r="J51" s="5">
        <v>0</v>
      </c>
      <c r="K51" s="5">
        <v>2.1999999999999999E-2</v>
      </c>
      <c r="L51" s="5">
        <v>5.3935483870967745E-3</v>
      </c>
      <c r="M51" s="5">
        <v>1.9612903225806447E-2</v>
      </c>
      <c r="N51" s="5">
        <v>0</v>
      </c>
      <c r="O51" s="5">
        <v>0</v>
      </c>
      <c r="P51" s="92"/>
    </row>
    <row r="52" spans="1:19" s="5" customFormat="1" x14ac:dyDescent="0.25">
      <c r="A52" s="29">
        <v>51</v>
      </c>
      <c r="B52" s="30">
        <v>437930.10856199998</v>
      </c>
      <c r="C52" s="30">
        <v>5688869.3324180003</v>
      </c>
      <c r="D52" s="31">
        <v>23</v>
      </c>
      <c r="E52" s="9" t="s">
        <v>24</v>
      </c>
      <c r="F52" s="46">
        <v>2009</v>
      </c>
      <c r="G52" s="5">
        <v>0.13500000000000001</v>
      </c>
      <c r="H52" s="5">
        <v>3.3096774193548381E-2</v>
      </c>
      <c r="I52" s="5">
        <v>0</v>
      </c>
      <c r="J52" s="5">
        <v>0</v>
      </c>
      <c r="K52" s="5">
        <v>7.0000000000000001E-3</v>
      </c>
      <c r="L52" s="5">
        <v>1.7161290322580645E-3</v>
      </c>
      <c r="M52" s="5">
        <v>3.138064516129032E-2</v>
      </c>
      <c r="N52" s="5">
        <v>0</v>
      </c>
      <c r="O52" s="5">
        <v>0</v>
      </c>
      <c r="P52" s="92"/>
    </row>
    <row r="53" spans="1:19" s="5" customFormat="1" x14ac:dyDescent="0.25">
      <c r="A53" s="29">
        <v>52</v>
      </c>
      <c r="B53" s="30">
        <v>438049.10856199998</v>
      </c>
      <c r="C53" s="30">
        <v>5688869.3324180003</v>
      </c>
      <c r="D53" s="31">
        <v>22</v>
      </c>
      <c r="E53" s="9" t="s">
        <v>24</v>
      </c>
      <c r="F53" s="46">
        <v>2009</v>
      </c>
      <c r="G53" s="31" t="s">
        <v>18</v>
      </c>
      <c r="H53" s="31" t="s">
        <v>18</v>
      </c>
      <c r="I53" s="31" t="s">
        <v>18</v>
      </c>
      <c r="J53" s="31" t="s">
        <v>18</v>
      </c>
      <c r="K53" s="5">
        <v>5.0000000000000001E-3</v>
      </c>
      <c r="L53" s="5">
        <v>1.1688311688311688E-3</v>
      </c>
      <c r="M53" s="31" t="s">
        <v>18</v>
      </c>
      <c r="N53" s="5">
        <v>0</v>
      </c>
      <c r="O53" s="5">
        <v>0</v>
      </c>
      <c r="P53" s="92" t="s">
        <v>19</v>
      </c>
    </row>
    <row r="54" spans="1:19" s="5" customFormat="1" x14ac:dyDescent="0.25">
      <c r="A54" s="29">
        <v>53</v>
      </c>
      <c r="B54" s="30">
        <v>438287.10856199998</v>
      </c>
      <c r="C54" s="30">
        <v>5688869.3324180003</v>
      </c>
      <c r="D54" s="31">
        <v>22</v>
      </c>
      <c r="E54" s="9" t="s">
        <v>24</v>
      </c>
      <c r="F54" s="46">
        <v>2009</v>
      </c>
      <c r="G54" s="5">
        <v>0.03</v>
      </c>
      <c r="H54" s="5">
        <v>7.0129870129870134E-3</v>
      </c>
      <c r="I54" s="5">
        <v>0</v>
      </c>
      <c r="J54" s="5">
        <v>0</v>
      </c>
      <c r="K54" s="5">
        <v>6.0000000000000001E-3</v>
      </c>
      <c r="L54" s="5">
        <v>1.4025974025974027E-3</v>
      </c>
      <c r="M54" s="5">
        <v>5.6103896103896107E-3</v>
      </c>
      <c r="N54" s="5">
        <v>0</v>
      </c>
      <c r="O54" s="5">
        <v>0</v>
      </c>
      <c r="P54" s="92"/>
    </row>
    <row r="55" spans="1:19" s="5" customFormat="1" x14ac:dyDescent="0.25">
      <c r="A55" s="29">
        <v>54</v>
      </c>
      <c r="B55" s="30">
        <v>437454.10856199998</v>
      </c>
      <c r="C55" s="30">
        <v>5688988.3324180003</v>
      </c>
      <c r="D55" s="31">
        <v>23</v>
      </c>
      <c r="E55" s="9" t="s">
        <v>24</v>
      </c>
      <c r="F55" s="46">
        <v>2009</v>
      </c>
      <c r="G55" s="5">
        <v>1.2999999999999999E-2</v>
      </c>
      <c r="H55" s="5">
        <v>3.038961038961039E-3</v>
      </c>
      <c r="I55" s="5">
        <v>8.0000000000000002E-3</v>
      </c>
      <c r="J55" s="5">
        <v>3.4285714285714284E-3</v>
      </c>
      <c r="K55" s="5">
        <v>1.2999999999999999E-2</v>
      </c>
      <c r="L55" s="5">
        <v>3.038961038961039E-3</v>
      </c>
      <c r="M55" s="5">
        <v>0</v>
      </c>
      <c r="N55" s="5">
        <v>0</v>
      </c>
      <c r="O55" s="5">
        <v>0</v>
      </c>
      <c r="P55" s="92"/>
    </row>
    <row r="56" spans="1:19" s="5" customFormat="1" x14ac:dyDescent="0.25">
      <c r="A56" s="29">
        <v>55</v>
      </c>
      <c r="B56" s="30">
        <v>438049.10856199998</v>
      </c>
      <c r="C56" s="30">
        <v>5688988.3324180003</v>
      </c>
      <c r="D56" s="31">
        <v>22</v>
      </c>
      <c r="E56" s="9" t="s">
        <v>24</v>
      </c>
      <c r="F56" s="46">
        <v>2009</v>
      </c>
      <c r="G56" s="5">
        <v>1E-3</v>
      </c>
      <c r="H56" s="5">
        <v>2.3376623376623377E-4</v>
      </c>
      <c r="I56" s="5">
        <v>0</v>
      </c>
      <c r="J56" s="5">
        <v>0</v>
      </c>
      <c r="K56" s="5">
        <v>5.0000000000000001E-3</v>
      </c>
      <c r="L56" s="5">
        <v>1.1688311688311688E-3</v>
      </c>
      <c r="M56" s="5">
        <v>-9.3506493506493509E-4</v>
      </c>
      <c r="N56" s="5">
        <v>2E-3</v>
      </c>
      <c r="O56" s="5">
        <v>8.571428571428571E-4</v>
      </c>
      <c r="P56" s="92"/>
    </row>
    <row r="57" spans="1:19" s="5" customFormat="1" x14ac:dyDescent="0.25">
      <c r="A57" s="29">
        <v>56</v>
      </c>
      <c r="B57" s="30">
        <v>438168.10856199998</v>
      </c>
      <c r="C57" s="30">
        <v>5688988.3324180003</v>
      </c>
      <c r="D57" s="31">
        <v>22</v>
      </c>
      <c r="E57" s="9" t="s">
        <v>24</v>
      </c>
      <c r="F57" s="46">
        <v>2009</v>
      </c>
      <c r="G57" s="5">
        <v>0.14099999999999999</v>
      </c>
      <c r="H57" s="5">
        <v>3.2961038961038962E-2</v>
      </c>
      <c r="I57" s="5">
        <v>0</v>
      </c>
      <c r="J57" s="5">
        <v>0</v>
      </c>
      <c r="K57" s="5">
        <v>4.0000000000000001E-3</v>
      </c>
      <c r="L57" s="5">
        <v>9.3506493506493509E-4</v>
      </c>
      <c r="M57" s="5">
        <v>3.202597402597402E-2</v>
      </c>
      <c r="N57" s="5">
        <v>0</v>
      </c>
      <c r="O57" s="5">
        <v>0</v>
      </c>
      <c r="P57" s="92"/>
    </row>
    <row r="58" spans="1:19" x14ac:dyDescent="0.25">
      <c r="A58" s="16">
        <v>1</v>
      </c>
      <c r="B58" s="16">
        <v>437930.10856199998</v>
      </c>
      <c r="C58" s="16">
        <v>5688036.3324180003</v>
      </c>
      <c r="D58" s="31">
        <v>30</v>
      </c>
      <c r="E58" s="31" t="s">
        <v>33</v>
      </c>
      <c r="F58" s="46">
        <v>2009</v>
      </c>
      <c r="G58" s="16">
        <v>3.1519999999999999E-2</v>
      </c>
      <c r="H58" s="16">
        <v>8.7508975999999999E-3</v>
      </c>
      <c r="I58" s="16">
        <v>1.0039999999999999E-2</v>
      </c>
      <c r="J58" s="16">
        <v>4.5033315599999997E-3</v>
      </c>
      <c r="K58" s="16">
        <v>2.1860000000000001E-2</v>
      </c>
      <c r="L58" s="16">
        <v>6.0689917999999995E-3</v>
      </c>
      <c r="M58" s="16">
        <v>2.6819058000000008E-3</v>
      </c>
      <c r="N58" s="16">
        <v>7.0519999999999999E-2</v>
      </c>
      <c r="O58" s="16">
        <v>3.1630970279999997E-2</v>
      </c>
      <c r="P58" s="95"/>
      <c r="R58" s="5">
        <f>AVERAGE(M58:M113)</f>
        <v>1.0357931091999997E-2</v>
      </c>
      <c r="S58" s="5">
        <f>AVERAGE(H58:H113)</f>
        <v>1.5652057561999999E-2</v>
      </c>
    </row>
    <row r="59" spans="1:19" x14ac:dyDescent="0.25">
      <c r="A59" s="16">
        <v>2</v>
      </c>
      <c r="B59" s="16">
        <v>437811.10856199998</v>
      </c>
      <c r="C59" s="16">
        <v>5688155.3324180003</v>
      </c>
      <c r="D59" s="31">
        <v>30</v>
      </c>
      <c r="E59" s="31" t="s">
        <v>33</v>
      </c>
      <c r="F59" s="46">
        <v>2009</v>
      </c>
      <c r="G59" s="16">
        <v>2.972E-2</v>
      </c>
      <c r="H59" s="16">
        <v>8.2511635999999999E-3</v>
      </c>
      <c r="I59" s="16">
        <v>0</v>
      </c>
      <c r="J59" s="16">
        <v>0</v>
      </c>
      <c r="K59" s="16">
        <v>1.2039999999999999E-2</v>
      </c>
      <c r="L59" s="16">
        <v>3.3426651999999995E-3</v>
      </c>
      <c r="M59" s="16">
        <v>4.9084984000000009E-3</v>
      </c>
      <c r="N59" s="16">
        <v>0</v>
      </c>
      <c r="O59" s="16">
        <v>0</v>
      </c>
      <c r="P59" s="95"/>
    </row>
    <row r="60" spans="1:19" x14ac:dyDescent="0.25">
      <c r="A60" s="16">
        <v>3</v>
      </c>
      <c r="B60" s="16">
        <v>437930.10856199998</v>
      </c>
      <c r="C60" s="16">
        <v>5688155.3324180003</v>
      </c>
      <c r="D60" s="31">
        <v>30</v>
      </c>
      <c r="E60" s="31" t="s">
        <v>33</v>
      </c>
      <c r="F60" s="46">
        <v>2009</v>
      </c>
      <c r="G60" s="16">
        <v>4.2880000000000001E-2</v>
      </c>
      <c r="H60" s="16">
        <v>1.19047744E-2</v>
      </c>
      <c r="I60" s="16">
        <v>0</v>
      </c>
      <c r="J60" s="16">
        <v>0</v>
      </c>
      <c r="K60" s="16">
        <v>4.1000000000000002E-2</v>
      </c>
      <c r="L60" s="16">
        <v>1.138283E-2</v>
      </c>
      <c r="M60" s="16">
        <v>5.2194440000000067E-4</v>
      </c>
      <c r="N60" s="16">
        <v>0</v>
      </c>
      <c r="O60" s="16">
        <v>0</v>
      </c>
      <c r="P60" s="95"/>
    </row>
    <row r="61" spans="1:19" x14ac:dyDescent="0.25">
      <c r="A61" s="16">
        <v>4</v>
      </c>
      <c r="B61" s="16">
        <v>438049.10856199998</v>
      </c>
      <c r="C61" s="16">
        <v>5688155.3324180003</v>
      </c>
      <c r="D61" s="31">
        <v>30</v>
      </c>
      <c r="E61" s="31" t="s">
        <v>33</v>
      </c>
      <c r="F61" s="46">
        <v>2009</v>
      </c>
      <c r="G61" s="16">
        <v>7.6400000000000001E-3</v>
      </c>
      <c r="H61" s="16">
        <v>2.1210931999999997E-3</v>
      </c>
      <c r="I61" s="16">
        <v>0</v>
      </c>
      <c r="J61" s="16">
        <v>0</v>
      </c>
      <c r="K61" s="16">
        <v>1.2619999999999999E-2</v>
      </c>
      <c r="L61" s="16">
        <v>3.5036905999999996E-3</v>
      </c>
      <c r="M61" s="16">
        <v>-1.3825973999999999E-3</v>
      </c>
      <c r="N61" s="16">
        <v>0</v>
      </c>
      <c r="O61" s="16">
        <v>0</v>
      </c>
      <c r="P61" s="95"/>
    </row>
    <row r="62" spans="1:19" x14ac:dyDescent="0.25">
      <c r="A62" s="16">
        <v>5</v>
      </c>
      <c r="B62" s="16">
        <v>437573.10856199998</v>
      </c>
      <c r="C62" s="16">
        <v>5688274.3324180003</v>
      </c>
      <c r="D62" s="31">
        <v>30</v>
      </c>
      <c r="E62" s="31" t="s">
        <v>33</v>
      </c>
      <c r="F62" s="46">
        <v>2009</v>
      </c>
      <c r="G62" s="16">
        <v>2.1160000000000002E-2</v>
      </c>
      <c r="H62" s="16">
        <v>5.8746507999999998E-3</v>
      </c>
      <c r="I62" s="16">
        <v>2.4039999999999999E-2</v>
      </c>
      <c r="J62" s="16">
        <v>1.0782877559999999E-2</v>
      </c>
      <c r="K62" s="16">
        <v>5.0549999999999998E-2</v>
      </c>
      <c r="L62" s="16">
        <v>1.4034196499999999E-2</v>
      </c>
      <c r="M62" s="16">
        <v>-8.1595456999999996E-3</v>
      </c>
      <c r="N62" s="16">
        <v>2.4050000000000002E-2</v>
      </c>
      <c r="O62" s="16">
        <v>1.0787362950000001E-2</v>
      </c>
      <c r="P62" s="95"/>
    </row>
    <row r="63" spans="1:19" x14ac:dyDescent="0.25">
      <c r="A63" s="16">
        <v>6</v>
      </c>
      <c r="B63" s="16">
        <v>437692.10856199998</v>
      </c>
      <c r="C63" s="16">
        <v>5688274.3324180003</v>
      </c>
      <c r="D63" s="31">
        <v>30</v>
      </c>
      <c r="E63" s="31" t="s">
        <v>33</v>
      </c>
      <c r="F63" s="46">
        <v>2009</v>
      </c>
      <c r="G63" s="16">
        <v>4.1759999999999999E-2</v>
      </c>
      <c r="H63" s="16">
        <v>1.1593828799999999E-2</v>
      </c>
      <c r="I63" s="16">
        <v>1.6039999999999999E-2</v>
      </c>
      <c r="J63" s="16">
        <v>7.1945655600000004E-3</v>
      </c>
      <c r="K63" s="16">
        <v>2.5659999999999999E-2</v>
      </c>
      <c r="L63" s="16">
        <v>7.1239857999999996E-3</v>
      </c>
      <c r="M63" s="16">
        <v>4.4698429999999994E-3</v>
      </c>
      <c r="N63" s="16">
        <v>2.664E-2</v>
      </c>
      <c r="O63" s="16">
        <v>1.1949078960000001E-2</v>
      </c>
      <c r="P63" s="95"/>
    </row>
    <row r="64" spans="1:19" x14ac:dyDescent="0.25">
      <c r="A64" s="16">
        <v>7</v>
      </c>
      <c r="B64" s="16">
        <v>437811.10856199998</v>
      </c>
      <c r="C64" s="16">
        <v>5688274.3324180003</v>
      </c>
      <c r="D64" s="31">
        <v>30</v>
      </c>
      <c r="E64" s="31" t="s">
        <v>33</v>
      </c>
      <c r="F64" s="46">
        <v>2009</v>
      </c>
      <c r="G64" s="16">
        <v>3.2329999999999998E-2</v>
      </c>
      <c r="H64" s="16">
        <v>8.9757778999999989E-3</v>
      </c>
      <c r="I64" s="16">
        <v>0</v>
      </c>
      <c r="J64" s="16">
        <v>0</v>
      </c>
      <c r="K64" s="16">
        <v>6.5199999999999998E-3</v>
      </c>
      <c r="L64" s="16">
        <v>1.8101475999999998E-3</v>
      </c>
      <c r="M64" s="16">
        <v>7.1656302999999989E-3</v>
      </c>
      <c r="N64" s="16">
        <v>1.8350000000000002E-2</v>
      </c>
      <c r="O64" s="16">
        <v>8.2306906500000006E-3</v>
      </c>
      <c r="P64" s="95"/>
    </row>
    <row r="65" spans="1:16" x14ac:dyDescent="0.25">
      <c r="A65" s="16">
        <v>8</v>
      </c>
      <c r="B65" s="16">
        <v>437930.10856199998</v>
      </c>
      <c r="C65" s="16">
        <v>5688274.3324180003</v>
      </c>
      <c r="D65" s="31">
        <v>30</v>
      </c>
      <c r="E65" s="31" t="s">
        <v>33</v>
      </c>
      <c r="F65" s="46">
        <v>2009</v>
      </c>
      <c r="G65" s="16">
        <v>7.0169999999999996E-2</v>
      </c>
      <c r="H65" s="16">
        <v>1.9481297099999999E-2</v>
      </c>
      <c r="I65" s="16">
        <v>0</v>
      </c>
      <c r="J65" s="16">
        <v>0</v>
      </c>
      <c r="K65" s="16">
        <v>1.7520000000000001E-2</v>
      </c>
      <c r="L65" s="16">
        <v>4.8640775999999998E-3</v>
      </c>
      <c r="M65" s="16">
        <v>1.4617219499999999E-2</v>
      </c>
      <c r="N65" s="16">
        <v>0</v>
      </c>
      <c r="O65" s="16">
        <v>0</v>
      </c>
      <c r="P65" s="95"/>
    </row>
    <row r="66" spans="1:16" x14ac:dyDescent="0.25">
      <c r="A66" s="16">
        <v>9</v>
      </c>
      <c r="B66" s="16">
        <v>438287.10856199998</v>
      </c>
      <c r="C66" s="16">
        <v>5688274.3324180003</v>
      </c>
      <c r="D66" s="31">
        <v>30</v>
      </c>
      <c r="E66" s="31" t="s">
        <v>33</v>
      </c>
      <c r="F66" s="46">
        <v>2009</v>
      </c>
      <c r="G66" s="16">
        <v>1.932E-2</v>
      </c>
      <c r="H66" s="16">
        <v>5.3638115999999998E-3</v>
      </c>
      <c r="I66" s="16">
        <v>8.1019999999999995E-2</v>
      </c>
      <c r="J66" s="16">
        <v>3.6340629780000001E-2</v>
      </c>
      <c r="K66" s="16">
        <v>2.606E-2</v>
      </c>
      <c r="L66" s="16">
        <v>7.2350378E-3</v>
      </c>
      <c r="M66" s="16">
        <v>-1.8712261999999998E-3</v>
      </c>
      <c r="N66" s="16">
        <v>1.0240000000000001E-2</v>
      </c>
      <c r="O66" s="16">
        <v>4.5930393600000004E-3</v>
      </c>
      <c r="P66" s="95"/>
    </row>
    <row r="67" spans="1:16" x14ac:dyDescent="0.25">
      <c r="A67" s="16">
        <v>10</v>
      </c>
      <c r="B67" s="16">
        <v>438406.10856199998</v>
      </c>
      <c r="C67" s="16">
        <v>5688274.3324180003</v>
      </c>
      <c r="D67" s="31">
        <v>30</v>
      </c>
      <c r="E67" s="31" t="s">
        <v>33</v>
      </c>
      <c r="F67" s="46">
        <v>2009</v>
      </c>
      <c r="G67" s="16">
        <v>1.5009999999999999E-2</v>
      </c>
      <c r="H67" s="16">
        <v>4.1672262999999992E-3</v>
      </c>
      <c r="I67" s="16">
        <v>0</v>
      </c>
      <c r="J67" s="16">
        <v>0</v>
      </c>
      <c r="K67" s="16">
        <v>2.2370000000000001E-2</v>
      </c>
      <c r="L67" s="16">
        <v>6.2105831E-3</v>
      </c>
      <c r="M67" s="16">
        <v>-2.0433568000000008E-3</v>
      </c>
      <c r="N67" s="16">
        <v>0</v>
      </c>
      <c r="O67" s="16">
        <v>0</v>
      </c>
      <c r="P67" s="95"/>
    </row>
    <row r="68" spans="1:16" x14ac:dyDescent="0.25">
      <c r="A68" s="16">
        <v>11</v>
      </c>
      <c r="B68" s="16">
        <v>437454.10856199998</v>
      </c>
      <c r="C68" s="16">
        <v>5688393.3324180003</v>
      </c>
      <c r="D68" s="31">
        <v>30</v>
      </c>
      <c r="E68" s="31" t="s">
        <v>33</v>
      </c>
      <c r="F68" s="46">
        <v>2009</v>
      </c>
      <c r="G68" s="16">
        <v>4.734E-2</v>
      </c>
      <c r="H68" s="16">
        <v>1.3143004200000001E-2</v>
      </c>
      <c r="I68" s="16">
        <v>1.074E-2</v>
      </c>
      <c r="J68" s="16">
        <v>4.8173088600000011E-3</v>
      </c>
      <c r="K68" s="16">
        <v>1.9850000000000003E-2</v>
      </c>
      <c r="L68" s="16">
        <v>5.5109555000000003E-3</v>
      </c>
      <c r="M68" s="16">
        <v>7.6320486999999996E-3</v>
      </c>
      <c r="N68" s="16">
        <v>3.81E-3</v>
      </c>
      <c r="O68" s="16">
        <v>1.70893359E-3</v>
      </c>
      <c r="P68" s="95"/>
    </row>
    <row r="69" spans="1:16" x14ac:dyDescent="0.25">
      <c r="A69" s="16">
        <v>12</v>
      </c>
      <c r="B69" s="16">
        <v>437573.10856199998</v>
      </c>
      <c r="C69" s="16">
        <v>5688393.3324180003</v>
      </c>
      <c r="D69" s="31">
        <v>30</v>
      </c>
      <c r="E69" s="31" t="s">
        <v>33</v>
      </c>
      <c r="F69" s="46">
        <v>2009</v>
      </c>
      <c r="G69" s="16">
        <v>5.7619999999999998E-2</v>
      </c>
      <c r="H69" s="16">
        <v>1.5997040599999998E-2</v>
      </c>
      <c r="I69" s="16">
        <v>0</v>
      </c>
      <c r="J69" s="16">
        <v>0</v>
      </c>
      <c r="K69" s="16">
        <v>1.302E-2</v>
      </c>
      <c r="L69" s="16">
        <v>3.6147425999999996E-3</v>
      </c>
      <c r="M69" s="16">
        <v>1.2382297999999998E-2</v>
      </c>
      <c r="N69" s="16">
        <v>5.3600000000000002E-3</v>
      </c>
      <c r="O69" s="16">
        <v>2.4041690400000001E-3</v>
      </c>
      <c r="P69" s="95"/>
    </row>
    <row r="70" spans="1:16" x14ac:dyDescent="0.25">
      <c r="A70" s="16">
        <v>13</v>
      </c>
      <c r="B70" s="16">
        <v>437692.10856199998</v>
      </c>
      <c r="C70" s="16">
        <v>5688393.3324180003</v>
      </c>
      <c r="D70" s="31">
        <v>30</v>
      </c>
      <c r="E70" s="31" t="s">
        <v>33</v>
      </c>
      <c r="F70" s="46">
        <v>2009</v>
      </c>
      <c r="G70" s="16">
        <v>7.6450000000000004E-2</v>
      </c>
      <c r="H70" s="16">
        <v>2.1224813499999998E-2</v>
      </c>
      <c r="I70" s="16">
        <v>7.4299999999999991E-2</v>
      </c>
      <c r="J70" s="16">
        <v>3.3326447700000005E-2</v>
      </c>
      <c r="K70" s="16">
        <v>2.6409999999999999E-2</v>
      </c>
      <c r="L70" s="16">
        <v>7.3322082999999994E-3</v>
      </c>
      <c r="M70" s="16">
        <v>1.38926052E-2</v>
      </c>
      <c r="N70" s="16">
        <v>7.2709999999999997E-2</v>
      </c>
      <c r="O70" s="16">
        <v>3.2613270690000001E-2</v>
      </c>
      <c r="P70" s="95"/>
    </row>
    <row r="71" spans="1:16" x14ac:dyDescent="0.25">
      <c r="A71" s="35">
        <v>14</v>
      </c>
      <c r="B71" s="35">
        <v>437811.10856199998</v>
      </c>
      <c r="C71" s="35">
        <v>5688393.3324180003</v>
      </c>
      <c r="D71" s="96">
        <v>30</v>
      </c>
      <c r="E71" s="96" t="s">
        <v>33</v>
      </c>
      <c r="F71" s="96">
        <v>2009</v>
      </c>
      <c r="G71" s="96" t="s">
        <v>18</v>
      </c>
      <c r="H71" s="96" t="s">
        <v>18</v>
      </c>
      <c r="I71" s="96" t="s">
        <v>18</v>
      </c>
      <c r="J71" s="96" t="s">
        <v>18</v>
      </c>
      <c r="K71" s="96" t="s">
        <v>18</v>
      </c>
      <c r="L71" s="96" t="s">
        <v>18</v>
      </c>
      <c r="M71" s="96" t="s">
        <v>18</v>
      </c>
      <c r="N71" s="96" t="s">
        <v>18</v>
      </c>
      <c r="O71" s="96" t="s">
        <v>18</v>
      </c>
      <c r="P71" s="94" t="s">
        <v>21</v>
      </c>
    </row>
    <row r="72" spans="1:16" x14ac:dyDescent="0.25">
      <c r="A72" s="16">
        <v>15</v>
      </c>
      <c r="B72" s="16">
        <v>437930.10856199998</v>
      </c>
      <c r="C72" s="16">
        <v>5688393.3324180003</v>
      </c>
      <c r="D72" s="31">
        <v>30</v>
      </c>
      <c r="E72" s="31" t="s">
        <v>33</v>
      </c>
      <c r="F72" s="46">
        <v>2009</v>
      </c>
      <c r="G72" s="16">
        <v>5.5579999999999997E-2</v>
      </c>
      <c r="H72" s="16">
        <v>1.5430675399999998E-2</v>
      </c>
      <c r="I72" s="16">
        <v>0.13181000000000001</v>
      </c>
      <c r="J72" s="16">
        <v>5.9121925590000006E-2</v>
      </c>
      <c r="K72" s="16">
        <v>1.941E-2</v>
      </c>
      <c r="L72" s="16">
        <v>5.3887982999999999E-3</v>
      </c>
      <c r="M72" s="16">
        <v>1.0041877099999999E-2</v>
      </c>
      <c r="N72" s="16">
        <v>1.8030000000000001E-2</v>
      </c>
      <c r="O72" s="16">
        <v>8.0871581700000007E-3</v>
      </c>
      <c r="P72" s="95"/>
    </row>
    <row r="73" spans="1:16" x14ac:dyDescent="0.25">
      <c r="A73" s="16">
        <v>16</v>
      </c>
      <c r="B73" s="16">
        <v>438049.10856199998</v>
      </c>
      <c r="C73" s="16">
        <v>5688393.3324180003</v>
      </c>
      <c r="D73" s="31">
        <v>30</v>
      </c>
      <c r="E73" s="31" t="s">
        <v>33</v>
      </c>
      <c r="F73" s="46">
        <v>2009</v>
      </c>
      <c r="G73" s="16">
        <v>3.959E-2</v>
      </c>
      <c r="H73" s="16">
        <v>1.09913717E-2</v>
      </c>
      <c r="I73" s="16">
        <v>5.7890000000000004E-2</v>
      </c>
      <c r="J73" s="16">
        <v>2.5965922710000002E-2</v>
      </c>
      <c r="K73" s="16">
        <v>1.516E-2</v>
      </c>
      <c r="L73" s="16">
        <v>4.2088707999999994E-3</v>
      </c>
      <c r="M73" s="16">
        <v>6.7825009000000002E-3</v>
      </c>
      <c r="N73" s="16">
        <v>2.9899999999999999E-2</v>
      </c>
      <c r="O73" s="16">
        <v>1.3411316100000001E-2</v>
      </c>
      <c r="P73" s="95"/>
    </row>
    <row r="74" spans="1:16" x14ac:dyDescent="0.25">
      <c r="A74" s="16">
        <v>17</v>
      </c>
      <c r="B74" s="16">
        <v>438168.10856199998</v>
      </c>
      <c r="C74" s="16">
        <v>5688393.3324180003</v>
      </c>
      <c r="D74" s="31">
        <v>30</v>
      </c>
      <c r="E74" s="31" t="s">
        <v>33</v>
      </c>
      <c r="F74" s="46">
        <v>2009</v>
      </c>
      <c r="G74" s="16">
        <v>2.7359999999999999E-2</v>
      </c>
      <c r="H74" s="16">
        <v>7.5959567999999995E-3</v>
      </c>
      <c r="I74" s="16">
        <v>0</v>
      </c>
      <c r="J74" s="16">
        <v>0</v>
      </c>
      <c r="K74" s="16">
        <v>1.4150000000000001E-2</v>
      </c>
      <c r="L74" s="16">
        <v>3.9284645000000002E-3</v>
      </c>
      <c r="M74" s="16">
        <v>3.6674922999999997E-3</v>
      </c>
      <c r="N74" s="16">
        <v>0</v>
      </c>
      <c r="O74" s="16">
        <v>0</v>
      </c>
      <c r="P74" s="95"/>
    </row>
    <row r="75" spans="1:16" x14ac:dyDescent="0.25">
      <c r="A75" s="16">
        <v>18</v>
      </c>
      <c r="B75" s="16">
        <v>438287.10856199998</v>
      </c>
      <c r="C75" s="16">
        <v>5688393.3324180003</v>
      </c>
      <c r="D75" s="31">
        <v>30</v>
      </c>
      <c r="E75" s="31" t="s">
        <v>33</v>
      </c>
      <c r="F75" s="46">
        <v>2009</v>
      </c>
      <c r="G75" s="16">
        <v>5.6170000000000005E-2</v>
      </c>
      <c r="H75" s="16">
        <v>1.55944771E-2</v>
      </c>
      <c r="I75" s="16">
        <v>2.6890000000000001E-2</v>
      </c>
      <c r="J75" s="16">
        <v>1.2061213710000001E-2</v>
      </c>
      <c r="K75" s="16">
        <v>9.6799999999999994E-3</v>
      </c>
      <c r="L75" s="16">
        <v>2.6874583999999995E-3</v>
      </c>
      <c r="M75" s="16">
        <v>1.2907018700000002E-2</v>
      </c>
      <c r="N75" s="16">
        <v>2.615E-2</v>
      </c>
      <c r="O75" s="16">
        <v>1.172929485E-2</v>
      </c>
      <c r="P75" s="95"/>
    </row>
    <row r="76" spans="1:16" x14ac:dyDescent="0.25">
      <c r="A76" s="16">
        <v>19</v>
      </c>
      <c r="B76" s="16">
        <v>438406.10856199998</v>
      </c>
      <c r="C76" s="16">
        <v>5688393.3324180003</v>
      </c>
      <c r="D76" s="31">
        <v>30</v>
      </c>
      <c r="E76" s="31" t="s">
        <v>33</v>
      </c>
      <c r="F76" s="46">
        <v>2009</v>
      </c>
      <c r="G76" s="16">
        <v>1.7440000000000001E-2</v>
      </c>
      <c r="H76" s="16">
        <v>4.8418672000000006E-3</v>
      </c>
      <c r="I76" s="16">
        <v>0</v>
      </c>
      <c r="J76" s="16">
        <v>0</v>
      </c>
      <c r="K76" s="16">
        <v>2.4820000000000002E-2</v>
      </c>
      <c r="L76" s="16">
        <v>6.8907765999999997E-3</v>
      </c>
      <c r="M76" s="16">
        <v>-2.0489093999999995E-3</v>
      </c>
      <c r="N76" s="16">
        <v>0</v>
      </c>
      <c r="O76" s="16">
        <v>0</v>
      </c>
      <c r="P76" s="95"/>
    </row>
    <row r="77" spans="1:16" x14ac:dyDescent="0.25">
      <c r="A77" s="16">
        <v>20</v>
      </c>
      <c r="B77" s="16">
        <v>437335.10856199998</v>
      </c>
      <c r="C77" s="16">
        <v>5688512.3324180003</v>
      </c>
      <c r="D77" s="31">
        <v>30</v>
      </c>
      <c r="E77" s="31" t="s">
        <v>33</v>
      </c>
      <c r="F77" s="46">
        <v>2009</v>
      </c>
      <c r="G77" s="16">
        <v>8.3879999999999996E-2</v>
      </c>
      <c r="H77" s="16">
        <v>2.3287604399999998E-2</v>
      </c>
      <c r="I77" s="16">
        <v>2.4199999999999998E-3</v>
      </c>
      <c r="J77" s="16">
        <v>1.0854643800000002E-3</v>
      </c>
      <c r="K77" s="16">
        <v>1.047E-2</v>
      </c>
      <c r="L77" s="16">
        <v>2.9067861000000002E-3</v>
      </c>
      <c r="M77" s="16">
        <v>2.0380818299999999E-2</v>
      </c>
      <c r="N77" s="16">
        <v>0</v>
      </c>
      <c r="O77" s="16">
        <v>0</v>
      </c>
      <c r="P77" s="95"/>
    </row>
    <row r="78" spans="1:16" x14ac:dyDescent="0.25">
      <c r="A78" s="16">
        <v>21</v>
      </c>
      <c r="B78" s="16">
        <v>437454.10856199998</v>
      </c>
      <c r="C78" s="16">
        <v>5688512.3324180003</v>
      </c>
      <c r="D78" s="31">
        <v>30</v>
      </c>
      <c r="E78" s="31" t="s">
        <v>33</v>
      </c>
      <c r="F78" s="46">
        <v>2009</v>
      </c>
      <c r="G78" s="16">
        <v>3.483E-2</v>
      </c>
      <c r="H78" s="16">
        <v>9.6698528999999995E-3</v>
      </c>
      <c r="I78" s="16">
        <v>0</v>
      </c>
      <c r="J78" s="16">
        <v>0</v>
      </c>
      <c r="K78" s="16">
        <v>1.4029999999999999E-2</v>
      </c>
      <c r="L78" s="16">
        <v>3.8951488999999996E-3</v>
      </c>
      <c r="M78" s="16">
        <v>5.7747039999999986E-3</v>
      </c>
      <c r="N78" s="16">
        <v>0</v>
      </c>
      <c r="O78" s="16">
        <v>0</v>
      </c>
      <c r="P78" s="95"/>
    </row>
    <row r="79" spans="1:16" x14ac:dyDescent="0.25">
      <c r="A79" s="16">
        <v>22</v>
      </c>
      <c r="B79" s="16">
        <v>437573.10856199998</v>
      </c>
      <c r="C79" s="16">
        <v>5688512.3324180003</v>
      </c>
      <c r="D79" s="31">
        <v>30</v>
      </c>
      <c r="E79" s="31" t="s">
        <v>33</v>
      </c>
      <c r="F79" s="46">
        <v>2009</v>
      </c>
      <c r="G79" s="16">
        <v>7.5689999999999993E-2</v>
      </c>
      <c r="H79" s="16">
        <v>2.1013814699999998E-2</v>
      </c>
      <c r="I79" s="16">
        <v>4.0119999999999996E-2</v>
      </c>
      <c r="J79" s="16">
        <v>1.799538468E-2</v>
      </c>
      <c r="K79" s="16">
        <v>2.4309999999999998E-2</v>
      </c>
      <c r="L79" s="16">
        <v>6.7491853000000001E-3</v>
      </c>
      <c r="M79" s="16">
        <v>1.4264629399999998E-2</v>
      </c>
      <c r="N79" s="16">
        <v>3.4099999999999998E-2</v>
      </c>
      <c r="O79" s="16">
        <v>1.5295179900000001E-2</v>
      </c>
      <c r="P79" s="95"/>
    </row>
    <row r="80" spans="1:16" x14ac:dyDescent="0.25">
      <c r="A80" s="16">
        <v>23</v>
      </c>
      <c r="B80" s="16">
        <v>437692.10856199998</v>
      </c>
      <c r="C80" s="16">
        <v>5688512.3324180003</v>
      </c>
      <c r="D80" s="31">
        <v>30</v>
      </c>
      <c r="E80" s="31" t="s">
        <v>33</v>
      </c>
      <c r="F80" s="46">
        <v>2009</v>
      </c>
      <c r="G80" s="16">
        <v>6.447E-2</v>
      </c>
      <c r="H80" s="16">
        <v>1.7898806099999998E-2</v>
      </c>
      <c r="I80" s="16">
        <v>0</v>
      </c>
      <c r="J80" s="16">
        <v>0</v>
      </c>
      <c r="K80" s="16">
        <v>1.056E-2</v>
      </c>
      <c r="L80" s="16">
        <v>2.9317727999999999E-3</v>
      </c>
      <c r="M80" s="16">
        <v>1.4967033299999996E-2</v>
      </c>
      <c r="N80" s="16">
        <v>0</v>
      </c>
      <c r="O80" s="16">
        <v>0</v>
      </c>
      <c r="P80" s="95"/>
    </row>
    <row r="81" spans="1:16" x14ac:dyDescent="0.25">
      <c r="A81" s="16">
        <v>24</v>
      </c>
      <c r="B81" s="16">
        <v>437811.10856199998</v>
      </c>
      <c r="C81" s="16">
        <v>5688512.3324180003</v>
      </c>
      <c r="D81" s="31">
        <v>30</v>
      </c>
      <c r="E81" s="31" t="s">
        <v>33</v>
      </c>
      <c r="F81" s="46">
        <v>2009</v>
      </c>
      <c r="G81" s="16">
        <v>6.8220000000000003E-2</v>
      </c>
      <c r="H81" s="16">
        <v>1.8939918599999998E-2</v>
      </c>
      <c r="I81" s="16">
        <v>0</v>
      </c>
      <c r="J81" s="16">
        <v>0</v>
      </c>
      <c r="K81" s="16">
        <v>1.2289999999999999E-2</v>
      </c>
      <c r="L81" s="16">
        <v>3.4120726999999993E-3</v>
      </c>
      <c r="M81" s="16">
        <v>1.5527845899999998E-2</v>
      </c>
      <c r="N81" s="16">
        <v>0</v>
      </c>
      <c r="O81" s="16">
        <v>0</v>
      </c>
      <c r="P81" s="95"/>
    </row>
    <row r="82" spans="1:16" x14ac:dyDescent="0.25">
      <c r="A82" s="16">
        <v>25</v>
      </c>
      <c r="B82" s="16">
        <v>437995</v>
      </c>
      <c r="C82" s="16">
        <v>5688493</v>
      </c>
      <c r="D82" s="31">
        <v>30</v>
      </c>
      <c r="E82" s="31" t="s">
        <v>33</v>
      </c>
      <c r="F82" s="46">
        <v>2009</v>
      </c>
      <c r="G82" s="16">
        <v>7.9409999999999994E-2</v>
      </c>
      <c r="H82" s="16">
        <v>2.2046598300000001E-2</v>
      </c>
      <c r="I82" s="16">
        <v>2.93E-2</v>
      </c>
      <c r="J82" s="16">
        <v>1.3142192700000001E-2</v>
      </c>
      <c r="K82" s="16">
        <v>3.0839999999999999E-2</v>
      </c>
      <c r="L82" s="16">
        <v>8.5621091999999992E-3</v>
      </c>
      <c r="M82" s="16">
        <v>1.34844891E-2</v>
      </c>
      <c r="N82" s="16">
        <v>2.1819999999999999E-2</v>
      </c>
      <c r="O82" s="16">
        <v>9.7871209800000011E-3</v>
      </c>
      <c r="P82" s="95"/>
    </row>
    <row r="83" spans="1:16" x14ac:dyDescent="0.25">
      <c r="A83" s="16">
        <v>26</v>
      </c>
      <c r="B83" s="16">
        <v>438112</v>
      </c>
      <c r="C83" s="16">
        <v>5688567</v>
      </c>
      <c r="D83" s="31">
        <v>30</v>
      </c>
      <c r="E83" s="31" t="s">
        <v>33</v>
      </c>
      <c r="F83" s="46">
        <v>2009</v>
      </c>
      <c r="G83" s="16">
        <v>4.8159999999999994E-2</v>
      </c>
      <c r="H83" s="16">
        <v>1.3370660799999998E-2</v>
      </c>
      <c r="I83" s="16">
        <v>0</v>
      </c>
      <c r="J83" s="16">
        <v>0</v>
      </c>
      <c r="K83" s="16">
        <v>1.074E-2</v>
      </c>
      <c r="L83" s="16">
        <v>2.9817462E-3</v>
      </c>
      <c r="M83" s="16">
        <v>1.0388914599999998E-2</v>
      </c>
      <c r="N83" s="16">
        <v>0</v>
      </c>
      <c r="O83" s="16">
        <v>0</v>
      </c>
      <c r="P83" s="95"/>
    </row>
    <row r="84" spans="1:16" x14ac:dyDescent="0.25">
      <c r="A84" s="35">
        <v>27</v>
      </c>
      <c r="B84" s="35">
        <v>438168.10856199998</v>
      </c>
      <c r="C84" s="35">
        <v>5688512.3324180003</v>
      </c>
      <c r="D84" s="96">
        <v>30</v>
      </c>
      <c r="E84" s="96" t="s">
        <v>33</v>
      </c>
      <c r="F84" s="96">
        <v>2009</v>
      </c>
      <c r="G84" s="96" t="s">
        <v>18</v>
      </c>
      <c r="H84" s="96" t="s">
        <v>18</v>
      </c>
      <c r="I84" s="96" t="s">
        <v>18</v>
      </c>
      <c r="J84" s="96" t="s">
        <v>18</v>
      </c>
      <c r="K84" s="96" t="s">
        <v>18</v>
      </c>
      <c r="L84" s="96" t="s">
        <v>18</v>
      </c>
      <c r="M84" s="96" t="s">
        <v>18</v>
      </c>
      <c r="N84" s="96" t="s">
        <v>18</v>
      </c>
      <c r="O84" s="96" t="s">
        <v>18</v>
      </c>
      <c r="P84" s="94" t="s">
        <v>21</v>
      </c>
    </row>
    <row r="85" spans="1:16" x14ac:dyDescent="0.25">
      <c r="A85" s="35">
        <v>28</v>
      </c>
      <c r="B85" s="35">
        <v>438287.10856199998</v>
      </c>
      <c r="C85" s="35">
        <v>5688512.3324180003</v>
      </c>
      <c r="D85" s="96">
        <v>30</v>
      </c>
      <c r="E85" s="96" t="s">
        <v>33</v>
      </c>
      <c r="F85" s="96">
        <v>2009</v>
      </c>
      <c r="G85" s="96" t="s">
        <v>18</v>
      </c>
      <c r="H85" s="96" t="s">
        <v>18</v>
      </c>
      <c r="I85" s="96" t="s">
        <v>18</v>
      </c>
      <c r="J85" s="96" t="s">
        <v>18</v>
      </c>
      <c r="K85" s="96" t="s">
        <v>18</v>
      </c>
      <c r="L85" s="96" t="s">
        <v>18</v>
      </c>
      <c r="M85" s="96" t="s">
        <v>18</v>
      </c>
      <c r="N85" s="96" t="s">
        <v>18</v>
      </c>
      <c r="O85" s="96" t="s">
        <v>18</v>
      </c>
      <c r="P85" s="94" t="s">
        <v>21</v>
      </c>
    </row>
    <row r="86" spans="1:16" x14ac:dyDescent="0.25">
      <c r="A86" s="16">
        <v>29</v>
      </c>
      <c r="B86" s="16">
        <v>438381</v>
      </c>
      <c r="C86" s="16">
        <v>5688526</v>
      </c>
      <c r="D86" s="31">
        <v>30</v>
      </c>
      <c r="E86" s="31" t="s">
        <v>33</v>
      </c>
      <c r="F86" s="46">
        <v>2009</v>
      </c>
      <c r="G86" s="16">
        <v>3.7810000000000003E-2</v>
      </c>
      <c r="H86" s="16">
        <v>1.0497190300000001E-2</v>
      </c>
      <c r="I86" s="16">
        <v>0</v>
      </c>
      <c r="J86" s="16">
        <v>0</v>
      </c>
      <c r="K86" s="16">
        <v>4.0199999999999993E-3</v>
      </c>
      <c r="L86" s="16">
        <v>1.1160725999999998E-3</v>
      </c>
      <c r="M86" s="16">
        <v>9.3811177000000003E-3</v>
      </c>
      <c r="N86" s="16">
        <v>0</v>
      </c>
      <c r="O86" s="16">
        <v>0</v>
      </c>
      <c r="P86" s="95"/>
    </row>
    <row r="87" spans="1:16" x14ac:dyDescent="0.25">
      <c r="A87" s="16">
        <v>30</v>
      </c>
      <c r="B87" s="16">
        <v>438525.10856199998</v>
      </c>
      <c r="C87" s="16">
        <v>5688512.3324180003</v>
      </c>
      <c r="D87" s="31">
        <v>30</v>
      </c>
      <c r="E87" s="31" t="s">
        <v>33</v>
      </c>
      <c r="F87" s="46">
        <v>2009</v>
      </c>
      <c r="G87" s="16">
        <v>1.8010000000000002E-2</v>
      </c>
      <c r="H87" s="16">
        <v>5.0001163000000003E-3</v>
      </c>
      <c r="I87" s="16">
        <v>0</v>
      </c>
      <c r="J87" s="16">
        <v>0</v>
      </c>
      <c r="K87" s="16">
        <v>8.9099999999999995E-3</v>
      </c>
      <c r="L87" s="16">
        <v>2.4736832999999996E-3</v>
      </c>
      <c r="M87" s="16">
        <v>2.5264330000000002E-3</v>
      </c>
      <c r="N87" s="16">
        <v>0</v>
      </c>
      <c r="O87" s="16">
        <v>0</v>
      </c>
      <c r="P87" s="95"/>
    </row>
    <row r="88" spans="1:16" x14ac:dyDescent="0.25">
      <c r="A88" s="16">
        <v>31</v>
      </c>
      <c r="B88" s="16">
        <v>437335.10856199998</v>
      </c>
      <c r="C88" s="16">
        <v>5688631.3324180003</v>
      </c>
      <c r="D88" s="31">
        <v>30</v>
      </c>
      <c r="E88" s="31" t="s">
        <v>33</v>
      </c>
      <c r="F88" s="46">
        <v>2009</v>
      </c>
      <c r="G88" s="16">
        <v>3.4470000000000001E-2</v>
      </c>
      <c r="H88" s="16">
        <v>9.5699060999999992E-3</v>
      </c>
      <c r="I88" s="16">
        <v>0</v>
      </c>
      <c r="J88" s="16">
        <v>0</v>
      </c>
      <c r="K88" s="16">
        <v>6.7150000000000001E-2</v>
      </c>
      <c r="L88" s="16">
        <v>1.8642854500000004E-2</v>
      </c>
      <c r="M88" s="16">
        <v>-9.0729484000000027E-3</v>
      </c>
      <c r="N88" s="16">
        <v>0</v>
      </c>
      <c r="O88" s="16">
        <v>0</v>
      </c>
      <c r="P88" s="95"/>
    </row>
    <row r="89" spans="1:16" x14ac:dyDescent="0.25">
      <c r="A89" s="16">
        <v>32</v>
      </c>
      <c r="B89" s="16">
        <v>437454.10856199998</v>
      </c>
      <c r="C89" s="16">
        <v>5688631.3324180003</v>
      </c>
      <c r="D89" s="31">
        <v>30</v>
      </c>
      <c r="E89" s="31" t="s">
        <v>33</v>
      </c>
      <c r="F89" s="46">
        <v>2009</v>
      </c>
      <c r="G89" s="16">
        <v>5.1670000000000001E-2</v>
      </c>
      <c r="H89" s="16">
        <v>1.43451421E-2</v>
      </c>
      <c r="I89" s="16">
        <v>0</v>
      </c>
      <c r="J89" s="16">
        <v>0</v>
      </c>
      <c r="K89" s="16">
        <v>1.8120000000000001E-2</v>
      </c>
      <c r="L89" s="16">
        <v>5.0306556000000004E-3</v>
      </c>
      <c r="M89" s="16">
        <v>9.3144865000000018E-3</v>
      </c>
      <c r="N89" s="16">
        <v>0</v>
      </c>
      <c r="O89" s="16">
        <v>0</v>
      </c>
      <c r="P89" s="95"/>
    </row>
    <row r="90" spans="1:16" x14ac:dyDescent="0.25">
      <c r="A90" s="16">
        <v>33</v>
      </c>
      <c r="B90" s="16">
        <v>437573.10856199998</v>
      </c>
      <c r="C90" s="16">
        <v>5688631.3324180003</v>
      </c>
      <c r="D90" s="31">
        <v>30</v>
      </c>
      <c r="E90" s="31" t="s">
        <v>33</v>
      </c>
      <c r="F90" s="46">
        <v>2009</v>
      </c>
      <c r="G90" s="16">
        <v>6.5390000000000004E-2</v>
      </c>
      <c r="H90" s="16">
        <v>1.8154225699999998E-2</v>
      </c>
      <c r="I90" s="16">
        <v>0</v>
      </c>
      <c r="J90" s="16">
        <v>0</v>
      </c>
      <c r="K90" s="16">
        <v>1.0320000000000001E-2</v>
      </c>
      <c r="L90" s="16">
        <v>2.8651415999999996E-3</v>
      </c>
      <c r="M90" s="16">
        <v>1.5289084099999999E-2</v>
      </c>
      <c r="N90" s="16">
        <v>0</v>
      </c>
      <c r="O90" s="16">
        <v>0</v>
      </c>
      <c r="P90" s="95"/>
    </row>
    <row r="91" spans="1:16" x14ac:dyDescent="0.25">
      <c r="A91" s="16">
        <v>34</v>
      </c>
      <c r="B91" s="16">
        <v>437692.10856199998</v>
      </c>
      <c r="C91" s="16">
        <v>5688631.3324180003</v>
      </c>
      <c r="D91" s="31">
        <v>30</v>
      </c>
      <c r="E91" s="31" t="s">
        <v>33</v>
      </c>
      <c r="F91" s="46">
        <v>2009</v>
      </c>
      <c r="G91" s="16">
        <v>9.5480000000000009E-2</v>
      </c>
      <c r="H91" s="16">
        <v>2.6508112400000002E-2</v>
      </c>
      <c r="I91" s="16">
        <v>0</v>
      </c>
      <c r="J91" s="16">
        <v>0</v>
      </c>
      <c r="K91" s="16">
        <v>5.9900000000000002E-2</v>
      </c>
      <c r="L91" s="16">
        <v>1.6630036999999997E-2</v>
      </c>
      <c r="M91" s="16">
        <v>9.8780754000000037E-3</v>
      </c>
      <c r="N91" s="16">
        <v>0</v>
      </c>
      <c r="O91" s="16">
        <v>0</v>
      </c>
      <c r="P91" s="95"/>
    </row>
    <row r="92" spans="1:16" x14ac:dyDescent="0.25">
      <c r="A92" s="16">
        <v>35</v>
      </c>
      <c r="B92" s="16">
        <v>437893</v>
      </c>
      <c r="C92" s="16">
        <v>5688620</v>
      </c>
      <c r="D92" s="31">
        <v>30</v>
      </c>
      <c r="E92" s="31" t="s">
        <v>33</v>
      </c>
      <c r="F92" s="46">
        <v>2009</v>
      </c>
      <c r="G92" s="16">
        <v>1.9489999999999997E-2</v>
      </c>
      <c r="H92" s="16">
        <v>5.4110086999999991E-3</v>
      </c>
      <c r="I92" s="16">
        <v>0</v>
      </c>
      <c r="J92" s="16">
        <v>0</v>
      </c>
      <c r="K92" s="16">
        <v>2.8910000000000002E-2</v>
      </c>
      <c r="L92" s="16">
        <v>8.0262832999999992E-3</v>
      </c>
      <c r="M92" s="16">
        <v>-2.6152746000000001E-3</v>
      </c>
      <c r="N92" s="16">
        <v>0</v>
      </c>
      <c r="O92" s="16">
        <v>0</v>
      </c>
      <c r="P92" s="95"/>
    </row>
    <row r="93" spans="1:16" x14ac:dyDescent="0.25">
      <c r="A93" s="16">
        <v>36</v>
      </c>
      <c r="B93" s="16">
        <v>437930.10856199998</v>
      </c>
      <c r="C93" s="16">
        <v>5688631.3324180003</v>
      </c>
      <c r="D93" s="31">
        <v>30</v>
      </c>
      <c r="E93" s="31" t="s">
        <v>33</v>
      </c>
      <c r="F93" s="46">
        <v>2009</v>
      </c>
      <c r="G93" s="16">
        <v>5.849E-2</v>
      </c>
      <c r="H93" s="16">
        <v>1.6238578700000002E-2</v>
      </c>
      <c r="I93" s="16">
        <v>0</v>
      </c>
      <c r="J93" s="16">
        <v>0</v>
      </c>
      <c r="K93" s="16">
        <v>1.3099999999999999E-2</v>
      </c>
      <c r="L93" s="16">
        <v>3.6369529999999996E-3</v>
      </c>
      <c r="M93" s="16">
        <v>1.2601625700000001E-2</v>
      </c>
      <c r="N93" s="16">
        <v>0</v>
      </c>
      <c r="O93" s="16">
        <v>0</v>
      </c>
      <c r="P93" s="95"/>
    </row>
    <row r="94" spans="1:16" x14ac:dyDescent="0.25">
      <c r="A94" s="35">
        <v>37</v>
      </c>
      <c r="B94" s="35">
        <v>438049.10856199998</v>
      </c>
      <c r="C94" s="35">
        <v>5688631.3324180003</v>
      </c>
      <c r="D94" s="96">
        <v>30</v>
      </c>
      <c r="E94" s="96" t="s">
        <v>33</v>
      </c>
      <c r="F94" s="96">
        <v>2009</v>
      </c>
      <c r="G94" s="96" t="s">
        <v>18</v>
      </c>
      <c r="H94" s="96" t="s">
        <v>18</v>
      </c>
      <c r="I94" s="96" t="s">
        <v>18</v>
      </c>
      <c r="J94" s="96" t="s">
        <v>18</v>
      </c>
      <c r="K94" s="96" t="s">
        <v>18</v>
      </c>
      <c r="L94" s="96" t="s">
        <v>18</v>
      </c>
      <c r="M94" s="96" t="s">
        <v>18</v>
      </c>
      <c r="N94" s="96" t="s">
        <v>18</v>
      </c>
      <c r="O94" s="96" t="s">
        <v>18</v>
      </c>
      <c r="P94" s="94" t="s">
        <v>21</v>
      </c>
    </row>
    <row r="95" spans="1:16" x14ac:dyDescent="0.25">
      <c r="A95" s="16">
        <v>38</v>
      </c>
      <c r="B95" s="16">
        <v>438067</v>
      </c>
      <c r="C95" s="16">
        <v>5688710</v>
      </c>
      <c r="D95" s="31">
        <v>30</v>
      </c>
      <c r="E95" s="31" t="s">
        <v>33</v>
      </c>
      <c r="F95" s="46">
        <v>2009</v>
      </c>
      <c r="G95" s="16">
        <v>0.25957999999999998</v>
      </c>
      <c r="H95" s="16">
        <v>7.2067195399999992E-2</v>
      </c>
      <c r="I95" s="16">
        <v>0</v>
      </c>
      <c r="J95" s="16">
        <v>0</v>
      </c>
      <c r="K95" s="16">
        <v>6.8099999999999992E-3</v>
      </c>
      <c r="L95" s="16">
        <v>1.8906602999999998E-3</v>
      </c>
      <c r="M95" s="16">
        <v>7.0176535099999993E-2</v>
      </c>
      <c r="N95" s="16">
        <v>0</v>
      </c>
      <c r="O95" s="16">
        <v>0</v>
      </c>
      <c r="P95" s="95"/>
    </row>
    <row r="96" spans="1:16" x14ac:dyDescent="0.25">
      <c r="A96" s="35">
        <v>39</v>
      </c>
      <c r="B96" s="35">
        <v>438287.10856199998</v>
      </c>
      <c r="C96" s="35">
        <v>5688631.3324180003</v>
      </c>
      <c r="D96" s="96">
        <v>30</v>
      </c>
      <c r="E96" s="96" t="s">
        <v>33</v>
      </c>
      <c r="F96" s="96">
        <v>2009</v>
      </c>
      <c r="G96" s="96" t="s">
        <v>18</v>
      </c>
      <c r="H96" s="96" t="s">
        <v>18</v>
      </c>
      <c r="I96" s="96" t="s">
        <v>18</v>
      </c>
      <c r="J96" s="96" t="s">
        <v>18</v>
      </c>
      <c r="K96" s="96" t="s">
        <v>18</v>
      </c>
      <c r="L96" s="96" t="s">
        <v>18</v>
      </c>
      <c r="M96" s="96" t="s">
        <v>18</v>
      </c>
      <c r="N96" s="96" t="s">
        <v>18</v>
      </c>
      <c r="O96" s="96" t="s">
        <v>18</v>
      </c>
      <c r="P96" s="94" t="s">
        <v>22</v>
      </c>
    </row>
    <row r="97" spans="1:16" x14ac:dyDescent="0.25">
      <c r="A97" s="16">
        <v>40</v>
      </c>
      <c r="B97" s="16">
        <v>438406.10856199998</v>
      </c>
      <c r="C97" s="16">
        <v>5688631.3324180003</v>
      </c>
      <c r="D97" s="31">
        <v>30</v>
      </c>
      <c r="E97" s="31" t="s">
        <v>33</v>
      </c>
      <c r="F97" s="46">
        <v>2009</v>
      </c>
      <c r="G97" s="16">
        <v>3.5450000000000002E-2</v>
      </c>
      <c r="H97" s="16">
        <v>9.8419835000000001E-3</v>
      </c>
      <c r="I97" s="16">
        <v>0</v>
      </c>
      <c r="J97" s="16">
        <v>0</v>
      </c>
      <c r="K97" s="16">
        <v>7.6799999999999993E-3</v>
      </c>
      <c r="L97" s="16">
        <v>2.1321984000000002E-3</v>
      </c>
      <c r="M97" s="16">
        <v>7.7097850999999998E-3</v>
      </c>
      <c r="N97" s="16">
        <v>0</v>
      </c>
      <c r="O97" s="16">
        <v>0</v>
      </c>
      <c r="P97" s="95"/>
    </row>
    <row r="98" spans="1:16" x14ac:dyDescent="0.25">
      <c r="A98" s="16">
        <v>41</v>
      </c>
      <c r="B98" s="16">
        <v>437310</v>
      </c>
      <c r="C98" s="16">
        <v>5688729</v>
      </c>
      <c r="D98" s="31">
        <v>30</v>
      </c>
      <c r="E98" s="31" t="s">
        <v>33</v>
      </c>
      <c r="F98" s="46">
        <v>2009</v>
      </c>
      <c r="G98" s="16">
        <v>0.1014</v>
      </c>
      <c r="H98" s="16">
        <v>2.8151682000000001E-2</v>
      </c>
      <c r="I98" s="16">
        <v>0</v>
      </c>
      <c r="J98" s="16">
        <v>0</v>
      </c>
      <c r="K98" s="16">
        <v>2.4129999999999999E-2</v>
      </c>
      <c r="L98" s="16">
        <v>6.6992118999999991E-3</v>
      </c>
      <c r="M98" s="16">
        <v>2.1452470100000003E-2</v>
      </c>
      <c r="N98" s="16">
        <v>0</v>
      </c>
      <c r="O98" s="16">
        <v>0</v>
      </c>
      <c r="P98" s="95"/>
    </row>
    <row r="99" spans="1:16" x14ac:dyDescent="0.25">
      <c r="A99" s="16">
        <v>42</v>
      </c>
      <c r="B99" s="16">
        <v>437454.10856199998</v>
      </c>
      <c r="C99" s="16">
        <v>5688750.3324180003</v>
      </c>
      <c r="D99" s="31">
        <v>30</v>
      </c>
      <c r="E99" s="31" t="s">
        <v>33</v>
      </c>
      <c r="F99" s="46">
        <v>2009</v>
      </c>
      <c r="G99" s="16">
        <v>7.2620000000000004E-2</v>
      </c>
      <c r="H99" s="16">
        <v>2.0161490600000002E-2</v>
      </c>
      <c r="I99" s="16">
        <v>6.6299999999999996E-3</v>
      </c>
      <c r="J99" s="16">
        <v>2.97381357E-3</v>
      </c>
      <c r="K99" s="16">
        <v>1.9829999999999997E-2</v>
      </c>
      <c r="L99" s="16">
        <v>5.5054028999999994E-3</v>
      </c>
      <c r="M99" s="16">
        <v>1.4656087700000001E-2</v>
      </c>
      <c r="N99" s="16">
        <v>7.4700000000000001E-3</v>
      </c>
      <c r="O99" s="16">
        <v>3.35058633E-3</v>
      </c>
      <c r="P99" s="95"/>
    </row>
    <row r="100" spans="1:16" x14ac:dyDescent="0.25">
      <c r="A100" s="16">
        <v>43</v>
      </c>
      <c r="B100" s="16">
        <v>437573.10856199998</v>
      </c>
      <c r="C100" s="16">
        <v>5688750.3324180003</v>
      </c>
      <c r="D100" s="31">
        <v>30</v>
      </c>
      <c r="E100" s="31" t="s">
        <v>33</v>
      </c>
      <c r="F100" s="46">
        <v>2009</v>
      </c>
      <c r="G100" s="16">
        <v>5.1330000000000001E-2</v>
      </c>
      <c r="H100" s="16">
        <v>1.4250747899999999E-2</v>
      </c>
      <c r="I100" s="16">
        <v>0</v>
      </c>
      <c r="J100" s="16">
        <v>0</v>
      </c>
      <c r="K100" s="16">
        <v>1.7639999999999999E-2</v>
      </c>
      <c r="L100" s="16">
        <v>4.8973932E-3</v>
      </c>
      <c r="M100" s="16">
        <v>9.3533546999999984E-3</v>
      </c>
      <c r="N100" s="16">
        <v>0</v>
      </c>
      <c r="O100" s="16">
        <v>0</v>
      </c>
      <c r="P100" s="95"/>
    </row>
    <row r="101" spans="1:16" x14ac:dyDescent="0.25">
      <c r="A101" s="16">
        <v>44</v>
      </c>
      <c r="B101" s="16">
        <v>437692.10856199998</v>
      </c>
      <c r="C101" s="16">
        <v>5688750.3324180003</v>
      </c>
      <c r="D101" s="31">
        <v>30</v>
      </c>
      <c r="E101" s="31" t="s">
        <v>33</v>
      </c>
      <c r="F101" s="46">
        <v>2009</v>
      </c>
      <c r="G101" s="16">
        <v>0.10092</v>
      </c>
      <c r="H101" s="16">
        <v>2.8018419599999997E-2</v>
      </c>
      <c r="I101" s="16">
        <v>0</v>
      </c>
      <c r="J101" s="16">
        <v>0</v>
      </c>
      <c r="K101" s="16">
        <v>1.0189999999999999E-2</v>
      </c>
      <c r="L101" s="16">
        <v>2.8290496999999995E-3</v>
      </c>
      <c r="M101" s="16">
        <v>2.5189369899999998E-2</v>
      </c>
      <c r="N101" s="16">
        <v>0</v>
      </c>
      <c r="O101" s="16">
        <v>0</v>
      </c>
      <c r="P101" s="95"/>
    </row>
    <row r="102" spans="1:16" x14ac:dyDescent="0.25">
      <c r="A102" s="16">
        <v>45</v>
      </c>
      <c r="B102" s="16">
        <v>437811.10856199998</v>
      </c>
      <c r="C102" s="16">
        <v>5688750.3324180003</v>
      </c>
      <c r="D102" s="31">
        <v>30</v>
      </c>
      <c r="E102" s="31" t="s">
        <v>33</v>
      </c>
      <c r="F102" s="46">
        <v>2009</v>
      </c>
      <c r="G102" s="16">
        <v>6.8000000000000005E-2</v>
      </c>
      <c r="H102" s="16">
        <v>1.8878840000000001E-2</v>
      </c>
      <c r="I102" s="16">
        <v>0</v>
      </c>
      <c r="J102" s="16">
        <v>0</v>
      </c>
      <c r="K102" s="16">
        <v>3.3419999999999998E-2</v>
      </c>
      <c r="L102" s="16">
        <v>9.2783945999999999E-3</v>
      </c>
      <c r="M102" s="16">
        <v>9.6004453999999993E-3</v>
      </c>
      <c r="N102" s="16">
        <v>0</v>
      </c>
      <c r="O102" s="16">
        <v>0</v>
      </c>
      <c r="P102" s="95"/>
    </row>
    <row r="103" spans="1:16" x14ac:dyDescent="0.25">
      <c r="A103" s="16">
        <v>46</v>
      </c>
      <c r="B103" s="16">
        <v>437930.10856199998</v>
      </c>
      <c r="C103" s="16">
        <v>5688750.3324180003</v>
      </c>
      <c r="D103" s="31">
        <v>30</v>
      </c>
      <c r="E103" s="31" t="s">
        <v>33</v>
      </c>
      <c r="F103" s="46">
        <v>2009</v>
      </c>
      <c r="G103" s="16">
        <v>9.2290000000000011E-2</v>
      </c>
      <c r="H103" s="16">
        <v>2.5622472699999999E-2</v>
      </c>
      <c r="I103" s="16">
        <v>5.1069999999999997E-2</v>
      </c>
      <c r="J103" s="16">
        <v>2.2906886729999999E-2</v>
      </c>
      <c r="K103" s="16">
        <v>2.128E-2</v>
      </c>
      <c r="L103" s="16">
        <v>5.9079663999999999E-3</v>
      </c>
      <c r="M103" s="16">
        <v>1.97145063E-2</v>
      </c>
      <c r="N103" s="16">
        <v>1.2019999999999999E-2</v>
      </c>
      <c r="O103" s="16">
        <v>5.3914387799999996E-3</v>
      </c>
      <c r="P103" s="95"/>
    </row>
    <row r="104" spans="1:16" x14ac:dyDescent="0.25">
      <c r="A104" s="16">
        <v>47</v>
      </c>
      <c r="B104" s="16">
        <v>438061</v>
      </c>
      <c r="C104" s="16">
        <v>5688779</v>
      </c>
      <c r="D104" s="31">
        <v>30</v>
      </c>
      <c r="E104" s="31" t="s">
        <v>33</v>
      </c>
      <c r="F104" s="46">
        <v>2009</v>
      </c>
      <c r="G104" s="16">
        <v>8.4909999999999999E-2</v>
      </c>
      <c r="H104" s="16">
        <v>2.3573563299999996E-2</v>
      </c>
      <c r="I104" s="16">
        <v>0</v>
      </c>
      <c r="J104" s="16">
        <v>0</v>
      </c>
      <c r="K104" s="16">
        <v>3.7699999999999999E-3</v>
      </c>
      <c r="L104" s="16">
        <v>1.0466651E-3</v>
      </c>
      <c r="M104" s="16">
        <v>2.2526898199999999E-2</v>
      </c>
      <c r="N104" s="16">
        <v>0</v>
      </c>
      <c r="O104" s="16">
        <v>0</v>
      </c>
      <c r="P104" s="95"/>
    </row>
    <row r="105" spans="1:16" x14ac:dyDescent="0.25">
      <c r="A105" s="35">
        <v>48</v>
      </c>
      <c r="B105" s="35">
        <v>438168.10856199998</v>
      </c>
      <c r="C105" s="35">
        <v>5688750.3324180003</v>
      </c>
      <c r="D105" s="96">
        <v>30</v>
      </c>
      <c r="E105" s="96" t="s">
        <v>33</v>
      </c>
      <c r="F105" s="96">
        <v>2009</v>
      </c>
      <c r="G105" s="96" t="s">
        <v>18</v>
      </c>
      <c r="H105" s="96" t="s">
        <v>18</v>
      </c>
      <c r="I105" s="96" t="s">
        <v>18</v>
      </c>
      <c r="J105" s="96" t="s">
        <v>18</v>
      </c>
      <c r="K105" s="96" t="s">
        <v>18</v>
      </c>
      <c r="L105" s="96" t="s">
        <v>18</v>
      </c>
      <c r="M105" s="96" t="s">
        <v>18</v>
      </c>
      <c r="N105" s="96" t="s">
        <v>18</v>
      </c>
      <c r="O105" s="96" t="s">
        <v>18</v>
      </c>
      <c r="P105" s="94" t="s">
        <v>21</v>
      </c>
    </row>
    <row r="106" spans="1:16" x14ac:dyDescent="0.25">
      <c r="A106" s="16">
        <v>49</v>
      </c>
      <c r="B106" s="16">
        <v>437454.10856199998</v>
      </c>
      <c r="C106" s="16">
        <v>5688869.3324180003</v>
      </c>
      <c r="D106" s="31">
        <v>30</v>
      </c>
      <c r="E106" s="31" t="s">
        <v>33</v>
      </c>
      <c r="F106" s="46">
        <v>2009</v>
      </c>
      <c r="G106" s="16">
        <v>3.3590000000000002E-2</v>
      </c>
      <c r="H106" s="16">
        <v>9.3255917000000001E-3</v>
      </c>
      <c r="I106" s="16">
        <v>0</v>
      </c>
      <c r="J106" s="16">
        <v>0</v>
      </c>
      <c r="K106" s="16">
        <v>1.6910000000000001E-2</v>
      </c>
      <c r="L106" s="16">
        <v>4.6947233000000001E-3</v>
      </c>
      <c r="M106" s="16">
        <v>4.6308684000000008E-3</v>
      </c>
      <c r="N106" s="16">
        <v>2.2600000000000002E-2</v>
      </c>
      <c r="O106" s="16">
        <v>1.0136981400000002E-2</v>
      </c>
      <c r="P106" s="95"/>
    </row>
    <row r="107" spans="1:16" x14ac:dyDescent="0.25">
      <c r="A107" s="16">
        <v>50</v>
      </c>
      <c r="B107" s="16">
        <v>437811.10856199998</v>
      </c>
      <c r="C107" s="16">
        <v>5688869.3324180003</v>
      </c>
      <c r="D107" s="31">
        <v>30</v>
      </c>
      <c r="E107" s="31" t="s">
        <v>33</v>
      </c>
      <c r="F107" s="46">
        <v>2009</v>
      </c>
      <c r="G107" s="16">
        <v>0.10381</v>
      </c>
      <c r="H107" s="16">
        <v>2.88207703E-2</v>
      </c>
      <c r="I107" s="16">
        <v>0</v>
      </c>
      <c r="J107" s="16">
        <v>0</v>
      </c>
      <c r="K107" s="16">
        <v>2.6260000000000002E-2</v>
      </c>
      <c r="L107" s="16">
        <v>7.2905638000000002E-3</v>
      </c>
      <c r="M107" s="16">
        <v>2.1530206499999999E-2</v>
      </c>
      <c r="N107" s="16">
        <v>0</v>
      </c>
      <c r="O107" s="16">
        <v>0</v>
      </c>
      <c r="P107" s="95"/>
    </row>
    <row r="108" spans="1:16" x14ac:dyDescent="0.25">
      <c r="A108" s="16">
        <v>51</v>
      </c>
      <c r="B108" s="16">
        <v>437930.10856199998</v>
      </c>
      <c r="C108" s="16">
        <v>5688869.3324180003</v>
      </c>
      <c r="D108" s="31">
        <v>30</v>
      </c>
      <c r="E108" s="31" t="s">
        <v>33</v>
      </c>
      <c r="F108" s="46">
        <v>2009</v>
      </c>
      <c r="G108" s="16">
        <v>0.10137</v>
      </c>
      <c r="H108" s="16">
        <v>2.8143353099999997E-2</v>
      </c>
      <c r="I108" s="16">
        <v>0</v>
      </c>
      <c r="J108" s="16">
        <v>0</v>
      </c>
      <c r="K108" s="16">
        <v>1.6449999999999999E-2</v>
      </c>
      <c r="L108" s="16">
        <v>4.5670134999999997E-3</v>
      </c>
      <c r="M108" s="16">
        <v>2.3576339599999996E-2</v>
      </c>
      <c r="N108" s="16">
        <v>0</v>
      </c>
      <c r="O108" s="16">
        <v>0</v>
      </c>
      <c r="P108" s="95"/>
    </row>
    <row r="109" spans="1:16" x14ac:dyDescent="0.25">
      <c r="A109" s="16">
        <v>52</v>
      </c>
      <c r="B109" s="16">
        <v>438049.10856199998</v>
      </c>
      <c r="C109" s="16">
        <v>5688869.3324180003</v>
      </c>
      <c r="D109" s="31">
        <v>30</v>
      </c>
      <c r="E109" s="31" t="s">
        <v>33</v>
      </c>
      <c r="F109" s="46">
        <v>2009</v>
      </c>
      <c r="G109" s="16">
        <v>2.5180000000000001E-2</v>
      </c>
      <c r="H109" s="16">
        <v>6.9907233999999992E-3</v>
      </c>
      <c r="I109" s="16">
        <v>0</v>
      </c>
      <c r="J109" s="16">
        <v>0</v>
      </c>
      <c r="K109" s="16">
        <v>3.98E-3</v>
      </c>
      <c r="L109" s="16">
        <v>1.1049674E-3</v>
      </c>
      <c r="M109" s="16">
        <v>5.8857559999999989E-3</v>
      </c>
      <c r="N109" s="16">
        <v>4.3E-3</v>
      </c>
      <c r="O109" s="16">
        <v>1.9287177E-3</v>
      </c>
      <c r="P109" s="95"/>
    </row>
    <row r="110" spans="1:16" x14ac:dyDescent="0.25">
      <c r="A110" s="16">
        <v>53</v>
      </c>
      <c r="B110" s="16">
        <v>438287.10856199998</v>
      </c>
      <c r="C110" s="16">
        <v>5688869.3324180003</v>
      </c>
      <c r="D110" s="31">
        <v>30</v>
      </c>
      <c r="E110" s="31" t="s">
        <v>33</v>
      </c>
      <c r="F110" s="46">
        <v>2009</v>
      </c>
      <c r="G110" s="16">
        <v>3.4349999999999999E-2</v>
      </c>
      <c r="H110" s="16">
        <v>9.5365905000000008E-3</v>
      </c>
      <c r="I110" s="16">
        <v>0</v>
      </c>
      <c r="J110" s="16">
        <v>0</v>
      </c>
      <c r="K110" s="16">
        <v>1.831E-2</v>
      </c>
      <c r="L110" s="16">
        <v>5.0834052999999988E-3</v>
      </c>
      <c r="M110" s="16">
        <v>4.4531852000000019E-3</v>
      </c>
      <c r="N110" s="16">
        <v>0</v>
      </c>
      <c r="O110" s="16">
        <v>0</v>
      </c>
      <c r="P110" s="95"/>
    </row>
    <row r="111" spans="1:16" x14ac:dyDescent="0.25">
      <c r="A111" s="16">
        <v>54</v>
      </c>
      <c r="B111" s="16">
        <v>437454.10856199998</v>
      </c>
      <c r="C111" s="16">
        <v>5688988.3324180003</v>
      </c>
      <c r="D111" s="31">
        <v>30</v>
      </c>
      <c r="E111" s="31" t="s">
        <v>33</v>
      </c>
      <c r="F111" s="46">
        <v>2009</v>
      </c>
      <c r="G111" s="16">
        <v>7.0040000000000005E-2</v>
      </c>
      <c r="H111" s="16">
        <v>1.9445205199999999E-2</v>
      </c>
      <c r="I111" s="16">
        <v>0</v>
      </c>
      <c r="J111" s="16">
        <v>0</v>
      </c>
      <c r="K111" s="16">
        <v>1.3339999999999999E-2</v>
      </c>
      <c r="L111" s="16">
        <v>3.7035841999999999E-3</v>
      </c>
      <c r="M111" s="16">
        <v>1.5741621000000001E-2</v>
      </c>
      <c r="N111" s="16">
        <v>2.6700000000000001E-3</v>
      </c>
      <c r="O111" s="16">
        <v>1.1975991300000001E-3</v>
      </c>
      <c r="P111" s="95"/>
    </row>
    <row r="112" spans="1:16" x14ac:dyDescent="0.25">
      <c r="A112" s="16">
        <v>55</v>
      </c>
      <c r="B112" s="16">
        <v>438049.10856199998</v>
      </c>
      <c r="C112" s="16">
        <v>5688988.3324180003</v>
      </c>
      <c r="D112" s="31">
        <v>30</v>
      </c>
      <c r="E112" s="31" t="s">
        <v>33</v>
      </c>
      <c r="F112" s="46">
        <v>2009</v>
      </c>
      <c r="G112" s="16">
        <v>5.1499999999999997E-2</v>
      </c>
      <c r="H112" s="16">
        <v>1.4297944999999999E-2</v>
      </c>
      <c r="I112" s="16">
        <v>8.159000000000001E-2</v>
      </c>
      <c r="J112" s="16">
        <v>3.6596297010000001E-2</v>
      </c>
      <c r="K112" s="16">
        <v>1.0529999999999999E-2</v>
      </c>
      <c r="L112" s="16">
        <v>2.9234438999999998E-3</v>
      </c>
      <c r="M112" s="16">
        <v>1.13745011E-2</v>
      </c>
      <c r="N112" s="16">
        <v>1.5949999999999999E-2</v>
      </c>
      <c r="O112" s="16">
        <v>7.15419705E-3</v>
      </c>
      <c r="P112" s="95"/>
    </row>
    <row r="113" spans="1:19" x14ac:dyDescent="0.25">
      <c r="A113" s="16">
        <v>56</v>
      </c>
      <c r="B113" s="16">
        <v>438168.10856199998</v>
      </c>
      <c r="C113" s="16">
        <v>5688988.3324180003</v>
      </c>
      <c r="D113" s="31">
        <v>30</v>
      </c>
      <c r="E113" s="31" t="s">
        <v>33</v>
      </c>
      <c r="F113" s="46">
        <v>2009</v>
      </c>
      <c r="G113" s="16">
        <v>8.0000000000000002E-3</v>
      </c>
      <c r="H113" s="16">
        <v>2.2210400000000001E-3</v>
      </c>
      <c r="I113" s="16">
        <v>0</v>
      </c>
      <c r="J113" s="16">
        <v>0</v>
      </c>
      <c r="K113" s="16">
        <v>5.5000000000000003E-4</v>
      </c>
      <c r="L113" s="16">
        <v>1.5269650000000002E-4</v>
      </c>
      <c r="M113" s="16">
        <v>2.0683435E-3</v>
      </c>
      <c r="N113" s="16">
        <v>0</v>
      </c>
      <c r="O113" s="16">
        <v>0</v>
      </c>
      <c r="P113" s="95"/>
    </row>
    <row r="114" spans="1:19" x14ac:dyDescent="0.25">
      <c r="A114" s="16">
        <v>1</v>
      </c>
      <c r="B114" s="16">
        <v>437930.10856199998</v>
      </c>
      <c r="C114" s="16">
        <v>5688036.3324180003</v>
      </c>
      <c r="D114" s="31">
        <v>29</v>
      </c>
      <c r="E114" s="31" t="s">
        <v>36</v>
      </c>
      <c r="F114" s="46">
        <v>2009</v>
      </c>
      <c r="G114" s="16">
        <v>3.1599999999999996E-2</v>
      </c>
      <c r="H114" s="16">
        <v>7.8963307013469684E-3</v>
      </c>
      <c r="I114" s="16">
        <v>0</v>
      </c>
      <c r="J114" s="16">
        <v>0</v>
      </c>
      <c r="K114" s="16">
        <v>1.5299999999999999E-2</v>
      </c>
      <c r="L114" s="16">
        <v>3.8232234091964755E-3</v>
      </c>
      <c r="M114" s="16">
        <v>4.0731072921504933E-3</v>
      </c>
      <c r="N114" s="16">
        <v>0</v>
      </c>
      <c r="O114" s="16">
        <v>0</v>
      </c>
      <c r="P114" s="95"/>
      <c r="R114" s="5">
        <f>AVERAGE(M114:M173)</f>
        <v>2.3278125334953048E-2</v>
      </c>
      <c r="S114" s="5">
        <f>AVERAGE(H114:H173)</f>
        <v>2.9976935581835767E-2</v>
      </c>
    </row>
    <row r="115" spans="1:19" x14ac:dyDescent="0.25">
      <c r="A115" s="16">
        <v>2</v>
      </c>
      <c r="B115" s="16">
        <v>437811.10856199998</v>
      </c>
      <c r="C115" s="16">
        <v>5688155.3324180003</v>
      </c>
      <c r="D115" s="31">
        <v>29</v>
      </c>
      <c r="E115" s="31" t="s">
        <v>36</v>
      </c>
      <c r="F115" s="46">
        <v>2009</v>
      </c>
      <c r="G115" s="16">
        <v>5.3200000000000004E-2</v>
      </c>
      <c r="H115" s="16">
        <v>1.3293822573153757E-2</v>
      </c>
      <c r="I115" s="16">
        <v>0</v>
      </c>
      <c r="J115" s="16">
        <v>0</v>
      </c>
      <c r="K115" s="16">
        <v>1.9800000000000002E-2</v>
      </c>
      <c r="L115" s="16">
        <v>4.9477008824895564E-3</v>
      </c>
      <c r="M115" s="16">
        <v>8.3461216906642009E-3</v>
      </c>
      <c r="N115" s="16">
        <v>0</v>
      </c>
      <c r="O115" s="16">
        <v>0</v>
      </c>
      <c r="P115" s="95"/>
    </row>
    <row r="116" spans="1:19" x14ac:dyDescent="0.25">
      <c r="A116" s="16">
        <v>3</v>
      </c>
      <c r="B116" s="16">
        <v>437930.10856199998</v>
      </c>
      <c r="C116" s="16">
        <v>5688155.3324180003</v>
      </c>
      <c r="D116" s="31">
        <v>29</v>
      </c>
      <c r="E116" s="31" t="s">
        <v>36</v>
      </c>
      <c r="F116" s="46">
        <v>2009</v>
      </c>
      <c r="G116" s="16">
        <v>0.14549999999999999</v>
      </c>
      <c r="H116" s="16">
        <v>3.6358104969809617E-2</v>
      </c>
      <c r="I116" s="16">
        <v>0</v>
      </c>
      <c r="J116" s="16">
        <v>0</v>
      </c>
      <c r="K116" s="16">
        <v>4.5999999999999999E-2</v>
      </c>
      <c r="L116" s="16">
        <v>1.1494658615884829E-2</v>
      </c>
      <c r="M116" s="16">
        <v>2.4863446353924786E-2</v>
      </c>
      <c r="N116" s="16">
        <v>0</v>
      </c>
      <c r="O116" s="16">
        <v>0</v>
      </c>
      <c r="P116" s="95"/>
    </row>
    <row r="117" spans="1:19" x14ac:dyDescent="0.25">
      <c r="A117" s="16">
        <v>4</v>
      </c>
      <c r="B117" s="16">
        <v>438049.10856199998</v>
      </c>
      <c r="C117" s="16">
        <v>5688155.3324180003</v>
      </c>
      <c r="D117" s="31">
        <v>29</v>
      </c>
      <c r="E117" s="31" t="s">
        <v>36</v>
      </c>
      <c r="F117" s="46">
        <v>2009</v>
      </c>
      <c r="G117" s="16">
        <v>2.8499999999999998E-2</v>
      </c>
      <c r="H117" s="16">
        <v>7.1216906641895124E-3</v>
      </c>
      <c r="I117" s="16">
        <v>0</v>
      </c>
      <c r="J117" s="16">
        <v>0</v>
      </c>
      <c r="K117" s="16">
        <v>3.1400000000000004E-2</v>
      </c>
      <c r="L117" s="16">
        <v>7.8463539247561661E-3</v>
      </c>
      <c r="M117" s="16">
        <v>-7.2466326056665317E-4</v>
      </c>
      <c r="N117" s="16">
        <v>0</v>
      </c>
      <c r="O117" s="16">
        <v>0</v>
      </c>
      <c r="P117" s="95"/>
    </row>
    <row r="118" spans="1:19" x14ac:dyDescent="0.25">
      <c r="A118" s="16">
        <v>5</v>
      </c>
      <c r="B118" s="16">
        <v>437573.10856199998</v>
      </c>
      <c r="C118" s="16">
        <v>5688274.3324180003</v>
      </c>
      <c r="D118" s="31">
        <v>29</v>
      </c>
      <c r="E118" s="31" t="s">
        <v>36</v>
      </c>
      <c r="F118" s="46">
        <v>2009</v>
      </c>
      <c r="G118" s="16">
        <v>4.6700000000000005E-2</v>
      </c>
      <c r="H118" s="16">
        <v>1.1669577333952642E-2</v>
      </c>
      <c r="I118" s="16">
        <v>9.0000000000000041E-4</v>
      </c>
      <c r="J118" s="16">
        <v>3.6196185286103592E-4</v>
      </c>
      <c r="K118" s="16">
        <v>7.2400000000000006E-2</v>
      </c>
      <c r="L118" s="16">
        <v>1.8091593125870904E-2</v>
      </c>
      <c r="M118" s="16">
        <v>-6.4220157919182624E-3</v>
      </c>
      <c r="N118" s="16">
        <v>5.2699999999999997E-2</v>
      </c>
      <c r="O118" s="16">
        <v>2.1194877384196207E-2</v>
      </c>
      <c r="P118" s="95"/>
    </row>
    <row r="119" spans="1:19" x14ac:dyDescent="0.25">
      <c r="A119" s="16">
        <v>6</v>
      </c>
      <c r="B119" s="16">
        <v>437692.10856199998</v>
      </c>
      <c r="C119" s="16">
        <v>5688274.3324180003</v>
      </c>
      <c r="D119" s="31">
        <v>29</v>
      </c>
      <c r="E119" s="31" t="s">
        <v>36</v>
      </c>
      <c r="F119" s="46">
        <v>2009</v>
      </c>
      <c r="G119" s="16">
        <v>0.129</v>
      </c>
      <c r="H119" s="16">
        <v>3.2235020901068327E-2</v>
      </c>
      <c r="I119" s="16">
        <v>1.3399999999999999E-2</v>
      </c>
      <c r="J119" s="16">
        <v>5.3892098092643108E-3</v>
      </c>
      <c r="K119" s="16">
        <v>3.56E-2</v>
      </c>
      <c r="L119" s="16">
        <v>8.8958662331630415E-3</v>
      </c>
      <c r="M119" s="16">
        <v>2.3339154667905284E-2</v>
      </c>
      <c r="N119" s="16">
        <v>3.9200000000000006E-2</v>
      </c>
      <c r="O119" s="16">
        <v>1.5765449591280671E-2</v>
      </c>
      <c r="P119" s="95"/>
    </row>
    <row r="120" spans="1:19" x14ac:dyDescent="0.25">
      <c r="A120" s="16">
        <v>7</v>
      </c>
      <c r="B120" s="16">
        <v>437811.10856199998</v>
      </c>
      <c r="C120" s="16">
        <v>5688274.3324180003</v>
      </c>
      <c r="D120" s="31">
        <v>29</v>
      </c>
      <c r="E120" s="31" t="s">
        <v>36</v>
      </c>
      <c r="F120" s="46">
        <v>2009</v>
      </c>
      <c r="G120" s="16">
        <v>3.32E-2</v>
      </c>
      <c r="H120" s="16">
        <v>8.2961449140733987E-3</v>
      </c>
      <c r="I120" s="16">
        <v>1.9099999999999999E-2</v>
      </c>
      <c r="J120" s="16">
        <v>7.6816348773842032E-3</v>
      </c>
      <c r="K120" s="16">
        <v>3.6300000000000006E-2</v>
      </c>
      <c r="L120" s="16">
        <v>9.0707849512308546E-3</v>
      </c>
      <c r="M120" s="16">
        <v>-7.7464003715745555E-4</v>
      </c>
      <c r="N120" s="16">
        <v>1.0999999999999999E-2</v>
      </c>
      <c r="O120" s="16">
        <v>4.4239782016348818E-3</v>
      </c>
      <c r="P120" s="95"/>
    </row>
    <row r="121" spans="1:19" x14ac:dyDescent="0.25">
      <c r="A121" s="16">
        <v>8</v>
      </c>
      <c r="B121" s="16">
        <v>437930.10856199998</v>
      </c>
      <c r="C121" s="16">
        <v>5688274.3324180003</v>
      </c>
      <c r="D121" s="31">
        <v>29</v>
      </c>
      <c r="E121" s="31" t="s">
        <v>36</v>
      </c>
      <c r="F121" s="46">
        <v>2009</v>
      </c>
      <c r="G121" s="16">
        <v>8.8300000000000003E-2</v>
      </c>
      <c r="H121" s="16">
        <v>2.206474686483979E-2</v>
      </c>
      <c r="I121" s="16">
        <v>0</v>
      </c>
      <c r="J121" s="16">
        <v>0</v>
      </c>
      <c r="K121" s="16">
        <v>3.2199999999999999E-2</v>
      </c>
      <c r="L121" s="16">
        <v>8.0462610311193804E-3</v>
      </c>
      <c r="M121" s="16">
        <v>1.4018485833720409E-2</v>
      </c>
      <c r="N121" s="16">
        <v>0</v>
      </c>
      <c r="O121" s="16">
        <v>0</v>
      </c>
      <c r="P121" s="95"/>
    </row>
    <row r="122" spans="1:19" x14ac:dyDescent="0.25">
      <c r="A122" s="16">
        <v>9</v>
      </c>
      <c r="B122" s="16">
        <v>438287.10856199998</v>
      </c>
      <c r="C122" s="16">
        <v>5688274.3324180003</v>
      </c>
      <c r="D122" s="31">
        <v>28</v>
      </c>
      <c r="E122" s="31" t="s">
        <v>36</v>
      </c>
      <c r="F122" s="46">
        <v>2009</v>
      </c>
      <c r="G122" s="16">
        <v>3.9300000000000002E-2</v>
      </c>
      <c r="H122" s="16">
        <v>9.8204366000929095E-3</v>
      </c>
      <c r="I122" s="16">
        <v>3.5000000000000009E-3</v>
      </c>
      <c r="J122" s="16">
        <v>1.4076294277929173E-3</v>
      </c>
      <c r="K122" s="16">
        <v>2.0300000000000002E-2</v>
      </c>
      <c r="L122" s="16">
        <v>5.0726428239665656E-3</v>
      </c>
      <c r="M122" s="16">
        <v>4.7477937761263439E-3</v>
      </c>
      <c r="N122" s="16">
        <v>8.3999999999999977E-3</v>
      </c>
      <c r="O122" s="16">
        <v>3.3783106267030005E-3</v>
      </c>
      <c r="P122" s="95"/>
    </row>
    <row r="123" spans="1:19" x14ac:dyDescent="0.25">
      <c r="A123" s="16">
        <v>10</v>
      </c>
      <c r="B123" s="16">
        <v>438406.10856199998</v>
      </c>
      <c r="C123" s="16">
        <v>5688274.3324180003</v>
      </c>
      <c r="D123" s="31">
        <v>28</v>
      </c>
      <c r="E123" s="31" t="s">
        <v>36</v>
      </c>
      <c r="F123" s="46">
        <v>2009</v>
      </c>
      <c r="G123" s="16">
        <v>0.1875</v>
      </c>
      <c r="H123" s="16">
        <v>4.6853228053878378E-2</v>
      </c>
      <c r="I123" s="16">
        <v>0</v>
      </c>
      <c r="J123" s="16">
        <v>0</v>
      </c>
      <c r="K123" s="16">
        <v>1.7099999999999997E-2</v>
      </c>
      <c r="L123" s="16">
        <v>4.2730143985137076E-3</v>
      </c>
      <c r="M123" s="16">
        <v>4.2580213655364664E-2</v>
      </c>
      <c r="N123" s="16">
        <v>0</v>
      </c>
      <c r="O123" s="16">
        <v>0</v>
      </c>
      <c r="P123" s="95"/>
    </row>
    <row r="124" spans="1:19" x14ac:dyDescent="0.25">
      <c r="A124" s="16">
        <v>11</v>
      </c>
      <c r="B124" s="16">
        <v>437454.10856199998</v>
      </c>
      <c r="C124" s="16">
        <v>5688393.3324180003</v>
      </c>
      <c r="D124" s="31">
        <v>29</v>
      </c>
      <c r="E124" s="31" t="s">
        <v>36</v>
      </c>
      <c r="F124" s="46">
        <v>2009</v>
      </c>
      <c r="G124" s="16">
        <v>0.13669999999999999</v>
      </c>
      <c r="H124" s="16">
        <v>3.4159126799814261E-2</v>
      </c>
      <c r="I124" s="16">
        <v>-6.7999999999999996E-3</v>
      </c>
      <c r="J124" s="16">
        <v>-2.7348228882833818E-3</v>
      </c>
      <c r="K124" s="16">
        <v>2.5100000000000001E-2</v>
      </c>
      <c r="L124" s="16">
        <v>6.2720854621458521E-3</v>
      </c>
      <c r="M124" s="16">
        <v>2.7887041337668408E-2</v>
      </c>
      <c r="N124" s="16">
        <v>3.3399999999999999E-2</v>
      </c>
      <c r="O124" s="16">
        <v>1.3432806539509552E-2</v>
      </c>
      <c r="P124" s="95"/>
    </row>
    <row r="125" spans="1:19" x14ac:dyDescent="0.25">
      <c r="A125" s="16">
        <v>12</v>
      </c>
      <c r="B125" s="16">
        <v>437573.10856199998</v>
      </c>
      <c r="C125" s="16">
        <v>5688393.3324180003</v>
      </c>
      <c r="D125" s="31">
        <v>29</v>
      </c>
      <c r="E125" s="31" t="s">
        <v>36</v>
      </c>
      <c r="F125" s="46">
        <v>2009</v>
      </c>
      <c r="G125" s="16">
        <v>0.10340000000000001</v>
      </c>
      <c r="H125" s="16">
        <v>2.5837993497445463E-2</v>
      </c>
      <c r="I125" s="16">
        <v>2.0000000000000009E-3</v>
      </c>
      <c r="J125" s="16">
        <v>8.0435967302452439E-4</v>
      </c>
      <c r="K125" s="16">
        <v>5.1300000000000005E-2</v>
      </c>
      <c r="L125" s="16">
        <v>1.2819043195541125E-2</v>
      </c>
      <c r="M125" s="16">
        <v>1.3018950301904338E-2</v>
      </c>
      <c r="N125" s="16">
        <v>7.000000000000001E-3</v>
      </c>
      <c r="O125" s="16">
        <v>2.8152588555858346E-3</v>
      </c>
      <c r="P125" s="95"/>
    </row>
    <row r="126" spans="1:19" x14ac:dyDescent="0.25">
      <c r="A126" s="16">
        <v>13</v>
      </c>
      <c r="B126" s="16">
        <v>437692.10856199998</v>
      </c>
      <c r="C126" s="16">
        <v>5688393.3324180003</v>
      </c>
      <c r="D126" s="31">
        <v>29</v>
      </c>
      <c r="E126" s="31" t="s">
        <v>36</v>
      </c>
      <c r="F126" s="46">
        <v>2009</v>
      </c>
      <c r="G126" s="16">
        <v>7.4999999999999997E-2</v>
      </c>
      <c r="H126" s="16">
        <v>1.874129122155135E-2</v>
      </c>
      <c r="I126" s="16">
        <v>0.13319999999999999</v>
      </c>
      <c r="J126" s="16">
        <v>5.35703542234333E-2</v>
      </c>
      <c r="K126" s="16">
        <v>4.2099999999999999E-2</v>
      </c>
      <c r="L126" s="16">
        <v>1.0520111472364159E-2</v>
      </c>
      <c r="M126" s="16">
        <v>8.2211797491871918E-3</v>
      </c>
      <c r="N126" s="16">
        <v>9.8799999999999999E-2</v>
      </c>
      <c r="O126" s="16">
        <v>3.9735367847411489E-2</v>
      </c>
      <c r="P126" s="95"/>
    </row>
    <row r="127" spans="1:19" x14ac:dyDescent="0.25">
      <c r="A127" s="35">
        <v>14</v>
      </c>
      <c r="B127" s="35">
        <v>437811.10856199998</v>
      </c>
      <c r="C127" s="35">
        <v>5688393.3324180003</v>
      </c>
      <c r="D127" s="96">
        <v>29</v>
      </c>
      <c r="E127" s="96" t="s">
        <v>36</v>
      </c>
      <c r="F127" s="48">
        <v>2009</v>
      </c>
      <c r="G127" s="96" t="s">
        <v>18</v>
      </c>
      <c r="H127" s="96" t="s">
        <v>18</v>
      </c>
      <c r="I127" s="96" t="s">
        <v>18</v>
      </c>
      <c r="J127" s="96" t="s">
        <v>18</v>
      </c>
      <c r="K127" s="96" t="s">
        <v>18</v>
      </c>
      <c r="L127" s="96" t="s">
        <v>18</v>
      </c>
      <c r="M127" s="96" t="s">
        <v>18</v>
      </c>
      <c r="N127" s="96" t="s">
        <v>18</v>
      </c>
      <c r="O127" s="96" t="s">
        <v>18</v>
      </c>
      <c r="P127" s="94" t="s">
        <v>21</v>
      </c>
    </row>
    <row r="128" spans="1:19" x14ac:dyDescent="0.25">
      <c r="A128" s="16">
        <v>15</v>
      </c>
      <c r="B128" s="16">
        <v>437930.10856199998</v>
      </c>
      <c r="C128" s="16">
        <v>5688393.3324180003</v>
      </c>
      <c r="D128" s="31">
        <v>28</v>
      </c>
      <c r="E128" s="31" t="s">
        <v>36</v>
      </c>
      <c r="F128" s="46">
        <v>2009</v>
      </c>
      <c r="G128" s="16">
        <v>0.12780000000000002</v>
      </c>
      <c r="H128" s="16">
        <v>3.1935160241523507E-2</v>
      </c>
      <c r="I128" s="16">
        <v>0.45380000000000004</v>
      </c>
      <c r="J128" s="16">
        <v>0.18250920980926452</v>
      </c>
      <c r="K128" s="16">
        <v>1.1699999999999999E-2</v>
      </c>
      <c r="L128" s="16">
        <v>2.9236414305620104E-3</v>
      </c>
      <c r="M128" s="16">
        <v>2.9011518810961492E-2</v>
      </c>
      <c r="N128" s="16">
        <v>0.19019999999999998</v>
      </c>
      <c r="O128" s="16">
        <v>7.6494604904632224E-2</v>
      </c>
      <c r="P128" s="95"/>
    </row>
    <row r="129" spans="1:16" x14ac:dyDescent="0.25">
      <c r="A129" s="16">
        <v>16</v>
      </c>
      <c r="B129" s="16">
        <v>438049.10856199998</v>
      </c>
      <c r="C129" s="16">
        <v>5688393.3324180003</v>
      </c>
      <c r="D129" s="31">
        <v>28</v>
      </c>
      <c r="E129" s="31" t="s">
        <v>36</v>
      </c>
      <c r="F129" s="46">
        <v>2009</v>
      </c>
      <c r="G129" s="16">
        <v>0.18680000000000002</v>
      </c>
      <c r="H129" s="16">
        <v>4.6678309335810568E-2</v>
      </c>
      <c r="I129" s="16">
        <v>3.1799999999999995E-2</v>
      </c>
      <c r="J129" s="16">
        <v>1.2789318801089931E-2</v>
      </c>
      <c r="K129" s="16">
        <v>1.9599999999999999E-2</v>
      </c>
      <c r="L129" s="16">
        <v>4.8977241058987524E-3</v>
      </c>
      <c r="M129" s="16">
        <v>4.1780585229911814E-2</v>
      </c>
      <c r="N129" s="16">
        <v>0.12179999999999999</v>
      </c>
      <c r="O129" s="16">
        <v>4.8985504087193509E-2</v>
      </c>
      <c r="P129" s="95"/>
    </row>
    <row r="130" spans="1:16" x14ac:dyDescent="0.25">
      <c r="A130" s="16">
        <v>17</v>
      </c>
      <c r="B130" s="16">
        <v>438168.10856199998</v>
      </c>
      <c r="C130" s="16">
        <v>5688393.3324180003</v>
      </c>
      <c r="D130" s="31">
        <v>28</v>
      </c>
      <c r="E130" s="31" t="s">
        <v>36</v>
      </c>
      <c r="F130" s="46">
        <v>2009</v>
      </c>
      <c r="G130" s="16">
        <v>3.9600000000000003E-2</v>
      </c>
      <c r="H130" s="16">
        <v>9.8954017649791129E-3</v>
      </c>
      <c r="I130" s="16">
        <v>0</v>
      </c>
      <c r="J130" s="16">
        <v>0</v>
      </c>
      <c r="K130" s="16">
        <v>4.2400000000000007E-2</v>
      </c>
      <c r="L130" s="16">
        <v>1.0595076637250365E-2</v>
      </c>
      <c r="M130" s="16">
        <v>-6.9967487227125247E-4</v>
      </c>
      <c r="N130" s="16">
        <v>0</v>
      </c>
      <c r="O130" s="16">
        <v>0</v>
      </c>
      <c r="P130" s="95"/>
    </row>
    <row r="131" spans="1:16" x14ac:dyDescent="0.25">
      <c r="A131" s="16">
        <v>18</v>
      </c>
      <c r="B131" s="16">
        <v>438287.10856199998</v>
      </c>
      <c r="C131" s="16">
        <v>5688393.3324180003</v>
      </c>
      <c r="D131" s="31">
        <v>28</v>
      </c>
      <c r="E131" s="31" t="s">
        <v>36</v>
      </c>
      <c r="F131" s="46">
        <v>2009</v>
      </c>
      <c r="G131" s="16">
        <v>8.9100000000000013E-2</v>
      </c>
      <c r="H131" s="16">
        <v>2.2264653971203006E-2</v>
      </c>
      <c r="I131" s="16">
        <v>-6.7999999999999996E-3</v>
      </c>
      <c r="J131" s="16">
        <v>-2.7348228882833818E-3</v>
      </c>
      <c r="K131" s="16">
        <v>2.9100000000000001E-2</v>
      </c>
      <c r="L131" s="16">
        <v>7.2716209939619244E-3</v>
      </c>
      <c r="M131" s="16">
        <v>1.4993032977241081E-2</v>
      </c>
      <c r="N131" s="16">
        <v>1.7000000000000001E-2</v>
      </c>
      <c r="O131" s="16">
        <v>6.8370572207084547E-3</v>
      </c>
      <c r="P131" s="95"/>
    </row>
    <row r="132" spans="1:16" x14ac:dyDescent="0.25">
      <c r="A132" s="16">
        <v>19</v>
      </c>
      <c r="B132" s="16">
        <v>438406.10856199998</v>
      </c>
      <c r="C132" s="16">
        <v>5688393.3324180003</v>
      </c>
      <c r="D132" s="31">
        <v>28</v>
      </c>
      <c r="E132" s="31" t="s">
        <v>36</v>
      </c>
      <c r="F132" s="46">
        <v>2009</v>
      </c>
      <c r="G132" s="31" t="s">
        <v>18</v>
      </c>
      <c r="H132" s="31" t="s">
        <v>18</v>
      </c>
      <c r="I132" s="31" t="s">
        <v>18</v>
      </c>
      <c r="J132" s="31" t="s">
        <v>18</v>
      </c>
      <c r="K132" s="31" t="s">
        <v>18</v>
      </c>
      <c r="L132" s="31" t="s">
        <v>18</v>
      </c>
      <c r="M132" s="31" t="s">
        <v>18</v>
      </c>
      <c r="N132" s="31" t="s">
        <v>18</v>
      </c>
      <c r="O132" s="31" t="s">
        <v>18</v>
      </c>
      <c r="P132" s="95" t="s">
        <v>35</v>
      </c>
    </row>
    <row r="133" spans="1:16" x14ac:dyDescent="0.25">
      <c r="A133" s="16">
        <v>20</v>
      </c>
      <c r="B133" s="16">
        <v>437335.10856199998</v>
      </c>
      <c r="C133" s="16">
        <v>5688512.3324180003</v>
      </c>
      <c r="D133" s="31">
        <v>29</v>
      </c>
      <c r="E133" s="31" t="s">
        <v>36</v>
      </c>
      <c r="F133" s="46">
        <v>2009</v>
      </c>
      <c r="G133" s="16">
        <v>0.11170000000000001</v>
      </c>
      <c r="H133" s="16">
        <v>2.7912029725963811E-2</v>
      </c>
      <c r="I133" s="16">
        <v>0</v>
      </c>
      <c r="J133" s="16">
        <v>0</v>
      </c>
      <c r="K133" s="16">
        <v>3.9300000000000002E-2</v>
      </c>
      <c r="L133" s="16">
        <v>9.8204366000929095E-3</v>
      </c>
      <c r="M133" s="16">
        <v>1.80915931258709E-2</v>
      </c>
      <c r="N133" s="16">
        <v>0</v>
      </c>
      <c r="O133" s="16">
        <v>0</v>
      </c>
      <c r="P133" s="95"/>
    </row>
    <row r="134" spans="1:16" x14ac:dyDescent="0.25">
      <c r="A134" s="16">
        <v>21</v>
      </c>
      <c r="B134" s="16">
        <v>437454.10856199998</v>
      </c>
      <c r="C134" s="16">
        <v>5688512.3324180003</v>
      </c>
      <c r="D134" s="31">
        <v>29</v>
      </c>
      <c r="E134" s="31" t="s">
        <v>36</v>
      </c>
      <c r="F134" s="46">
        <v>2009</v>
      </c>
      <c r="G134" s="16">
        <v>3.8200000000000005E-2</v>
      </c>
      <c r="H134" s="16">
        <v>9.5455643288434883E-3</v>
      </c>
      <c r="I134" s="16">
        <v>0</v>
      </c>
      <c r="J134" s="16">
        <v>0</v>
      </c>
      <c r="K134" s="16">
        <v>1.1800000000000001E-2</v>
      </c>
      <c r="L134" s="16">
        <v>2.9486298188574124E-3</v>
      </c>
      <c r="M134" s="16">
        <v>6.5969345099860755E-3</v>
      </c>
      <c r="N134" s="16">
        <v>0</v>
      </c>
      <c r="O134" s="16">
        <v>0</v>
      </c>
      <c r="P134" s="95"/>
    </row>
    <row r="135" spans="1:16" x14ac:dyDescent="0.25">
      <c r="A135" s="16">
        <v>22</v>
      </c>
      <c r="B135" s="16">
        <v>437573.10856199998</v>
      </c>
      <c r="C135" s="16">
        <v>5688512.3324180003</v>
      </c>
      <c r="D135" s="31">
        <v>29</v>
      </c>
      <c r="E135" s="31" t="s">
        <v>36</v>
      </c>
      <c r="F135" s="46">
        <v>2009</v>
      </c>
      <c r="G135" s="16">
        <v>0.34889999999999999</v>
      </c>
      <c r="H135" s="16">
        <v>8.7184486762656874E-2</v>
      </c>
      <c r="I135" s="16">
        <v>3.6499999999999998E-2</v>
      </c>
      <c r="J135" s="16">
        <v>1.4679564032697564E-2</v>
      </c>
      <c r="K135" s="16">
        <v>6.2200000000000005E-2</v>
      </c>
      <c r="L135" s="16">
        <v>1.5542777519739922E-2</v>
      </c>
      <c r="M135" s="16">
        <v>7.1641709242916962E-2</v>
      </c>
      <c r="N135" s="16">
        <v>1.9300000000000001E-2</v>
      </c>
      <c r="O135" s="16">
        <v>7.7620708446866568E-3</v>
      </c>
      <c r="P135" s="95"/>
    </row>
    <row r="136" spans="1:16" x14ac:dyDescent="0.25">
      <c r="A136" s="16">
        <v>23</v>
      </c>
      <c r="B136" s="16">
        <v>437692.10856199998</v>
      </c>
      <c r="C136" s="16">
        <v>5688512.3324180003</v>
      </c>
      <c r="D136" s="31">
        <v>29</v>
      </c>
      <c r="E136" s="31" t="s">
        <v>36</v>
      </c>
      <c r="F136" s="46">
        <v>2009</v>
      </c>
      <c r="G136" s="16">
        <v>4.4800000000000006E-2</v>
      </c>
      <c r="H136" s="16">
        <v>1.1194797956340008E-2</v>
      </c>
      <c r="I136" s="16">
        <v>0</v>
      </c>
      <c r="J136" s="16">
        <v>0</v>
      </c>
      <c r="K136" s="16">
        <v>8.4000000000000012E-3</v>
      </c>
      <c r="L136" s="16">
        <v>2.0990246168137512E-3</v>
      </c>
      <c r="M136" s="16">
        <v>9.0957733395262575E-3</v>
      </c>
      <c r="N136" s="16">
        <v>0</v>
      </c>
      <c r="O136" s="16">
        <v>0</v>
      </c>
      <c r="P136" s="95"/>
    </row>
    <row r="137" spans="1:16" x14ac:dyDescent="0.25">
      <c r="A137" s="16">
        <v>24</v>
      </c>
      <c r="B137" s="16">
        <v>437811.10856199998</v>
      </c>
      <c r="C137" s="16">
        <v>5688512.3324180003</v>
      </c>
      <c r="D137" s="31">
        <v>29</v>
      </c>
      <c r="E137" s="31" t="s">
        <v>36</v>
      </c>
      <c r="F137" s="46">
        <v>2009</v>
      </c>
      <c r="G137" s="16">
        <v>9.6299999999999997E-2</v>
      </c>
      <c r="H137" s="16">
        <v>2.4063817928471933E-2</v>
      </c>
      <c r="I137" s="16">
        <v>0</v>
      </c>
      <c r="J137" s="16">
        <v>0</v>
      </c>
      <c r="K137" s="16">
        <v>1.4500000000000001E-2</v>
      </c>
      <c r="L137" s="16">
        <v>3.6233163028332612E-3</v>
      </c>
      <c r="M137" s="16">
        <v>2.0440501625638676E-2</v>
      </c>
      <c r="N137" s="16">
        <v>0</v>
      </c>
      <c r="O137" s="16">
        <v>0</v>
      </c>
      <c r="P137" s="95"/>
    </row>
    <row r="138" spans="1:16" x14ac:dyDescent="0.25">
      <c r="A138" s="16">
        <v>25</v>
      </c>
      <c r="B138" s="16">
        <v>437995</v>
      </c>
      <c r="C138" s="16">
        <v>5688493</v>
      </c>
      <c r="D138" s="31">
        <v>28</v>
      </c>
      <c r="E138" s="31" t="s">
        <v>36</v>
      </c>
      <c r="F138" s="46">
        <v>2009</v>
      </c>
      <c r="G138" s="16">
        <v>0.10730000000000001</v>
      </c>
      <c r="H138" s="16">
        <v>2.6812540640966134E-2</v>
      </c>
      <c r="I138" s="16">
        <v>3.8300000000000008E-2</v>
      </c>
      <c r="J138" s="16">
        <v>1.5403487738419637E-2</v>
      </c>
      <c r="K138" s="16">
        <v>5.7099999999999998E-2</v>
      </c>
      <c r="L138" s="16">
        <v>1.4268369716674428E-2</v>
      </c>
      <c r="M138" s="16">
        <v>1.2544170924291706E-2</v>
      </c>
      <c r="N138" s="16">
        <v>8.2500000000000004E-2</v>
      </c>
      <c r="O138" s="16">
        <v>3.3179836512261619E-2</v>
      </c>
      <c r="P138" s="95"/>
    </row>
    <row r="139" spans="1:16" x14ac:dyDescent="0.25">
      <c r="A139" s="16">
        <v>26</v>
      </c>
      <c r="B139" s="16">
        <v>438112</v>
      </c>
      <c r="C139" s="16">
        <v>5688567</v>
      </c>
      <c r="D139" s="31">
        <v>28</v>
      </c>
      <c r="E139" s="31" t="s">
        <v>36</v>
      </c>
      <c r="F139" s="46">
        <v>2009</v>
      </c>
      <c r="G139" s="16">
        <v>0.1273</v>
      </c>
      <c r="H139" s="16">
        <v>3.1810218300046489E-2</v>
      </c>
      <c r="I139" s="16">
        <v>3.9E-2</v>
      </c>
      <c r="J139" s="16">
        <v>1.5685013623978217E-2</v>
      </c>
      <c r="K139" s="16">
        <v>2.2699999999999994E-2</v>
      </c>
      <c r="L139" s="16">
        <v>5.6723641430562076E-3</v>
      </c>
      <c r="M139" s="16">
        <v>2.6137854156990284E-2</v>
      </c>
      <c r="N139" s="16">
        <v>2.1199999999999997E-2</v>
      </c>
      <c r="O139" s="16">
        <v>8.5262125340599525E-3</v>
      </c>
      <c r="P139" s="95"/>
    </row>
    <row r="140" spans="1:16" x14ac:dyDescent="0.25">
      <c r="A140" s="35">
        <v>27</v>
      </c>
      <c r="B140" s="35">
        <v>438168.10856199998</v>
      </c>
      <c r="C140" s="35">
        <v>5688512.3324180003</v>
      </c>
      <c r="D140" s="96">
        <v>29</v>
      </c>
      <c r="E140" s="96" t="s">
        <v>36</v>
      </c>
      <c r="F140" s="48">
        <v>2009</v>
      </c>
      <c r="G140" s="96" t="s">
        <v>18</v>
      </c>
      <c r="H140" s="96" t="s">
        <v>18</v>
      </c>
      <c r="I140" s="96" t="s">
        <v>18</v>
      </c>
      <c r="J140" s="96" t="s">
        <v>18</v>
      </c>
      <c r="K140" s="96" t="s">
        <v>18</v>
      </c>
      <c r="L140" s="96" t="s">
        <v>18</v>
      </c>
      <c r="M140" s="96" t="s">
        <v>18</v>
      </c>
      <c r="N140" s="96" t="s">
        <v>18</v>
      </c>
      <c r="O140" s="96" t="s">
        <v>18</v>
      </c>
      <c r="P140" s="94" t="s">
        <v>21</v>
      </c>
    </row>
    <row r="141" spans="1:16" x14ac:dyDescent="0.25">
      <c r="A141" s="35">
        <v>28</v>
      </c>
      <c r="B141" s="35">
        <v>438287.10856199998</v>
      </c>
      <c r="C141" s="35">
        <v>5688512.3324180003</v>
      </c>
      <c r="D141" s="96">
        <v>29</v>
      </c>
      <c r="E141" s="96" t="s">
        <v>36</v>
      </c>
      <c r="F141" s="48">
        <v>2009</v>
      </c>
      <c r="G141" s="96" t="s">
        <v>18</v>
      </c>
      <c r="H141" s="96" t="s">
        <v>18</v>
      </c>
      <c r="I141" s="96" t="s">
        <v>18</v>
      </c>
      <c r="J141" s="96" t="s">
        <v>18</v>
      </c>
      <c r="K141" s="96" t="s">
        <v>18</v>
      </c>
      <c r="L141" s="96" t="s">
        <v>18</v>
      </c>
      <c r="M141" s="96" t="s">
        <v>18</v>
      </c>
      <c r="N141" s="96" t="s">
        <v>18</v>
      </c>
      <c r="O141" s="96" t="s">
        <v>18</v>
      </c>
      <c r="P141" s="94" t="s">
        <v>21</v>
      </c>
    </row>
    <row r="142" spans="1:16" x14ac:dyDescent="0.25">
      <c r="A142" s="16">
        <v>29</v>
      </c>
      <c r="B142" s="16">
        <v>438381</v>
      </c>
      <c r="C142" s="16">
        <v>5688526</v>
      </c>
      <c r="D142" s="31">
        <v>28</v>
      </c>
      <c r="E142" s="31" t="s">
        <v>36</v>
      </c>
      <c r="F142" s="46">
        <v>2009</v>
      </c>
      <c r="G142" s="16">
        <v>0.1328</v>
      </c>
      <c r="H142" s="16">
        <v>3.3184579656293595E-2</v>
      </c>
      <c r="I142" s="16">
        <v>0</v>
      </c>
      <c r="J142" s="16">
        <v>0</v>
      </c>
      <c r="K142" s="16">
        <v>2.1099999999999997E-2</v>
      </c>
      <c r="L142" s="16">
        <v>5.272549930329779E-3</v>
      </c>
      <c r="M142" s="16">
        <v>2.7912029725963811E-2</v>
      </c>
      <c r="N142" s="16">
        <v>0</v>
      </c>
      <c r="O142" s="16">
        <v>0</v>
      </c>
      <c r="P142" s="95"/>
    </row>
    <row r="143" spans="1:16" x14ac:dyDescent="0.25">
      <c r="A143" s="16">
        <v>30</v>
      </c>
      <c r="B143" s="16">
        <v>438525.10856199998</v>
      </c>
      <c r="C143" s="16">
        <v>5688512.3324180003</v>
      </c>
      <c r="D143" s="31">
        <v>28</v>
      </c>
      <c r="E143" s="31" t="s">
        <v>36</v>
      </c>
      <c r="F143" s="46">
        <v>2009</v>
      </c>
      <c r="G143" s="31" t="s">
        <v>18</v>
      </c>
      <c r="H143" s="31" t="s">
        <v>18</v>
      </c>
      <c r="I143" s="31" t="s">
        <v>18</v>
      </c>
      <c r="J143" s="31" t="s">
        <v>18</v>
      </c>
      <c r="K143" s="31" t="s">
        <v>18</v>
      </c>
      <c r="L143" s="31" t="s">
        <v>18</v>
      </c>
      <c r="M143" s="31" t="s">
        <v>18</v>
      </c>
      <c r="N143" s="31" t="s">
        <v>18</v>
      </c>
      <c r="O143" s="31" t="s">
        <v>18</v>
      </c>
      <c r="P143" s="95" t="s">
        <v>35</v>
      </c>
    </row>
    <row r="144" spans="1:16" x14ac:dyDescent="0.25">
      <c r="A144" s="16">
        <v>31</v>
      </c>
      <c r="B144" s="16">
        <v>437335.10856199998</v>
      </c>
      <c r="C144" s="16">
        <v>5688631.3324180003</v>
      </c>
      <c r="D144" s="31">
        <v>29</v>
      </c>
      <c r="E144" s="31" t="s">
        <v>36</v>
      </c>
      <c r="F144" s="46">
        <v>2009</v>
      </c>
      <c r="G144" s="16">
        <v>3.5400000000000008E-2</v>
      </c>
      <c r="H144" s="16">
        <v>8.8458894565722392E-3</v>
      </c>
      <c r="I144" s="16">
        <v>0</v>
      </c>
      <c r="J144" s="16">
        <v>0</v>
      </c>
      <c r="K144" s="16">
        <v>2.3599999999999999E-2</v>
      </c>
      <c r="L144" s="16">
        <v>5.8972596377148238E-3</v>
      </c>
      <c r="M144" s="16">
        <v>2.948629818857415E-3</v>
      </c>
      <c r="N144" s="16">
        <v>0</v>
      </c>
      <c r="O144" s="16">
        <v>0</v>
      </c>
      <c r="P144" s="95"/>
    </row>
    <row r="145" spans="1:16" x14ac:dyDescent="0.25">
      <c r="A145" s="16">
        <v>32</v>
      </c>
      <c r="B145" s="16">
        <v>437454.10856199998</v>
      </c>
      <c r="C145" s="16">
        <v>5688631.3324180003</v>
      </c>
      <c r="D145" s="31">
        <v>29</v>
      </c>
      <c r="E145" s="31" t="s">
        <v>36</v>
      </c>
      <c r="F145" s="46">
        <v>2009</v>
      </c>
      <c r="G145" s="16">
        <v>7.6799999999999993E-2</v>
      </c>
      <c r="H145" s="16">
        <v>1.9191082210868581E-2</v>
      </c>
      <c r="I145" s="16">
        <v>0</v>
      </c>
      <c r="J145" s="16">
        <v>0</v>
      </c>
      <c r="K145" s="16">
        <v>1.83E-2</v>
      </c>
      <c r="L145" s="16">
        <v>4.572875058058529E-3</v>
      </c>
      <c r="M145" s="16">
        <v>1.4618207152810054E-2</v>
      </c>
      <c r="N145" s="16">
        <v>0</v>
      </c>
      <c r="O145" s="16">
        <v>0</v>
      </c>
      <c r="P145" s="95"/>
    </row>
    <row r="146" spans="1:16" x14ac:dyDescent="0.25">
      <c r="A146" s="16">
        <v>33</v>
      </c>
      <c r="B146" s="16">
        <v>437573.10856199998</v>
      </c>
      <c r="C146" s="16">
        <v>5688631.3324180003</v>
      </c>
      <c r="D146" s="31">
        <v>29</v>
      </c>
      <c r="E146" s="31" t="s">
        <v>36</v>
      </c>
      <c r="F146" s="46">
        <v>2009</v>
      </c>
      <c r="G146" s="16">
        <v>0.22340000000000002</v>
      </c>
      <c r="H146" s="16">
        <v>5.5824059451927623E-2</v>
      </c>
      <c r="I146" s="16">
        <v>0</v>
      </c>
      <c r="J146" s="16">
        <v>0</v>
      </c>
      <c r="K146" s="16">
        <v>0</v>
      </c>
      <c r="L146" s="16">
        <v>0</v>
      </c>
      <c r="M146" s="16">
        <v>5.5824059451927623E-2</v>
      </c>
      <c r="N146" s="16">
        <v>0</v>
      </c>
      <c r="O146" s="16">
        <v>0</v>
      </c>
      <c r="P146" s="95"/>
    </row>
    <row r="147" spans="1:16" x14ac:dyDescent="0.25">
      <c r="A147" s="16">
        <v>34</v>
      </c>
      <c r="B147" s="16">
        <v>437692.10856199998</v>
      </c>
      <c r="C147" s="16">
        <v>5688631.3324180003</v>
      </c>
      <c r="D147" s="31">
        <v>29</v>
      </c>
      <c r="E147" s="31" t="s">
        <v>36</v>
      </c>
      <c r="F147" s="46">
        <v>2009</v>
      </c>
      <c r="G147" s="16">
        <v>0.27200000000000002</v>
      </c>
      <c r="H147" s="16">
        <v>6.7968416163492903E-2</v>
      </c>
      <c r="I147" s="16">
        <v>0</v>
      </c>
      <c r="J147" s="16">
        <v>0</v>
      </c>
      <c r="K147" s="16">
        <v>1.9800000000000002E-2</v>
      </c>
      <c r="L147" s="16">
        <v>4.9477008824895564E-3</v>
      </c>
      <c r="M147" s="16">
        <v>6.3020715281003351E-2</v>
      </c>
      <c r="N147" s="16">
        <v>0</v>
      </c>
      <c r="O147" s="16">
        <v>0</v>
      </c>
      <c r="P147" s="95"/>
    </row>
    <row r="148" spans="1:16" x14ac:dyDescent="0.25">
      <c r="A148" s="16">
        <v>35</v>
      </c>
      <c r="B148" s="16">
        <v>437893</v>
      </c>
      <c r="C148" s="16">
        <v>5688620</v>
      </c>
      <c r="D148" s="31">
        <v>29</v>
      </c>
      <c r="E148" s="31" t="s">
        <v>36</v>
      </c>
      <c r="F148" s="46">
        <v>2009</v>
      </c>
      <c r="G148" s="16">
        <v>2.9700000000000001E-2</v>
      </c>
      <c r="H148" s="16">
        <v>7.4215513237343347E-3</v>
      </c>
      <c r="I148" s="16">
        <v>0</v>
      </c>
      <c r="J148" s="16">
        <v>0</v>
      </c>
      <c r="K148" s="16">
        <v>1.03E-2</v>
      </c>
      <c r="L148" s="16">
        <v>2.5738039944263854E-3</v>
      </c>
      <c r="M148" s="16">
        <v>4.8477473293079493E-3</v>
      </c>
      <c r="N148" s="16">
        <v>0</v>
      </c>
      <c r="O148" s="16">
        <v>0</v>
      </c>
      <c r="P148" s="95"/>
    </row>
    <row r="149" spans="1:16" x14ac:dyDescent="0.25">
      <c r="A149" s="16">
        <v>36</v>
      </c>
      <c r="B149" s="16">
        <v>437930.10856199998</v>
      </c>
      <c r="C149" s="16">
        <v>5688631.3324180003</v>
      </c>
      <c r="D149" s="31">
        <v>29</v>
      </c>
      <c r="E149" s="31" t="s">
        <v>36</v>
      </c>
      <c r="F149" s="46">
        <v>2009</v>
      </c>
      <c r="G149" s="16">
        <v>0.11749999999999999</v>
      </c>
      <c r="H149" s="16">
        <v>2.9361356247097115E-2</v>
      </c>
      <c r="I149" s="16">
        <v>0</v>
      </c>
      <c r="J149" s="16">
        <v>0</v>
      </c>
      <c r="K149" s="16">
        <v>2.35E-2</v>
      </c>
      <c r="L149" s="16">
        <v>5.8722712494194236E-3</v>
      </c>
      <c r="M149" s="16">
        <v>2.3489084997677694E-2</v>
      </c>
      <c r="N149" s="16">
        <v>0</v>
      </c>
      <c r="O149" s="16">
        <v>0</v>
      </c>
      <c r="P149" s="95"/>
    </row>
    <row r="150" spans="1:16" x14ac:dyDescent="0.25">
      <c r="A150" s="35">
        <v>37</v>
      </c>
      <c r="B150" s="35">
        <v>438049.10856199998</v>
      </c>
      <c r="C150" s="35">
        <v>5688631.3324180003</v>
      </c>
      <c r="D150" s="96">
        <v>29</v>
      </c>
      <c r="E150" s="96" t="s">
        <v>36</v>
      </c>
      <c r="F150" s="48">
        <v>2009</v>
      </c>
      <c r="G150" s="96" t="s">
        <v>18</v>
      </c>
      <c r="H150" s="96" t="s">
        <v>18</v>
      </c>
      <c r="I150" s="96" t="s">
        <v>18</v>
      </c>
      <c r="J150" s="96" t="s">
        <v>18</v>
      </c>
      <c r="K150" s="96" t="s">
        <v>18</v>
      </c>
      <c r="L150" s="96" t="s">
        <v>18</v>
      </c>
      <c r="M150" s="96" t="s">
        <v>18</v>
      </c>
      <c r="N150" s="96" t="s">
        <v>18</v>
      </c>
      <c r="O150" s="96" t="s">
        <v>18</v>
      </c>
      <c r="P150" s="94" t="s">
        <v>21</v>
      </c>
    </row>
    <row r="151" spans="1:16" x14ac:dyDescent="0.25">
      <c r="A151" s="16">
        <v>38</v>
      </c>
      <c r="B151" s="16">
        <v>438067</v>
      </c>
      <c r="C151" s="16">
        <v>5688710</v>
      </c>
      <c r="D151" s="31">
        <v>28</v>
      </c>
      <c r="E151" s="31" t="s">
        <v>36</v>
      </c>
      <c r="F151" s="46">
        <v>2009</v>
      </c>
      <c r="G151" s="16">
        <v>0.32989999999999997</v>
      </c>
      <c r="H151" s="16">
        <v>8.243669298653053E-2</v>
      </c>
      <c r="I151" s="16">
        <v>0</v>
      </c>
      <c r="J151" s="16">
        <v>0</v>
      </c>
      <c r="K151" s="16">
        <v>1.7999999999999997E-3</v>
      </c>
      <c r="L151" s="16">
        <v>4.497909893172324E-4</v>
      </c>
      <c r="M151" s="16">
        <v>8.1986901997213299E-2</v>
      </c>
      <c r="N151" s="16">
        <v>0</v>
      </c>
      <c r="O151" s="16">
        <v>0</v>
      </c>
      <c r="P151" s="95"/>
    </row>
    <row r="152" spans="1:16" x14ac:dyDescent="0.25">
      <c r="A152" s="35">
        <v>39</v>
      </c>
      <c r="B152" s="35">
        <v>438287.10856199998</v>
      </c>
      <c r="C152" s="35">
        <v>5688631.3324180003</v>
      </c>
      <c r="D152" s="96">
        <v>29</v>
      </c>
      <c r="E152" s="96" t="s">
        <v>36</v>
      </c>
      <c r="F152" s="48">
        <v>2009</v>
      </c>
      <c r="G152" s="96" t="s">
        <v>18</v>
      </c>
      <c r="H152" s="96" t="s">
        <v>18</v>
      </c>
      <c r="I152" s="96" t="s">
        <v>18</v>
      </c>
      <c r="J152" s="96" t="s">
        <v>18</v>
      </c>
      <c r="K152" s="96" t="s">
        <v>18</v>
      </c>
      <c r="L152" s="96" t="s">
        <v>18</v>
      </c>
      <c r="M152" s="96" t="s">
        <v>18</v>
      </c>
      <c r="N152" s="96" t="s">
        <v>18</v>
      </c>
      <c r="O152" s="96" t="s">
        <v>18</v>
      </c>
      <c r="P152" s="94" t="s">
        <v>22</v>
      </c>
    </row>
    <row r="153" spans="1:16" x14ac:dyDescent="0.25">
      <c r="A153" s="16">
        <v>40</v>
      </c>
      <c r="B153" s="16">
        <v>438406.10856199998</v>
      </c>
      <c r="C153" s="16">
        <v>5688631.3324180003</v>
      </c>
      <c r="D153" s="31">
        <v>28</v>
      </c>
      <c r="E153" s="31" t="s">
        <v>36</v>
      </c>
      <c r="F153" s="46">
        <v>2009</v>
      </c>
      <c r="G153" s="16">
        <v>6.5700000000000008E-2</v>
      </c>
      <c r="H153" s="16">
        <v>1.6417371110078984E-2</v>
      </c>
      <c r="I153" s="16">
        <v>0</v>
      </c>
      <c r="J153" s="16">
        <v>0</v>
      </c>
      <c r="K153" s="16">
        <v>1.83E-2</v>
      </c>
      <c r="L153" s="16">
        <v>4.572875058058529E-3</v>
      </c>
      <c r="M153" s="16">
        <v>1.1844496052020457E-2</v>
      </c>
      <c r="N153" s="16">
        <v>0</v>
      </c>
      <c r="O153" s="16">
        <v>0</v>
      </c>
      <c r="P153" s="95"/>
    </row>
    <row r="154" spans="1:16" x14ac:dyDescent="0.25">
      <c r="A154" s="16">
        <v>41</v>
      </c>
      <c r="B154" s="16">
        <v>437310</v>
      </c>
      <c r="C154" s="16">
        <v>5688729</v>
      </c>
      <c r="D154" s="31">
        <v>29</v>
      </c>
      <c r="E154" s="31" t="s">
        <v>36</v>
      </c>
      <c r="F154" s="46">
        <v>2009</v>
      </c>
      <c r="G154" s="16">
        <v>3.7600000000000001E-2</v>
      </c>
      <c r="H154" s="16">
        <v>9.3956339990710763E-3</v>
      </c>
      <c r="I154" s="16">
        <v>0</v>
      </c>
      <c r="J154" s="16">
        <v>0</v>
      </c>
      <c r="K154" s="16">
        <v>7.1000000000000004E-3</v>
      </c>
      <c r="L154" s="16">
        <v>1.7741755689735278E-3</v>
      </c>
      <c r="M154" s="16">
        <v>7.6214584300975489E-3</v>
      </c>
      <c r="N154" s="16">
        <v>0</v>
      </c>
      <c r="O154" s="16">
        <v>0</v>
      </c>
      <c r="P154" s="95"/>
    </row>
    <row r="155" spans="1:16" x14ac:dyDescent="0.25">
      <c r="A155" s="16">
        <v>42</v>
      </c>
      <c r="B155" s="16">
        <v>437454.10856199998</v>
      </c>
      <c r="C155" s="16">
        <v>5688750.3324180003</v>
      </c>
      <c r="D155" s="31">
        <v>29</v>
      </c>
      <c r="E155" s="31" t="s">
        <v>36</v>
      </c>
      <c r="F155" s="46">
        <v>2009</v>
      </c>
      <c r="G155" s="16">
        <v>0.21189999999999998</v>
      </c>
      <c r="H155" s="16">
        <v>5.2950394797956414E-2</v>
      </c>
      <c r="I155" s="16">
        <v>9.1000000000000004E-3</v>
      </c>
      <c r="J155" s="16">
        <v>3.6598365122615839E-3</v>
      </c>
      <c r="K155" s="16">
        <v>4.9700000000000001E-2</v>
      </c>
      <c r="L155" s="16">
        <v>1.2419228982814695E-2</v>
      </c>
      <c r="M155" s="16">
        <v>4.0531165815141719E-2</v>
      </c>
      <c r="N155" s="16">
        <v>1.43E-2</v>
      </c>
      <c r="O155" s="16">
        <v>5.751171662125347E-3</v>
      </c>
      <c r="P155" s="95"/>
    </row>
    <row r="156" spans="1:16" x14ac:dyDescent="0.25">
      <c r="A156" s="16">
        <v>43</v>
      </c>
      <c r="B156" s="16">
        <v>437573.10856199998</v>
      </c>
      <c r="C156" s="16">
        <v>5688750.3324180003</v>
      </c>
      <c r="D156" s="31">
        <v>29</v>
      </c>
      <c r="E156" s="31" t="s">
        <v>36</v>
      </c>
      <c r="F156" s="46">
        <v>2009</v>
      </c>
      <c r="G156" s="16">
        <v>0.13319999999999999</v>
      </c>
      <c r="H156" s="16">
        <v>3.3284533209475192E-2</v>
      </c>
      <c r="I156" s="16">
        <v>1.1399999999999999E-2</v>
      </c>
      <c r="J156" s="16">
        <v>4.5848501362397865E-3</v>
      </c>
      <c r="K156" s="16">
        <v>2.4799999999999999E-2</v>
      </c>
      <c r="L156" s="16">
        <v>6.197120297259647E-3</v>
      </c>
      <c r="M156" s="16">
        <v>2.7087412912215544E-2</v>
      </c>
      <c r="N156" s="16">
        <v>1.0800000000000001E-2</v>
      </c>
      <c r="O156" s="16">
        <v>4.3435422343324299E-3</v>
      </c>
      <c r="P156" s="95"/>
    </row>
    <row r="157" spans="1:16" x14ac:dyDescent="0.25">
      <c r="A157" s="16">
        <v>44</v>
      </c>
      <c r="B157" s="16">
        <v>437692.10856199998</v>
      </c>
      <c r="C157" s="16">
        <v>5688750.3324180003</v>
      </c>
      <c r="D157" s="31">
        <v>29</v>
      </c>
      <c r="E157" s="31" t="s">
        <v>36</v>
      </c>
      <c r="F157" s="46">
        <v>2009</v>
      </c>
      <c r="G157" s="16">
        <v>0.14799999999999999</v>
      </c>
      <c r="H157" s="16">
        <v>3.6982814677194671E-2</v>
      </c>
      <c r="I157" s="16">
        <v>0</v>
      </c>
      <c r="J157" s="16">
        <v>0</v>
      </c>
      <c r="K157" s="16">
        <v>2.5499999999999995E-2</v>
      </c>
      <c r="L157" s="16">
        <v>6.3720390153274584E-3</v>
      </c>
      <c r="M157" s="16">
        <v>3.061077566186721E-2</v>
      </c>
      <c r="N157" s="16">
        <v>0</v>
      </c>
      <c r="O157" s="16">
        <v>0</v>
      </c>
      <c r="P157" s="95"/>
    </row>
    <row r="158" spans="1:16" x14ac:dyDescent="0.25">
      <c r="A158" s="16">
        <v>45</v>
      </c>
      <c r="B158" s="16">
        <v>437811.10856199998</v>
      </c>
      <c r="C158" s="16">
        <v>5688750.3324180003</v>
      </c>
      <c r="D158" s="31">
        <v>28</v>
      </c>
      <c r="E158" s="31" t="s">
        <v>36</v>
      </c>
      <c r="F158" s="46">
        <v>2009</v>
      </c>
      <c r="G158" s="16">
        <v>0.11840000000000001</v>
      </c>
      <c r="H158" s="16">
        <v>2.9586251741755734E-2</v>
      </c>
      <c r="I158" s="16">
        <v>0</v>
      </c>
      <c r="J158" s="16">
        <v>0</v>
      </c>
      <c r="K158" s="16">
        <v>4.7600000000000003E-2</v>
      </c>
      <c r="L158" s="16">
        <v>1.1894472828611257E-2</v>
      </c>
      <c r="M158" s="16">
        <v>1.7691778913144475E-2</v>
      </c>
      <c r="N158" s="16">
        <v>0</v>
      </c>
      <c r="O158" s="16">
        <v>0</v>
      </c>
      <c r="P158" s="95"/>
    </row>
    <row r="159" spans="1:16" x14ac:dyDescent="0.25">
      <c r="A159" s="16">
        <v>46</v>
      </c>
      <c r="B159" s="16">
        <v>437930.10856199998</v>
      </c>
      <c r="C159" s="16">
        <v>5688750.3324180003</v>
      </c>
      <c r="D159" s="31">
        <v>28</v>
      </c>
      <c r="E159" s="31" t="s">
        <v>36</v>
      </c>
      <c r="F159" s="46">
        <v>2009</v>
      </c>
      <c r="G159" s="16">
        <v>0.12789999999999999</v>
      </c>
      <c r="H159" s="16">
        <v>3.1960148629818899E-2</v>
      </c>
      <c r="I159" s="16">
        <v>4.5700000000000005E-2</v>
      </c>
      <c r="J159" s="16">
        <v>1.8379618528610375E-2</v>
      </c>
      <c r="K159" s="16">
        <v>5.8400000000000007E-2</v>
      </c>
      <c r="L159" s="16">
        <v>1.4593218764514653E-2</v>
      </c>
      <c r="M159" s="16">
        <v>1.7366929865304248E-2</v>
      </c>
      <c r="N159" s="16">
        <v>4.4999999999999998E-2</v>
      </c>
      <c r="O159" s="16">
        <v>1.8098092643051792E-2</v>
      </c>
      <c r="P159" s="95"/>
    </row>
    <row r="160" spans="1:16" x14ac:dyDescent="0.25">
      <c r="A160" s="16">
        <v>47</v>
      </c>
      <c r="B160" s="16">
        <v>438061</v>
      </c>
      <c r="C160" s="16">
        <v>5688779</v>
      </c>
      <c r="D160" s="31">
        <v>28</v>
      </c>
      <c r="E160" s="31" t="s">
        <v>36</v>
      </c>
      <c r="F160" s="46">
        <v>2009</v>
      </c>
      <c r="G160" s="16">
        <v>0.1507</v>
      </c>
      <c r="H160" s="16">
        <v>3.765750116117051E-2</v>
      </c>
      <c r="I160" s="16">
        <v>0.2039</v>
      </c>
      <c r="J160" s="16">
        <v>8.2004468664850227E-2</v>
      </c>
      <c r="K160" s="16">
        <v>1.3299999999999999E-2</v>
      </c>
      <c r="L160" s="16">
        <v>3.3234556432884389E-3</v>
      </c>
      <c r="M160" s="16">
        <v>3.4334045517882064E-2</v>
      </c>
      <c r="N160" s="16">
        <v>0</v>
      </c>
      <c r="O160" s="16">
        <v>0</v>
      </c>
      <c r="P160" s="95"/>
    </row>
    <row r="161" spans="1:19" x14ac:dyDescent="0.25">
      <c r="A161" s="35">
        <v>48</v>
      </c>
      <c r="B161" s="35">
        <v>438168.10856199998</v>
      </c>
      <c r="C161" s="35">
        <v>5688750.3324180003</v>
      </c>
      <c r="D161" s="96">
        <v>29</v>
      </c>
      <c r="E161" s="96" t="s">
        <v>36</v>
      </c>
      <c r="F161" s="48">
        <v>2009</v>
      </c>
      <c r="G161" s="96" t="s">
        <v>18</v>
      </c>
      <c r="H161" s="96" t="s">
        <v>18</v>
      </c>
      <c r="I161" s="96" t="s">
        <v>18</v>
      </c>
      <c r="J161" s="96" t="s">
        <v>18</v>
      </c>
      <c r="K161" s="96" t="s">
        <v>18</v>
      </c>
      <c r="L161" s="96" t="s">
        <v>18</v>
      </c>
      <c r="M161" s="96" t="s">
        <v>18</v>
      </c>
      <c r="N161" s="96" t="s">
        <v>18</v>
      </c>
      <c r="O161" s="96" t="s">
        <v>18</v>
      </c>
      <c r="P161" s="94" t="s">
        <v>21</v>
      </c>
    </row>
    <row r="162" spans="1:19" x14ac:dyDescent="0.25">
      <c r="A162" s="16">
        <v>49</v>
      </c>
      <c r="B162" s="16">
        <v>437454.10856199998</v>
      </c>
      <c r="C162" s="16">
        <v>5688869.3324180003</v>
      </c>
      <c r="D162" s="31">
        <v>28</v>
      </c>
      <c r="E162" s="31" t="s">
        <v>36</v>
      </c>
      <c r="F162" s="46">
        <v>2009</v>
      </c>
      <c r="G162" s="16">
        <v>7.5299999999999992E-2</v>
      </c>
      <c r="H162" s="16">
        <v>1.8816256386437556E-2</v>
      </c>
      <c r="I162" s="16">
        <v>2.7699999999999999E-2</v>
      </c>
      <c r="J162" s="16">
        <v>1.1140381471389658E-2</v>
      </c>
      <c r="K162" s="16">
        <v>5.8999999999999997E-2</v>
      </c>
      <c r="L162" s="16">
        <v>1.4743149094287063E-2</v>
      </c>
      <c r="M162" s="16">
        <v>4.0731072921504925E-3</v>
      </c>
      <c r="N162" s="16">
        <v>2.9899999999999999E-2</v>
      </c>
      <c r="O162" s="16">
        <v>1.2025177111716634E-2</v>
      </c>
      <c r="P162" s="95"/>
    </row>
    <row r="163" spans="1:19" x14ac:dyDescent="0.25">
      <c r="A163" s="16">
        <v>50</v>
      </c>
      <c r="B163" s="16">
        <v>437811.10856199998</v>
      </c>
      <c r="C163" s="16">
        <v>5688869.3324180003</v>
      </c>
      <c r="D163" s="31">
        <v>28</v>
      </c>
      <c r="E163" s="31" t="s">
        <v>36</v>
      </c>
      <c r="F163" s="46">
        <v>2009</v>
      </c>
      <c r="G163" s="16">
        <v>0.14990000000000001</v>
      </c>
      <c r="H163" s="16">
        <v>3.7457594054807301E-2</v>
      </c>
      <c r="I163" s="16">
        <v>0</v>
      </c>
      <c r="J163" s="16">
        <v>0</v>
      </c>
      <c r="K163" s="16">
        <v>1.35E-2</v>
      </c>
      <c r="L163" s="16">
        <v>3.3734324198792433E-3</v>
      </c>
      <c r="M163" s="16">
        <v>3.4084161634928056E-2</v>
      </c>
      <c r="N163" s="16">
        <v>0</v>
      </c>
      <c r="O163" s="16">
        <v>0</v>
      </c>
      <c r="P163" s="95"/>
    </row>
    <row r="164" spans="1:19" x14ac:dyDescent="0.25">
      <c r="A164" s="16">
        <v>51</v>
      </c>
      <c r="B164" s="16">
        <v>437930.10856199998</v>
      </c>
      <c r="C164" s="16">
        <v>5688869.3324180003</v>
      </c>
      <c r="D164" s="31">
        <v>28</v>
      </c>
      <c r="E164" s="31" t="s">
        <v>36</v>
      </c>
      <c r="F164" s="46">
        <v>2009</v>
      </c>
      <c r="G164" s="16">
        <v>0.12470000000000001</v>
      </c>
      <c r="H164" s="16">
        <v>3.1160520204366049E-2</v>
      </c>
      <c r="I164" s="16">
        <v>0</v>
      </c>
      <c r="J164" s="16">
        <v>0</v>
      </c>
      <c r="K164" s="16">
        <v>4.1500000000000002E-2</v>
      </c>
      <c r="L164" s="16">
        <v>1.0370181142591747E-2</v>
      </c>
      <c r="M164" s="16">
        <v>2.0790339061774302E-2</v>
      </c>
      <c r="N164" s="16">
        <v>0</v>
      </c>
      <c r="O164" s="16">
        <v>0</v>
      </c>
      <c r="P164" s="95"/>
    </row>
    <row r="165" spans="1:19" x14ac:dyDescent="0.25">
      <c r="A165" s="16">
        <v>52</v>
      </c>
      <c r="B165" s="16">
        <v>438049.10856199998</v>
      </c>
      <c r="C165" s="16">
        <v>5688869.3324180003</v>
      </c>
      <c r="D165" s="31">
        <v>28</v>
      </c>
      <c r="E165" s="31" t="s">
        <v>36</v>
      </c>
      <c r="F165" s="46">
        <v>2009</v>
      </c>
      <c r="G165" s="16">
        <v>3.4700000000000002E-2</v>
      </c>
      <c r="H165" s="16">
        <v>8.6709707385044261E-3</v>
      </c>
      <c r="I165" s="16">
        <v>0</v>
      </c>
      <c r="J165" s="16">
        <v>0</v>
      </c>
      <c r="K165" s="16">
        <v>1.6500000000000001E-2</v>
      </c>
      <c r="L165" s="16">
        <v>4.1230840687412973E-3</v>
      </c>
      <c r="M165" s="16">
        <v>4.5478866697631288E-3</v>
      </c>
      <c r="N165" s="16">
        <v>0</v>
      </c>
      <c r="O165" s="16">
        <v>0</v>
      </c>
      <c r="P165" s="95"/>
    </row>
    <row r="166" spans="1:19" x14ac:dyDescent="0.25">
      <c r="A166" s="16">
        <v>53</v>
      </c>
      <c r="B166" s="16">
        <v>438287.10856199998</v>
      </c>
      <c r="C166" s="16">
        <v>5688869.3324180003</v>
      </c>
      <c r="D166" s="31">
        <v>28</v>
      </c>
      <c r="E166" s="31" t="s">
        <v>36</v>
      </c>
      <c r="F166" s="46">
        <v>2009</v>
      </c>
      <c r="G166" s="16">
        <v>3.1900000000000005E-2</v>
      </c>
      <c r="H166" s="16">
        <v>7.9712958662331752E-3</v>
      </c>
      <c r="I166" s="16">
        <v>0</v>
      </c>
      <c r="J166" s="16">
        <v>0</v>
      </c>
      <c r="K166" s="16">
        <v>3.2199999999999993E-2</v>
      </c>
      <c r="L166" s="16">
        <v>8.0462610311193786E-3</v>
      </c>
      <c r="M166" s="16">
        <v>-7.4965164886203972E-5</v>
      </c>
      <c r="N166" s="16">
        <v>0</v>
      </c>
      <c r="O166" s="16">
        <v>0</v>
      </c>
      <c r="P166" s="95"/>
    </row>
    <row r="167" spans="1:19" x14ac:dyDescent="0.25">
      <c r="A167" s="16">
        <v>54</v>
      </c>
      <c r="B167" s="16">
        <v>437454.10856199998</v>
      </c>
      <c r="C167" s="16">
        <v>5688988.3324180003</v>
      </c>
      <c r="D167" s="31">
        <v>28</v>
      </c>
      <c r="E167" s="31" t="s">
        <v>36</v>
      </c>
      <c r="F167" s="46">
        <v>2009</v>
      </c>
      <c r="G167" s="16">
        <v>0.21029999999999999</v>
      </c>
      <c r="H167" s="16">
        <v>5.2550580585229982E-2</v>
      </c>
      <c r="I167" s="16">
        <v>8.8999999999999982E-3</v>
      </c>
      <c r="J167" s="16">
        <v>3.5794005449591311E-3</v>
      </c>
      <c r="K167" s="16">
        <v>1.2800000000000001E-2</v>
      </c>
      <c r="L167" s="16">
        <v>3.1985137018114306E-3</v>
      </c>
      <c r="M167" s="16">
        <v>4.9352066883418554E-2</v>
      </c>
      <c r="N167" s="16">
        <v>1.6000000000000005E-3</v>
      </c>
      <c r="O167" s="16">
        <v>6.4348773841961949E-4</v>
      </c>
      <c r="P167" s="95"/>
    </row>
    <row r="168" spans="1:19" x14ac:dyDescent="0.25">
      <c r="A168" s="16">
        <v>55</v>
      </c>
      <c r="B168" s="16">
        <v>438049.10856199998</v>
      </c>
      <c r="C168" s="16">
        <v>5688988.3324180003</v>
      </c>
      <c r="D168" s="31">
        <v>28</v>
      </c>
      <c r="E168" s="31" t="s">
        <v>36</v>
      </c>
      <c r="F168" s="46">
        <v>2009</v>
      </c>
      <c r="G168" s="16">
        <v>6.9199999999999998E-2</v>
      </c>
      <c r="H168" s="16">
        <v>1.7291964700418046E-2</v>
      </c>
      <c r="I168" s="16">
        <v>0.02</v>
      </c>
      <c r="J168" s="16">
        <v>8.0435967302452411E-3</v>
      </c>
      <c r="K168" s="16">
        <v>3.7000000000000002E-3</v>
      </c>
      <c r="L168" s="16">
        <v>9.2457036692986669E-4</v>
      </c>
      <c r="M168" s="16">
        <v>1.6367394333488178E-2</v>
      </c>
      <c r="N168" s="16">
        <v>2.23E-2</v>
      </c>
      <c r="O168" s="16">
        <v>8.9686103542234441E-3</v>
      </c>
      <c r="P168" s="95"/>
    </row>
    <row r="169" spans="1:19" x14ac:dyDescent="0.25">
      <c r="A169" s="16">
        <v>56</v>
      </c>
      <c r="B169" s="16">
        <v>438168.10856199998</v>
      </c>
      <c r="C169" s="16">
        <v>5688988.3324180003</v>
      </c>
      <c r="D169" s="31">
        <v>28</v>
      </c>
      <c r="E169" s="31" t="s">
        <v>36</v>
      </c>
      <c r="F169" s="46">
        <v>2009</v>
      </c>
      <c r="G169" s="16">
        <v>0.1103</v>
      </c>
      <c r="H169" s="16">
        <v>2.7562192289828185E-2</v>
      </c>
      <c r="I169" s="16">
        <v>0</v>
      </c>
      <c r="J169" s="16">
        <v>0</v>
      </c>
      <c r="K169" s="16">
        <v>1.9000000000000004E-3</v>
      </c>
      <c r="L169" s="16">
        <v>4.7477937761263429E-4</v>
      </c>
      <c r="M169" s="16">
        <v>2.7087412912215551E-2</v>
      </c>
      <c r="N169" s="16">
        <v>0</v>
      </c>
      <c r="O169" s="16">
        <v>0</v>
      </c>
      <c r="P169" s="95"/>
    </row>
    <row r="170" spans="1:19" x14ac:dyDescent="0.25">
      <c r="A170" s="36">
        <v>57</v>
      </c>
      <c r="B170" s="36">
        <v>438146</v>
      </c>
      <c r="C170" s="36">
        <v>5688977</v>
      </c>
      <c r="D170" s="99">
        <v>28</v>
      </c>
      <c r="E170" s="99" t="s">
        <v>36</v>
      </c>
      <c r="F170" s="50">
        <v>2009</v>
      </c>
      <c r="G170" s="36">
        <v>0.112</v>
      </c>
      <c r="H170" s="36">
        <v>2.7986994890850016E-2</v>
      </c>
      <c r="I170" s="36">
        <v>0</v>
      </c>
      <c r="J170" s="36">
        <v>0</v>
      </c>
      <c r="K170" s="36">
        <v>1.0599999999999998E-2</v>
      </c>
      <c r="L170" s="36">
        <v>2.6487691593125905E-3</v>
      </c>
      <c r="M170" s="36">
        <v>2.5338225731537427E-2</v>
      </c>
      <c r="N170" s="36">
        <v>0</v>
      </c>
      <c r="O170" s="36">
        <v>0</v>
      </c>
      <c r="P170" s="100"/>
    </row>
    <row r="171" spans="1:19" x14ac:dyDescent="0.25">
      <c r="A171" s="36">
        <v>58</v>
      </c>
      <c r="B171" s="36">
        <v>438131</v>
      </c>
      <c r="C171" s="36">
        <v>5688972</v>
      </c>
      <c r="D171" s="99">
        <v>28</v>
      </c>
      <c r="E171" s="99" t="s">
        <v>36</v>
      </c>
      <c r="F171" s="50">
        <v>2009</v>
      </c>
      <c r="G171" s="36">
        <v>0.40889999999999999</v>
      </c>
      <c r="H171" s="36">
        <v>0.10217751973989796</v>
      </c>
      <c r="I171" s="36">
        <v>0</v>
      </c>
      <c r="J171" s="36">
        <v>0</v>
      </c>
      <c r="K171" s="36">
        <v>1.6200000000000003E-2</v>
      </c>
      <c r="L171" s="36">
        <v>4.0481189038550931E-3</v>
      </c>
      <c r="M171" s="36">
        <v>9.8129400836042865E-2</v>
      </c>
      <c r="N171" s="36">
        <v>0</v>
      </c>
      <c r="O171" s="36">
        <v>0</v>
      </c>
      <c r="P171" s="100"/>
    </row>
    <row r="172" spans="1:19" x14ac:dyDescent="0.25">
      <c r="A172" s="36">
        <v>59</v>
      </c>
      <c r="B172" s="36">
        <v>438089</v>
      </c>
      <c r="C172" s="36">
        <v>5688713</v>
      </c>
      <c r="D172" s="99">
        <v>28</v>
      </c>
      <c r="E172" s="99" t="s">
        <v>36</v>
      </c>
      <c r="F172" s="50">
        <v>2009</v>
      </c>
      <c r="G172" s="36">
        <v>0.1449</v>
      </c>
      <c r="H172" s="36">
        <v>3.6208174640037206E-2</v>
      </c>
      <c r="I172" s="36">
        <v>0</v>
      </c>
      <c r="J172" s="36">
        <v>0</v>
      </c>
      <c r="K172" s="36">
        <v>4.4499999999999998E-2</v>
      </c>
      <c r="L172" s="36">
        <v>1.1119832791453801E-2</v>
      </c>
      <c r="M172" s="36">
        <v>2.5088341848583405E-2</v>
      </c>
      <c r="N172" s="36">
        <v>0</v>
      </c>
      <c r="O172" s="36">
        <v>0</v>
      </c>
      <c r="P172" s="100"/>
    </row>
    <row r="173" spans="1:19" x14ac:dyDescent="0.25">
      <c r="A173" s="36">
        <v>60</v>
      </c>
      <c r="B173" s="36">
        <v>438099</v>
      </c>
      <c r="C173" s="36">
        <v>5688719</v>
      </c>
      <c r="D173" s="99">
        <v>28</v>
      </c>
      <c r="E173" s="99" t="s">
        <v>36</v>
      </c>
      <c r="F173" s="50">
        <v>2009</v>
      </c>
      <c r="G173" s="36">
        <v>0.13939999999999997</v>
      </c>
      <c r="H173" s="36">
        <v>3.4833813283790108E-2</v>
      </c>
      <c r="I173" s="36">
        <v>0</v>
      </c>
      <c r="J173" s="36">
        <v>0</v>
      </c>
      <c r="K173" s="36">
        <v>1.4800000000000001E-2</v>
      </c>
      <c r="L173" s="36">
        <v>3.6982814677194668E-3</v>
      </c>
      <c r="M173" s="36">
        <v>3.1135531816070639E-2</v>
      </c>
      <c r="N173" s="36">
        <v>0</v>
      </c>
      <c r="O173" s="36">
        <v>0</v>
      </c>
      <c r="P173" s="100"/>
    </row>
    <row r="174" spans="1:19" x14ac:dyDescent="0.25">
      <c r="A174" s="16">
        <v>1</v>
      </c>
      <c r="B174" s="16">
        <v>437930.10856199998</v>
      </c>
      <c r="C174" s="16">
        <v>5688036.3324180003</v>
      </c>
      <c r="D174" s="31">
        <v>27</v>
      </c>
      <c r="E174" s="31" t="s">
        <v>40</v>
      </c>
      <c r="F174" s="46">
        <v>2010</v>
      </c>
      <c r="G174" s="16">
        <v>2.9000000000000001E-2</v>
      </c>
      <c r="H174" s="16">
        <v>1.5942245989304823E-2</v>
      </c>
      <c r="I174" s="16">
        <v>1.7999999999999999E-2</v>
      </c>
      <c r="J174" s="16">
        <v>8.6550898203592748E-3</v>
      </c>
      <c r="K174" s="16">
        <v>1.2999999999999999E-2</v>
      </c>
      <c r="L174" s="16">
        <v>7.1465240641711281E-3</v>
      </c>
      <c r="M174" s="16">
        <v>8.7957219251336965E-3</v>
      </c>
      <c r="N174" s="16">
        <v>0.01</v>
      </c>
      <c r="O174" s="16">
        <v>4.8083832335329302E-3</v>
      </c>
      <c r="P174" s="95"/>
      <c r="R174" s="5">
        <f>AVERAGE(M174:M233)</f>
        <v>2.309934183463597E-2</v>
      </c>
      <c r="S174" s="5">
        <f>AVERAGE(H174:H233)</f>
        <v>3.0869600987248062E-2</v>
      </c>
    </row>
    <row r="175" spans="1:19" x14ac:dyDescent="0.25">
      <c r="A175" s="16">
        <v>2</v>
      </c>
      <c r="B175" s="16">
        <v>437811.10856199998</v>
      </c>
      <c r="C175" s="16">
        <v>5688155.3324180003</v>
      </c>
      <c r="D175" s="31">
        <v>27</v>
      </c>
      <c r="E175" s="31" t="s">
        <v>40</v>
      </c>
      <c r="F175" s="46">
        <v>2010</v>
      </c>
      <c r="G175" s="16">
        <v>6.4000000000000001E-2</v>
      </c>
      <c r="H175" s="16">
        <v>3.5182887700534786E-2</v>
      </c>
      <c r="I175" s="16">
        <v>0</v>
      </c>
      <c r="J175" s="16">
        <v>0</v>
      </c>
      <c r="K175" s="16">
        <v>4.3999999999999997E-2</v>
      </c>
      <c r="L175" s="16">
        <v>2.4188235294117663E-2</v>
      </c>
      <c r="M175" s="16">
        <v>1.0994652406417121E-2</v>
      </c>
      <c r="N175" s="16">
        <v>0</v>
      </c>
      <c r="O175" s="16">
        <v>0</v>
      </c>
      <c r="P175" s="95"/>
    </row>
    <row r="176" spans="1:19" x14ac:dyDescent="0.25">
      <c r="A176" s="16">
        <v>3</v>
      </c>
      <c r="B176" s="16">
        <v>437930.10856199998</v>
      </c>
      <c r="C176" s="16">
        <v>5688155.3324180003</v>
      </c>
      <c r="D176" s="31">
        <v>27</v>
      </c>
      <c r="E176" s="31" t="s">
        <v>40</v>
      </c>
      <c r="F176" s="46">
        <v>2010</v>
      </c>
      <c r="G176" s="16">
        <v>6.5000000000000002E-2</v>
      </c>
      <c r="H176" s="16">
        <v>3.573262032085564E-2</v>
      </c>
      <c r="I176" s="16">
        <v>0.05</v>
      </c>
      <c r="J176" s="16">
        <v>2.4041916167664653E-2</v>
      </c>
      <c r="K176" s="16">
        <v>0.04</v>
      </c>
      <c r="L176" s="16">
        <v>2.1989304812834242E-2</v>
      </c>
      <c r="M176" s="16">
        <v>1.3743315508021397E-2</v>
      </c>
      <c r="N176" s="16">
        <v>0.03</v>
      </c>
      <c r="O176" s="16">
        <v>1.4425149700598791E-2</v>
      </c>
      <c r="P176" s="95"/>
    </row>
    <row r="177" spans="1:16" x14ac:dyDescent="0.25">
      <c r="A177" s="16">
        <v>4</v>
      </c>
      <c r="B177" s="16">
        <v>438049.10856199998</v>
      </c>
      <c r="C177" s="16">
        <v>5688155.3324180003</v>
      </c>
      <c r="D177" s="31">
        <v>27</v>
      </c>
      <c r="E177" s="31" t="s">
        <v>40</v>
      </c>
      <c r="F177" s="46">
        <v>2010</v>
      </c>
      <c r="G177" s="16">
        <v>1.4E-2</v>
      </c>
      <c r="H177" s="16">
        <v>7.6962566844919842E-3</v>
      </c>
      <c r="I177" s="16">
        <v>0</v>
      </c>
      <c r="J177" s="16">
        <v>0</v>
      </c>
      <c r="K177" s="16">
        <v>6.0000000000000001E-3</v>
      </c>
      <c r="L177" s="16">
        <v>3.298395721925136E-3</v>
      </c>
      <c r="M177" s="16">
        <v>4.3978609625668482E-3</v>
      </c>
      <c r="N177" s="16">
        <v>0</v>
      </c>
      <c r="O177" s="16">
        <v>0</v>
      </c>
      <c r="P177" s="95"/>
    </row>
    <row r="178" spans="1:16" x14ac:dyDescent="0.25">
      <c r="A178" s="16">
        <v>5</v>
      </c>
      <c r="B178" s="16">
        <v>437573.10856199998</v>
      </c>
      <c r="C178" s="16">
        <v>5688274.3324180003</v>
      </c>
      <c r="D178" s="31">
        <v>27</v>
      </c>
      <c r="E178" s="31" t="s">
        <v>40</v>
      </c>
      <c r="F178" s="46">
        <v>2010</v>
      </c>
      <c r="G178" s="16">
        <v>5.0999999999999997E-2</v>
      </c>
      <c r="H178" s="16">
        <v>2.8036363636363658E-2</v>
      </c>
      <c r="I178" s="16">
        <v>6.2E-2</v>
      </c>
      <c r="J178" s="16">
        <v>2.9811976047904167E-2</v>
      </c>
      <c r="K178" s="16">
        <v>0.03</v>
      </c>
      <c r="L178" s="16">
        <v>1.6491978609625681E-2</v>
      </c>
      <c r="M178" s="16">
        <v>1.1544385026737977E-2</v>
      </c>
      <c r="N178" s="16">
        <v>7.3999999999999996E-2</v>
      </c>
      <c r="O178" s="16">
        <v>3.5582035928143685E-2</v>
      </c>
      <c r="P178" s="95"/>
    </row>
    <row r="179" spans="1:16" x14ac:dyDescent="0.25">
      <c r="A179" s="16">
        <v>6</v>
      </c>
      <c r="B179" s="16">
        <v>437692.10856199998</v>
      </c>
      <c r="C179" s="16">
        <v>5688274.3324180003</v>
      </c>
      <c r="D179" s="31">
        <v>27</v>
      </c>
      <c r="E179" s="31" t="s">
        <v>40</v>
      </c>
      <c r="F179" s="46">
        <v>2010</v>
      </c>
      <c r="G179" s="16">
        <v>5.1999999999999998E-2</v>
      </c>
      <c r="H179" s="16">
        <v>2.8586096256684512E-2</v>
      </c>
      <c r="I179" s="16">
        <v>8.8999999999999996E-2</v>
      </c>
      <c r="J179" s="16">
        <v>4.2794610778443078E-2</v>
      </c>
      <c r="K179" s="16">
        <v>4.0000000000000001E-3</v>
      </c>
      <c r="L179" s="16">
        <v>2.1989304812834241E-3</v>
      </c>
      <c r="M179" s="16">
        <v>2.6387165775401091E-2</v>
      </c>
      <c r="N179" s="16">
        <v>6.8000000000000005E-2</v>
      </c>
      <c r="O179" s="16">
        <v>3.2697005988023928E-2</v>
      </c>
      <c r="P179" s="95"/>
    </row>
    <row r="180" spans="1:16" x14ac:dyDescent="0.25">
      <c r="A180" s="16">
        <v>7</v>
      </c>
      <c r="B180" s="16">
        <v>437811.10856199998</v>
      </c>
      <c r="C180" s="16">
        <v>5688274.3324180003</v>
      </c>
      <c r="D180" s="31">
        <v>27</v>
      </c>
      <c r="E180" s="31" t="s">
        <v>40</v>
      </c>
      <c r="F180" s="46">
        <v>2010</v>
      </c>
      <c r="G180" s="16">
        <v>1.6E-2</v>
      </c>
      <c r="H180" s="16">
        <v>8.7957219251336965E-3</v>
      </c>
      <c r="I180" s="16">
        <v>3.5000000000000003E-2</v>
      </c>
      <c r="J180" s="16">
        <v>1.6829341317365257E-2</v>
      </c>
      <c r="K180" s="16">
        <v>4.0000000000000001E-3</v>
      </c>
      <c r="L180" s="16">
        <v>2.1989304812834241E-3</v>
      </c>
      <c r="M180" s="16">
        <v>6.5967914438502719E-3</v>
      </c>
      <c r="N180" s="16">
        <v>4.7E-2</v>
      </c>
      <c r="O180" s="16">
        <v>2.2599401197604771E-2</v>
      </c>
      <c r="P180" s="95"/>
    </row>
    <row r="181" spans="1:16" x14ac:dyDescent="0.25">
      <c r="A181" s="16">
        <v>8</v>
      </c>
      <c r="B181" s="16">
        <v>437930.10856199998</v>
      </c>
      <c r="C181" s="16">
        <v>5688274.3324180003</v>
      </c>
      <c r="D181" s="31">
        <v>27</v>
      </c>
      <c r="E181" s="31" t="s">
        <v>40</v>
      </c>
      <c r="F181" s="46">
        <v>2010</v>
      </c>
      <c r="G181" s="16">
        <v>7.9000000000000001E-2</v>
      </c>
      <c r="H181" s="16">
        <v>4.3428877005347623E-2</v>
      </c>
      <c r="I181" s="16">
        <v>0</v>
      </c>
      <c r="J181" s="16">
        <v>0</v>
      </c>
      <c r="K181" s="16">
        <v>1.7999999999999999E-2</v>
      </c>
      <c r="L181" s="16">
        <v>9.895187165775407E-3</v>
      </c>
      <c r="M181" s="16">
        <v>3.3533689839572216E-2</v>
      </c>
      <c r="N181" s="16">
        <v>0</v>
      </c>
      <c r="O181" s="16">
        <v>0</v>
      </c>
      <c r="P181" s="95"/>
    </row>
    <row r="182" spans="1:16" x14ac:dyDescent="0.25">
      <c r="A182" s="16">
        <v>9</v>
      </c>
      <c r="B182" s="16">
        <v>438287.10856199998</v>
      </c>
      <c r="C182" s="16">
        <v>5688274.3324180003</v>
      </c>
      <c r="D182" s="31">
        <v>26</v>
      </c>
      <c r="E182" s="31" t="s">
        <v>40</v>
      </c>
      <c r="F182" s="46">
        <v>2010</v>
      </c>
      <c r="G182" s="16">
        <v>4.7E-2</v>
      </c>
      <c r="H182" s="16">
        <v>2.5837433155080233E-2</v>
      </c>
      <c r="I182" s="16">
        <v>6.0000000000000001E-3</v>
      </c>
      <c r="J182" s="16">
        <v>2.8850299401197584E-3</v>
      </c>
      <c r="K182" s="16">
        <v>2E-3</v>
      </c>
      <c r="L182" s="16">
        <v>1.0994652406417121E-3</v>
      </c>
      <c r="M182" s="16">
        <v>2.4737967914438521E-2</v>
      </c>
      <c r="N182" s="16">
        <v>0.01</v>
      </c>
      <c r="O182" s="16">
        <v>4.8083832335329302E-3</v>
      </c>
      <c r="P182" s="95"/>
    </row>
    <row r="183" spans="1:16" x14ac:dyDescent="0.25">
      <c r="A183" s="16">
        <v>10</v>
      </c>
      <c r="B183" s="16">
        <v>438406.10856199998</v>
      </c>
      <c r="C183" s="16">
        <v>5688274.3324180003</v>
      </c>
      <c r="D183" s="31">
        <v>26</v>
      </c>
      <c r="E183" s="31" t="s">
        <v>40</v>
      </c>
      <c r="F183" s="46">
        <v>2010</v>
      </c>
      <c r="G183" s="16">
        <v>4.1000000000000002E-2</v>
      </c>
      <c r="H183" s="16">
        <v>2.2539037433155096E-2</v>
      </c>
      <c r="I183" s="16">
        <v>5.0000000000000001E-3</v>
      </c>
      <c r="J183" s="16">
        <v>2.4041916167664651E-3</v>
      </c>
      <c r="K183" s="16">
        <v>1.0999999999999999E-2</v>
      </c>
      <c r="L183" s="16">
        <v>6.0470588235294158E-3</v>
      </c>
      <c r="M183" s="16">
        <v>1.6491978609625684E-2</v>
      </c>
      <c r="N183" s="16">
        <v>0</v>
      </c>
      <c r="O183" s="16">
        <v>0</v>
      </c>
      <c r="P183" s="95"/>
    </row>
    <row r="184" spans="1:16" x14ac:dyDescent="0.25">
      <c r="A184" s="16">
        <v>11</v>
      </c>
      <c r="B184" s="16">
        <v>437454.10856199998</v>
      </c>
      <c r="C184" s="16">
        <v>5688393.3324180003</v>
      </c>
      <c r="D184" s="31">
        <v>27</v>
      </c>
      <c r="E184" s="31" t="s">
        <v>40</v>
      </c>
      <c r="F184" s="46">
        <v>2010</v>
      </c>
      <c r="G184" s="16">
        <v>7.0999999999999994E-2</v>
      </c>
      <c r="H184" s="16">
        <v>3.9031016042780781E-2</v>
      </c>
      <c r="I184" s="16">
        <v>8.1000000000000003E-2</v>
      </c>
      <c r="J184" s="16">
        <v>3.8947904191616735E-2</v>
      </c>
      <c r="K184" s="16">
        <v>2.4E-2</v>
      </c>
      <c r="L184" s="16">
        <v>1.3193582887700544E-2</v>
      </c>
      <c r="M184" s="16">
        <v>2.5837433155080233E-2</v>
      </c>
      <c r="N184" s="16">
        <v>7.0000000000000007E-2</v>
      </c>
      <c r="O184" s="16">
        <v>3.3658682634730513E-2</v>
      </c>
      <c r="P184" s="95"/>
    </row>
    <row r="185" spans="1:16" x14ac:dyDescent="0.25">
      <c r="A185" s="16">
        <v>12</v>
      </c>
      <c r="B185" s="16">
        <v>437573.10856199998</v>
      </c>
      <c r="C185" s="16">
        <v>5688393.3324180003</v>
      </c>
      <c r="D185" s="31">
        <v>27</v>
      </c>
      <c r="E185" s="31" t="s">
        <v>40</v>
      </c>
      <c r="F185" s="46">
        <v>2010</v>
      </c>
      <c r="G185" s="16">
        <v>3.4000000000000002E-2</v>
      </c>
      <c r="H185" s="16">
        <v>1.8690909090909105E-2</v>
      </c>
      <c r="I185" s="16">
        <v>0</v>
      </c>
      <c r="J185" s="16">
        <v>0</v>
      </c>
      <c r="K185" s="16">
        <v>2.5000000000000001E-2</v>
      </c>
      <c r="L185" s="16">
        <v>1.37433155080214E-2</v>
      </c>
      <c r="M185" s="16">
        <v>4.9475935828877052E-3</v>
      </c>
      <c r="N185" s="16">
        <v>0</v>
      </c>
      <c r="O185" s="16">
        <v>0</v>
      </c>
      <c r="P185" s="95"/>
    </row>
    <row r="186" spans="1:16" x14ac:dyDescent="0.25">
      <c r="A186" s="16">
        <v>13</v>
      </c>
      <c r="B186" s="16">
        <v>437692.10856199998</v>
      </c>
      <c r="C186" s="16">
        <v>5688393.3324180003</v>
      </c>
      <c r="D186" s="31">
        <v>27</v>
      </c>
      <c r="E186" s="31" t="s">
        <v>40</v>
      </c>
      <c r="F186" s="46">
        <v>2010</v>
      </c>
      <c r="G186" s="16">
        <v>1.7999999999999999E-2</v>
      </c>
      <c r="H186" s="16">
        <v>9.895187165775407E-3</v>
      </c>
      <c r="I186" s="16">
        <v>0.17399999999999999</v>
      </c>
      <c r="J186" s="16">
        <v>8.3665868263472984E-2</v>
      </c>
      <c r="K186" s="16">
        <v>1.6E-2</v>
      </c>
      <c r="L186" s="16">
        <v>8.7957219251336965E-3</v>
      </c>
      <c r="M186" s="16">
        <v>1.0994652406417114E-3</v>
      </c>
      <c r="N186" s="16">
        <v>9.6000000000000002E-2</v>
      </c>
      <c r="O186" s="16">
        <v>4.6160479041916135E-2</v>
      </c>
      <c r="P186" s="95"/>
    </row>
    <row r="187" spans="1:16" x14ac:dyDescent="0.25">
      <c r="A187" s="35">
        <v>14</v>
      </c>
      <c r="B187" s="35">
        <v>437811.10856199998</v>
      </c>
      <c r="C187" s="35">
        <v>5688393.3324180003</v>
      </c>
      <c r="D187" s="96">
        <v>27</v>
      </c>
      <c r="E187" s="96" t="s">
        <v>40</v>
      </c>
      <c r="F187" s="96">
        <v>2010</v>
      </c>
      <c r="G187" s="96" t="s">
        <v>18</v>
      </c>
      <c r="H187" s="96" t="s">
        <v>18</v>
      </c>
      <c r="I187" s="96" t="s">
        <v>18</v>
      </c>
      <c r="J187" s="96" t="s">
        <v>18</v>
      </c>
      <c r="K187" s="96" t="s">
        <v>18</v>
      </c>
      <c r="L187" s="96" t="s">
        <v>18</v>
      </c>
      <c r="M187" s="96" t="s">
        <v>18</v>
      </c>
      <c r="N187" s="96" t="s">
        <v>18</v>
      </c>
      <c r="O187" s="96" t="s">
        <v>18</v>
      </c>
      <c r="P187" s="94" t="s">
        <v>21</v>
      </c>
    </row>
    <row r="188" spans="1:16" x14ac:dyDescent="0.25">
      <c r="A188" s="16">
        <v>15</v>
      </c>
      <c r="B188" s="16">
        <v>437930.10856199998</v>
      </c>
      <c r="C188" s="16">
        <v>5688393.3324180003</v>
      </c>
      <c r="D188" s="31">
        <v>27</v>
      </c>
      <c r="E188" s="31" t="s">
        <v>40</v>
      </c>
      <c r="F188" s="46">
        <v>2010</v>
      </c>
      <c r="G188" s="16">
        <v>3.5000000000000003E-2</v>
      </c>
      <c r="H188" s="16">
        <v>1.9240641711229963E-2</v>
      </c>
      <c r="I188" s="16">
        <v>0.11799999999999999</v>
      </c>
      <c r="J188" s="16">
        <v>5.6738922155688577E-2</v>
      </c>
      <c r="K188" s="16">
        <v>1E-3</v>
      </c>
      <c r="L188" s="16">
        <v>5.4973262032085603E-4</v>
      </c>
      <c r="M188" s="16">
        <v>1.8690909090909105E-2</v>
      </c>
      <c r="N188" s="16">
        <v>0.155</v>
      </c>
      <c r="O188" s="16">
        <v>7.4529940119760413E-2</v>
      </c>
      <c r="P188" s="95"/>
    </row>
    <row r="189" spans="1:16" x14ac:dyDescent="0.25">
      <c r="A189" s="16">
        <v>16</v>
      </c>
      <c r="B189" s="16">
        <v>438049.10856199998</v>
      </c>
      <c r="C189" s="16">
        <v>5688393.3324180003</v>
      </c>
      <c r="D189" s="31">
        <v>26</v>
      </c>
      <c r="E189" s="31" t="s">
        <v>40</v>
      </c>
      <c r="F189" s="46">
        <v>2010</v>
      </c>
      <c r="G189" s="16">
        <v>1.4E-2</v>
      </c>
      <c r="H189" s="16">
        <v>7.6962566844919842E-3</v>
      </c>
      <c r="I189" s="16">
        <v>0.16200000000000001</v>
      </c>
      <c r="J189" s="16">
        <v>7.789580838323347E-2</v>
      </c>
      <c r="K189" s="16">
        <v>5.0000000000000001E-3</v>
      </c>
      <c r="L189" s="16">
        <v>2.7486631016042803E-3</v>
      </c>
      <c r="M189" s="16">
        <v>4.9475935828877035E-3</v>
      </c>
      <c r="N189" s="16">
        <v>2.7E-2</v>
      </c>
      <c r="O189" s="16">
        <v>1.2982634730538912E-2</v>
      </c>
      <c r="P189" s="95"/>
    </row>
    <row r="190" spans="1:16" x14ac:dyDescent="0.25">
      <c r="A190" s="16">
        <v>17</v>
      </c>
      <c r="B190" s="16">
        <v>438168.10856199998</v>
      </c>
      <c r="C190" s="16">
        <v>5688393.3324180003</v>
      </c>
      <c r="D190" s="31">
        <v>26</v>
      </c>
      <c r="E190" s="31" t="s">
        <v>40</v>
      </c>
      <c r="F190" s="46">
        <v>2010</v>
      </c>
      <c r="G190" s="16">
        <v>3.1E-2</v>
      </c>
      <c r="H190" s="16">
        <v>1.7041711229946535E-2</v>
      </c>
      <c r="I190" s="16">
        <v>1.9E-2</v>
      </c>
      <c r="J190" s="16">
        <v>9.1359281437125676E-3</v>
      </c>
      <c r="K190" s="16">
        <v>8.9999999999999993E-3</v>
      </c>
      <c r="L190" s="16">
        <v>4.9475935828877035E-3</v>
      </c>
      <c r="M190" s="16">
        <v>1.2094117647058832E-2</v>
      </c>
      <c r="N190" s="16">
        <v>4.7E-2</v>
      </c>
      <c r="O190" s="16">
        <v>2.2599401197604771E-2</v>
      </c>
      <c r="P190" s="95"/>
    </row>
    <row r="191" spans="1:16" x14ac:dyDescent="0.25">
      <c r="A191" s="16">
        <v>18</v>
      </c>
      <c r="B191" s="16">
        <v>438287.10856199998</v>
      </c>
      <c r="C191" s="16">
        <v>5688393.3324180003</v>
      </c>
      <c r="D191" s="31">
        <v>26</v>
      </c>
      <c r="E191" s="31" t="s">
        <v>40</v>
      </c>
      <c r="F191" s="46">
        <v>2010</v>
      </c>
      <c r="G191" s="16">
        <v>6.5000000000000002E-2</v>
      </c>
      <c r="H191" s="16">
        <v>3.573262032085564E-2</v>
      </c>
      <c r="I191" s="16">
        <v>0</v>
      </c>
      <c r="J191" s="16">
        <v>0</v>
      </c>
      <c r="K191" s="16">
        <v>8.0000000000000002E-3</v>
      </c>
      <c r="L191" s="16">
        <v>4.3978609625668482E-3</v>
      </c>
      <c r="M191" s="16">
        <v>3.1334759358288791E-2</v>
      </c>
      <c r="N191" s="16">
        <v>0</v>
      </c>
      <c r="O191" s="16">
        <v>0</v>
      </c>
      <c r="P191" s="95"/>
    </row>
    <row r="192" spans="1:16" x14ac:dyDescent="0.25">
      <c r="A192" s="16">
        <v>19</v>
      </c>
      <c r="B192" s="16">
        <v>438406.10856199998</v>
      </c>
      <c r="C192" s="16">
        <v>5688393.3324180003</v>
      </c>
      <c r="D192" s="31">
        <v>26</v>
      </c>
      <c r="E192" s="31" t="s">
        <v>40</v>
      </c>
      <c r="F192" s="46">
        <v>2010</v>
      </c>
      <c r="G192" s="16">
        <v>5.1999999999999998E-2</v>
      </c>
      <c r="H192" s="16">
        <v>2.8586096256684512E-2</v>
      </c>
      <c r="I192" s="16">
        <v>0</v>
      </c>
      <c r="J192" s="16">
        <v>0</v>
      </c>
      <c r="K192" s="16">
        <v>0.01</v>
      </c>
      <c r="L192" s="16">
        <v>5.4973262032085605E-3</v>
      </c>
      <c r="M192" s="16">
        <v>2.3088770053475954E-2</v>
      </c>
      <c r="N192" s="16">
        <v>0</v>
      </c>
      <c r="O192" s="16">
        <v>0</v>
      </c>
      <c r="P192" s="95"/>
    </row>
    <row r="193" spans="1:16" x14ac:dyDescent="0.25">
      <c r="A193" s="16">
        <v>20</v>
      </c>
      <c r="B193" s="16">
        <v>437335.10856199998</v>
      </c>
      <c r="C193" s="16">
        <v>5688512.3324180003</v>
      </c>
      <c r="D193" s="31">
        <v>27</v>
      </c>
      <c r="E193" s="31" t="s">
        <v>40</v>
      </c>
      <c r="F193" s="46">
        <v>2010</v>
      </c>
      <c r="G193" s="16">
        <v>5.0999999999999997E-2</v>
      </c>
      <c r="H193" s="16">
        <v>2.8036363636363658E-2</v>
      </c>
      <c r="I193" s="16">
        <v>0</v>
      </c>
      <c r="J193" s="16">
        <v>0</v>
      </c>
      <c r="K193" s="16">
        <v>2.5999999999999999E-2</v>
      </c>
      <c r="L193" s="16">
        <v>1.4293048128342256E-2</v>
      </c>
      <c r="M193" s="16">
        <v>1.37433155080214E-2</v>
      </c>
      <c r="N193" s="16">
        <v>0</v>
      </c>
      <c r="O193" s="16">
        <v>0</v>
      </c>
      <c r="P193" s="95"/>
    </row>
    <row r="194" spans="1:16" x14ac:dyDescent="0.25">
      <c r="A194" s="16">
        <v>21</v>
      </c>
      <c r="B194" s="16">
        <v>437454.10856199998</v>
      </c>
      <c r="C194" s="16">
        <v>5688512.3324180003</v>
      </c>
      <c r="D194" s="31">
        <v>27</v>
      </c>
      <c r="E194" s="31" t="s">
        <v>40</v>
      </c>
      <c r="F194" s="46">
        <v>2010</v>
      </c>
      <c r="G194" s="16">
        <v>6.0000000000000001E-3</v>
      </c>
      <c r="H194" s="16">
        <v>3.298395721925136E-3</v>
      </c>
      <c r="I194" s="16">
        <v>0.01</v>
      </c>
      <c r="J194" s="16">
        <v>4.8083832335329302E-3</v>
      </c>
      <c r="K194" s="16">
        <v>0.01</v>
      </c>
      <c r="L194" s="16">
        <v>5.4973262032085605E-3</v>
      </c>
      <c r="M194" s="16">
        <v>-2.1989304812834246E-3</v>
      </c>
      <c r="N194" s="16">
        <v>0</v>
      </c>
      <c r="O194" s="16">
        <v>0</v>
      </c>
      <c r="P194" s="95"/>
    </row>
    <row r="195" spans="1:16" x14ac:dyDescent="0.25">
      <c r="A195" s="16">
        <v>22</v>
      </c>
      <c r="B195" s="16">
        <v>437573.10856199998</v>
      </c>
      <c r="C195" s="16">
        <v>5688512.3324180003</v>
      </c>
      <c r="D195" s="31">
        <v>27</v>
      </c>
      <c r="E195" s="31" t="s">
        <v>40</v>
      </c>
      <c r="F195" s="46">
        <v>2010</v>
      </c>
      <c r="G195" s="16">
        <v>6.0999999999999999E-2</v>
      </c>
      <c r="H195" s="16">
        <v>3.3533689839572216E-2</v>
      </c>
      <c r="I195" s="16">
        <v>6.6000000000000003E-2</v>
      </c>
      <c r="J195" s="16">
        <v>3.1735329341317342E-2</v>
      </c>
      <c r="K195" s="16">
        <v>2.3E-2</v>
      </c>
      <c r="L195" s="16">
        <v>1.2643850267379689E-2</v>
      </c>
      <c r="M195" s="16">
        <v>2.088983957219253E-2</v>
      </c>
      <c r="N195" s="16">
        <v>0.104</v>
      </c>
      <c r="O195" s="16">
        <v>5.0007185628742477E-2</v>
      </c>
      <c r="P195" s="95"/>
    </row>
    <row r="196" spans="1:16" x14ac:dyDescent="0.25">
      <c r="A196" s="16">
        <v>23</v>
      </c>
      <c r="B196" s="16">
        <v>437692.10856199998</v>
      </c>
      <c r="C196" s="16">
        <v>5688512.3324180003</v>
      </c>
      <c r="D196" s="31">
        <v>27</v>
      </c>
      <c r="E196" s="31" t="s">
        <v>40</v>
      </c>
      <c r="F196" s="46">
        <v>2010</v>
      </c>
      <c r="G196" s="16">
        <v>1.7000000000000001E-2</v>
      </c>
      <c r="H196" s="16">
        <v>9.3454545454545526E-3</v>
      </c>
      <c r="I196" s="16">
        <v>0</v>
      </c>
      <c r="J196" s="16">
        <v>0</v>
      </c>
      <c r="K196" s="16">
        <v>4.0000000000000001E-3</v>
      </c>
      <c r="L196" s="16">
        <v>2.1989304812834241E-3</v>
      </c>
      <c r="M196" s="16">
        <v>7.1465240641711281E-3</v>
      </c>
      <c r="N196" s="16">
        <v>0</v>
      </c>
      <c r="O196" s="16">
        <v>0</v>
      </c>
      <c r="P196" s="95"/>
    </row>
    <row r="197" spans="1:16" x14ac:dyDescent="0.25">
      <c r="A197" s="16">
        <v>24</v>
      </c>
      <c r="B197" s="16">
        <v>437811.10856199998</v>
      </c>
      <c r="C197" s="16">
        <v>5688512.3324180003</v>
      </c>
      <c r="D197" s="31">
        <v>27</v>
      </c>
      <c r="E197" s="31" t="s">
        <v>40</v>
      </c>
      <c r="F197" s="46">
        <v>2010</v>
      </c>
      <c r="G197" s="16">
        <v>5.8999999999999997E-2</v>
      </c>
      <c r="H197" s="16">
        <v>3.2434224598930507E-2</v>
      </c>
      <c r="I197" s="16">
        <v>0</v>
      </c>
      <c r="J197" s="16">
        <v>0</v>
      </c>
      <c r="K197" s="16">
        <v>1.6E-2</v>
      </c>
      <c r="L197" s="16">
        <v>8.7957219251336965E-3</v>
      </c>
      <c r="M197" s="16">
        <v>2.3638502673796809E-2</v>
      </c>
      <c r="N197" s="16">
        <v>0</v>
      </c>
      <c r="O197" s="16">
        <v>0</v>
      </c>
      <c r="P197" s="95"/>
    </row>
    <row r="198" spans="1:16" x14ac:dyDescent="0.25">
      <c r="A198" s="16">
        <v>25</v>
      </c>
      <c r="B198" s="16">
        <v>437995</v>
      </c>
      <c r="C198" s="16">
        <v>5688493</v>
      </c>
      <c r="D198" s="31">
        <v>26</v>
      </c>
      <c r="E198" s="31" t="s">
        <v>40</v>
      </c>
      <c r="F198" s="46">
        <v>2010</v>
      </c>
      <c r="G198" s="16">
        <v>3.9E-2</v>
      </c>
      <c r="H198" s="16">
        <v>2.1439572192513384E-2</v>
      </c>
      <c r="I198" s="16">
        <v>9.7000000000000003E-2</v>
      </c>
      <c r="J198" s="16">
        <v>4.664131736526942E-2</v>
      </c>
      <c r="K198" s="16">
        <v>6.0000000000000001E-3</v>
      </c>
      <c r="L198" s="16">
        <v>3.298395721925136E-3</v>
      </c>
      <c r="M198" s="16">
        <v>1.8141176470588247E-2</v>
      </c>
      <c r="N198" s="16">
        <v>4.5999999999999999E-2</v>
      </c>
      <c r="O198" s="16">
        <v>2.2118562874251478E-2</v>
      </c>
      <c r="P198" s="95"/>
    </row>
    <row r="199" spans="1:16" x14ac:dyDescent="0.25">
      <c r="A199" s="16">
        <v>26</v>
      </c>
      <c r="B199" s="16">
        <v>438112</v>
      </c>
      <c r="C199" s="16">
        <v>5688567</v>
      </c>
      <c r="D199" s="31">
        <v>26</v>
      </c>
      <c r="E199" s="31" t="s">
        <v>40</v>
      </c>
      <c r="F199" s="46">
        <v>2010</v>
      </c>
      <c r="G199" s="16">
        <v>3.1E-2</v>
      </c>
      <c r="H199" s="16">
        <v>1.7041711229946535E-2</v>
      </c>
      <c r="I199" s="16">
        <v>3.2000000000000001E-2</v>
      </c>
      <c r="J199" s="16">
        <v>1.5386826347305376E-2</v>
      </c>
      <c r="K199" s="16">
        <v>1.0999999999999999E-2</v>
      </c>
      <c r="L199" s="16">
        <v>6.0470588235294158E-3</v>
      </c>
      <c r="M199" s="16">
        <v>1.0994652406417121E-2</v>
      </c>
      <c r="N199" s="16">
        <v>0</v>
      </c>
      <c r="O199" s="16">
        <v>0</v>
      </c>
      <c r="P199" s="95"/>
    </row>
    <row r="200" spans="1:16" x14ac:dyDescent="0.25">
      <c r="A200" s="35">
        <v>27</v>
      </c>
      <c r="B200" s="35">
        <v>438168.10856199998</v>
      </c>
      <c r="C200" s="35">
        <v>5688512.3324180003</v>
      </c>
      <c r="D200" s="96">
        <v>27</v>
      </c>
      <c r="E200" s="96" t="s">
        <v>40</v>
      </c>
      <c r="F200" s="96">
        <v>2010</v>
      </c>
      <c r="G200" s="96" t="s">
        <v>18</v>
      </c>
      <c r="H200" s="96" t="s">
        <v>18</v>
      </c>
      <c r="I200" s="96" t="s">
        <v>18</v>
      </c>
      <c r="J200" s="96" t="s">
        <v>18</v>
      </c>
      <c r="K200" s="96" t="s">
        <v>18</v>
      </c>
      <c r="L200" s="96" t="s">
        <v>18</v>
      </c>
      <c r="M200" s="96" t="s">
        <v>18</v>
      </c>
      <c r="N200" s="96" t="s">
        <v>18</v>
      </c>
      <c r="O200" s="96" t="s">
        <v>18</v>
      </c>
      <c r="P200" s="94" t="s">
        <v>21</v>
      </c>
    </row>
    <row r="201" spans="1:16" x14ac:dyDescent="0.25">
      <c r="A201" s="35">
        <v>28</v>
      </c>
      <c r="B201" s="35">
        <v>438287.10856199998</v>
      </c>
      <c r="C201" s="35">
        <v>5688512.3324180003</v>
      </c>
      <c r="D201" s="96">
        <v>27</v>
      </c>
      <c r="E201" s="96" t="s">
        <v>40</v>
      </c>
      <c r="F201" s="96">
        <v>2010</v>
      </c>
      <c r="G201" s="96" t="s">
        <v>18</v>
      </c>
      <c r="H201" s="96" t="s">
        <v>18</v>
      </c>
      <c r="I201" s="96" t="s">
        <v>18</v>
      </c>
      <c r="J201" s="96" t="s">
        <v>18</v>
      </c>
      <c r="K201" s="96" t="s">
        <v>18</v>
      </c>
      <c r="L201" s="96" t="s">
        <v>18</v>
      </c>
      <c r="M201" s="96" t="s">
        <v>18</v>
      </c>
      <c r="N201" s="96" t="s">
        <v>18</v>
      </c>
      <c r="O201" s="96" t="s">
        <v>18</v>
      </c>
      <c r="P201" s="94" t="s">
        <v>21</v>
      </c>
    </row>
    <row r="202" spans="1:16" x14ac:dyDescent="0.25">
      <c r="A202" s="16">
        <v>29</v>
      </c>
      <c r="B202" s="16">
        <v>438381</v>
      </c>
      <c r="C202" s="16">
        <v>5688526</v>
      </c>
      <c r="D202" s="31">
        <v>26</v>
      </c>
      <c r="E202" s="31" t="s">
        <v>40</v>
      </c>
      <c r="F202" s="46">
        <v>2010</v>
      </c>
      <c r="G202" s="16">
        <v>9.5000000000000001E-2</v>
      </c>
      <c r="H202" s="16">
        <v>5.2224598930481321E-2</v>
      </c>
      <c r="I202" s="16">
        <v>0</v>
      </c>
      <c r="J202" s="16">
        <v>0</v>
      </c>
      <c r="K202" s="16">
        <v>0.04</v>
      </c>
      <c r="L202" s="16">
        <v>2.1989304812834242E-2</v>
      </c>
      <c r="M202" s="16">
        <v>3.0235294117647079E-2</v>
      </c>
      <c r="N202" s="16">
        <v>0</v>
      </c>
      <c r="O202" s="16">
        <v>0</v>
      </c>
      <c r="P202" s="95"/>
    </row>
    <row r="203" spans="1:16" x14ac:dyDescent="0.25">
      <c r="A203" s="16">
        <v>30</v>
      </c>
      <c r="B203" s="16">
        <v>438525.10856199998</v>
      </c>
      <c r="C203" s="16">
        <v>5688512.3324180003</v>
      </c>
      <c r="D203" s="31">
        <v>26</v>
      </c>
      <c r="E203" s="31" t="s">
        <v>40</v>
      </c>
      <c r="F203" s="46">
        <v>2010</v>
      </c>
      <c r="G203" s="31" t="s">
        <v>18</v>
      </c>
      <c r="H203" s="31" t="s">
        <v>18</v>
      </c>
      <c r="I203" s="31" t="s">
        <v>18</v>
      </c>
      <c r="J203" s="31" t="s">
        <v>18</v>
      </c>
      <c r="K203" s="16">
        <v>1.6E-2</v>
      </c>
      <c r="L203" s="16">
        <v>8.7957219251336965E-3</v>
      </c>
      <c r="M203" s="31" t="s">
        <v>18</v>
      </c>
      <c r="N203" s="16">
        <v>0</v>
      </c>
      <c r="O203" s="16">
        <v>0</v>
      </c>
      <c r="P203" s="95" t="s">
        <v>39</v>
      </c>
    </row>
    <row r="204" spans="1:16" x14ac:dyDescent="0.25">
      <c r="A204" s="16">
        <v>31</v>
      </c>
      <c r="B204" s="16">
        <v>437335.10856199998</v>
      </c>
      <c r="C204" s="16">
        <v>5688631.3324180003</v>
      </c>
      <c r="D204" s="31">
        <v>27</v>
      </c>
      <c r="E204" s="31" t="s">
        <v>40</v>
      </c>
      <c r="F204" s="46">
        <v>2010</v>
      </c>
      <c r="G204" s="16">
        <v>6.8000000000000005E-2</v>
      </c>
      <c r="H204" s="16">
        <v>3.738181818181821E-2</v>
      </c>
      <c r="I204" s="16">
        <v>0</v>
      </c>
      <c r="J204" s="16">
        <v>0</v>
      </c>
      <c r="K204" s="16">
        <v>3.0000000000000001E-3</v>
      </c>
      <c r="L204" s="16">
        <v>1.649197860962568E-3</v>
      </c>
      <c r="M204" s="16">
        <v>3.5732620320855647E-2</v>
      </c>
      <c r="N204" s="16">
        <v>0</v>
      </c>
      <c r="O204" s="16">
        <v>0</v>
      </c>
      <c r="P204" s="95"/>
    </row>
    <row r="205" spans="1:16" x14ac:dyDescent="0.25">
      <c r="A205" s="16">
        <v>32</v>
      </c>
      <c r="B205" s="16">
        <v>437454.10856199998</v>
      </c>
      <c r="C205" s="16">
        <v>5688631.3324180003</v>
      </c>
      <c r="D205" s="31">
        <v>27</v>
      </c>
      <c r="E205" s="31" t="s">
        <v>40</v>
      </c>
      <c r="F205" s="46">
        <v>2010</v>
      </c>
      <c r="G205" s="31" t="s">
        <v>18</v>
      </c>
      <c r="H205" s="31" t="s">
        <v>18</v>
      </c>
      <c r="I205" s="31" t="s">
        <v>18</v>
      </c>
      <c r="J205" s="31" t="s">
        <v>18</v>
      </c>
      <c r="K205" s="16">
        <v>0.01</v>
      </c>
      <c r="L205" s="16">
        <v>5.4973262032085605E-3</v>
      </c>
      <c r="M205" s="31" t="s">
        <v>18</v>
      </c>
      <c r="N205" s="16">
        <v>0</v>
      </c>
      <c r="O205" s="16">
        <v>0</v>
      </c>
      <c r="P205" s="95" t="s">
        <v>39</v>
      </c>
    </row>
    <row r="206" spans="1:16" x14ac:dyDescent="0.25">
      <c r="A206" s="16">
        <v>33</v>
      </c>
      <c r="B206" s="16">
        <v>437573.10856199998</v>
      </c>
      <c r="C206" s="16">
        <v>5688631.3324180003</v>
      </c>
      <c r="D206" s="31">
        <v>27</v>
      </c>
      <c r="E206" s="31" t="s">
        <v>40</v>
      </c>
      <c r="F206" s="46">
        <v>2010</v>
      </c>
      <c r="G206" s="16">
        <v>2.9000000000000001E-2</v>
      </c>
      <c r="H206" s="16">
        <v>1.5942245989304823E-2</v>
      </c>
      <c r="I206" s="16">
        <v>0</v>
      </c>
      <c r="J206" s="16">
        <v>0</v>
      </c>
      <c r="K206" s="16">
        <v>4.0000000000000001E-3</v>
      </c>
      <c r="L206" s="16">
        <v>2.1989304812834241E-3</v>
      </c>
      <c r="M206" s="16">
        <v>1.37433155080214E-2</v>
      </c>
      <c r="N206" s="16">
        <v>0</v>
      </c>
      <c r="O206" s="16">
        <v>0</v>
      </c>
      <c r="P206" s="95"/>
    </row>
    <row r="207" spans="1:16" x14ac:dyDescent="0.25">
      <c r="A207" s="16">
        <v>34</v>
      </c>
      <c r="B207" s="16">
        <v>437692.10856199998</v>
      </c>
      <c r="C207" s="16">
        <v>5688631.3324180003</v>
      </c>
      <c r="D207" s="31">
        <v>27</v>
      </c>
      <c r="E207" s="31" t="s">
        <v>40</v>
      </c>
      <c r="F207" s="46">
        <v>2010</v>
      </c>
      <c r="G207" s="16">
        <v>4.8000000000000001E-2</v>
      </c>
      <c r="H207" s="16">
        <v>2.6387165775401088E-2</v>
      </c>
      <c r="I207" s="16">
        <v>0</v>
      </c>
      <c r="J207" s="16">
        <v>0</v>
      </c>
      <c r="K207" s="16">
        <v>3.6999999999999998E-2</v>
      </c>
      <c r="L207" s="16">
        <v>2.0340106951871672E-2</v>
      </c>
      <c r="M207" s="16">
        <v>6.0470588235294149E-3</v>
      </c>
      <c r="N207" s="16">
        <v>0</v>
      </c>
      <c r="O207" s="16">
        <v>0</v>
      </c>
      <c r="P207" s="95"/>
    </row>
    <row r="208" spans="1:16" x14ac:dyDescent="0.25">
      <c r="A208" s="16">
        <v>35</v>
      </c>
      <c r="B208" s="16">
        <v>437893</v>
      </c>
      <c r="C208" s="16">
        <v>5688620</v>
      </c>
      <c r="D208" s="31">
        <v>27</v>
      </c>
      <c r="E208" s="31" t="s">
        <v>40</v>
      </c>
      <c r="F208" s="46">
        <v>2010</v>
      </c>
      <c r="G208" s="16">
        <v>1.9E-2</v>
      </c>
      <c r="H208" s="16">
        <v>1.0444919786096265E-2</v>
      </c>
      <c r="I208" s="16">
        <v>0</v>
      </c>
      <c r="J208" s="16">
        <v>0</v>
      </c>
      <c r="K208" s="16">
        <v>2.3E-2</v>
      </c>
      <c r="L208" s="16">
        <v>1.2643850267379689E-2</v>
      </c>
      <c r="M208" s="16">
        <v>-2.1989304812834246E-3</v>
      </c>
      <c r="N208" s="16">
        <v>0</v>
      </c>
      <c r="O208" s="16">
        <v>0</v>
      </c>
      <c r="P208" s="95"/>
    </row>
    <row r="209" spans="1:16" x14ac:dyDescent="0.25">
      <c r="A209" s="16">
        <v>36</v>
      </c>
      <c r="B209" s="16">
        <v>437930.10856199998</v>
      </c>
      <c r="C209" s="16">
        <v>5688631.3324180003</v>
      </c>
      <c r="D209" s="31">
        <v>27</v>
      </c>
      <c r="E209" s="31" t="s">
        <v>40</v>
      </c>
      <c r="F209" s="46">
        <v>2010</v>
      </c>
      <c r="G209" s="16">
        <v>6.3E-2</v>
      </c>
      <c r="H209" s="16">
        <v>3.4633155080213932E-2</v>
      </c>
      <c r="I209" s="16">
        <v>0</v>
      </c>
      <c r="J209" s="16">
        <v>0</v>
      </c>
      <c r="K209" s="16">
        <v>8.9999999999999993E-3</v>
      </c>
      <c r="L209" s="16">
        <v>4.9475935828877035E-3</v>
      </c>
      <c r="M209" s="16">
        <v>2.9685561497326228E-2</v>
      </c>
      <c r="N209" s="16">
        <v>0</v>
      </c>
      <c r="O209" s="16">
        <v>0</v>
      </c>
      <c r="P209" s="95"/>
    </row>
    <row r="210" spans="1:16" x14ac:dyDescent="0.25">
      <c r="A210" s="35">
        <v>37</v>
      </c>
      <c r="B210" s="35">
        <v>438049.10856199998</v>
      </c>
      <c r="C210" s="35">
        <v>5688631.3324180003</v>
      </c>
      <c r="D210" s="96">
        <v>27</v>
      </c>
      <c r="E210" s="96" t="s">
        <v>40</v>
      </c>
      <c r="F210" s="96">
        <v>2010</v>
      </c>
      <c r="G210" s="96" t="s">
        <v>18</v>
      </c>
      <c r="H210" s="96" t="s">
        <v>18</v>
      </c>
      <c r="I210" s="96" t="s">
        <v>18</v>
      </c>
      <c r="J210" s="96" t="s">
        <v>18</v>
      </c>
      <c r="K210" s="96" t="s">
        <v>18</v>
      </c>
      <c r="L210" s="96" t="s">
        <v>18</v>
      </c>
      <c r="M210" s="96" t="s">
        <v>18</v>
      </c>
      <c r="N210" s="96" t="s">
        <v>18</v>
      </c>
      <c r="O210" s="96" t="s">
        <v>18</v>
      </c>
      <c r="P210" s="94" t="s">
        <v>21</v>
      </c>
    </row>
    <row r="211" spans="1:16" x14ac:dyDescent="0.25">
      <c r="A211" s="16">
        <v>38</v>
      </c>
      <c r="B211" s="16">
        <v>438067</v>
      </c>
      <c r="C211" s="16">
        <v>5688710</v>
      </c>
      <c r="D211" s="31">
        <v>26</v>
      </c>
      <c r="E211" s="31" t="s">
        <v>40</v>
      </c>
      <c r="F211" s="46">
        <v>2010</v>
      </c>
      <c r="G211" s="16">
        <v>0.23400000000000001</v>
      </c>
      <c r="H211" s="16">
        <v>0.12863743315508031</v>
      </c>
      <c r="I211" s="16">
        <v>4.2000000000000003E-2</v>
      </c>
      <c r="J211" s="16">
        <v>2.0195209580838307E-2</v>
      </c>
      <c r="K211" s="16">
        <v>1.2E-2</v>
      </c>
      <c r="L211" s="16">
        <v>6.5967914438502719E-3</v>
      </c>
      <c r="M211" s="16">
        <v>0.12204064171123005</v>
      </c>
      <c r="N211" s="16">
        <v>0</v>
      </c>
      <c r="O211" s="16">
        <v>0</v>
      </c>
      <c r="P211" s="95"/>
    </row>
    <row r="212" spans="1:16" x14ac:dyDescent="0.25">
      <c r="A212" s="35">
        <v>39</v>
      </c>
      <c r="B212" s="35">
        <v>438287.10856199998</v>
      </c>
      <c r="C212" s="35">
        <v>5688631.3324180003</v>
      </c>
      <c r="D212" s="96">
        <v>27</v>
      </c>
      <c r="E212" s="96" t="s">
        <v>40</v>
      </c>
      <c r="F212" s="96">
        <v>2010</v>
      </c>
      <c r="G212" s="96" t="s">
        <v>18</v>
      </c>
      <c r="H212" s="96" t="s">
        <v>18</v>
      </c>
      <c r="I212" s="96" t="s">
        <v>18</v>
      </c>
      <c r="J212" s="96" t="s">
        <v>18</v>
      </c>
      <c r="K212" s="96" t="s">
        <v>18</v>
      </c>
      <c r="L212" s="96" t="s">
        <v>18</v>
      </c>
      <c r="M212" s="96" t="s">
        <v>18</v>
      </c>
      <c r="N212" s="96" t="s">
        <v>18</v>
      </c>
      <c r="O212" s="96" t="s">
        <v>18</v>
      </c>
      <c r="P212" s="94" t="s">
        <v>22</v>
      </c>
    </row>
    <row r="213" spans="1:16" x14ac:dyDescent="0.25">
      <c r="A213" s="16">
        <v>40</v>
      </c>
      <c r="B213" s="16">
        <v>438406.10856199998</v>
      </c>
      <c r="C213" s="16">
        <v>5688631.3324180003</v>
      </c>
      <c r="D213" s="31">
        <v>26</v>
      </c>
      <c r="E213" s="31" t="s">
        <v>40</v>
      </c>
      <c r="F213" s="46">
        <v>2010</v>
      </c>
      <c r="G213" s="16">
        <v>5.6000000000000001E-2</v>
      </c>
      <c r="H213" s="16">
        <v>3.0785026737967937E-2</v>
      </c>
      <c r="I213" s="16">
        <v>0</v>
      </c>
      <c r="J213" s="16">
        <v>0</v>
      </c>
      <c r="K213" s="16">
        <v>8.0000000000000002E-3</v>
      </c>
      <c r="L213" s="16">
        <v>4.3978609625668482E-3</v>
      </c>
      <c r="M213" s="16">
        <v>2.6387165775401088E-2</v>
      </c>
      <c r="N213" s="16">
        <v>0</v>
      </c>
      <c r="O213" s="16">
        <v>0</v>
      </c>
      <c r="P213" s="95"/>
    </row>
    <row r="214" spans="1:16" x14ac:dyDescent="0.25">
      <c r="A214" s="16">
        <v>41</v>
      </c>
      <c r="B214" s="16">
        <v>437310</v>
      </c>
      <c r="C214" s="16">
        <v>5688729</v>
      </c>
      <c r="D214" s="31">
        <v>27</v>
      </c>
      <c r="E214" s="31" t="s">
        <v>40</v>
      </c>
      <c r="F214" s="46">
        <v>2010</v>
      </c>
      <c r="G214" s="16">
        <v>7.2999999999999995E-2</v>
      </c>
      <c r="H214" s="16">
        <v>4.0130481283422489E-2</v>
      </c>
      <c r="I214" s="16">
        <v>0</v>
      </c>
      <c r="J214" s="16">
        <v>0</v>
      </c>
      <c r="K214" s="16">
        <v>7.0000000000000001E-3</v>
      </c>
      <c r="L214" s="16">
        <v>3.8481283422459921E-3</v>
      </c>
      <c r="M214" s="16">
        <v>3.6282352941176495E-2</v>
      </c>
      <c r="N214" s="16">
        <v>0</v>
      </c>
      <c r="O214" s="16">
        <v>0</v>
      </c>
      <c r="P214" s="95"/>
    </row>
    <row r="215" spans="1:16" x14ac:dyDescent="0.25">
      <c r="A215" s="16">
        <v>42</v>
      </c>
      <c r="B215" s="16">
        <v>437454.10856199998</v>
      </c>
      <c r="C215" s="16">
        <v>5688750.3324180003</v>
      </c>
      <c r="D215" s="31">
        <v>27</v>
      </c>
      <c r="E215" s="31" t="s">
        <v>40</v>
      </c>
      <c r="F215" s="46">
        <v>2010</v>
      </c>
      <c r="G215" s="16">
        <v>3.4000000000000002E-2</v>
      </c>
      <c r="H215" s="16">
        <v>1.8690909090909105E-2</v>
      </c>
      <c r="I215" s="16">
        <v>0.05</v>
      </c>
      <c r="J215" s="16">
        <v>2.4041916167664653E-2</v>
      </c>
      <c r="K215" s="16">
        <v>1.6E-2</v>
      </c>
      <c r="L215" s="16">
        <v>8.7957219251336965E-3</v>
      </c>
      <c r="M215" s="16">
        <v>9.8951871657754088E-3</v>
      </c>
      <c r="N215" s="16">
        <v>0.01</v>
      </c>
      <c r="O215" s="16">
        <v>4.8083832335329302E-3</v>
      </c>
      <c r="P215" s="95"/>
    </row>
    <row r="216" spans="1:16" x14ac:dyDescent="0.25">
      <c r="A216" s="16">
        <v>43</v>
      </c>
      <c r="B216" s="16">
        <v>437573.10856199998</v>
      </c>
      <c r="C216" s="16">
        <v>5688750.3324180003</v>
      </c>
      <c r="D216" s="31">
        <v>27</v>
      </c>
      <c r="E216" s="31" t="s">
        <v>40</v>
      </c>
      <c r="F216" s="46">
        <v>2010</v>
      </c>
      <c r="G216" s="16">
        <v>0</v>
      </c>
      <c r="H216" s="16">
        <v>0</v>
      </c>
      <c r="I216" s="16">
        <v>0</v>
      </c>
      <c r="J216" s="16">
        <v>0</v>
      </c>
      <c r="K216" s="16">
        <v>1.2999999999999999E-2</v>
      </c>
      <c r="L216" s="16">
        <v>7.1465240641711281E-3</v>
      </c>
      <c r="M216" s="16">
        <v>-7.1465240641711281E-3</v>
      </c>
      <c r="N216" s="16">
        <v>0</v>
      </c>
      <c r="O216" s="16">
        <v>0</v>
      </c>
      <c r="P216" s="95"/>
    </row>
    <row r="217" spans="1:16" x14ac:dyDescent="0.25">
      <c r="A217" s="16">
        <v>44</v>
      </c>
      <c r="B217" s="16">
        <v>437692.10856199998</v>
      </c>
      <c r="C217" s="16">
        <v>5688750.3324180003</v>
      </c>
      <c r="D217" s="31">
        <v>27</v>
      </c>
      <c r="E217" s="31" t="s">
        <v>40</v>
      </c>
      <c r="F217" s="46">
        <v>2010</v>
      </c>
      <c r="G217" s="16">
        <v>3.3000000000000002E-2</v>
      </c>
      <c r="H217" s="16">
        <v>1.8141176470588247E-2</v>
      </c>
      <c r="I217" s="16">
        <v>0</v>
      </c>
      <c r="J217" s="16">
        <v>0</v>
      </c>
      <c r="K217" s="16">
        <v>1.9E-2</v>
      </c>
      <c r="L217" s="16">
        <v>1.0444919786096265E-2</v>
      </c>
      <c r="M217" s="16">
        <v>7.6962566844919851E-3</v>
      </c>
      <c r="N217" s="16">
        <v>0</v>
      </c>
      <c r="O217" s="16">
        <v>0</v>
      </c>
      <c r="P217" s="95"/>
    </row>
    <row r="218" spans="1:16" x14ac:dyDescent="0.25">
      <c r="A218" s="16">
        <v>45</v>
      </c>
      <c r="B218" s="16">
        <v>437811.10856199998</v>
      </c>
      <c r="C218" s="16">
        <v>5688750.3324180003</v>
      </c>
      <c r="D218" s="31">
        <v>27</v>
      </c>
      <c r="E218" s="31" t="s">
        <v>40</v>
      </c>
      <c r="F218" s="46">
        <v>2010</v>
      </c>
      <c r="G218" s="16">
        <v>4.2999999999999997E-2</v>
      </c>
      <c r="H218" s="16">
        <v>2.3638502673796809E-2</v>
      </c>
      <c r="I218" s="16">
        <v>7.0000000000000001E-3</v>
      </c>
      <c r="J218" s="16">
        <v>3.3658682634730513E-3</v>
      </c>
      <c r="K218" s="16">
        <v>2.8000000000000001E-2</v>
      </c>
      <c r="L218" s="16">
        <v>1.5392513368983968E-2</v>
      </c>
      <c r="M218" s="16">
        <v>8.2459893048128403E-3</v>
      </c>
      <c r="N218" s="16">
        <v>5.0000000000000001E-3</v>
      </c>
      <c r="O218" s="16">
        <v>2.4041916167664651E-3</v>
      </c>
      <c r="P218" s="95"/>
    </row>
    <row r="219" spans="1:16" x14ac:dyDescent="0.25">
      <c r="A219" s="16">
        <v>46</v>
      </c>
      <c r="B219" s="16">
        <v>437930.10856199998</v>
      </c>
      <c r="C219" s="16">
        <v>5688750.3324180003</v>
      </c>
      <c r="D219" s="31">
        <v>27</v>
      </c>
      <c r="E219" s="31" t="s">
        <v>40</v>
      </c>
      <c r="F219" s="46">
        <v>2010</v>
      </c>
      <c r="G219" s="16">
        <v>4.7E-2</v>
      </c>
      <c r="H219" s="16">
        <v>2.5837433155080233E-2</v>
      </c>
      <c r="I219" s="16">
        <v>0</v>
      </c>
      <c r="J219" s="16">
        <v>0</v>
      </c>
      <c r="K219" s="16">
        <v>7.0000000000000001E-3</v>
      </c>
      <c r="L219" s="16">
        <v>3.8481283422459921E-3</v>
      </c>
      <c r="M219" s="16">
        <v>2.1989304812834242E-2</v>
      </c>
      <c r="N219" s="16">
        <v>2.9000000000000001E-2</v>
      </c>
      <c r="O219" s="16">
        <v>1.3944311377245498E-2</v>
      </c>
      <c r="P219" s="95"/>
    </row>
    <row r="220" spans="1:16" x14ac:dyDescent="0.25">
      <c r="A220" s="16">
        <v>47</v>
      </c>
      <c r="B220" s="16">
        <v>438061</v>
      </c>
      <c r="C220" s="16">
        <v>5688779</v>
      </c>
      <c r="D220" s="31">
        <v>26</v>
      </c>
      <c r="E220" s="31" t="s">
        <v>40</v>
      </c>
      <c r="F220" s="46">
        <v>2010</v>
      </c>
      <c r="G220" s="16">
        <v>9.6000000000000002E-2</v>
      </c>
      <c r="H220" s="16">
        <v>5.2774331550802175E-2</v>
      </c>
      <c r="I220" s="16">
        <v>0</v>
      </c>
      <c r="J220" s="16">
        <v>0</v>
      </c>
      <c r="K220" s="16">
        <v>6.0000000000000001E-3</v>
      </c>
      <c r="L220" s="16">
        <v>3.298395721925136E-3</v>
      </c>
      <c r="M220" s="16">
        <v>4.9475935828877042E-2</v>
      </c>
      <c r="N220" s="16">
        <v>0</v>
      </c>
      <c r="O220" s="16">
        <v>0</v>
      </c>
      <c r="P220" s="95"/>
    </row>
    <row r="221" spans="1:16" x14ac:dyDescent="0.25">
      <c r="A221" s="35">
        <v>48</v>
      </c>
      <c r="B221" s="35">
        <v>438168.10856199998</v>
      </c>
      <c r="C221" s="35">
        <v>5688750.3324180003</v>
      </c>
      <c r="D221" s="96">
        <v>27</v>
      </c>
      <c r="E221" s="96" t="s">
        <v>40</v>
      </c>
      <c r="F221" s="96">
        <v>2010</v>
      </c>
      <c r="G221" s="96" t="s">
        <v>18</v>
      </c>
      <c r="H221" s="96" t="s">
        <v>18</v>
      </c>
      <c r="I221" s="96" t="s">
        <v>18</v>
      </c>
      <c r="J221" s="96" t="s">
        <v>18</v>
      </c>
      <c r="K221" s="96" t="s">
        <v>18</v>
      </c>
      <c r="L221" s="96" t="s">
        <v>18</v>
      </c>
      <c r="M221" s="96" t="s">
        <v>18</v>
      </c>
      <c r="N221" s="96" t="s">
        <v>18</v>
      </c>
      <c r="O221" s="96" t="s">
        <v>18</v>
      </c>
      <c r="P221" s="94" t="s">
        <v>21</v>
      </c>
    </row>
    <row r="222" spans="1:16" x14ac:dyDescent="0.25">
      <c r="A222" s="16">
        <v>49</v>
      </c>
      <c r="B222" s="16">
        <v>437454.10856199998</v>
      </c>
      <c r="C222" s="16">
        <v>5688869.3324180003</v>
      </c>
      <c r="D222" s="31">
        <v>26</v>
      </c>
      <c r="E222" s="31" t="s">
        <v>40</v>
      </c>
      <c r="F222" s="46">
        <v>2010</v>
      </c>
      <c r="G222" s="16">
        <v>8.1000000000000003E-2</v>
      </c>
      <c r="H222" s="16">
        <v>4.4528342245989339E-2</v>
      </c>
      <c r="I222" s="16">
        <v>8.0000000000000002E-3</v>
      </c>
      <c r="J222" s="16">
        <v>3.8467065868263441E-3</v>
      </c>
      <c r="K222" s="16">
        <v>0</v>
      </c>
      <c r="L222" s="16">
        <v>0</v>
      </c>
      <c r="M222" s="16">
        <v>4.4528342245989339E-2</v>
      </c>
      <c r="N222" s="16">
        <v>3.7999999999999999E-2</v>
      </c>
      <c r="O222" s="16">
        <v>1.8271856287425135E-2</v>
      </c>
      <c r="P222" s="95"/>
    </row>
    <row r="223" spans="1:16" x14ac:dyDescent="0.25">
      <c r="A223" s="16">
        <v>50</v>
      </c>
      <c r="B223" s="16">
        <v>437811.10856199998</v>
      </c>
      <c r="C223" s="16">
        <v>5688869.3324180003</v>
      </c>
      <c r="D223" s="31">
        <v>26</v>
      </c>
      <c r="E223" s="31" t="s">
        <v>40</v>
      </c>
      <c r="F223" s="46">
        <v>2010</v>
      </c>
      <c r="G223" s="16">
        <v>3.5000000000000003E-2</v>
      </c>
      <c r="H223" s="16">
        <v>1.9240641711229963E-2</v>
      </c>
      <c r="I223" s="16">
        <v>0</v>
      </c>
      <c r="J223" s="16">
        <v>0</v>
      </c>
      <c r="K223" s="16">
        <v>1.0999999999999999E-2</v>
      </c>
      <c r="L223" s="16">
        <v>6.0470588235294158E-3</v>
      </c>
      <c r="M223" s="16">
        <v>1.3193582887700547E-2</v>
      </c>
      <c r="N223" s="16">
        <v>0</v>
      </c>
      <c r="O223" s="16">
        <v>0</v>
      </c>
      <c r="P223" s="95"/>
    </row>
    <row r="224" spans="1:16" x14ac:dyDescent="0.25">
      <c r="A224" s="16">
        <v>51</v>
      </c>
      <c r="B224" s="16">
        <v>437930.10856199998</v>
      </c>
      <c r="C224" s="16">
        <v>5688869.3324180003</v>
      </c>
      <c r="D224" s="31">
        <v>26</v>
      </c>
      <c r="E224" s="31" t="s">
        <v>40</v>
      </c>
      <c r="F224" s="46">
        <v>2010</v>
      </c>
      <c r="G224" s="16">
        <v>9.1999999999999998E-2</v>
      </c>
      <c r="H224" s="16">
        <v>5.0575401069518758E-2</v>
      </c>
      <c r="I224" s="16">
        <v>0</v>
      </c>
      <c r="J224" s="16">
        <v>0</v>
      </c>
      <c r="K224" s="16">
        <v>6.0000000000000001E-3</v>
      </c>
      <c r="L224" s="16">
        <v>3.298395721925136E-3</v>
      </c>
      <c r="M224" s="16">
        <v>4.7277005347593618E-2</v>
      </c>
      <c r="N224" s="16">
        <v>0</v>
      </c>
      <c r="O224" s="16">
        <v>0</v>
      </c>
      <c r="P224" s="95"/>
    </row>
    <row r="225" spans="1:19" x14ac:dyDescent="0.25">
      <c r="A225" s="16">
        <v>52</v>
      </c>
      <c r="B225" s="16">
        <v>438049.10856199998</v>
      </c>
      <c r="C225" s="16">
        <v>5688869.3324180003</v>
      </c>
      <c r="D225" s="31">
        <v>26</v>
      </c>
      <c r="E225" s="31" t="s">
        <v>40</v>
      </c>
      <c r="F225" s="46">
        <v>2010</v>
      </c>
      <c r="G225" s="16">
        <v>4.3999999999999997E-2</v>
      </c>
      <c r="H225" s="16">
        <v>2.4188235294117663E-2</v>
      </c>
      <c r="I225" s="16">
        <v>0</v>
      </c>
      <c r="J225" s="16">
        <v>0</v>
      </c>
      <c r="K225" s="16">
        <v>6.0000000000000001E-3</v>
      </c>
      <c r="L225" s="16">
        <v>3.298395721925136E-3</v>
      </c>
      <c r="M225" s="16">
        <v>2.088983957219253E-2</v>
      </c>
      <c r="N225" s="16">
        <v>0</v>
      </c>
      <c r="O225" s="16">
        <v>0</v>
      </c>
      <c r="P225" s="95"/>
    </row>
    <row r="226" spans="1:19" x14ac:dyDescent="0.25">
      <c r="A226" s="16">
        <v>53</v>
      </c>
      <c r="B226" s="16">
        <v>438287.10856199998</v>
      </c>
      <c r="C226" s="16">
        <v>5688869.3324180003</v>
      </c>
      <c r="D226" s="31">
        <v>26</v>
      </c>
      <c r="E226" s="31" t="s">
        <v>40</v>
      </c>
      <c r="F226" s="46">
        <v>2010</v>
      </c>
      <c r="G226" s="16">
        <v>5.5E-2</v>
      </c>
      <c r="H226" s="16">
        <v>3.0235294117647079E-2</v>
      </c>
      <c r="I226" s="16">
        <v>0</v>
      </c>
      <c r="J226" s="16">
        <v>0</v>
      </c>
      <c r="K226" s="16">
        <v>7.0000000000000001E-3</v>
      </c>
      <c r="L226" s="16">
        <v>3.8481283422459921E-3</v>
      </c>
      <c r="M226" s="16">
        <v>2.6387165775401088E-2</v>
      </c>
      <c r="N226" s="16">
        <v>0</v>
      </c>
      <c r="O226" s="16">
        <v>0</v>
      </c>
      <c r="P226" s="95"/>
    </row>
    <row r="227" spans="1:19" x14ac:dyDescent="0.25">
      <c r="A227" s="16">
        <v>54</v>
      </c>
      <c r="B227" s="16">
        <v>437454.10856199998</v>
      </c>
      <c r="C227" s="16">
        <v>5688988.3324180003</v>
      </c>
      <c r="D227" s="31">
        <v>26</v>
      </c>
      <c r="E227" s="31" t="s">
        <v>40</v>
      </c>
      <c r="F227" s="46">
        <v>2010</v>
      </c>
      <c r="G227" s="16">
        <v>8.3000000000000004E-2</v>
      </c>
      <c r="H227" s="16">
        <v>4.5627807486631047E-2</v>
      </c>
      <c r="I227" s="16">
        <v>0.01</v>
      </c>
      <c r="J227" s="16">
        <v>4.8083832335329302E-3</v>
      </c>
      <c r="K227" s="16">
        <v>1.0999999999999999E-2</v>
      </c>
      <c r="L227" s="16">
        <v>6.0470588235294158E-3</v>
      </c>
      <c r="M227" s="16">
        <v>3.9580748663101628E-2</v>
      </c>
      <c r="N227" s="16">
        <v>1.2999999999999999E-2</v>
      </c>
      <c r="O227" s="16">
        <v>6.2508982035928097E-3</v>
      </c>
      <c r="P227" s="95"/>
    </row>
    <row r="228" spans="1:19" x14ac:dyDescent="0.25">
      <c r="A228" s="16">
        <v>55</v>
      </c>
      <c r="B228" s="16">
        <v>438049.10856199998</v>
      </c>
      <c r="C228" s="16">
        <v>5688988.3324180003</v>
      </c>
      <c r="D228" s="31">
        <v>26</v>
      </c>
      <c r="E228" s="31" t="s">
        <v>40</v>
      </c>
      <c r="F228" s="46">
        <v>2010</v>
      </c>
      <c r="G228" s="16">
        <v>4.1000000000000002E-2</v>
      </c>
      <c r="H228" s="16">
        <v>2.2539037433155096E-2</v>
      </c>
      <c r="I228" s="16">
        <v>0.11</v>
      </c>
      <c r="J228" s="16">
        <v>5.2892215568862234E-2</v>
      </c>
      <c r="K228" s="16">
        <v>1.4E-2</v>
      </c>
      <c r="L228" s="16">
        <v>7.6962566844919842E-3</v>
      </c>
      <c r="M228" s="16">
        <v>1.4842780748663114E-2</v>
      </c>
      <c r="N228" s="16">
        <v>8.7999999999999995E-2</v>
      </c>
      <c r="O228" s="16">
        <v>4.2313772455089785E-2</v>
      </c>
      <c r="P228" s="95"/>
    </row>
    <row r="229" spans="1:19" x14ac:dyDescent="0.25">
      <c r="A229" s="16">
        <v>56</v>
      </c>
      <c r="B229" s="16">
        <v>438168.10856199998</v>
      </c>
      <c r="C229" s="16">
        <v>5688988.3324180003</v>
      </c>
      <c r="D229" s="31">
        <v>26</v>
      </c>
      <c r="E229" s="31" t="s">
        <v>40</v>
      </c>
      <c r="F229" s="46">
        <v>2010</v>
      </c>
      <c r="G229" s="16">
        <v>0.14599999999999999</v>
      </c>
      <c r="H229" s="16">
        <v>8.0260962566844979E-2</v>
      </c>
      <c r="I229" s="16">
        <v>0</v>
      </c>
      <c r="J229" s="16">
        <v>0</v>
      </c>
      <c r="K229" s="16">
        <v>8.0000000000000002E-3</v>
      </c>
      <c r="L229" s="16">
        <v>4.3978609625668482E-3</v>
      </c>
      <c r="M229" s="16">
        <v>7.586310160427813E-2</v>
      </c>
      <c r="N229" s="16">
        <v>0</v>
      </c>
      <c r="O229" s="16">
        <v>0</v>
      </c>
      <c r="P229" s="95"/>
    </row>
    <row r="230" spans="1:19" x14ac:dyDescent="0.25">
      <c r="A230" s="36">
        <v>57</v>
      </c>
      <c r="B230" s="36">
        <v>438146</v>
      </c>
      <c r="C230" s="36">
        <v>5688977</v>
      </c>
      <c r="D230" s="99">
        <v>26</v>
      </c>
      <c r="E230" s="99" t="s">
        <v>40</v>
      </c>
      <c r="F230" s="50">
        <v>2010</v>
      </c>
      <c r="G230" s="36">
        <v>9.1999999999999998E-2</v>
      </c>
      <c r="H230" s="36">
        <v>5.0575401069518758E-2</v>
      </c>
      <c r="I230" s="36">
        <v>0</v>
      </c>
      <c r="J230" s="36">
        <v>0</v>
      </c>
      <c r="K230" s="36">
        <v>1.2E-2</v>
      </c>
      <c r="L230" s="36">
        <v>6.5967914438502719E-3</v>
      </c>
      <c r="M230" s="36">
        <v>4.3978609625668484E-2</v>
      </c>
      <c r="N230" s="36">
        <v>0</v>
      </c>
      <c r="O230" s="36">
        <v>0</v>
      </c>
      <c r="P230" s="100"/>
    </row>
    <row r="231" spans="1:19" x14ac:dyDescent="0.25">
      <c r="A231" s="36">
        <v>58</v>
      </c>
      <c r="B231" s="36">
        <v>438131</v>
      </c>
      <c r="C231" s="36">
        <v>5688972</v>
      </c>
      <c r="D231" s="99">
        <v>26</v>
      </c>
      <c r="E231" s="99" t="s">
        <v>40</v>
      </c>
      <c r="F231" s="50">
        <v>2010</v>
      </c>
      <c r="G231" s="36">
        <v>0.156</v>
      </c>
      <c r="H231" s="36">
        <v>8.5758288770053537E-2</v>
      </c>
      <c r="I231" s="36">
        <v>0</v>
      </c>
      <c r="J231" s="36">
        <v>0</v>
      </c>
      <c r="K231" s="36">
        <v>1.0999999999999999E-2</v>
      </c>
      <c r="L231" s="36">
        <v>6.0470588235294158E-3</v>
      </c>
      <c r="M231" s="36">
        <v>7.9711229946524131E-2</v>
      </c>
      <c r="N231" s="36">
        <v>0</v>
      </c>
      <c r="O231" s="36">
        <v>0</v>
      </c>
      <c r="P231" s="100"/>
    </row>
    <row r="232" spans="1:19" x14ac:dyDescent="0.25">
      <c r="A232" s="36">
        <v>59</v>
      </c>
      <c r="B232" s="36">
        <v>438089</v>
      </c>
      <c r="C232" s="36">
        <v>5688713</v>
      </c>
      <c r="D232" s="99">
        <v>26</v>
      </c>
      <c r="E232" s="99" t="s">
        <v>40</v>
      </c>
      <c r="F232" s="50">
        <v>2010</v>
      </c>
      <c r="G232" s="36">
        <v>6.2E-2</v>
      </c>
      <c r="H232" s="36">
        <v>3.408342245989307E-2</v>
      </c>
      <c r="I232" s="36">
        <v>0</v>
      </c>
      <c r="J232" s="36">
        <v>0</v>
      </c>
      <c r="K232" s="36">
        <v>3.9E-2</v>
      </c>
      <c r="L232" s="36">
        <v>2.1439572192513384E-2</v>
      </c>
      <c r="M232" s="36">
        <v>1.2643850267379688E-2</v>
      </c>
      <c r="N232" s="36">
        <v>0</v>
      </c>
      <c r="O232" s="36">
        <v>0</v>
      </c>
      <c r="P232" s="100"/>
    </row>
    <row r="233" spans="1:19" x14ac:dyDescent="0.25">
      <c r="A233" s="36">
        <v>60</v>
      </c>
      <c r="B233" s="36">
        <v>438099</v>
      </c>
      <c r="C233" s="36">
        <v>5688719</v>
      </c>
      <c r="D233" s="99">
        <v>26</v>
      </c>
      <c r="E233" s="99" t="s">
        <v>40</v>
      </c>
      <c r="F233" s="50">
        <v>2010</v>
      </c>
      <c r="G233" s="36">
        <v>5.2999999999999999E-2</v>
      </c>
      <c r="H233" s="36">
        <v>2.913582887700537E-2</v>
      </c>
      <c r="I233" s="36">
        <v>0</v>
      </c>
      <c r="J233" s="36">
        <v>0</v>
      </c>
      <c r="K233" s="36">
        <v>1.2E-2</v>
      </c>
      <c r="L233" s="36">
        <v>6.5967914438502719E-3</v>
      </c>
      <c r="M233" s="36">
        <v>2.2539037433155096E-2</v>
      </c>
      <c r="N233" s="36">
        <v>0</v>
      </c>
      <c r="O233" s="36">
        <v>0</v>
      </c>
      <c r="P233" s="100"/>
    </row>
    <row r="234" spans="1:19" x14ac:dyDescent="0.25">
      <c r="A234" s="16">
        <v>1</v>
      </c>
      <c r="B234" s="16">
        <v>437930.10856199998</v>
      </c>
      <c r="C234" s="16">
        <v>5688036.3324180003</v>
      </c>
      <c r="D234" s="31">
        <v>27</v>
      </c>
      <c r="E234" s="31" t="s">
        <v>24</v>
      </c>
      <c r="F234" s="46">
        <v>2010</v>
      </c>
      <c r="G234" s="16">
        <v>2.2700000000000001E-2</v>
      </c>
      <c r="H234" s="16">
        <v>7.0823092000000002E-3</v>
      </c>
      <c r="I234" s="16">
        <v>9.7999999999999997E-3</v>
      </c>
      <c r="J234" s="16">
        <v>3.7779196E-3</v>
      </c>
      <c r="K234" s="16">
        <v>2.6800000000000001E-2</v>
      </c>
      <c r="L234" s="16">
        <v>9.4067999999999999E-3</v>
      </c>
      <c r="M234" s="16">
        <v>-2.3244907999999996E-3</v>
      </c>
      <c r="N234" s="16">
        <v>0</v>
      </c>
      <c r="O234" s="16">
        <v>0</v>
      </c>
      <c r="P234" s="95"/>
      <c r="R234" s="5">
        <f>AVERAGE(M234:M293)</f>
        <v>3.1491441792592591E-2</v>
      </c>
      <c r="S234" s="5">
        <f>AVERAGE(H234:H293)</f>
        <v>4.3106291792592594E-2</v>
      </c>
    </row>
    <row r="235" spans="1:19" x14ac:dyDescent="0.25">
      <c r="A235" s="16">
        <v>2</v>
      </c>
      <c r="B235" s="16">
        <v>437811.10856199998</v>
      </c>
      <c r="C235" s="16">
        <v>5688155.3324180003</v>
      </c>
      <c r="D235" s="31">
        <v>27</v>
      </c>
      <c r="E235" s="31" t="s">
        <v>24</v>
      </c>
      <c r="F235" s="46">
        <v>2010</v>
      </c>
      <c r="G235" s="16">
        <v>7.6300000000000007E-2</v>
      </c>
      <c r="H235" s="16">
        <v>2.3805294800000001E-2</v>
      </c>
      <c r="I235" s="16">
        <v>0</v>
      </c>
      <c r="J235" s="16">
        <v>0</v>
      </c>
      <c r="K235" s="16">
        <v>1.8700000000000001E-2</v>
      </c>
      <c r="L235" s="16">
        <v>6.5637000000000004E-3</v>
      </c>
      <c r="M235" s="16">
        <v>1.7241594800000003E-2</v>
      </c>
      <c r="N235" s="16">
        <v>0</v>
      </c>
      <c r="O235" s="16">
        <v>0</v>
      </c>
      <c r="P235" s="95"/>
    </row>
    <row r="236" spans="1:19" x14ac:dyDescent="0.25">
      <c r="A236" s="16">
        <v>3</v>
      </c>
      <c r="B236" s="16">
        <v>437930.10856199998</v>
      </c>
      <c r="C236" s="16">
        <v>5688155.3324180003</v>
      </c>
      <c r="D236" s="31">
        <v>27</v>
      </c>
      <c r="E236" s="31" t="s">
        <v>24</v>
      </c>
      <c r="F236" s="46">
        <v>2010</v>
      </c>
      <c r="G236" s="16">
        <v>0.14499999999999999</v>
      </c>
      <c r="H236" s="16">
        <v>4.5239419999999995E-2</v>
      </c>
      <c r="I236" s="16">
        <v>0</v>
      </c>
      <c r="J236" s="16">
        <v>0</v>
      </c>
      <c r="K236" s="16">
        <v>8.4099999999999994E-2</v>
      </c>
      <c r="L236" s="16">
        <v>2.9519099999999996E-2</v>
      </c>
      <c r="M236" s="16">
        <v>1.5720319999999999E-2</v>
      </c>
      <c r="N236" s="16">
        <v>6.5699999999999995E-2</v>
      </c>
      <c r="O236" s="16">
        <v>3.5383457699999996E-2</v>
      </c>
      <c r="P236" s="95"/>
    </row>
    <row r="237" spans="1:19" x14ac:dyDescent="0.25">
      <c r="A237" s="16">
        <v>4</v>
      </c>
      <c r="B237" s="16">
        <v>438049.10856199998</v>
      </c>
      <c r="C237" s="16">
        <v>5688155.3324180003</v>
      </c>
      <c r="D237" s="31">
        <v>27</v>
      </c>
      <c r="E237" s="31" t="s">
        <v>24</v>
      </c>
      <c r="F237" s="46">
        <v>2010</v>
      </c>
      <c r="G237" s="16">
        <v>6.3200000000000006E-2</v>
      </c>
      <c r="H237" s="16">
        <v>1.9718147200000001E-2</v>
      </c>
      <c r="I237" s="16">
        <v>0</v>
      </c>
      <c r="J237" s="16">
        <v>0</v>
      </c>
      <c r="K237" s="16">
        <v>1.78E-2</v>
      </c>
      <c r="L237" s="16">
        <v>6.2477999999999995E-3</v>
      </c>
      <c r="M237" s="16">
        <v>1.3470347200000002E-2</v>
      </c>
      <c r="N237" s="16">
        <v>0</v>
      </c>
      <c r="O237" s="16">
        <v>0</v>
      </c>
      <c r="P237" s="95"/>
    </row>
    <row r="238" spans="1:19" x14ac:dyDescent="0.25">
      <c r="A238" s="16">
        <v>5</v>
      </c>
      <c r="B238" s="16">
        <v>437573.10856199998</v>
      </c>
      <c r="C238" s="16">
        <v>5688274.3324180003</v>
      </c>
      <c r="D238" s="31">
        <v>27</v>
      </c>
      <c r="E238" s="31" t="s">
        <v>24</v>
      </c>
      <c r="F238" s="46">
        <v>2010</v>
      </c>
      <c r="G238" s="16">
        <v>5.8700000000000002E-2</v>
      </c>
      <c r="H238" s="16">
        <v>1.83141652E-2</v>
      </c>
      <c r="I238" s="16">
        <v>0</v>
      </c>
      <c r="J238" s="16">
        <v>0</v>
      </c>
      <c r="K238" s="16">
        <v>3.6700000000000003E-2</v>
      </c>
      <c r="L238" s="16">
        <v>1.2881700000000001E-2</v>
      </c>
      <c r="M238" s="16">
        <v>5.4324651999999984E-3</v>
      </c>
      <c r="N238" s="16">
        <v>7.2999999999999995E-2</v>
      </c>
      <c r="O238" s="16">
        <v>3.9314952999999993E-2</v>
      </c>
      <c r="P238" s="95"/>
    </row>
    <row r="239" spans="1:19" x14ac:dyDescent="0.25">
      <c r="A239" s="16">
        <v>6</v>
      </c>
      <c r="B239" s="16">
        <v>437692.10856199998</v>
      </c>
      <c r="C239" s="16">
        <v>5688274.3324180003</v>
      </c>
      <c r="D239" s="31">
        <v>27</v>
      </c>
      <c r="E239" s="31" t="s">
        <v>24</v>
      </c>
      <c r="F239" s="46">
        <v>2010</v>
      </c>
      <c r="G239" s="16">
        <v>0.16539999999999999</v>
      </c>
      <c r="H239" s="16">
        <v>5.1604138399999999E-2</v>
      </c>
      <c r="I239" s="16">
        <v>0.13170000000000001</v>
      </c>
      <c r="J239" s="16">
        <v>5.0770613400000005E-2</v>
      </c>
      <c r="K239" s="16">
        <v>5.2400000000000002E-2</v>
      </c>
      <c r="L239" s="16">
        <v>1.83924E-2</v>
      </c>
      <c r="M239" s="16">
        <v>3.3211738399999996E-2</v>
      </c>
      <c r="N239" s="16">
        <v>7.1000000000000004E-3</v>
      </c>
      <c r="O239" s="16">
        <v>3.8237830999999999E-3</v>
      </c>
      <c r="P239" s="95"/>
    </row>
    <row r="240" spans="1:19" x14ac:dyDescent="0.25">
      <c r="A240" s="16">
        <v>7</v>
      </c>
      <c r="B240" s="16">
        <v>437811.10856199998</v>
      </c>
      <c r="C240" s="16">
        <v>5688274.3324180003</v>
      </c>
      <c r="D240" s="31">
        <v>27</v>
      </c>
      <c r="E240" s="31" t="s">
        <v>24</v>
      </c>
      <c r="F240" s="46">
        <v>2010</v>
      </c>
      <c r="G240" s="16">
        <v>4.6300000000000001E-2</v>
      </c>
      <c r="H240" s="16">
        <v>1.44454148E-2</v>
      </c>
      <c r="I240" s="16">
        <v>0.42009999999999997</v>
      </c>
      <c r="J240" s="16">
        <v>0.16194939019999999</v>
      </c>
      <c r="K240" s="16">
        <v>1.1999999999999999E-3</v>
      </c>
      <c r="L240" s="16">
        <v>4.2119999999999994E-4</v>
      </c>
      <c r="M240" s="16">
        <v>1.40242148E-2</v>
      </c>
      <c r="N240" s="16">
        <v>5.7000000000000002E-2</v>
      </c>
      <c r="O240" s="16">
        <v>3.0697976999999998E-2</v>
      </c>
      <c r="P240" s="95"/>
    </row>
    <row r="241" spans="1:16" x14ac:dyDescent="0.25">
      <c r="A241" s="16">
        <v>8</v>
      </c>
      <c r="B241" s="16">
        <v>437930.10856199998</v>
      </c>
      <c r="C241" s="16">
        <v>5688274.3324180003</v>
      </c>
      <c r="D241" s="31">
        <v>27</v>
      </c>
      <c r="E241" s="31" t="s">
        <v>24</v>
      </c>
      <c r="F241" s="46">
        <v>2010</v>
      </c>
      <c r="G241" s="16">
        <v>6.1100000000000002E-2</v>
      </c>
      <c r="H241" s="16">
        <v>1.9062955600000001E-2</v>
      </c>
      <c r="I241" s="16">
        <v>0</v>
      </c>
      <c r="J241" s="16">
        <v>0</v>
      </c>
      <c r="K241" s="16">
        <v>2.2599999999999999E-2</v>
      </c>
      <c r="L241" s="16">
        <v>7.9325999999999997E-3</v>
      </c>
      <c r="M241" s="16">
        <v>1.1130355600000001E-2</v>
      </c>
      <c r="N241" s="16">
        <v>0</v>
      </c>
      <c r="O241" s="16">
        <v>0</v>
      </c>
      <c r="P241" s="95"/>
    </row>
    <row r="242" spans="1:16" x14ac:dyDescent="0.25">
      <c r="A242" s="16">
        <v>9</v>
      </c>
      <c r="B242" s="16">
        <v>438287.10856199998</v>
      </c>
      <c r="C242" s="16">
        <v>5688274.3324180003</v>
      </c>
      <c r="D242" s="31">
        <v>27</v>
      </c>
      <c r="E242" s="31" t="s">
        <v>24</v>
      </c>
      <c r="F242" s="46">
        <v>2010</v>
      </c>
      <c r="G242" s="16">
        <v>8.1299999999999997E-2</v>
      </c>
      <c r="H242" s="16">
        <v>2.53652748E-2</v>
      </c>
      <c r="I242" s="16">
        <v>0</v>
      </c>
      <c r="J242" s="16">
        <v>0</v>
      </c>
      <c r="K242" s="16">
        <v>3.6299999999999999E-2</v>
      </c>
      <c r="L242" s="16">
        <v>1.2741299999999999E-2</v>
      </c>
      <c r="M242" s="16">
        <v>1.2623974800000002E-2</v>
      </c>
      <c r="N242" s="16">
        <v>0</v>
      </c>
      <c r="O242" s="16">
        <v>0</v>
      </c>
      <c r="P242" s="95"/>
    </row>
    <row r="243" spans="1:16" x14ac:dyDescent="0.25">
      <c r="A243" s="16">
        <v>10</v>
      </c>
      <c r="B243" s="16">
        <v>438406.10856199998</v>
      </c>
      <c r="C243" s="16">
        <v>5688274.3324180003</v>
      </c>
      <c r="D243" s="31">
        <v>27</v>
      </c>
      <c r="E243" s="31" t="s">
        <v>24</v>
      </c>
      <c r="F243" s="46">
        <v>2010</v>
      </c>
      <c r="G243" s="16">
        <v>0.22900000000000001</v>
      </c>
      <c r="H243" s="16">
        <v>7.1447084000000008E-2</v>
      </c>
      <c r="I243" s="16">
        <v>0</v>
      </c>
      <c r="J243" s="16">
        <v>0</v>
      </c>
      <c r="K243" s="16">
        <v>1.9699999999999999E-2</v>
      </c>
      <c r="L243" s="16">
        <v>6.9146999999999993E-3</v>
      </c>
      <c r="M243" s="16">
        <v>6.4532384000000012E-2</v>
      </c>
      <c r="N243" s="16">
        <v>0</v>
      </c>
      <c r="O243" s="16">
        <v>0</v>
      </c>
      <c r="P243" s="95"/>
    </row>
    <row r="244" spans="1:16" x14ac:dyDescent="0.25">
      <c r="A244" s="16">
        <v>11</v>
      </c>
      <c r="B244" s="16">
        <v>437454.10856199998</v>
      </c>
      <c r="C244" s="16">
        <v>5688393.3324180003</v>
      </c>
      <c r="D244" s="31">
        <v>27</v>
      </c>
      <c r="E244" s="31" t="s">
        <v>24</v>
      </c>
      <c r="F244" s="46">
        <v>2010</v>
      </c>
      <c r="G244" s="16">
        <v>0.11559999999999999</v>
      </c>
      <c r="H244" s="16">
        <v>3.6066737599999996E-2</v>
      </c>
      <c r="I244" s="16">
        <v>5.0700000000000002E-2</v>
      </c>
      <c r="J244" s="16">
        <v>1.95449514E-2</v>
      </c>
      <c r="K244" s="16">
        <v>5.5199999999999999E-2</v>
      </c>
      <c r="L244" s="16">
        <v>1.9375199999999999E-2</v>
      </c>
      <c r="M244" s="16">
        <v>1.6691537599999997E-2</v>
      </c>
      <c r="N244" s="16">
        <v>4.02E-2</v>
      </c>
      <c r="O244" s="16">
        <v>2.1650152199999998E-2</v>
      </c>
      <c r="P244" s="95"/>
    </row>
    <row r="245" spans="1:16" x14ac:dyDescent="0.25">
      <c r="A245" s="16">
        <v>12</v>
      </c>
      <c r="B245" s="16">
        <v>437573.10856199998</v>
      </c>
      <c r="C245" s="16">
        <v>5688393.3324180003</v>
      </c>
      <c r="D245" s="31">
        <v>27</v>
      </c>
      <c r="E245" s="31" t="s">
        <v>24</v>
      </c>
      <c r="F245" s="46">
        <v>2010</v>
      </c>
      <c r="G245" s="16">
        <v>0.22270000000000001</v>
      </c>
      <c r="H245" s="16">
        <v>6.94815092E-2</v>
      </c>
      <c r="I245" s="16">
        <v>5.8999999999999997E-2</v>
      </c>
      <c r="J245" s="16">
        <v>2.2744618000000001E-2</v>
      </c>
      <c r="K245" s="16">
        <v>1.95E-2</v>
      </c>
      <c r="L245" s="16">
        <v>6.8444999999999999E-3</v>
      </c>
      <c r="M245" s="16">
        <v>6.2637009199999996E-2</v>
      </c>
      <c r="N245" s="16">
        <v>8.3000000000000001E-3</v>
      </c>
      <c r="O245" s="16">
        <v>4.4700562999999997E-3</v>
      </c>
      <c r="P245" s="95"/>
    </row>
    <row r="246" spans="1:16" x14ac:dyDescent="0.25">
      <c r="A246" s="16">
        <v>13</v>
      </c>
      <c r="B246" s="16">
        <v>437692.10856199998</v>
      </c>
      <c r="C246" s="16">
        <v>5688393.3324180003</v>
      </c>
      <c r="D246" s="31">
        <v>27</v>
      </c>
      <c r="E246" s="31" t="s">
        <v>24</v>
      </c>
      <c r="F246" s="46">
        <v>2010</v>
      </c>
      <c r="G246" s="16">
        <v>0.2283</v>
      </c>
      <c r="H246" s="16">
        <v>7.1228686799999996E-2</v>
      </c>
      <c r="I246" s="16">
        <v>0.19550000000000001</v>
      </c>
      <c r="J246" s="16">
        <v>7.5365641000000011E-2</v>
      </c>
      <c r="K246" s="16">
        <v>2.29E-2</v>
      </c>
      <c r="L246" s="16">
        <v>8.0378999999999989E-3</v>
      </c>
      <c r="M246" s="16">
        <v>6.3190786799999996E-2</v>
      </c>
      <c r="N246" s="16">
        <v>0.2747</v>
      </c>
      <c r="O246" s="16">
        <v>0.14794270669999998</v>
      </c>
      <c r="P246" s="95"/>
    </row>
    <row r="247" spans="1:16" x14ac:dyDescent="0.25">
      <c r="A247" s="35">
        <v>14</v>
      </c>
      <c r="B247" s="35">
        <v>437811.10856199998</v>
      </c>
      <c r="C247" s="35">
        <v>5688393.3324180003</v>
      </c>
      <c r="D247" s="96">
        <v>27</v>
      </c>
      <c r="E247" s="96" t="s">
        <v>24</v>
      </c>
      <c r="F247" s="96">
        <v>2010</v>
      </c>
      <c r="G247" s="96" t="s">
        <v>18</v>
      </c>
      <c r="H247" s="96" t="s">
        <v>18</v>
      </c>
      <c r="I247" s="96" t="s">
        <v>18</v>
      </c>
      <c r="J247" s="96" t="s">
        <v>18</v>
      </c>
      <c r="K247" s="96" t="s">
        <v>18</v>
      </c>
      <c r="L247" s="96" t="s">
        <v>18</v>
      </c>
      <c r="M247" s="96" t="s">
        <v>18</v>
      </c>
      <c r="N247" s="96" t="s">
        <v>18</v>
      </c>
      <c r="O247" s="96" t="s">
        <v>18</v>
      </c>
      <c r="P247" s="94" t="s">
        <v>21</v>
      </c>
    </row>
    <row r="248" spans="1:16" x14ac:dyDescent="0.25">
      <c r="A248" s="16">
        <v>15</v>
      </c>
      <c r="B248" s="16">
        <v>437930.10856199998</v>
      </c>
      <c r="C248" s="16">
        <v>5688393.3324180003</v>
      </c>
      <c r="D248" s="31">
        <v>27</v>
      </c>
      <c r="E248" s="31" t="s">
        <v>24</v>
      </c>
      <c r="F248" s="46">
        <v>2010</v>
      </c>
      <c r="G248" s="16">
        <v>2.1499999999999998E-2</v>
      </c>
      <c r="H248" s="16">
        <v>6.7079139999999997E-3</v>
      </c>
      <c r="I248" s="16">
        <v>0.48630000000000001</v>
      </c>
      <c r="J248" s="16">
        <v>0.1874696226</v>
      </c>
      <c r="K248" s="16">
        <v>0</v>
      </c>
      <c r="L248" s="16">
        <v>0</v>
      </c>
      <c r="M248" s="16">
        <v>6.7079139999999997E-3</v>
      </c>
      <c r="N248" s="16">
        <v>0.54800000000000004</v>
      </c>
      <c r="O248" s="16">
        <v>0.29513142799999997</v>
      </c>
      <c r="P248" s="95"/>
    </row>
    <row r="249" spans="1:16" x14ac:dyDescent="0.25">
      <c r="A249" s="16">
        <v>16</v>
      </c>
      <c r="B249" s="16">
        <v>438049.10856199998</v>
      </c>
      <c r="C249" s="16">
        <v>5688393.3324180003</v>
      </c>
      <c r="D249" s="31">
        <v>26</v>
      </c>
      <c r="E249" s="31" t="s">
        <v>24</v>
      </c>
      <c r="F249" s="46">
        <v>2010</v>
      </c>
      <c r="G249" s="16">
        <v>2.52E-2</v>
      </c>
      <c r="H249" s="16">
        <v>7.8622992000000006E-3</v>
      </c>
      <c r="I249" s="16">
        <v>0.28270000000000001</v>
      </c>
      <c r="J249" s="16">
        <v>0.1089814154</v>
      </c>
      <c r="K249" s="16">
        <v>3.0599999999999999E-2</v>
      </c>
      <c r="L249" s="16">
        <v>1.0740599999999999E-2</v>
      </c>
      <c r="M249" s="16">
        <v>-2.8783007999999988E-3</v>
      </c>
      <c r="N249" s="16">
        <v>9.3600000000000003E-2</v>
      </c>
      <c r="O249" s="16">
        <v>5.04093096E-2</v>
      </c>
      <c r="P249" s="95"/>
    </row>
    <row r="250" spans="1:16" x14ac:dyDescent="0.25">
      <c r="A250" s="16">
        <v>17</v>
      </c>
      <c r="B250" s="16">
        <v>438168.10856199998</v>
      </c>
      <c r="C250" s="16">
        <v>5688393.3324180003</v>
      </c>
      <c r="D250" s="31">
        <v>26</v>
      </c>
      <c r="E250" s="31" t="s">
        <v>24</v>
      </c>
      <c r="F250" s="46">
        <v>2010</v>
      </c>
      <c r="G250" s="16">
        <v>8.9399999999999993E-2</v>
      </c>
      <c r="H250" s="16">
        <v>2.7892442399999998E-2</v>
      </c>
      <c r="I250" s="16">
        <v>1.4800000000000001E-2</v>
      </c>
      <c r="J250" s="16">
        <v>5.7054296000000008E-3</v>
      </c>
      <c r="K250" s="16">
        <v>5.4100000000000002E-2</v>
      </c>
      <c r="L250" s="16">
        <v>1.8989099999999998E-2</v>
      </c>
      <c r="M250" s="16">
        <v>8.9033424E-3</v>
      </c>
      <c r="N250" s="16">
        <v>1.14E-2</v>
      </c>
      <c r="O250" s="16">
        <v>6.1395953999999996E-3</v>
      </c>
      <c r="P250" s="95"/>
    </row>
    <row r="251" spans="1:16" x14ac:dyDescent="0.25">
      <c r="A251" s="16">
        <v>18</v>
      </c>
      <c r="B251" s="16">
        <v>438287.10856199998</v>
      </c>
      <c r="C251" s="16">
        <v>5688393.3324180003</v>
      </c>
      <c r="D251" s="31">
        <v>26</v>
      </c>
      <c r="E251" s="31" t="s">
        <v>24</v>
      </c>
      <c r="F251" s="46">
        <v>2010</v>
      </c>
      <c r="G251" s="16">
        <v>0.1178</v>
      </c>
      <c r="H251" s="16">
        <v>3.67531288E-2</v>
      </c>
      <c r="I251" s="16">
        <v>0</v>
      </c>
      <c r="J251" s="16">
        <v>0</v>
      </c>
      <c r="K251" s="16">
        <v>1.83E-2</v>
      </c>
      <c r="L251" s="16">
        <v>6.4232999999999998E-3</v>
      </c>
      <c r="M251" s="16">
        <v>3.03298288E-2</v>
      </c>
      <c r="N251" s="16">
        <v>0</v>
      </c>
      <c r="O251" s="16">
        <v>0</v>
      </c>
      <c r="P251" s="95"/>
    </row>
    <row r="252" spans="1:16" x14ac:dyDescent="0.25">
      <c r="A252" s="16">
        <v>19</v>
      </c>
      <c r="B252" s="16">
        <v>438406.10856199998</v>
      </c>
      <c r="C252" s="16">
        <v>5688393.3324180003</v>
      </c>
      <c r="D252" s="31">
        <v>26</v>
      </c>
      <c r="E252" s="31" t="s">
        <v>24</v>
      </c>
      <c r="F252" s="46">
        <v>2010</v>
      </c>
      <c r="G252" s="16">
        <v>0.16009999999999999</v>
      </c>
      <c r="H252" s="16">
        <v>4.99505596E-2</v>
      </c>
      <c r="I252" s="16">
        <v>0</v>
      </c>
      <c r="J252" s="16">
        <v>0</v>
      </c>
      <c r="K252" s="16">
        <v>7.3700000000000002E-2</v>
      </c>
      <c r="L252" s="16">
        <v>2.5868699999999998E-2</v>
      </c>
      <c r="M252" s="16">
        <v>2.4081859600000002E-2</v>
      </c>
      <c r="N252" s="16">
        <v>0</v>
      </c>
      <c r="O252" s="16">
        <v>0</v>
      </c>
      <c r="P252" s="95"/>
    </row>
    <row r="253" spans="1:16" x14ac:dyDescent="0.25">
      <c r="A253" s="16">
        <v>20</v>
      </c>
      <c r="B253" s="16">
        <v>437335.10856199998</v>
      </c>
      <c r="C253" s="16">
        <v>5688512.3324180003</v>
      </c>
      <c r="D253" s="31">
        <v>27</v>
      </c>
      <c r="E253" s="31" t="s">
        <v>24</v>
      </c>
      <c r="F253" s="46">
        <v>2010</v>
      </c>
      <c r="G253" s="16">
        <v>9.5899999999999999E-2</v>
      </c>
      <c r="H253" s="16">
        <v>2.99204164E-2</v>
      </c>
      <c r="I253" s="16">
        <v>5.8999999999999999E-3</v>
      </c>
      <c r="J253" s="16">
        <v>2.2744618E-3</v>
      </c>
      <c r="K253" s="16">
        <v>2.5700000000000001E-2</v>
      </c>
      <c r="L253" s="16">
        <v>9.0206999999999996E-3</v>
      </c>
      <c r="M253" s="16">
        <v>2.0899716400000001E-2</v>
      </c>
      <c r="N253" s="16">
        <v>3.3E-3</v>
      </c>
      <c r="O253" s="16">
        <v>1.7772512999999998E-3</v>
      </c>
      <c r="P253" s="95"/>
    </row>
    <row r="254" spans="1:16" x14ac:dyDescent="0.25">
      <c r="A254" s="16">
        <v>21</v>
      </c>
      <c r="B254" s="16">
        <v>437454.10856199998</v>
      </c>
      <c r="C254" s="16">
        <v>5688512.3324180003</v>
      </c>
      <c r="D254" s="31">
        <v>27</v>
      </c>
      <c r="E254" s="31" t="s">
        <v>24</v>
      </c>
      <c r="F254" s="46">
        <v>2010</v>
      </c>
      <c r="G254" s="16">
        <v>5.6300000000000003E-2</v>
      </c>
      <c r="H254" s="16">
        <v>1.7565374800000002E-2</v>
      </c>
      <c r="I254" s="16">
        <v>8.0000000000000002E-3</v>
      </c>
      <c r="J254" s="16">
        <v>3.0840160000000002E-3</v>
      </c>
      <c r="K254" s="16">
        <v>1.2500000000000001E-2</v>
      </c>
      <c r="L254" s="16">
        <v>4.3874999999999999E-3</v>
      </c>
      <c r="M254" s="16">
        <v>1.3177874800000003E-2</v>
      </c>
      <c r="N254" s="16">
        <v>0</v>
      </c>
      <c r="O254" s="16">
        <v>0</v>
      </c>
      <c r="P254" s="95"/>
    </row>
    <row r="255" spans="1:16" x14ac:dyDescent="0.25">
      <c r="A255" s="16">
        <v>22</v>
      </c>
      <c r="B255" s="16">
        <v>437573.10856199998</v>
      </c>
      <c r="C255" s="16">
        <v>5688512.3324180003</v>
      </c>
      <c r="D255" s="31">
        <v>27</v>
      </c>
      <c r="E255" s="31" t="s">
        <v>24</v>
      </c>
      <c r="F255" s="46">
        <v>2010</v>
      </c>
      <c r="G255" s="16">
        <v>0.1205</v>
      </c>
      <c r="H255" s="16">
        <v>3.7595518000000001E-2</v>
      </c>
      <c r="I255" s="16">
        <v>0.2462</v>
      </c>
      <c r="J255" s="16">
        <v>9.4910592400000007E-2</v>
      </c>
      <c r="K255" s="16">
        <v>3.4799999999999998E-2</v>
      </c>
      <c r="L255" s="16">
        <v>1.2214799999999998E-2</v>
      </c>
      <c r="M255" s="16">
        <v>2.5380718000000003E-2</v>
      </c>
      <c r="N255" s="16">
        <v>0.11550000000000001</v>
      </c>
      <c r="O255" s="16">
        <v>6.2203795499999999E-2</v>
      </c>
      <c r="P255" s="95"/>
    </row>
    <row r="256" spans="1:16" x14ac:dyDescent="0.25">
      <c r="A256" s="16">
        <v>23</v>
      </c>
      <c r="B256" s="16">
        <v>437692.10856199998</v>
      </c>
      <c r="C256" s="16">
        <v>5688512.3324180003</v>
      </c>
      <c r="D256" s="31">
        <v>27</v>
      </c>
      <c r="E256" s="31" t="s">
        <v>24</v>
      </c>
      <c r="F256" s="46">
        <v>2010</v>
      </c>
      <c r="G256" s="16">
        <v>9.8100000000000007E-2</v>
      </c>
      <c r="H256" s="16">
        <v>3.0606807600000001E-2</v>
      </c>
      <c r="I256" s="16">
        <v>5.7000000000000002E-2</v>
      </c>
      <c r="J256" s="16">
        <v>2.1973614000000002E-2</v>
      </c>
      <c r="K256" s="16">
        <v>2.7799999999999998E-2</v>
      </c>
      <c r="L256" s="16">
        <v>9.7577999999999988E-3</v>
      </c>
      <c r="M256" s="16">
        <v>2.0849007600000004E-2</v>
      </c>
      <c r="N256" s="16">
        <v>2.6700000000000002E-2</v>
      </c>
      <c r="O256" s="16">
        <v>1.4379578699999999E-2</v>
      </c>
      <c r="P256" s="95"/>
    </row>
    <row r="257" spans="1:16" x14ac:dyDescent="0.25">
      <c r="A257" s="16">
        <v>24</v>
      </c>
      <c r="B257" s="16">
        <v>437811.10856199998</v>
      </c>
      <c r="C257" s="16">
        <v>5688512.3324180003</v>
      </c>
      <c r="D257" s="31">
        <v>27</v>
      </c>
      <c r="E257" s="31" t="s">
        <v>24</v>
      </c>
      <c r="F257" s="46">
        <v>2010</v>
      </c>
      <c r="G257" s="16">
        <v>0.18049999999999999</v>
      </c>
      <c r="H257" s="16">
        <v>5.6315277999999996E-2</v>
      </c>
      <c r="I257" s="16">
        <v>0</v>
      </c>
      <c r="J257" s="16">
        <v>0</v>
      </c>
      <c r="K257" s="16">
        <v>1.8599999999999998E-2</v>
      </c>
      <c r="L257" s="16">
        <v>6.528599999999999E-3</v>
      </c>
      <c r="M257" s="16">
        <v>4.9786678000000001E-2</v>
      </c>
      <c r="N257" s="16">
        <v>0</v>
      </c>
      <c r="O257" s="16">
        <v>0</v>
      </c>
      <c r="P257" s="95"/>
    </row>
    <row r="258" spans="1:16" x14ac:dyDescent="0.25">
      <c r="A258" s="16">
        <v>25</v>
      </c>
      <c r="B258" s="16">
        <v>437995</v>
      </c>
      <c r="C258" s="16">
        <v>5688493</v>
      </c>
      <c r="D258" s="31">
        <v>26</v>
      </c>
      <c r="E258" s="31" t="s">
        <v>24</v>
      </c>
      <c r="F258" s="46">
        <v>2010</v>
      </c>
      <c r="G258" s="16">
        <v>0.10199999999999999</v>
      </c>
      <c r="H258" s="16">
        <v>3.1823591999999998E-2</v>
      </c>
      <c r="I258" s="16">
        <v>8.1299999999999997E-2</v>
      </c>
      <c r="J258" s="16">
        <v>3.1341312599999997E-2</v>
      </c>
      <c r="K258" s="16">
        <v>4.1200000000000001E-2</v>
      </c>
      <c r="L258" s="16">
        <v>1.4461199999999999E-2</v>
      </c>
      <c r="M258" s="16">
        <v>1.7362391999999997E-2</v>
      </c>
      <c r="N258" s="16">
        <v>3.61E-2</v>
      </c>
      <c r="O258" s="16">
        <v>1.9442052099999999E-2</v>
      </c>
      <c r="P258" s="95"/>
    </row>
    <row r="259" spans="1:16" x14ac:dyDescent="0.25">
      <c r="A259" s="16">
        <v>26</v>
      </c>
      <c r="B259" s="16">
        <v>438112</v>
      </c>
      <c r="C259" s="16">
        <v>5688567</v>
      </c>
      <c r="D259" s="31">
        <v>26</v>
      </c>
      <c r="E259" s="31" t="s">
        <v>24</v>
      </c>
      <c r="F259" s="46">
        <v>2010</v>
      </c>
      <c r="G259" s="16">
        <v>6.9800000000000001E-2</v>
      </c>
      <c r="H259" s="16">
        <v>2.17773208E-2</v>
      </c>
      <c r="I259" s="16">
        <v>0</v>
      </c>
      <c r="J259" s="16">
        <v>0</v>
      </c>
      <c r="K259" s="16">
        <v>2.58E-2</v>
      </c>
      <c r="L259" s="16">
        <v>9.0557999999999993E-3</v>
      </c>
      <c r="M259" s="16">
        <v>1.27215208E-2</v>
      </c>
      <c r="N259" s="16">
        <v>0</v>
      </c>
      <c r="O259" s="16">
        <v>0</v>
      </c>
      <c r="P259" s="95"/>
    </row>
    <row r="260" spans="1:16" x14ac:dyDescent="0.25">
      <c r="A260" s="35">
        <v>27</v>
      </c>
      <c r="B260" s="35">
        <v>438168.10856199998</v>
      </c>
      <c r="C260" s="35">
        <v>5688512.3324180003</v>
      </c>
      <c r="D260" s="96">
        <v>27</v>
      </c>
      <c r="E260" s="96" t="s">
        <v>24</v>
      </c>
      <c r="F260" s="96">
        <v>2010</v>
      </c>
      <c r="G260" s="96" t="s">
        <v>18</v>
      </c>
      <c r="H260" s="96" t="s">
        <v>18</v>
      </c>
      <c r="I260" s="96" t="s">
        <v>18</v>
      </c>
      <c r="J260" s="96" t="s">
        <v>18</v>
      </c>
      <c r="K260" s="96" t="s">
        <v>18</v>
      </c>
      <c r="L260" s="96" t="s">
        <v>18</v>
      </c>
      <c r="M260" s="96" t="s">
        <v>18</v>
      </c>
      <c r="N260" s="96" t="s">
        <v>18</v>
      </c>
      <c r="O260" s="96" t="s">
        <v>18</v>
      </c>
      <c r="P260" s="94" t="s">
        <v>21</v>
      </c>
    </row>
    <row r="261" spans="1:16" x14ac:dyDescent="0.25">
      <c r="A261" s="35">
        <v>28</v>
      </c>
      <c r="B261" s="35">
        <v>438287.10856199998</v>
      </c>
      <c r="C261" s="35">
        <v>5688512.3324180003</v>
      </c>
      <c r="D261" s="96">
        <v>27</v>
      </c>
      <c r="E261" s="96" t="s">
        <v>24</v>
      </c>
      <c r="F261" s="96">
        <v>2010</v>
      </c>
      <c r="G261" s="96" t="s">
        <v>18</v>
      </c>
      <c r="H261" s="96" t="s">
        <v>18</v>
      </c>
      <c r="I261" s="96" t="s">
        <v>18</v>
      </c>
      <c r="J261" s="96" t="s">
        <v>18</v>
      </c>
      <c r="K261" s="96" t="s">
        <v>18</v>
      </c>
      <c r="L261" s="96" t="s">
        <v>18</v>
      </c>
      <c r="M261" s="96" t="s">
        <v>18</v>
      </c>
      <c r="N261" s="96" t="s">
        <v>18</v>
      </c>
      <c r="O261" s="96" t="s">
        <v>18</v>
      </c>
      <c r="P261" s="94" t="s">
        <v>21</v>
      </c>
    </row>
    <row r="262" spans="1:16" x14ac:dyDescent="0.25">
      <c r="A262" s="16">
        <v>29</v>
      </c>
      <c r="B262" s="16">
        <v>438381</v>
      </c>
      <c r="C262" s="16">
        <v>5688526</v>
      </c>
      <c r="D262" s="31">
        <v>26</v>
      </c>
      <c r="E262" s="31" t="s">
        <v>24</v>
      </c>
      <c r="F262" s="46">
        <v>2010</v>
      </c>
      <c r="G262" s="16">
        <v>5.1999999999999998E-2</v>
      </c>
      <c r="H262" s="16">
        <v>1.6223791999999997E-2</v>
      </c>
      <c r="I262" s="16">
        <v>0</v>
      </c>
      <c r="J262" s="16">
        <v>0</v>
      </c>
      <c r="K262" s="16">
        <v>5.21E-2</v>
      </c>
      <c r="L262" s="16">
        <v>1.8287100000000001E-2</v>
      </c>
      <c r="M262" s="16">
        <v>-2.0633080000000033E-3</v>
      </c>
      <c r="N262" s="16">
        <v>0</v>
      </c>
      <c r="O262" s="16">
        <v>0</v>
      </c>
      <c r="P262" s="95"/>
    </row>
    <row r="263" spans="1:16" x14ac:dyDescent="0.25">
      <c r="A263" s="16">
        <v>30</v>
      </c>
      <c r="B263" s="16">
        <v>438525.10856199998</v>
      </c>
      <c r="C263" s="16">
        <v>5688512.3324180003</v>
      </c>
      <c r="D263" s="31">
        <v>26</v>
      </c>
      <c r="E263" s="31" t="s">
        <v>24</v>
      </c>
      <c r="F263" s="46">
        <v>2010</v>
      </c>
      <c r="G263" s="16">
        <v>0.2011</v>
      </c>
      <c r="H263" s="16">
        <v>6.27423956E-2</v>
      </c>
      <c r="I263" s="16">
        <v>0</v>
      </c>
      <c r="J263" s="16">
        <v>0</v>
      </c>
      <c r="K263" s="16">
        <v>3.8899999999999997E-2</v>
      </c>
      <c r="L263" s="16">
        <v>1.3653899999999998E-2</v>
      </c>
      <c r="M263" s="16">
        <v>4.9088495600000004E-2</v>
      </c>
      <c r="N263" s="16">
        <v>0</v>
      </c>
      <c r="O263" s="16">
        <v>0</v>
      </c>
      <c r="P263" s="95"/>
    </row>
    <row r="264" spans="1:16" x14ac:dyDescent="0.25">
      <c r="A264" s="16">
        <v>31</v>
      </c>
      <c r="B264" s="16">
        <v>437335.10856199998</v>
      </c>
      <c r="C264" s="16">
        <v>5688631.3324180003</v>
      </c>
      <c r="D264" s="31">
        <v>27</v>
      </c>
      <c r="E264" s="31" t="s">
        <v>24</v>
      </c>
      <c r="F264" s="46">
        <v>2010</v>
      </c>
      <c r="G264" s="16">
        <v>0.1173</v>
      </c>
      <c r="H264" s="16">
        <v>3.6597130800000002E-2</v>
      </c>
      <c r="I264" s="16">
        <v>0</v>
      </c>
      <c r="J264" s="16">
        <v>0</v>
      </c>
      <c r="K264" s="16">
        <v>5.1999999999999998E-3</v>
      </c>
      <c r="L264" s="16">
        <v>1.8251999999999999E-3</v>
      </c>
      <c r="M264" s="16">
        <v>3.4771930800000003E-2</v>
      </c>
      <c r="N264" s="16">
        <v>0</v>
      </c>
      <c r="O264" s="16">
        <v>0</v>
      </c>
      <c r="P264" s="95"/>
    </row>
    <row r="265" spans="1:16" x14ac:dyDescent="0.25">
      <c r="A265" s="16">
        <v>32</v>
      </c>
      <c r="B265" s="16">
        <v>437454.10856199998</v>
      </c>
      <c r="C265" s="16">
        <v>5688631.3324180003</v>
      </c>
      <c r="D265" s="31">
        <v>27</v>
      </c>
      <c r="E265" s="31" t="s">
        <v>24</v>
      </c>
      <c r="F265" s="46">
        <v>2010</v>
      </c>
      <c r="G265" s="16">
        <v>7.2900000000000006E-2</v>
      </c>
      <c r="H265" s="16">
        <v>2.2744508400000002E-2</v>
      </c>
      <c r="I265" s="16">
        <v>0</v>
      </c>
      <c r="J265" s="16">
        <v>0</v>
      </c>
      <c r="K265" s="16">
        <v>1.4800000000000001E-2</v>
      </c>
      <c r="L265" s="16">
        <v>5.1948000000000003E-3</v>
      </c>
      <c r="M265" s="16">
        <v>1.7549708400000003E-2</v>
      </c>
      <c r="N265" s="16">
        <v>0</v>
      </c>
      <c r="O265" s="16">
        <v>0</v>
      </c>
      <c r="P265" s="95"/>
    </row>
    <row r="266" spans="1:16" x14ac:dyDescent="0.25">
      <c r="A266" s="16">
        <v>33</v>
      </c>
      <c r="B266" s="16">
        <v>437573.10856199998</v>
      </c>
      <c r="C266" s="16">
        <v>5688631.3324180003</v>
      </c>
      <c r="D266" s="31">
        <v>27</v>
      </c>
      <c r="E266" s="31" t="s">
        <v>24</v>
      </c>
      <c r="F266" s="46">
        <v>2010</v>
      </c>
      <c r="G266" s="16">
        <v>3.49E-2</v>
      </c>
      <c r="H266" s="16">
        <v>1.08886604E-2</v>
      </c>
      <c r="I266" s="16">
        <v>0</v>
      </c>
      <c r="J266" s="16">
        <v>0</v>
      </c>
      <c r="K266" s="16">
        <v>5.5599999999999997E-2</v>
      </c>
      <c r="L266" s="16">
        <v>1.9515599999999998E-2</v>
      </c>
      <c r="M266" s="16">
        <v>-8.6269395999999977E-3</v>
      </c>
      <c r="N266" s="16">
        <v>0</v>
      </c>
      <c r="O266" s="16">
        <v>0</v>
      </c>
      <c r="P266" s="95"/>
    </row>
    <row r="267" spans="1:16" x14ac:dyDescent="0.25">
      <c r="A267" s="16">
        <v>34</v>
      </c>
      <c r="B267" s="16">
        <v>437692.10856199998</v>
      </c>
      <c r="C267" s="16">
        <v>5688631.3324180003</v>
      </c>
      <c r="D267" s="31">
        <v>27</v>
      </c>
      <c r="E267" s="31" t="s">
        <v>24</v>
      </c>
      <c r="F267" s="46">
        <v>2010</v>
      </c>
      <c r="G267" s="16">
        <v>0.13689999999999999</v>
      </c>
      <c r="H267" s="16">
        <v>4.2712252399999998E-2</v>
      </c>
      <c r="I267" s="16">
        <v>0</v>
      </c>
      <c r="J267" s="16">
        <v>0</v>
      </c>
      <c r="K267" s="16">
        <v>7.8200000000000006E-2</v>
      </c>
      <c r="L267" s="16">
        <v>2.7448199999999999E-2</v>
      </c>
      <c r="M267" s="16">
        <v>1.5264052399999999E-2</v>
      </c>
      <c r="N267" s="16">
        <v>0</v>
      </c>
      <c r="O267" s="16">
        <v>0</v>
      </c>
      <c r="P267" s="95"/>
    </row>
    <row r="268" spans="1:16" x14ac:dyDescent="0.25">
      <c r="A268" s="16">
        <v>35</v>
      </c>
      <c r="B268" s="16">
        <v>437893</v>
      </c>
      <c r="C268" s="16">
        <v>5688620</v>
      </c>
      <c r="D268" s="31">
        <v>27</v>
      </c>
      <c r="E268" s="31" t="s">
        <v>24</v>
      </c>
      <c r="F268" s="46">
        <v>2010</v>
      </c>
      <c r="G268" s="16">
        <v>9.7799999999999998E-2</v>
      </c>
      <c r="H268" s="16">
        <v>3.05132088E-2</v>
      </c>
      <c r="I268" s="16">
        <v>4.2500000000000003E-2</v>
      </c>
      <c r="J268" s="16">
        <v>1.6383835000000003E-2</v>
      </c>
      <c r="K268" s="16">
        <v>2.4199999999999999E-2</v>
      </c>
      <c r="L268" s="16">
        <v>8.4941999999999986E-3</v>
      </c>
      <c r="M268" s="16">
        <v>2.2019008800000003E-2</v>
      </c>
      <c r="N268" s="16">
        <v>1.1999999999999999E-3</v>
      </c>
      <c r="O268" s="16">
        <v>6.462731999999999E-4</v>
      </c>
      <c r="P268" s="95"/>
    </row>
    <row r="269" spans="1:16" x14ac:dyDescent="0.25">
      <c r="A269" s="16">
        <v>36</v>
      </c>
      <c r="B269" s="16">
        <v>437930.10856199998</v>
      </c>
      <c r="C269" s="16">
        <v>5688631.3324180003</v>
      </c>
      <c r="D269" s="31">
        <v>27</v>
      </c>
      <c r="E269" s="31" t="s">
        <v>24</v>
      </c>
      <c r="F269" s="46">
        <v>2010</v>
      </c>
      <c r="G269" s="16">
        <v>9.9400000000000002E-2</v>
      </c>
      <c r="H269" s="16">
        <v>3.10124024E-2</v>
      </c>
      <c r="I269" s="16">
        <v>0</v>
      </c>
      <c r="J269" s="16">
        <v>0</v>
      </c>
      <c r="K269" s="16">
        <v>3.8399999999999997E-2</v>
      </c>
      <c r="L269" s="16">
        <v>1.3478399999999998E-2</v>
      </c>
      <c r="M269" s="16">
        <v>1.7534002400000002E-2</v>
      </c>
      <c r="N269" s="16">
        <v>0</v>
      </c>
      <c r="O269" s="16">
        <v>0</v>
      </c>
      <c r="P269" s="95"/>
    </row>
    <row r="270" spans="1:16" x14ac:dyDescent="0.25">
      <c r="A270" s="35">
        <v>37</v>
      </c>
      <c r="B270" s="35">
        <v>438049.10856199998</v>
      </c>
      <c r="C270" s="35">
        <v>5688631.3324180003</v>
      </c>
      <c r="D270" s="96">
        <v>27</v>
      </c>
      <c r="E270" s="96" t="s">
        <v>24</v>
      </c>
      <c r="F270" s="96">
        <v>2010</v>
      </c>
      <c r="G270" s="96" t="s">
        <v>18</v>
      </c>
      <c r="H270" s="96" t="s">
        <v>18</v>
      </c>
      <c r="I270" s="96" t="s">
        <v>18</v>
      </c>
      <c r="J270" s="96" t="s">
        <v>18</v>
      </c>
      <c r="K270" s="96" t="s">
        <v>18</v>
      </c>
      <c r="L270" s="96" t="s">
        <v>18</v>
      </c>
      <c r="M270" s="96" t="s">
        <v>18</v>
      </c>
      <c r="N270" s="96" t="s">
        <v>18</v>
      </c>
      <c r="O270" s="96" t="s">
        <v>18</v>
      </c>
      <c r="P270" s="94" t="s">
        <v>21</v>
      </c>
    </row>
    <row r="271" spans="1:16" x14ac:dyDescent="0.25">
      <c r="A271" s="16">
        <v>38</v>
      </c>
      <c r="B271" s="16">
        <v>438067</v>
      </c>
      <c r="C271" s="16">
        <v>5688710</v>
      </c>
      <c r="D271" s="31">
        <v>26</v>
      </c>
      <c r="E271" s="31" t="s">
        <v>24</v>
      </c>
      <c r="F271" s="46">
        <v>2010</v>
      </c>
      <c r="G271" s="16">
        <v>0.65710000000000002</v>
      </c>
      <c r="H271" s="16">
        <v>0.2050125716</v>
      </c>
      <c r="I271" s="16">
        <v>0</v>
      </c>
      <c r="J271" s="16">
        <v>0</v>
      </c>
      <c r="K271" s="16">
        <v>7.3000000000000001E-3</v>
      </c>
      <c r="L271" s="16">
        <v>2.5623E-3</v>
      </c>
      <c r="M271" s="16">
        <v>0.20245027160000001</v>
      </c>
      <c r="N271" s="16">
        <v>0</v>
      </c>
      <c r="O271" s="16">
        <v>0</v>
      </c>
      <c r="P271" s="95"/>
    </row>
    <row r="272" spans="1:16" x14ac:dyDescent="0.25">
      <c r="A272" s="35">
        <v>39</v>
      </c>
      <c r="B272" s="35">
        <v>438287.10856199998</v>
      </c>
      <c r="C272" s="35">
        <v>5688631.3324180003</v>
      </c>
      <c r="D272" s="96">
        <v>27</v>
      </c>
      <c r="E272" s="96" t="s">
        <v>24</v>
      </c>
      <c r="F272" s="96">
        <v>2010</v>
      </c>
      <c r="G272" s="96" t="s">
        <v>18</v>
      </c>
      <c r="H272" s="96" t="s">
        <v>18</v>
      </c>
      <c r="I272" s="96" t="s">
        <v>18</v>
      </c>
      <c r="J272" s="96" t="s">
        <v>18</v>
      </c>
      <c r="K272" s="96" t="s">
        <v>18</v>
      </c>
      <c r="L272" s="96" t="s">
        <v>18</v>
      </c>
      <c r="M272" s="96" t="s">
        <v>18</v>
      </c>
      <c r="N272" s="96" t="s">
        <v>18</v>
      </c>
      <c r="O272" s="96" t="s">
        <v>18</v>
      </c>
      <c r="P272" s="94" t="s">
        <v>22</v>
      </c>
    </row>
    <row r="273" spans="1:16" x14ac:dyDescent="0.25">
      <c r="A273" s="16">
        <v>40</v>
      </c>
      <c r="B273" s="16">
        <v>438406.10856199998</v>
      </c>
      <c r="C273" s="16">
        <v>5688631.3324180003</v>
      </c>
      <c r="D273" s="31">
        <v>26</v>
      </c>
      <c r="E273" s="31" t="s">
        <v>24</v>
      </c>
      <c r="F273" s="46">
        <v>2010</v>
      </c>
      <c r="G273" s="16">
        <v>5.0500000000000003E-2</v>
      </c>
      <c r="H273" s="16">
        <v>1.5755798000000001E-2</v>
      </c>
      <c r="I273" s="16">
        <v>0</v>
      </c>
      <c r="J273" s="16">
        <v>0</v>
      </c>
      <c r="K273" s="16">
        <v>2.0500000000000001E-2</v>
      </c>
      <c r="L273" s="16">
        <v>7.1954999999999996E-3</v>
      </c>
      <c r="M273" s="16">
        <v>8.5602980000000009E-3</v>
      </c>
      <c r="N273" s="16">
        <v>0</v>
      </c>
      <c r="O273" s="16">
        <v>0</v>
      </c>
      <c r="P273" s="95"/>
    </row>
    <row r="274" spans="1:16" x14ac:dyDescent="0.25">
      <c r="A274" s="16">
        <v>41</v>
      </c>
      <c r="B274" s="16">
        <v>437310</v>
      </c>
      <c r="C274" s="16">
        <v>5688729</v>
      </c>
      <c r="D274" s="31">
        <v>27</v>
      </c>
      <c r="E274" s="31" t="s">
        <v>24</v>
      </c>
      <c r="F274" s="46">
        <v>2010</v>
      </c>
      <c r="G274" s="16">
        <v>0.112</v>
      </c>
      <c r="H274" s="16">
        <v>3.4943552000000003E-2</v>
      </c>
      <c r="I274" s="16">
        <v>0</v>
      </c>
      <c r="J274" s="16">
        <v>0</v>
      </c>
      <c r="K274" s="16">
        <v>8.0999999999999996E-3</v>
      </c>
      <c r="L274" s="16">
        <v>2.8430999999999999E-3</v>
      </c>
      <c r="M274" s="16">
        <v>3.2100452000000002E-2</v>
      </c>
      <c r="N274" s="16">
        <v>0</v>
      </c>
      <c r="O274" s="16">
        <v>0</v>
      </c>
      <c r="P274" s="95"/>
    </row>
    <row r="275" spans="1:16" x14ac:dyDescent="0.25">
      <c r="A275" s="16">
        <v>42</v>
      </c>
      <c r="B275" s="16">
        <v>437454.10856199998</v>
      </c>
      <c r="C275" s="16">
        <v>5688750.3324180003</v>
      </c>
      <c r="D275" s="31">
        <v>27</v>
      </c>
      <c r="E275" s="31" t="s">
        <v>24</v>
      </c>
      <c r="F275" s="46">
        <v>2010</v>
      </c>
      <c r="G275" s="16">
        <v>0.1094</v>
      </c>
      <c r="H275" s="16">
        <v>3.4132362399999998E-2</v>
      </c>
      <c r="I275" s="16">
        <v>3.5900000000000001E-2</v>
      </c>
      <c r="J275" s="16">
        <v>1.3839521800000001E-2</v>
      </c>
      <c r="K275" s="16">
        <v>2.8500000000000001E-2</v>
      </c>
      <c r="L275" s="16">
        <v>1.00035E-2</v>
      </c>
      <c r="M275" s="16">
        <v>2.4128862399999999E-2</v>
      </c>
      <c r="N275" s="16">
        <v>1.9400000000000001E-2</v>
      </c>
      <c r="O275" s="16">
        <v>1.0448083399999999E-2</v>
      </c>
      <c r="P275" s="95"/>
    </row>
    <row r="276" spans="1:16" x14ac:dyDescent="0.25">
      <c r="A276" s="16">
        <v>43</v>
      </c>
      <c r="B276" s="16">
        <v>437573.10856199998</v>
      </c>
      <c r="C276" s="16">
        <v>5688750.3324180003</v>
      </c>
      <c r="D276" s="31">
        <v>27</v>
      </c>
      <c r="E276" s="31" t="s">
        <v>24</v>
      </c>
      <c r="F276" s="46">
        <v>2010</v>
      </c>
      <c r="G276" s="16">
        <v>6.4699999999999994E-2</v>
      </c>
      <c r="H276" s="16">
        <v>2.0186141199999997E-2</v>
      </c>
      <c r="I276" s="16">
        <v>0</v>
      </c>
      <c r="J276" s="16">
        <v>0</v>
      </c>
      <c r="K276" s="16">
        <v>2.7300000000000001E-2</v>
      </c>
      <c r="L276" s="16">
        <v>9.5823000000000002E-3</v>
      </c>
      <c r="M276" s="16">
        <v>1.0603841199999997E-2</v>
      </c>
      <c r="N276" s="16">
        <v>0</v>
      </c>
      <c r="O276" s="16">
        <v>0</v>
      </c>
      <c r="P276" s="95"/>
    </row>
    <row r="277" spans="1:16" x14ac:dyDescent="0.25">
      <c r="A277" s="16">
        <v>44</v>
      </c>
      <c r="B277" s="16">
        <v>437692.10856199998</v>
      </c>
      <c r="C277" s="16">
        <v>5688750.3324180003</v>
      </c>
      <c r="D277" s="31">
        <v>27</v>
      </c>
      <c r="E277" s="31" t="s">
        <v>24</v>
      </c>
      <c r="F277" s="46">
        <v>2010</v>
      </c>
      <c r="G277" s="16">
        <v>8.4199999999999997E-2</v>
      </c>
      <c r="H277" s="16">
        <v>2.6270063199999999E-2</v>
      </c>
      <c r="I277" s="16">
        <v>0</v>
      </c>
      <c r="J277" s="16">
        <v>0</v>
      </c>
      <c r="K277" s="16">
        <v>2.7400000000000001E-2</v>
      </c>
      <c r="L277" s="16">
        <v>9.6173999999999999E-3</v>
      </c>
      <c r="M277" s="16">
        <v>1.6652663200000001E-2</v>
      </c>
      <c r="N277" s="16">
        <v>0</v>
      </c>
      <c r="O277" s="16">
        <v>0</v>
      </c>
      <c r="P277" s="95"/>
    </row>
    <row r="278" spans="1:16" x14ac:dyDescent="0.25">
      <c r="A278" s="16">
        <v>45</v>
      </c>
      <c r="B278" s="16">
        <v>437811.10856199998</v>
      </c>
      <c r="C278" s="16">
        <v>5688750.3324180003</v>
      </c>
      <c r="D278" s="31">
        <v>27</v>
      </c>
      <c r="E278" s="31" t="s">
        <v>24</v>
      </c>
      <c r="F278" s="46">
        <v>2010</v>
      </c>
      <c r="G278" s="16">
        <v>7.6999999999999999E-2</v>
      </c>
      <c r="H278" s="16">
        <v>2.4023691999999999E-2</v>
      </c>
      <c r="I278" s="16">
        <v>2.9000000000000001E-2</v>
      </c>
      <c r="J278" s="16">
        <v>1.1179558000000001E-2</v>
      </c>
      <c r="K278" s="16">
        <v>4.9700000000000001E-2</v>
      </c>
      <c r="L278" s="16">
        <v>1.74447E-2</v>
      </c>
      <c r="M278" s="16">
        <v>6.5789919999999988E-3</v>
      </c>
      <c r="N278" s="16">
        <v>1.72E-2</v>
      </c>
      <c r="O278" s="16">
        <v>9.2632491999999986E-3</v>
      </c>
      <c r="P278" s="95"/>
    </row>
    <row r="279" spans="1:16" x14ac:dyDescent="0.25">
      <c r="A279" s="16">
        <v>46</v>
      </c>
      <c r="B279" s="16">
        <v>437930.10856199998</v>
      </c>
      <c r="C279" s="16">
        <v>5688750.3324180003</v>
      </c>
      <c r="D279" s="31">
        <v>27</v>
      </c>
      <c r="E279" s="31" t="s">
        <v>24</v>
      </c>
      <c r="F279" s="46">
        <v>2010</v>
      </c>
      <c r="G279" s="16">
        <v>0.16869999999999999</v>
      </c>
      <c r="H279" s="16">
        <v>5.2633725199999995E-2</v>
      </c>
      <c r="I279" s="16">
        <v>0</v>
      </c>
      <c r="J279" s="16">
        <v>0</v>
      </c>
      <c r="K279" s="16">
        <v>7.1900000000000006E-2</v>
      </c>
      <c r="L279" s="16">
        <v>2.52369E-2</v>
      </c>
      <c r="M279" s="16">
        <v>2.7396825199999995E-2</v>
      </c>
      <c r="N279" s="16">
        <v>0</v>
      </c>
      <c r="O279" s="16">
        <v>0</v>
      </c>
      <c r="P279" s="95"/>
    </row>
    <row r="280" spans="1:16" x14ac:dyDescent="0.25">
      <c r="A280" s="16">
        <v>47</v>
      </c>
      <c r="B280" s="16">
        <v>438061</v>
      </c>
      <c r="C280" s="16">
        <v>5688779</v>
      </c>
      <c r="D280" s="31">
        <v>26</v>
      </c>
      <c r="E280" s="31" t="s">
        <v>24</v>
      </c>
      <c r="F280" s="46">
        <v>2010</v>
      </c>
      <c r="G280" s="16">
        <v>0.1895</v>
      </c>
      <c r="H280" s="16">
        <v>5.9123241999999999E-2</v>
      </c>
      <c r="I280" s="16">
        <v>0</v>
      </c>
      <c r="J280" s="16">
        <v>0</v>
      </c>
      <c r="K280" s="16">
        <v>1.78E-2</v>
      </c>
      <c r="L280" s="16">
        <v>6.2477999999999995E-3</v>
      </c>
      <c r="M280" s="16">
        <v>5.2875442000000002E-2</v>
      </c>
      <c r="N280" s="16">
        <v>0</v>
      </c>
      <c r="O280" s="16">
        <v>0</v>
      </c>
      <c r="P280" s="95"/>
    </row>
    <row r="281" spans="1:16" x14ac:dyDescent="0.25">
      <c r="A281" s="35">
        <v>48</v>
      </c>
      <c r="B281" s="35">
        <v>438168.10856199998</v>
      </c>
      <c r="C281" s="35">
        <v>5688750.3324180003</v>
      </c>
      <c r="D281" s="96">
        <v>27</v>
      </c>
      <c r="E281" s="96" t="s">
        <v>24</v>
      </c>
      <c r="F281" s="96">
        <v>2010</v>
      </c>
      <c r="G281" s="96" t="s">
        <v>18</v>
      </c>
      <c r="H281" s="96" t="s">
        <v>18</v>
      </c>
      <c r="I281" s="96" t="s">
        <v>18</v>
      </c>
      <c r="J281" s="96" t="s">
        <v>18</v>
      </c>
      <c r="K281" s="96" t="s">
        <v>18</v>
      </c>
      <c r="L281" s="96" t="s">
        <v>18</v>
      </c>
      <c r="M281" s="96" t="s">
        <v>18</v>
      </c>
      <c r="N281" s="96" t="s">
        <v>18</v>
      </c>
      <c r="O281" s="96" t="s">
        <v>18</v>
      </c>
      <c r="P281" s="94" t="s">
        <v>21</v>
      </c>
    </row>
    <row r="282" spans="1:16" x14ac:dyDescent="0.25">
      <c r="A282" s="16">
        <v>49</v>
      </c>
      <c r="B282" s="16">
        <v>437454.10856199998</v>
      </c>
      <c r="C282" s="16">
        <v>5688869.3324180003</v>
      </c>
      <c r="D282" s="31">
        <v>26</v>
      </c>
      <c r="E282" s="31" t="s">
        <v>24</v>
      </c>
      <c r="F282" s="46">
        <v>2010</v>
      </c>
      <c r="G282" s="16">
        <v>0.154</v>
      </c>
      <c r="H282" s="16">
        <v>4.8047383999999999E-2</v>
      </c>
      <c r="I282" s="16">
        <v>0</v>
      </c>
      <c r="J282" s="16">
        <v>0</v>
      </c>
      <c r="K282" s="16">
        <v>6.9000000000000006E-2</v>
      </c>
      <c r="L282" s="16">
        <v>2.4219000000000001E-2</v>
      </c>
      <c r="M282" s="16">
        <v>2.3828383999999998E-2</v>
      </c>
      <c r="N282" s="16">
        <v>2.7000000000000001E-3</v>
      </c>
      <c r="O282" s="16">
        <v>1.4541146999999999E-3</v>
      </c>
      <c r="P282" s="95"/>
    </row>
    <row r="283" spans="1:16" x14ac:dyDescent="0.25">
      <c r="A283" s="16">
        <v>50</v>
      </c>
      <c r="B283" s="16">
        <v>437811.10856199998</v>
      </c>
      <c r="C283" s="16">
        <v>5688869.3324180003</v>
      </c>
      <c r="D283" s="31">
        <v>26</v>
      </c>
      <c r="E283" s="31" t="s">
        <v>24</v>
      </c>
      <c r="F283" s="46">
        <v>2010</v>
      </c>
      <c r="G283" s="16">
        <v>0.1948</v>
      </c>
      <c r="H283" s="16">
        <v>6.0776820799999999E-2</v>
      </c>
      <c r="I283" s="16">
        <v>4.3E-3</v>
      </c>
      <c r="J283" s="16">
        <v>1.6576586E-3</v>
      </c>
      <c r="K283" s="16">
        <v>1.7299999999999999E-2</v>
      </c>
      <c r="L283" s="16">
        <v>6.0722999999999992E-3</v>
      </c>
      <c r="M283" s="16">
        <v>5.4704520800000003E-2</v>
      </c>
      <c r="N283" s="16">
        <v>9.7000000000000003E-3</v>
      </c>
      <c r="O283" s="16">
        <v>5.2240416999999994E-3</v>
      </c>
      <c r="P283" s="95"/>
    </row>
    <row r="284" spans="1:16" x14ac:dyDescent="0.25">
      <c r="A284" s="16">
        <v>51</v>
      </c>
      <c r="B284" s="16">
        <v>437930.10856199998</v>
      </c>
      <c r="C284" s="16">
        <v>5688869.3324180003</v>
      </c>
      <c r="D284" s="31">
        <v>26</v>
      </c>
      <c r="E284" s="31" t="s">
        <v>24</v>
      </c>
      <c r="F284" s="46">
        <v>2010</v>
      </c>
      <c r="G284" s="16">
        <v>0.128</v>
      </c>
      <c r="H284" s="16">
        <v>3.9935487999999998E-2</v>
      </c>
      <c r="I284" s="16">
        <v>0</v>
      </c>
      <c r="J284" s="16">
        <v>0</v>
      </c>
      <c r="K284" s="16">
        <v>2.35E-2</v>
      </c>
      <c r="L284" s="16">
        <v>8.2484999999999989E-3</v>
      </c>
      <c r="M284" s="16">
        <v>3.1686987999999999E-2</v>
      </c>
      <c r="N284" s="16">
        <v>0</v>
      </c>
      <c r="O284" s="16">
        <v>0</v>
      </c>
      <c r="P284" s="95"/>
    </row>
    <row r="285" spans="1:16" x14ac:dyDescent="0.25">
      <c r="A285" s="16">
        <v>52</v>
      </c>
      <c r="B285" s="16">
        <v>438049.10856199998</v>
      </c>
      <c r="C285" s="16">
        <v>5688869.3324180003</v>
      </c>
      <c r="D285" s="31">
        <v>26</v>
      </c>
      <c r="E285" s="31" t="s">
        <v>24</v>
      </c>
      <c r="F285" s="46">
        <v>2010</v>
      </c>
      <c r="G285" s="16">
        <v>0.1371</v>
      </c>
      <c r="H285" s="16">
        <v>4.2774651599999998E-2</v>
      </c>
      <c r="I285" s="16">
        <v>0.1328</v>
      </c>
      <c r="J285" s="16">
        <v>5.1194665600000001E-2</v>
      </c>
      <c r="K285" s="16">
        <v>8.9999999999999993E-3</v>
      </c>
      <c r="L285" s="16">
        <v>3.1589999999999995E-3</v>
      </c>
      <c r="M285" s="16">
        <v>3.9615651599999996E-2</v>
      </c>
      <c r="N285" s="16">
        <v>5.3199999999999997E-2</v>
      </c>
      <c r="O285" s="16">
        <v>2.8651445199999997E-2</v>
      </c>
      <c r="P285" s="95"/>
    </row>
    <row r="286" spans="1:16" x14ac:dyDescent="0.25">
      <c r="A286" s="16">
        <v>53</v>
      </c>
      <c r="B286" s="16">
        <v>438287.10856199998</v>
      </c>
      <c r="C286" s="16">
        <v>5688869.3324180003</v>
      </c>
      <c r="D286" s="31">
        <v>26</v>
      </c>
      <c r="E286" s="31" t="s">
        <v>24</v>
      </c>
      <c r="F286" s="46">
        <v>2010</v>
      </c>
      <c r="G286" s="16">
        <v>6.3700000000000007E-2</v>
      </c>
      <c r="H286" s="16">
        <v>1.9874145200000002E-2</v>
      </c>
      <c r="I286" s="16">
        <v>0</v>
      </c>
      <c r="J286" s="16">
        <v>0</v>
      </c>
      <c r="K286" s="16">
        <v>4.7699999999999999E-2</v>
      </c>
      <c r="L286" s="16">
        <v>1.6742699999999999E-2</v>
      </c>
      <c r="M286" s="16">
        <v>3.1314452000000027E-3</v>
      </c>
      <c r="N286" s="16">
        <v>0</v>
      </c>
      <c r="O286" s="16">
        <v>0</v>
      </c>
      <c r="P286" s="95"/>
    </row>
    <row r="287" spans="1:16" x14ac:dyDescent="0.25">
      <c r="A287" s="16">
        <v>54</v>
      </c>
      <c r="B287" s="16">
        <v>437454.10856199998</v>
      </c>
      <c r="C287" s="16">
        <v>5688988.3324180003</v>
      </c>
      <c r="D287" s="31">
        <v>26</v>
      </c>
      <c r="E287" s="31" t="s">
        <v>24</v>
      </c>
      <c r="F287" s="46">
        <v>2010</v>
      </c>
      <c r="G287" s="16">
        <v>7.5300000000000006E-2</v>
      </c>
      <c r="H287" s="16">
        <v>2.3493298800000003E-2</v>
      </c>
      <c r="I287" s="16">
        <v>3.6900000000000002E-2</v>
      </c>
      <c r="J287" s="16">
        <v>1.4225023800000002E-2</v>
      </c>
      <c r="K287" s="16">
        <v>2.63E-2</v>
      </c>
      <c r="L287" s="16">
        <v>9.2312999999999996E-3</v>
      </c>
      <c r="M287" s="16">
        <v>1.4261998800000003E-2</v>
      </c>
      <c r="N287" s="16">
        <v>2.0899999999999998E-2</v>
      </c>
      <c r="O287" s="16">
        <v>1.1255924899999999E-2</v>
      </c>
      <c r="P287" s="95"/>
    </row>
    <row r="288" spans="1:16" x14ac:dyDescent="0.25">
      <c r="A288" s="16">
        <v>55</v>
      </c>
      <c r="B288" s="16">
        <v>438049.10856199998</v>
      </c>
      <c r="C288" s="16">
        <v>5688988.3324180003</v>
      </c>
      <c r="D288" s="31">
        <v>26</v>
      </c>
      <c r="E288" s="31" t="s">
        <v>24</v>
      </c>
      <c r="F288" s="46">
        <v>2010</v>
      </c>
      <c r="G288" s="16">
        <v>0.1691</v>
      </c>
      <c r="H288" s="16">
        <v>5.2758523600000003E-2</v>
      </c>
      <c r="I288" s="16">
        <v>0.2213</v>
      </c>
      <c r="J288" s="16">
        <v>8.53115926E-2</v>
      </c>
      <c r="K288" s="16">
        <v>0.1827</v>
      </c>
      <c r="L288" s="16">
        <v>6.4127699999999996E-2</v>
      </c>
      <c r="M288" s="16">
        <v>-1.1369176399999993E-2</v>
      </c>
      <c r="N288" s="16">
        <v>0</v>
      </c>
      <c r="O288" s="16">
        <v>0</v>
      </c>
      <c r="P288" s="95"/>
    </row>
    <row r="289" spans="1:19" x14ac:dyDescent="0.25">
      <c r="A289" s="16">
        <v>56</v>
      </c>
      <c r="B289" s="16">
        <v>438168.10856199998</v>
      </c>
      <c r="C289" s="16">
        <v>5688988.3324180003</v>
      </c>
      <c r="D289" s="31">
        <v>26</v>
      </c>
      <c r="E289" s="31" t="s">
        <v>24</v>
      </c>
      <c r="F289" s="46">
        <v>2010</v>
      </c>
      <c r="G289" s="16">
        <v>2.07E-2</v>
      </c>
      <c r="H289" s="16">
        <v>6.4583171999999999E-3</v>
      </c>
      <c r="I289" s="16">
        <v>0</v>
      </c>
      <c r="J289" s="16">
        <v>0</v>
      </c>
      <c r="K289" s="16">
        <v>1.2800000000000001E-2</v>
      </c>
      <c r="L289" s="16">
        <v>4.4927999999999999E-3</v>
      </c>
      <c r="M289" s="16">
        <v>1.9655172E-3</v>
      </c>
      <c r="N289" s="16">
        <v>0</v>
      </c>
      <c r="O289" s="16">
        <v>0</v>
      </c>
      <c r="P289" s="95"/>
    </row>
    <row r="290" spans="1:19" x14ac:dyDescent="0.25">
      <c r="A290" s="36">
        <v>57</v>
      </c>
      <c r="B290" s="36">
        <v>438146</v>
      </c>
      <c r="C290" s="36">
        <v>5688977</v>
      </c>
      <c r="D290" s="99">
        <v>26</v>
      </c>
      <c r="E290" s="99" t="s">
        <v>24</v>
      </c>
      <c r="F290" s="50">
        <v>2010</v>
      </c>
      <c r="G290" s="36">
        <v>0.38</v>
      </c>
      <c r="H290" s="36">
        <v>0.11855847999999999</v>
      </c>
      <c r="I290" s="36">
        <v>0</v>
      </c>
      <c r="J290" s="36">
        <v>0</v>
      </c>
      <c r="K290" s="36">
        <v>1.37E-2</v>
      </c>
      <c r="L290" s="36">
        <v>4.8087E-3</v>
      </c>
      <c r="M290" s="36">
        <v>0.11374977999999999</v>
      </c>
      <c r="N290" s="36">
        <v>0</v>
      </c>
      <c r="O290" s="36">
        <v>0</v>
      </c>
      <c r="P290" s="100"/>
    </row>
    <row r="291" spans="1:19" x14ac:dyDescent="0.25">
      <c r="A291" s="36">
        <v>58</v>
      </c>
      <c r="B291" s="36">
        <v>438131</v>
      </c>
      <c r="C291" s="36">
        <v>5688972</v>
      </c>
      <c r="D291" s="99">
        <v>26</v>
      </c>
      <c r="E291" s="99" t="s">
        <v>24</v>
      </c>
      <c r="F291" s="50">
        <v>2010</v>
      </c>
      <c r="G291" s="36">
        <v>0.54990000000000006</v>
      </c>
      <c r="H291" s="36">
        <v>0.17156660040000002</v>
      </c>
      <c r="I291" s="36">
        <v>0</v>
      </c>
      <c r="J291" s="36">
        <v>0</v>
      </c>
      <c r="K291" s="36">
        <v>4.8999999999999998E-3</v>
      </c>
      <c r="L291" s="36">
        <v>1.7198999999999999E-3</v>
      </c>
      <c r="M291" s="36">
        <v>0.16984670040000002</v>
      </c>
      <c r="N291" s="36">
        <v>0</v>
      </c>
      <c r="O291" s="36">
        <v>0</v>
      </c>
      <c r="P291" s="100"/>
    </row>
    <row r="292" spans="1:19" x14ac:dyDescent="0.25">
      <c r="A292" s="36">
        <v>59</v>
      </c>
      <c r="B292" s="36">
        <v>438089</v>
      </c>
      <c r="C292" s="36">
        <v>5688713</v>
      </c>
      <c r="D292" s="99">
        <v>26</v>
      </c>
      <c r="E292" s="99" t="s">
        <v>24</v>
      </c>
      <c r="F292" s="50">
        <v>2010</v>
      </c>
      <c r="G292" s="36">
        <v>0.38340000000000002</v>
      </c>
      <c r="H292" s="36">
        <v>0.11961926640000001</v>
      </c>
      <c r="I292" s="36">
        <v>0</v>
      </c>
      <c r="J292" s="36">
        <v>0</v>
      </c>
      <c r="K292" s="36">
        <v>2.4199999999999999E-2</v>
      </c>
      <c r="L292" s="36">
        <v>8.4941999999999986E-3</v>
      </c>
      <c r="M292" s="36">
        <v>0.11112506640000001</v>
      </c>
      <c r="N292" s="36">
        <v>0</v>
      </c>
      <c r="O292" s="36">
        <v>0</v>
      </c>
      <c r="P292" s="100"/>
    </row>
    <row r="293" spans="1:19" x14ac:dyDescent="0.25">
      <c r="A293" s="36">
        <v>60</v>
      </c>
      <c r="B293" s="36">
        <v>438099</v>
      </c>
      <c r="C293" s="36">
        <v>5688719</v>
      </c>
      <c r="D293" s="99">
        <v>26</v>
      </c>
      <c r="E293" s="99" t="s">
        <v>24</v>
      </c>
      <c r="F293" s="50">
        <v>2010</v>
      </c>
      <c r="G293" s="36">
        <v>0.22670000000000001</v>
      </c>
      <c r="H293" s="36">
        <v>7.0729493200000007E-2</v>
      </c>
      <c r="I293" s="36">
        <v>0</v>
      </c>
      <c r="J293" s="36">
        <v>0</v>
      </c>
      <c r="K293" s="36">
        <v>1.29E-2</v>
      </c>
      <c r="L293" s="36">
        <v>4.5278999999999996E-3</v>
      </c>
      <c r="M293" s="36">
        <v>6.6201593200000006E-2</v>
      </c>
      <c r="N293" s="36">
        <v>0</v>
      </c>
      <c r="O293" s="36">
        <v>0</v>
      </c>
      <c r="P293" s="100"/>
    </row>
    <row r="294" spans="1:19" x14ac:dyDescent="0.25">
      <c r="A294" s="16">
        <v>1</v>
      </c>
      <c r="B294" s="16">
        <v>437930.10856199998</v>
      </c>
      <c r="C294" s="16">
        <v>5688036.3324180003</v>
      </c>
      <c r="D294" s="31">
        <v>29</v>
      </c>
      <c r="E294" s="31" t="s">
        <v>33</v>
      </c>
      <c r="F294" s="46">
        <v>2010</v>
      </c>
      <c r="G294" s="16">
        <v>2.0300000000000002E-2</v>
      </c>
      <c r="H294" s="16">
        <v>8.0170186745789542E-3</v>
      </c>
      <c r="I294" s="16">
        <v>7.0000000000000001E-3</v>
      </c>
      <c r="J294" s="16">
        <v>3.4351375830392111E-3</v>
      </c>
      <c r="K294" s="16">
        <v>1.1300000000000001E-2</v>
      </c>
      <c r="L294" s="16">
        <v>6.5921430657908979E-3</v>
      </c>
      <c r="M294" s="16">
        <v>1.4248756087880564E-3</v>
      </c>
      <c r="N294" s="16">
        <v>2.1399999999999999E-2</v>
      </c>
      <c r="O294" s="16">
        <v>1.1585012029501303E-2</v>
      </c>
      <c r="P294" s="95"/>
      <c r="R294" s="5">
        <f>AVERAGE(M294:M353)</f>
        <v>2.2135634757925689E-2</v>
      </c>
      <c r="S294" s="5">
        <f>AVERAGE(H294:H353)</f>
        <v>3.0621873674414504E-2</v>
      </c>
    </row>
    <row r="295" spans="1:19" x14ac:dyDescent="0.25">
      <c r="A295" s="16">
        <v>2</v>
      </c>
      <c r="B295" s="16">
        <v>437811.10856199998</v>
      </c>
      <c r="C295" s="16">
        <v>5688155.3324180003</v>
      </c>
      <c r="D295" s="31">
        <v>29</v>
      </c>
      <c r="E295" s="31" t="s">
        <v>33</v>
      </c>
      <c r="F295" s="46">
        <v>2010</v>
      </c>
      <c r="G295" s="16">
        <v>5.6600000000000004E-2</v>
      </c>
      <c r="H295" s="16">
        <v>2.2352869802028021E-2</v>
      </c>
      <c r="I295" s="16">
        <v>4.82E-2</v>
      </c>
      <c r="J295" s="16">
        <v>2.3653375928927137E-2</v>
      </c>
      <c r="K295" s="16">
        <v>4.5600000000000002E-2</v>
      </c>
      <c r="L295" s="16">
        <v>2.6601922460182736E-2</v>
      </c>
      <c r="M295" s="16">
        <v>-4.2490526581547144E-3</v>
      </c>
      <c r="N295" s="16">
        <v>9.7000000000000003E-2</v>
      </c>
      <c r="O295" s="16">
        <v>5.2511503124375067E-2</v>
      </c>
      <c r="P295" s="95"/>
    </row>
    <row r="296" spans="1:19" x14ac:dyDescent="0.25">
      <c r="A296" s="16">
        <v>3</v>
      </c>
      <c r="B296" s="16">
        <v>437930.10856199998</v>
      </c>
      <c r="C296" s="16">
        <v>5688155.3324180003</v>
      </c>
      <c r="D296" s="31">
        <v>29</v>
      </c>
      <c r="E296" s="31" t="s">
        <v>33</v>
      </c>
      <c r="F296" s="46">
        <v>2010</v>
      </c>
      <c r="G296" s="16">
        <v>8.7099999999999997E-2</v>
      </c>
      <c r="H296" s="16">
        <v>3.4398144165311666E-2</v>
      </c>
      <c r="I296" s="16">
        <v>0.14649999999999999</v>
      </c>
      <c r="J296" s="16">
        <v>7.1892522273606346E-2</v>
      </c>
      <c r="K296" s="16">
        <v>1.9100000000000002E-2</v>
      </c>
      <c r="L296" s="16">
        <v>1.1142471907664261E-2</v>
      </c>
      <c r="M296" s="16">
        <v>2.3255672257647405E-2</v>
      </c>
      <c r="N296" s="16">
        <v>7.4400000000000008E-2</v>
      </c>
      <c r="O296" s="16">
        <v>4.0276864252097991E-2</v>
      </c>
      <c r="P296" s="95"/>
    </row>
    <row r="297" spans="1:19" x14ac:dyDescent="0.25">
      <c r="A297" s="16">
        <v>4</v>
      </c>
      <c r="B297" s="16">
        <v>438049.10856199998</v>
      </c>
      <c r="C297" s="16">
        <v>5688155.3324180003</v>
      </c>
      <c r="D297" s="31">
        <v>29</v>
      </c>
      <c r="E297" s="31" t="s">
        <v>33</v>
      </c>
      <c r="F297" s="46">
        <v>2010</v>
      </c>
      <c r="G297" s="16">
        <v>3.78E-2</v>
      </c>
      <c r="H297" s="16">
        <v>1.4928241669905638E-2</v>
      </c>
      <c r="I297" s="16">
        <v>0</v>
      </c>
      <c r="J297" s="16">
        <v>0</v>
      </c>
      <c r="K297" s="16">
        <v>5.7000000000000002E-3</v>
      </c>
      <c r="L297" s="16">
        <v>3.325240307522842E-3</v>
      </c>
      <c r="M297" s="16">
        <v>1.1603001362382796E-2</v>
      </c>
      <c r="N297" s="16">
        <v>0</v>
      </c>
      <c r="O297" s="16">
        <v>0</v>
      </c>
      <c r="P297" s="95"/>
    </row>
    <row r="298" spans="1:19" x14ac:dyDescent="0.25">
      <c r="A298" s="16">
        <v>5</v>
      </c>
      <c r="B298" s="16">
        <v>437573.10856199998</v>
      </c>
      <c r="C298" s="16">
        <v>5688274.3324180003</v>
      </c>
      <c r="D298" s="31">
        <v>29</v>
      </c>
      <c r="E298" s="31" t="s">
        <v>33</v>
      </c>
      <c r="F298" s="46">
        <v>2010</v>
      </c>
      <c r="G298" s="16">
        <v>4.1000000000000002E-2</v>
      </c>
      <c r="H298" s="16">
        <v>1.6192008160479662E-2</v>
      </c>
      <c r="I298" s="16">
        <v>0.1114</v>
      </c>
      <c r="J298" s="16">
        <v>5.4667760964366874E-2</v>
      </c>
      <c r="K298" s="16">
        <v>2.07E-2</v>
      </c>
      <c r="L298" s="16">
        <v>1.2075872695740847E-2</v>
      </c>
      <c r="M298" s="16">
        <v>4.1161354647388151E-3</v>
      </c>
      <c r="N298" s="16">
        <v>8.9400000000000007E-2</v>
      </c>
      <c r="O298" s="16">
        <v>4.8397199786795166E-2</v>
      </c>
      <c r="P298" s="95"/>
    </row>
    <row r="299" spans="1:19" x14ac:dyDescent="0.25">
      <c r="A299" s="16">
        <v>6</v>
      </c>
      <c r="B299" s="16">
        <v>437692.10856199998</v>
      </c>
      <c r="C299" s="16">
        <v>5688274.3324180003</v>
      </c>
      <c r="D299" s="31">
        <v>29</v>
      </c>
      <c r="E299" s="31" t="s">
        <v>33</v>
      </c>
      <c r="F299" s="46">
        <v>2010</v>
      </c>
      <c r="G299" s="16">
        <v>6.1100000000000002E-2</v>
      </c>
      <c r="H299" s="16">
        <v>2.4130041429397741E-2</v>
      </c>
      <c r="I299" s="16">
        <v>2.46E-2</v>
      </c>
      <c r="J299" s="16">
        <v>1.2072054934680656E-2</v>
      </c>
      <c r="K299" s="16">
        <v>2.8399999999999998E-2</v>
      </c>
      <c r="L299" s="16">
        <v>1.6567863988359421E-2</v>
      </c>
      <c r="M299" s="16">
        <v>7.5621774410383202E-3</v>
      </c>
      <c r="N299" s="16">
        <v>6.7400000000000002E-2</v>
      </c>
      <c r="O299" s="16">
        <v>3.6487374335905973E-2</v>
      </c>
      <c r="P299" s="95"/>
    </row>
    <row r="300" spans="1:19" x14ac:dyDescent="0.25">
      <c r="A300" s="16">
        <v>7</v>
      </c>
      <c r="B300" s="16">
        <v>437811.10856199998</v>
      </c>
      <c r="C300" s="16">
        <v>5688274.3324180003</v>
      </c>
      <c r="D300" s="31">
        <v>29</v>
      </c>
      <c r="E300" s="31" t="s">
        <v>33</v>
      </c>
      <c r="F300" s="46">
        <v>2010</v>
      </c>
      <c r="G300" s="16">
        <v>2.9600000000000001E-2</v>
      </c>
      <c r="H300" s="16">
        <v>1.1689840037809707E-2</v>
      </c>
      <c r="I300" s="16">
        <v>7.2499999999999995E-2</v>
      </c>
      <c r="J300" s="16">
        <v>3.557821068147754E-2</v>
      </c>
      <c r="K300" s="16">
        <v>3.0000000000000001E-3</v>
      </c>
      <c r="L300" s="16">
        <v>1.7501264776436012E-3</v>
      </c>
      <c r="M300" s="16">
        <v>9.9397135601661055E-3</v>
      </c>
      <c r="N300" s="16">
        <v>4.1500000000000002E-2</v>
      </c>
      <c r="O300" s="16">
        <v>2.2466261645995519E-2</v>
      </c>
      <c r="P300" s="95"/>
    </row>
    <row r="301" spans="1:19" x14ac:dyDescent="0.25">
      <c r="A301" s="16">
        <v>8</v>
      </c>
      <c r="B301" s="16">
        <v>437930.10856199998</v>
      </c>
      <c r="C301" s="16">
        <v>5688274.3324180003</v>
      </c>
      <c r="D301" s="31">
        <v>29</v>
      </c>
      <c r="E301" s="31" t="s">
        <v>33</v>
      </c>
      <c r="F301" s="46">
        <v>2010</v>
      </c>
      <c r="G301" s="16">
        <v>5.6799999999999996E-2</v>
      </c>
      <c r="H301" s="16">
        <v>2.2431855207688894E-2</v>
      </c>
      <c r="I301" s="16">
        <v>0</v>
      </c>
      <c r="J301" s="16">
        <v>0</v>
      </c>
      <c r="K301" s="16">
        <v>1.5300000000000001E-2</v>
      </c>
      <c r="L301" s="16">
        <v>8.9256450359823658E-3</v>
      </c>
      <c r="M301" s="16">
        <v>1.3506210171706529E-2</v>
      </c>
      <c r="N301" s="16">
        <v>0</v>
      </c>
      <c r="O301" s="16">
        <v>0</v>
      </c>
      <c r="P301" s="95"/>
    </row>
    <row r="302" spans="1:19" x14ac:dyDescent="0.25">
      <c r="A302" s="16">
        <v>9</v>
      </c>
      <c r="B302" s="16">
        <v>438287.10856199998</v>
      </c>
      <c r="C302" s="16">
        <v>5688274.3324180003</v>
      </c>
      <c r="D302" s="31">
        <v>29</v>
      </c>
      <c r="E302" s="31" t="s">
        <v>33</v>
      </c>
      <c r="F302" s="46">
        <v>2010</v>
      </c>
      <c r="G302" s="16">
        <v>5.3600000000000002E-2</v>
      </c>
      <c r="H302" s="16">
        <v>2.1168088717114876E-2</v>
      </c>
      <c r="I302" s="16">
        <v>3.9399999999999998E-2</v>
      </c>
      <c r="J302" s="16">
        <v>1.9334917253106414E-2</v>
      </c>
      <c r="K302" s="16">
        <v>6.9000000000000008E-3</v>
      </c>
      <c r="L302" s="16">
        <v>4.025290898580283E-3</v>
      </c>
      <c r="M302" s="16">
        <v>1.7142797818534592E-2</v>
      </c>
      <c r="N302" s="16">
        <v>0</v>
      </c>
      <c r="O302" s="16">
        <v>0</v>
      </c>
      <c r="P302" s="95"/>
    </row>
    <row r="303" spans="1:19" x14ac:dyDescent="0.25">
      <c r="A303" s="16">
        <v>10</v>
      </c>
      <c r="B303" s="16">
        <v>438406.10856199998</v>
      </c>
      <c r="C303" s="16">
        <v>5688274.3324180003</v>
      </c>
      <c r="D303" s="31">
        <v>29</v>
      </c>
      <c r="E303" s="31" t="s">
        <v>33</v>
      </c>
      <c r="F303" s="46">
        <v>2010</v>
      </c>
      <c r="G303" s="16">
        <v>2.92E-2</v>
      </c>
      <c r="H303" s="16">
        <v>1.1531869226487954E-2</v>
      </c>
      <c r="I303" s="16">
        <v>0</v>
      </c>
      <c r="J303" s="16">
        <v>0</v>
      </c>
      <c r="K303" s="16">
        <v>2.5999999999999999E-3</v>
      </c>
      <c r="L303" s="16">
        <v>1.5167762806244543E-3</v>
      </c>
      <c r="M303" s="16">
        <v>1.0015092945863498E-2</v>
      </c>
      <c r="N303" s="16">
        <v>0</v>
      </c>
      <c r="O303" s="16">
        <v>0</v>
      </c>
      <c r="P303" s="95"/>
    </row>
    <row r="304" spans="1:19" x14ac:dyDescent="0.25">
      <c r="A304" s="16">
        <v>11</v>
      </c>
      <c r="B304" s="16">
        <v>437454.10856199998</v>
      </c>
      <c r="C304" s="16">
        <v>5688393.3324180003</v>
      </c>
      <c r="D304" s="31">
        <v>28</v>
      </c>
      <c r="E304" s="31" t="s">
        <v>33</v>
      </c>
      <c r="F304" s="46">
        <v>2010</v>
      </c>
      <c r="G304" s="31" t="s">
        <v>18</v>
      </c>
      <c r="H304" s="31" t="s">
        <v>18</v>
      </c>
      <c r="I304" s="31" t="s">
        <v>18</v>
      </c>
      <c r="J304" s="31" t="s">
        <v>18</v>
      </c>
      <c r="K304" s="16">
        <v>2.3399999999999997E-2</v>
      </c>
      <c r="L304" s="16">
        <v>1.0456657568811627E-2</v>
      </c>
      <c r="M304" s="31" t="s">
        <v>18</v>
      </c>
      <c r="N304" s="16">
        <v>5.1400000000000001E-2</v>
      </c>
      <c r="O304" s="16">
        <v>2.828485772322735E-2</v>
      </c>
      <c r="P304" s="95" t="s">
        <v>57</v>
      </c>
    </row>
    <row r="305" spans="1:16" x14ac:dyDescent="0.25">
      <c r="A305" s="16">
        <v>12</v>
      </c>
      <c r="B305" s="16">
        <v>437573.10856199998</v>
      </c>
      <c r="C305" s="16">
        <v>5688393.3324180003</v>
      </c>
      <c r="D305" s="31">
        <v>28</v>
      </c>
      <c r="E305" s="31" t="s">
        <v>33</v>
      </c>
      <c r="F305" s="46">
        <v>2010</v>
      </c>
      <c r="G305" s="16">
        <v>9.6200000000000008E-2</v>
      </c>
      <c r="H305" s="16">
        <v>4.1534799935094173E-2</v>
      </c>
      <c r="I305" s="16">
        <v>7.0900000000000005E-2</v>
      </c>
      <c r="J305" s="16">
        <v>3.9179721625626607E-2</v>
      </c>
      <c r="K305" s="16">
        <v>3.1199999999999999E-2</v>
      </c>
      <c r="L305" s="16">
        <v>1.3942210091748836E-2</v>
      </c>
      <c r="M305" s="16">
        <v>2.7592589843345339E-2</v>
      </c>
      <c r="N305" s="16">
        <v>7.8099999999999989E-2</v>
      </c>
      <c r="O305" s="16">
        <v>4.2977575645604192E-2</v>
      </c>
      <c r="P305" s="95"/>
    </row>
    <row r="306" spans="1:16" x14ac:dyDescent="0.25">
      <c r="A306" s="16">
        <v>13</v>
      </c>
      <c r="B306" s="16">
        <v>437692.10856199998</v>
      </c>
      <c r="C306" s="16">
        <v>5688393.3324180003</v>
      </c>
      <c r="D306" s="31">
        <v>29</v>
      </c>
      <c r="E306" s="31" t="s">
        <v>33</v>
      </c>
      <c r="F306" s="46">
        <v>2010</v>
      </c>
      <c r="G306" s="16">
        <v>7.0699999999999999E-2</v>
      </c>
      <c r="H306" s="16">
        <v>2.7921340901119807E-2</v>
      </c>
      <c r="I306" s="16">
        <v>0.2346</v>
      </c>
      <c r="J306" s="16">
        <v>0.115126182425857</v>
      </c>
      <c r="K306" s="16">
        <v>1.77E-2</v>
      </c>
      <c r="L306" s="16">
        <v>1.0325746218097247E-2</v>
      </c>
      <c r="M306" s="16">
        <v>1.7595594683022561E-2</v>
      </c>
      <c r="N306" s="16">
        <v>0.20630000000000001</v>
      </c>
      <c r="O306" s="16">
        <v>0.11168168138720182</v>
      </c>
      <c r="P306" s="95"/>
    </row>
    <row r="307" spans="1:16" x14ac:dyDescent="0.25">
      <c r="A307" s="35">
        <v>14</v>
      </c>
      <c r="B307" s="35">
        <v>437811.10856199998</v>
      </c>
      <c r="C307" s="35">
        <v>5688393.3324180003</v>
      </c>
      <c r="D307" s="96">
        <v>29</v>
      </c>
      <c r="E307" s="96" t="s">
        <v>33</v>
      </c>
      <c r="F307" s="96">
        <v>2010</v>
      </c>
      <c r="G307" s="96" t="s">
        <v>18</v>
      </c>
      <c r="H307" s="96" t="s">
        <v>18</v>
      </c>
      <c r="I307" s="96" t="s">
        <v>18</v>
      </c>
      <c r="J307" s="96" t="s">
        <v>18</v>
      </c>
      <c r="K307" s="96" t="s">
        <v>18</v>
      </c>
      <c r="L307" s="96" t="s">
        <v>18</v>
      </c>
      <c r="M307" s="96" t="s">
        <v>18</v>
      </c>
      <c r="N307" s="96" t="s">
        <v>18</v>
      </c>
      <c r="O307" s="96" t="s">
        <v>18</v>
      </c>
      <c r="P307" s="94" t="s">
        <v>21</v>
      </c>
    </row>
    <row r="308" spans="1:16" x14ac:dyDescent="0.25">
      <c r="A308" s="16">
        <v>15</v>
      </c>
      <c r="B308" s="16">
        <v>437930.10856199998</v>
      </c>
      <c r="C308" s="16">
        <v>5688393.3324180003</v>
      </c>
      <c r="D308" s="31">
        <v>29</v>
      </c>
      <c r="E308" s="31" t="s">
        <v>33</v>
      </c>
      <c r="F308" s="46">
        <v>2010</v>
      </c>
      <c r="G308" s="31" t="s">
        <v>18</v>
      </c>
      <c r="H308" s="31" t="s">
        <v>18</v>
      </c>
      <c r="I308" s="31" t="s">
        <v>18</v>
      </c>
      <c r="J308" s="31" t="s">
        <v>18</v>
      </c>
      <c r="K308" s="16">
        <v>1.4199999999999999E-2</v>
      </c>
      <c r="L308" s="16">
        <v>8.2839319941797104E-3</v>
      </c>
      <c r="M308" s="31" t="s">
        <v>18</v>
      </c>
      <c r="N308" s="16">
        <v>0.10590000000000001</v>
      </c>
      <c r="O308" s="16">
        <v>5.7329568874962059E-2</v>
      </c>
      <c r="P308" s="95" t="s">
        <v>57</v>
      </c>
    </row>
    <row r="309" spans="1:16" x14ac:dyDescent="0.25">
      <c r="A309" s="16">
        <v>16</v>
      </c>
      <c r="B309" s="16">
        <v>438049.10856199998</v>
      </c>
      <c r="C309" s="16">
        <v>5688393.3324180003</v>
      </c>
      <c r="D309" s="31">
        <v>29</v>
      </c>
      <c r="E309" s="31" t="s">
        <v>33</v>
      </c>
      <c r="F309" s="46">
        <v>2010</v>
      </c>
      <c r="G309" s="16">
        <v>1.46E-2</v>
      </c>
      <c r="H309" s="16">
        <v>5.7659346132439768E-3</v>
      </c>
      <c r="I309" s="16">
        <v>0.1434</v>
      </c>
      <c r="J309" s="16">
        <v>7.0371247058260408E-2</v>
      </c>
      <c r="K309" s="16">
        <v>4.4700000000000004E-2</v>
      </c>
      <c r="L309" s="16">
        <v>2.6076884516889658E-2</v>
      </c>
      <c r="M309" s="16">
        <v>-2.0310949903645681E-2</v>
      </c>
      <c r="N309" s="16">
        <v>7.2999999999999995E-2</v>
      </c>
      <c r="O309" s="16">
        <v>3.9518966268859583E-2</v>
      </c>
      <c r="P309" s="95"/>
    </row>
    <row r="310" spans="1:16" x14ac:dyDescent="0.25">
      <c r="A310" s="16">
        <v>17</v>
      </c>
      <c r="B310" s="16">
        <v>438168.10856199998</v>
      </c>
      <c r="C310" s="16">
        <v>5688393.3324180003</v>
      </c>
      <c r="D310" s="31">
        <v>29</v>
      </c>
      <c r="E310" s="31" t="s">
        <v>33</v>
      </c>
      <c r="F310" s="46">
        <v>2010</v>
      </c>
      <c r="G310" s="16">
        <v>6.2700000000000006E-2</v>
      </c>
      <c r="H310" s="16">
        <v>2.4761924674684754E-2</v>
      </c>
      <c r="I310" s="16">
        <v>0</v>
      </c>
      <c r="J310" s="16">
        <v>0</v>
      </c>
      <c r="K310" s="16">
        <v>9.9000000000000008E-3</v>
      </c>
      <c r="L310" s="16">
        <v>5.7754173762238842E-3</v>
      </c>
      <c r="M310" s="16">
        <v>1.898650729846087E-2</v>
      </c>
      <c r="N310" s="16">
        <v>2.9600000000000001E-2</v>
      </c>
      <c r="O310" s="16">
        <v>1.6024128788469094E-2</v>
      </c>
      <c r="P310" s="95"/>
    </row>
    <row r="311" spans="1:16" x14ac:dyDescent="0.25">
      <c r="A311" s="16">
        <v>18</v>
      </c>
      <c r="B311" s="16">
        <v>438287.10856199998</v>
      </c>
      <c r="C311" s="16">
        <v>5688393.3324180003</v>
      </c>
      <c r="D311" s="31">
        <v>29</v>
      </c>
      <c r="E311" s="31" t="s">
        <v>33</v>
      </c>
      <c r="F311" s="46">
        <v>2010</v>
      </c>
      <c r="G311" s="16">
        <v>2.3699999999999999E-2</v>
      </c>
      <c r="H311" s="16">
        <v>9.3597705708138527E-3</v>
      </c>
      <c r="I311" s="16">
        <v>0</v>
      </c>
      <c r="J311" s="16">
        <v>0</v>
      </c>
      <c r="K311" s="16">
        <v>1.9199999999999998E-2</v>
      </c>
      <c r="L311" s="16">
        <v>1.1200809456919045E-2</v>
      </c>
      <c r="M311" s="16">
        <v>-1.8410388861051924E-3</v>
      </c>
      <c r="N311" s="16">
        <v>0</v>
      </c>
      <c r="O311" s="16">
        <v>0</v>
      </c>
      <c r="P311" s="95"/>
    </row>
    <row r="312" spans="1:16" x14ac:dyDescent="0.25">
      <c r="A312" s="16">
        <v>19</v>
      </c>
      <c r="B312" s="16">
        <v>438406.10856199998</v>
      </c>
      <c r="C312" s="16">
        <v>5688393.3324180003</v>
      </c>
      <c r="D312" s="31">
        <v>29</v>
      </c>
      <c r="E312" s="31" t="s">
        <v>33</v>
      </c>
      <c r="F312" s="46">
        <v>2010</v>
      </c>
      <c r="G312" s="16">
        <v>1.66E-2</v>
      </c>
      <c r="H312" s="16">
        <v>6.5557886698527409E-3</v>
      </c>
      <c r="I312" s="16">
        <v>0</v>
      </c>
      <c r="J312" s="16">
        <v>0</v>
      </c>
      <c r="K312" s="16">
        <v>3.7000000000000002E-3</v>
      </c>
      <c r="L312" s="16">
        <v>2.158489322427108E-3</v>
      </c>
      <c r="M312" s="16">
        <v>4.3972993474256329E-3</v>
      </c>
      <c r="N312" s="16">
        <v>0</v>
      </c>
      <c r="O312" s="16">
        <v>0</v>
      </c>
      <c r="P312" s="95"/>
    </row>
    <row r="313" spans="1:16" x14ac:dyDescent="0.25">
      <c r="A313" s="16">
        <v>20</v>
      </c>
      <c r="B313" s="16">
        <v>437335.10856199998</v>
      </c>
      <c r="C313" s="16">
        <v>5688512.3324180003</v>
      </c>
      <c r="D313" s="31">
        <v>28</v>
      </c>
      <c r="E313" s="31" t="s">
        <v>33</v>
      </c>
      <c r="F313" s="46">
        <v>2010</v>
      </c>
      <c r="G313" s="16">
        <v>8.09E-2</v>
      </c>
      <c r="H313" s="16">
        <v>3.4928953375770462E-2</v>
      </c>
      <c r="I313" s="16">
        <v>0</v>
      </c>
      <c r="J313" s="16">
        <v>0</v>
      </c>
      <c r="K313" s="16">
        <v>6.0000000000000001E-3</v>
      </c>
      <c r="L313" s="16">
        <v>2.6811942484132379E-3</v>
      </c>
      <c r="M313" s="16">
        <v>3.2247759127357223E-2</v>
      </c>
      <c r="N313" s="16">
        <v>0</v>
      </c>
      <c r="O313" s="16">
        <v>0</v>
      </c>
      <c r="P313" s="95"/>
    </row>
    <row r="314" spans="1:16" x14ac:dyDescent="0.25">
      <c r="A314" s="16">
        <v>21</v>
      </c>
      <c r="B314" s="16">
        <v>437454.10856199998</v>
      </c>
      <c r="C314" s="16">
        <v>5688512.3324180003</v>
      </c>
      <c r="D314" s="31">
        <v>28</v>
      </c>
      <c r="E314" s="31" t="s">
        <v>33</v>
      </c>
      <c r="F314" s="46">
        <v>2010</v>
      </c>
      <c r="G314" s="16">
        <v>1.8699999999999998E-2</v>
      </c>
      <c r="H314" s="16">
        <v>8.0738124613956436E-3</v>
      </c>
      <c r="I314" s="16">
        <v>0</v>
      </c>
      <c r="J314" s="16">
        <v>0</v>
      </c>
      <c r="K314" s="16">
        <v>6.7999999999999996E-3</v>
      </c>
      <c r="L314" s="16">
        <v>3.0386868148683361E-3</v>
      </c>
      <c r="M314" s="16">
        <v>5.0351256465273071E-3</v>
      </c>
      <c r="N314" s="16">
        <v>0</v>
      </c>
      <c r="O314" s="16">
        <v>0</v>
      </c>
      <c r="P314" s="95"/>
    </row>
    <row r="315" spans="1:16" x14ac:dyDescent="0.25">
      <c r="A315" s="16">
        <v>22</v>
      </c>
      <c r="B315" s="16">
        <v>437573.10856199998</v>
      </c>
      <c r="C315" s="16">
        <v>5688512.3324180003</v>
      </c>
      <c r="D315" s="31">
        <v>28</v>
      </c>
      <c r="E315" s="31" t="s">
        <v>33</v>
      </c>
      <c r="F315" s="46">
        <v>2010</v>
      </c>
      <c r="G315" s="16">
        <v>0.10150000000000001</v>
      </c>
      <c r="H315" s="16">
        <v>4.3823099723618072E-2</v>
      </c>
      <c r="I315" s="16">
        <v>0.1489</v>
      </c>
      <c r="J315" s="16">
        <v>8.2282941467641771E-2</v>
      </c>
      <c r="K315" s="16">
        <v>1.1300000000000001E-2</v>
      </c>
      <c r="L315" s="16">
        <v>5.0495825011782651E-3</v>
      </c>
      <c r="M315" s="16">
        <v>3.877351722243981E-2</v>
      </c>
      <c r="N315" s="16">
        <v>2.9700000000000001E-2</v>
      </c>
      <c r="O315" s="16">
        <v>1.6343585104666387E-2</v>
      </c>
      <c r="P315" s="95"/>
    </row>
    <row r="316" spans="1:16" x14ac:dyDescent="0.25">
      <c r="A316" s="16">
        <v>23</v>
      </c>
      <c r="B316" s="16">
        <v>437692.10856199998</v>
      </c>
      <c r="C316" s="16">
        <v>5688512.3324180003</v>
      </c>
      <c r="D316" s="31">
        <v>29</v>
      </c>
      <c r="E316" s="31" t="s">
        <v>33</v>
      </c>
      <c r="F316" s="46">
        <v>2010</v>
      </c>
      <c r="G316" s="16">
        <v>3.1699999999999999E-2</v>
      </c>
      <c r="H316" s="16">
        <v>1.2519186797248909E-2</v>
      </c>
      <c r="I316" s="16">
        <v>5.16E-2</v>
      </c>
      <c r="J316" s="16">
        <v>2.5321871326403327E-2</v>
      </c>
      <c r="K316" s="16">
        <v>4.41E-2</v>
      </c>
      <c r="L316" s="16">
        <v>2.5726859221360934E-2</v>
      </c>
      <c r="M316" s="16">
        <v>-1.3207672424112025E-2</v>
      </c>
      <c r="N316" s="16">
        <v>0</v>
      </c>
      <c r="O316" s="16">
        <v>0</v>
      </c>
      <c r="P316" s="95"/>
    </row>
    <row r="317" spans="1:16" x14ac:dyDescent="0.25">
      <c r="A317" s="16">
        <v>24</v>
      </c>
      <c r="B317" s="16">
        <v>437811.10856199998</v>
      </c>
      <c r="C317" s="16">
        <v>5688512.3324180003</v>
      </c>
      <c r="D317" s="31">
        <v>29</v>
      </c>
      <c r="E317" s="31" t="s">
        <v>33</v>
      </c>
      <c r="F317" s="46">
        <v>2010</v>
      </c>
      <c r="G317" s="16">
        <v>0.1206</v>
      </c>
      <c r="H317" s="16">
        <v>4.7628199613508469E-2</v>
      </c>
      <c r="I317" s="16">
        <v>0</v>
      </c>
      <c r="J317" s="16">
        <v>0</v>
      </c>
      <c r="K317" s="16">
        <v>1.6999999999999999E-3</v>
      </c>
      <c r="L317" s="16">
        <v>9.9173833733137381E-4</v>
      </c>
      <c r="M317" s="16">
        <v>4.6636461276177092E-2</v>
      </c>
      <c r="N317" s="16">
        <v>0</v>
      </c>
      <c r="O317" s="16">
        <v>0</v>
      </c>
      <c r="P317" s="95"/>
    </row>
    <row r="318" spans="1:16" ht="14.4" x14ac:dyDescent="0.3">
      <c r="A318" s="16">
        <v>25</v>
      </c>
      <c r="B318" s="16">
        <v>437995</v>
      </c>
      <c r="C318" s="16">
        <v>5688493</v>
      </c>
      <c r="D318" s="31">
        <v>29</v>
      </c>
      <c r="E318" s="31" t="s">
        <v>33</v>
      </c>
      <c r="F318" s="46">
        <v>2010</v>
      </c>
      <c r="G318" s="16">
        <v>6.0200000000000004E-2</v>
      </c>
      <c r="H318" s="16">
        <v>2.3774607103923796E-2</v>
      </c>
      <c r="I318">
        <v>7.7700000000000005E-2</v>
      </c>
      <c r="J318">
        <f>I318*0.490733940434173</f>
        <v>3.8130027171735248E-2</v>
      </c>
      <c r="K318" s="16">
        <v>7.6E-3</v>
      </c>
      <c r="L318" s="16">
        <v>4.433653743363789E-3</v>
      </c>
      <c r="M318" s="16">
        <v>1.9340953360560006E-2</v>
      </c>
      <c r="N318" s="16">
        <v>7.8700000000000006E-2</v>
      </c>
      <c r="O318" s="16">
        <v>4.2604693772044518E-2</v>
      </c>
      <c r="P318" s="95"/>
    </row>
    <row r="319" spans="1:16" x14ac:dyDescent="0.25">
      <c r="A319" s="16">
        <v>26</v>
      </c>
      <c r="B319" s="16">
        <v>438112</v>
      </c>
      <c r="C319" s="16">
        <v>5688567</v>
      </c>
      <c r="D319" s="31">
        <v>27</v>
      </c>
      <c r="E319" s="31" t="s">
        <v>33</v>
      </c>
      <c r="F319" s="46">
        <v>2010</v>
      </c>
      <c r="G319" s="16">
        <v>0.1057</v>
      </c>
      <c r="H319" s="16">
        <v>2.7614357407438884E-2</v>
      </c>
      <c r="I319" s="16">
        <v>8.8200000000000001E-2</v>
      </c>
      <c r="J319" s="16">
        <v>4.7687473572938718E-2</v>
      </c>
      <c r="K319" s="16">
        <v>1.2500000000000001E-2</v>
      </c>
      <c r="L319" s="16">
        <v>5.6457907939814252E-3</v>
      </c>
      <c r="M319" s="16">
        <v>2.196856661345746E-2</v>
      </c>
      <c r="N319" s="16">
        <v>9.4799999999999995E-2</v>
      </c>
      <c r="O319" s="16">
        <v>5.1060670143834405E-2</v>
      </c>
      <c r="P319" s="95"/>
    </row>
    <row r="320" spans="1:16" x14ac:dyDescent="0.25">
      <c r="A320" s="35">
        <v>27</v>
      </c>
      <c r="B320" s="35">
        <v>438168.10856199998</v>
      </c>
      <c r="C320" s="35">
        <v>5688512.3324180003</v>
      </c>
      <c r="D320" s="96">
        <v>29</v>
      </c>
      <c r="E320" s="96" t="s">
        <v>33</v>
      </c>
      <c r="F320" s="96">
        <v>2010</v>
      </c>
      <c r="G320" s="96" t="s">
        <v>18</v>
      </c>
      <c r="H320" s="96" t="s">
        <v>18</v>
      </c>
      <c r="I320" s="96" t="s">
        <v>18</v>
      </c>
      <c r="J320" s="96" t="s">
        <v>18</v>
      </c>
      <c r="K320" s="96" t="s">
        <v>18</v>
      </c>
      <c r="L320" s="96" t="s">
        <v>18</v>
      </c>
      <c r="M320" s="96" t="s">
        <v>18</v>
      </c>
      <c r="N320" s="96" t="s">
        <v>18</v>
      </c>
      <c r="O320" s="96" t="s">
        <v>18</v>
      </c>
      <c r="P320" s="94" t="s">
        <v>21</v>
      </c>
    </row>
    <row r="321" spans="1:16" x14ac:dyDescent="0.25">
      <c r="A321" s="35">
        <v>28</v>
      </c>
      <c r="B321" s="35">
        <v>438287.10856199998</v>
      </c>
      <c r="C321" s="35">
        <v>5688512.3324180003</v>
      </c>
      <c r="D321" s="96">
        <v>29</v>
      </c>
      <c r="E321" s="96" t="s">
        <v>33</v>
      </c>
      <c r="F321" s="96">
        <v>2010</v>
      </c>
      <c r="G321" s="96" t="s">
        <v>18</v>
      </c>
      <c r="H321" s="96" t="s">
        <v>18</v>
      </c>
      <c r="I321" s="96" t="s">
        <v>18</v>
      </c>
      <c r="J321" s="96" t="s">
        <v>18</v>
      </c>
      <c r="K321" s="96" t="s">
        <v>18</v>
      </c>
      <c r="L321" s="96" t="s">
        <v>18</v>
      </c>
      <c r="M321" s="96" t="s">
        <v>18</v>
      </c>
      <c r="N321" s="96" t="s">
        <v>18</v>
      </c>
      <c r="O321" s="96" t="s">
        <v>18</v>
      </c>
      <c r="P321" s="94" t="s">
        <v>21</v>
      </c>
    </row>
    <row r="322" spans="1:16" x14ac:dyDescent="0.25">
      <c r="A322" s="16">
        <v>29</v>
      </c>
      <c r="B322" s="16">
        <v>438381</v>
      </c>
      <c r="C322" s="16">
        <v>5688526</v>
      </c>
      <c r="D322" s="31">
        <v>27</v>
      </c>
      <c r="E322" s="31" t="s">
        <v>33</v>
      </c>
      <c r="F322" s="46">
        <v>2010</v>
      </c>
      <c r="G322" s="16">
        <v>9.6500000000000002E-2</v>
      </c>
      <c r="H322" s="16">
        <v>2.5210837178976844E-2</v>
      </c>
      <c r="I322" s="16">
        <v>0</v>
      </c>
      <c r="J322" s="16">
        <v>0</v>
      </c>
      <c r="K322" s="16">
        <v>3.2000000000000001E-2</v>
      </c>
      <c r="L322" s="16">
        <v>1.4453224432592449E-2</v>
      </c>
      <c r="M322" s="16">
        <v>1.0757612746384395E-2</v>
      </c>
      <c r="N322" s="16">
        <v>0</v>
      </c>
      <c r="O322" s="16">
        <v>0</v>
      </c>
      <c r="P322" s="95"/>
    </row>
    <row r="323" spans="1:16" x14ac:dyDescent="0.25">
      <c r="A323" s="16">
        <v>30</v>
      </c>
      <c r="B323" s="16">
        <v>438525.10856199998</v>
      </c>
      <c r="C323" s="16">
        <v>5688512.3324180003</v>
      </c>
      <c r="D323" s="31">
        <v>27</v>
      </c>
      <c r="E323" s="31" t="s">
        <v>33</v>
      </c>
      <c r="F323" s="46">
        <v>2010</v>
      </c>
      <c r="G323" s="16">
        <v>5.4899999999999997E-2</v>
      </c>
      <c r="H323" s="16">
        <v>1.4342745711148483E-2</v>
      </c>
      <c r="I323" s="16">
        <v>0</v>
      </c>
      <c r="J323" s="16">
        <v>0</v>
      </c>
      <c r="K323" s="16">
        <v>3.7000000000000002E-3</v>
      </c>
      <c r="L323" s="16">
        <v>1.6711540750185018E-3</v>
      </c>
      <c r="M323" s="16">
        <v>1.2671591636129981E-2</v>
      </c>
      <c r="N323" s="16">
        <v>0</v>
      </c>
      <c r="O323" s="16">
        <v>0</v>
      </c>
      <c r="P323" s="95"/>
    </row>
    <row r="324" spans="1:16" x14ac:dyDescent="0.25">
      <c r="A324" s="16">
        <v>31</v>
      </c>
      <c r="B324" s="16">
        <v>437335.10856199998</v>
      </c>
      <c r="C324" s="16">
        <v>5688631.3324180003</v>
      </c>
      <c r="D324" s="31">
        <v>28</v>
      </c>
      <c r="E324" s="31" t="s">
        <v>33</v>
      </c>
      <c r="F324" s="46">
        <v>2010</v>
      </c>
      <c r="G324" s="16">
        <v>0.16319999999999998</v>
      </c>
      <c r="H324" s="16">
        <v>7.0462363299452893E-2</v>
      </c>
      <c r="I324" s="16">
        <v>0</v>
      </c>
      <c r="J324" s="16">
        <v>0</v>
      </c>
      <c r="K324" s="16">
        <v>8.4000000000000012E-3</v>
      </c>
      <c r="L324" s="16">
        <v>3.7536719477785337E-3</v>
      </c>
      <c r="M324" s="16">
        <v>6.6708691351674357E-2</v>
      </c>
      <c r="N324" s="16">
        <v>0</v>
      </c>
      <c r="O324" s="16">
        <v>0</v>
      </c>
      <c r="P324" s="95"/>
    </row>
    <row r="325" spans="1:16" x14ac:dyDescent="0.25">
      <c r="A325" s="16">
        <v>32</v>
      </c>
      <c r="B325" s="16">
        <v>437454.10856199998</v>
      </c>
      <c r="C325" s="16">
        <v>5688631.3324180003</v>
      </c>
      <c r="D325" s="31">
        <v>28</v>
      </c>
      <c r="E325" s="31" t="s">
        <v>33</v>
      </c>
      <c r="F325" s="46">
        <v>2010</v>
      </c>
      <c r="G325" s="16">
        <v>6.3600000000000004E-2</v>
      </c>
      <c r="H325" s="16">
        <v>2.7459597462286794E-2</v>
      </c>
      <c r="I325" s="16">
        <v>0</v>
      </c>
      <c r="J325" s="16">
        <v>0</v>
      </c>
      <c r="K325" s="16">
        <v>1.66E-2</v>
      </c>
      <c r="L325" s="16">
        <v>7.4179707539432918E-3</v>
      </c>
      <c r="M325" s="16">
        <v>2.0041626708343502E-2</v>
      </c>
      <c r="N325" s="16">
        <v>0</v>
      </c>
      <c r="O325" s="16">
        <v>0</v>
      </c>
      <c r="P325" s="95"/>
    </row>
    <row r="326" spans="1:16" x14ac:dyDescent="0.25">
      <c r="A326" s="16">
        <v>33</v>
      </c>
      <c r="B326" s="16">
        <v>437573.10856199998</v>
      </c>
      <c r="C326" s="16">
        <v>5688631.3324180003</v>
      </c>
      <c r="D326" s="31">
        <v>28</v>
      </c>
      <c r="E326" s="31" t="s">
        <v>33</v>
      </c>
      <c r="F326" s="46">
        <v>2010</v>
      </c>
      <c r="G326" s="16">
        <v>5.1400000000000001E-2</v>
      </c>
      <c r="H326" s="16">
        <v>2.2192190401911022E-2</v>
      </c>
      <c r="I326" s="16">
        <v>0</v>
      </c>
      <c r="J326" s="16">
        <v>0</v>
      </c>
      <c r="K326" s="16">
        <v>5.7000000000000002E-3</v>
      </c>
      <c r="L326" s="16">
        <v>2.5471345359925762E-3</v>
      </c>
      <c r="M326" s="16">
        <v>1.9645055865918446E-2</v>
      </c>
      <c r="N326" s="16">
        <v>0</v>
      </c>
      <c r="O326" s="16">
        <v>0</v>
      </c>
      <c r="P326" s="95"/>
    </row>
    <row r="327" spans="1:16" x14ac:dyDescent="0.25">
      <c r="A327" s="16">
        <v>34</v>
      </c>
      <c r="B327" s="16">
        <v>437692.10856199998</v>
      </c>
      <c r="C327" s="16">
        <v>5688631.3324180003</v>
      </c>
      <c r="D327" s="31">
        <v>28</v>
      </c>
      <c r="E327" s="31" t="s">
        <v>33</v>
      </c>
      <c r="F327" s="46">
        <v>2010</v>
      </c>
      <c r="G327" s="16">
        <v>0.1007</v>
      </c>
      <c r="H327" s="16">
        <v>4.3477695981954084E-2</v>
      </c>
      <c r="I327" s="16">
        <v>0</v>
      </c>
      <c r="J327" s="16">
        <v>0</v>
      </c>
      <c r="K327" s="16">
        <v>4.2799999999999998E-2</v>
      </c>
      <c r="L327" s="16">
        <v>1.9125852305347763E-2</v>
      </c>
      <c r="M327" s="16">
        <v>2.4351843676606321E-2</v>
      </c>
      <c r="N327" s="16">
        <v>0</v>
      </c>
      <c r="O327" s="16">
        <v>0</v>
      </c>
      <c r="P327" s="95"/>
    </row>
    <row r="328" spans="1:16" x14ac:dyDescent="0.25">
      <c r="A328" s="16">
        <v>35</v>
      </c>
      <c r="B328" s="16">
        <v>437893</v>
      </c>
      <c r="C328" s="16">
        <v>5688620</v>
      </c>
      <c r="D328" s="31">
        <v>28</v>
      </c>
      <c r="E328" s="31" t="s">
        <v>33</v>
      </c>
      <c r="F328" s="46">
        <v>2010</v>
      </c>
      <c r="G328" s="16">
        <v>6.2200000000000005E-2</v>
      </c>
      <c r="H328" s="16">
        <v>2.6855140914374822E-2</v>
      </c>
      <c r="I328" s="16">
        <v>3.85E-2</v>
      </c>
      <c r="J328" s="16">
        <v>2.127530722971261E-2</v>
      </c>
      <c r="K328" s="16">
        <v>2.58E-2</v>
      </c>
      <c r="L328" s="16">
        <v>1.1529135268176923E-2</v>
      </c>
      <c r="M328" s="16">
        <v>1.5326005646197899E-2</v>
      </c>
      <c r="N328" s="16">
        <v>1.9699999999999999E-2</v>
      </c>
      <c r="O328" s="16">
        <v>1.0840694497034606E-2</v>
      </c>
      <c r="P328" s="95"/>
    </row>
    <row r="329" spans="1:16" x14ac:dyDescent="0.25">
      <c r="A329" s="16">
        <v>36</v>
      </c>
      <c r="B329" s="16">
        <v>437930.10856199998</v>
      </c>
      <c r="C329" s="16">
        <v>5688631.3324180003</v>
      </c>
      <c r="D329" s="31">
        <v>28</v>
      </c>
      <c r="E329" s="31" t="s">
        <v>33</v>
      </c>
      <c r="F329" s="46">
        <v>2010</v>
      </c>
      <c r="G329" s="16">
        <v>5.0999999999999997E-2</v>
      </c>
      <c r="H329" s="16">
        <v>2.2019488531079028E-2</v>
      </c>
      <c r="I329" s="16">
        <v>0</v>
      </c>
      <c r="J329" s="16">
        <v>0</v>
      </c>
      <c r="K329" s="16">
        <v>1.2500000000000001E-2</v>
      </c>
      <c r="L329" s="16">
        <v>5.5858213508609127E-3</v>
      </c>
      <c r="M329" s="16">
        <v>1.6433667180218117E-2</v>
      </c>
      <c r="N329" s="16">
        <v>0</v>
      </c>
      <c r="O329" s="16">
        <v>0</v>
      </c>
      <c r="P329" s="95"/>
    </row>
    <row r="330" spans="1:16" x14ac:dyDescent="0.25">
      <c r="A330" s="35">
        <v>37</v>
      </c>
      <c r="B330" s="35">
        <v>438049.10856199998</v>
      </c>
      <c r="C330" s="35">
        <v>5688631.3324180003</v>
      </c>
      <c r="D330" s="96">
        <v>29</v>
      </c>
      <c r="E330" s="96" t="s">
        <v>33</v>
      </c>
      <c r="F330" s="96">
        <v>2010</v>
      </c>
      <c r="G330" s="96" t="s">
        <v>18</v>
      </c>
      <c r="H330" s="96" t="s">
        <v>18</v>
      </c>
      <c r="I330" s="96" t="s">
        <v>18</v>
      </c>
      <c r="J330" s="96" t="s">
        <v>18</v>
      </c>
      <c r="K330" s="96" t="s">
        <v>18</v>
      </c>
      <c r="L330" s="96" t="s">
        <v>18</v>
      </c>
      <c r="M330" s="96" t="s">
        <v>18</v>
      </c>
      <c r="N330" s="96" t="s">
        <v>18</v>
      </c>
      <c r="O330" s="96" t="s">
        <v>18</v>
      </c>
      <c r="P330" s="94" t="s">
        <v>21</v>
      </c>
    </row>
    <row r="331" spans="1:16" x14ac:dyDescent="0.25">
      <c r="A331" s="16">
        <v>38</v>
      </c>
      <c r="B331" s="16">
        <v>438067</v>
      </c>
      <c r="C331" s="16">
        <v>5688710</v>
      </c>
      <c r="D331" s="31">
        <v>27</v>
      </c>
      <c r="E331" s="31" t="s">
        <v>33</v>
      </c>
      <c r="F331" s="46">
        <v>2010</v>
      </c>
      <c r="G331" s="16">
        <v>0.19600000000000001</v>
      </c>
      <c r="H331" s="16">
        <v>5.1205430954191312E-2</v>
      </c>
      <c r="I331" s="16">
        <v>0</v>
      </c>
      <c r="J331" s="16">
        <v>0</v>
      </c>
      <c r="K331" s="16">
        <v>7.0999999999999995E-3</v>
      </c>
      <c r="L331" s="16">
        <v>3.2068091709814492E-3</v>
      </c>
      <c r="M331" s="16">
        <v>4.7998621783209863E-2</v>
      </c>
      <c r="N331" s="16">
        <v>0</v>
      </c>
      <c r="O331" s="16">
        <v>0</v>
      </c>
      <c r="P331" s="95"/>
    </row>
    <row r="332" spans="1:16" x14ac:dyDescent="0.25">
      <c r="A332" s="35">
        <v>39</v>
      </c>
      <c r="B332" s="35">
        <v>438287.10856199998</v>
      </c>
      <c r="C332" s="35">
        <v>5688631.3324180003</v>
      </c>
      <c r="D332" s="96">
        <v>29</v>
      </c>
      <c r="E332" s="96" t="s">
        <v>33</v>
      </c>
      <c r="F332" s="96">
        <v>2010</v>
      </c>
      <c r="G332" s="96" t="s">
        <v>18</v>
      </c>
      <c r="H332" s="96" t="s">
        <v>18</v>
      </c>
      <c r="I332" s="96" t="s">
        <v>18</v>
      </c>
      <c r="J332" s="96" t="s">
        <v>18</v>
      </c>
      <c r="K332" s="96" t="s">
        <v>18</v>
      </c>
      <c r="L332" s="96" t="s">
        <v>18</v>
      </c>
      <c r="M332" s="96" t="s">
        <v>18</v>
      </c>
      <c r="N332" s="96" t="s">
        <v>18</v>
      </c>
      <c r="O332" s="96" t="s">
        <v>18</v>
      </c>
      <c r="P332" s="94" t="s">
        <v>22</v>
      </c>
    </row>
    <row r="333" spans="1:16" x14ac:dyDescent="0.25">
      <c r="A333" s="16">
        <v>40</v>
      </c>
      <c r="B333" s="16">
        <v>438406.10856199998</v>
      </c>
      <c r="C333" s="16">
        <v>5688631.3324180003</v>
      </c>
      <c r="D333" s="31">
        <v>27</v>
      </c>
      <c r="E333" s="31" t="s">
        <v>33</v>
      </c>
      <c r="F333" s="46">
        <v>2010</v>
      </c>
      <c r="G333" s="16">
        <v>3.6899999999999995E-2</v>
      </c>
      <c r="H333" s="16">
        <v>9.64020613372275E-3</v>
      </c>
      <c r="I333" s="16">
        <v>0</v>
      </c>
      <c r="J333" s="16">
        <v>0</v>
      </c>
      <c r="K333" s="16">
        <v>1.4E-2</v>
      </c>
      <c r="L333" s="16">
        <v>6.3232856892591963E-3</v>
      </c>
      <c r="M333" s="16">
        <v>3.3169204444635537E-3</v>
      </c>
      <c r="N333" s="16">
        <v>0</v>
      </c>
      <c r="O333" s="16">
        <v>0</v>
      </c>
      <c r="P333" s="95"/>
    </row>
    <row r="334" spans="1:16" x14ac:dyDescent="0.25">
      <c r="A334" s="16">
        <v>41</v>
      </c>
      <c r="B334" s="16">
        <v>437310</v>
      </c>
      <c r="C334" s="16">
        <v>5688729</v>
      </c>
      <c r="D334" s="31">
        <v>28</v>
      </c>
      <c r="E334" s="31" t="s">
        <v>33</v>
      </c>
      <c r="F334" s="46">
        <v>2010</v>
      </c>
      <c r="G334" s="16">
        <v>6.4799999999999996E-2</v>
      </c>
      <c r="H334" s="16">
        <v>2.7977703074782766E-2</v>
      </c>
      <c r="I334" s="16">
        <v>0</v>
      </c>
      <c r="J334" s="16">
        <v>0</v>
      </c>
      <c r="K334" s="16">
        <v>6.4000000000000003E-3</v>
      </c>
      <c r="L334" s="16">
        <v>2.8599405316407874E-3</v>
      </c>
      <c r="M334" s="16">
        <v>2.5117762543141978E-2</v>
      </c>
      <c r="N334" s="16">
        <v>0</v>
      </c>
      <c r="O334" s="16">
        <v>0</v>
      </c>
      <c r="P334" s="95"/>
    </row>
    <row r="335" spans="1:16" x14ac:dyDescent="0.25">
      <c r="A335" s="16">
        <v>42</v>
      </c>
      <c r="B335" s="16">
        <v>437454.10856199998</v>
      </c>
      <c r="C335" s="16">
        <v>5688750.3324180003</v>
      </c>
      <c r="D335" s="31">
        <v>28</v>
      </c>
      <c r="E335" s="31" t="s">
        <v>33</v>
      </c>
      <c r="F335" s="46">
        <v>2010</v>
      </c>
      <c r="G335" s="16">
        <v>0.14219999999999999</v>
      </c>
      <c r="H335" s="16">
        <v>6.1395515080773296E-2</v>
      </c>
      <c r="I335" s="16">
        <v>2.3699999999999999E-2</v>
      </c>
      <c r="J335" s="16">
        <v>1.309674756738153E-2</v>
      </c>
      <c r="K335" s="16">
        <v>1.72E-2</v>
      </c>
      <c r="L335" s="16">
        <v>7.6860901787846152E-3</v>
      </c>
      <c r="M335" s="16">
        <v>5.3709424901988684E-2</v>
      </c>
      <c r="N335" s="16">
        <v>1.5699999999999999E-2</v>
      </c>
      <c r="O335" s="16">
        <v>8.6395382539818932E-3</v>
      </c>
      <c r="P335" s="95"/>
    </row>
    <row r="336" spans="1:16" x14ac:dyDescent="0.25">
      <c r="A336" s="16">
        <v>43</v>
      </c>
      <c r="B336" s="16">
        <v>437573.10856199998</v>
      </c>
      <c r="C336" s="16">
        <v>5688750.3324180003</v>
      </c>
      <c r="D336" s="31">
        <v>28</v>
      </c>
      <c r="E336" s="31" t="s">
        <v>33</v>
      </c>
      <c r="F336" s="46">
        <v>2010</v>
      </c>
      <c r="G336" s="16">
        <v>6.0200000000000004E-2</v>
      </c>
      <c r="H336" s="16">
        <v>2.5991631560214858E-2</v>
      </c>
      <c r="I336" s="16">
        <v>0</v>
      </c>
      <c r="J336" s="16">
        <v>0</v>
      </c>
      <c r="K336" s="16">
        <v>1.2699999999999999E-2</v>
      </c>
      <c r="L336" s="16">
        <v>5.6751944924746866E-3</v>
      </c>
      <c r="M336" s="16">
        <v>2.0316437067740171E-2</v>
      </c>
      <c r="N336" s="16">
        <v>0</v>
      </c>
      <c r="O336" s="16">
        <v>0</v>
      </c>
      <c r="P336" s="95"/>
    </row>
    <row r="337" spans="1:16" x14ac:dyDescent="0.25">
      <c r="A337" s="16">
        <v>44</v>
      </c>
      <c r="B337" s="16">
        <v>437692.10856199998</v>
      </c>
      <c r="C337" s="16">
        <v>5688750.3324180003</v>
      </c>
      <c r="D337" s="31">
        <v>28</v>
      </c>
      <c r="E337" s="31" t="s">
        <v>33</v>
      </c>
      <c r="F337" s="46">
        <v>2010</v>
      </c>
      <c r="G337" s="16">
        <v>6.5500000000000003E-2</v>
      </c>
      <c r="H337" s="16">
        <v>2.8279931348738758E-2</v>
      </c>
      <c r="I337" s="16">
        <v>0</v>
      </c>
      <c r="J337" s="16">
        <v>0</v>
      </c>
      <c r="K337" s="16">
        <v>1.2999999999999999E-2</v>
      </c>
      <c r="L337" s="16">
        <v>5.8092542048953488E-3</v>
      </c>
      <c r="M337" s="16">
        <v>2.2470677143843411E-2</v>
      </c>
      <c r="N337" s="16">
        <v>0</v>
      </c>
      <c r="O337" s="16">
        <v>0</v>
      </c>
      <c r="P337" s="95"/>
    </row>
    <row r="338" spans="1:16" x14ac:dyDescent="0.25">
      <c r="A338" s="16">
        <v>45</v>
      </c>
      <c r="B338" s="16">
        <v>437811.10856199998</v>
      </c>
      <c r="C338" s="16">
        <v>5688750.3324180003</v>
      </c>
      <c r="D338" s="31">
        <v>28</v>
      </c>
      <c r="E338" s="31" t="s">
        <v>33</v>
      </c>
      <c r="F338" s="46">
        <v>2010</v>
      </c>
      <c r="G338" s="16">
        <v>9.5799999999999996E-2</v>
      </c>
      <c r="H338" s="16">
        <v>4.1362098064262179E-2</v>
      </c>
      <c r="I338" s="16">
        <v>2.98E-2</v>
      </c>
      <c r="J338" s="16">
        <v>1.646764040118015E-2</v>
      </c>
      <c r="K338" s="16">
        <v>5.7500000000000002E-2</v>
      </c>
      <c r="L338" s="16">
        <v>2.5694778213960198E-2</v>
      </c>
      <c r="M338" s="16">
        <v>1.5667319850301981E-2</v>
      </c>
      <c r="N338" s="16">
        <v>3.0899999999999997E-2</v>
      </c>
      <c r="O338" s="16">
        <v>1.7003931977582196E-2</v>
      </c>
      <c r="P338" s="95"/>
    </row>
    <row r="339" spans="1:16" x14ac:dyDescent="0.25">
      <c r="A339" s="16">
        <v>46</v>
      </c>
      <c r="B339" s="16">
        <v>437930.10856199998</v>
      </c>
      <c r="C339" s="16">
        <v>5688750.3324180003</v>
      </c>
      <c r="D339" s="31">
        <v>28</v>
      </c>
      <c r="E339" s="31" t="s">
        <v>33</v>
      </c>
      <c r="F339" s="46">
        <v>2010</v>
      </c>
      <c r="G339" s="16">
        <v>0.13669999999999999</v>
      </c>
      <c r="H339" s="16">
        <v>5.9020864356833395E-2</v>
      </c>
      <c r="I339" s="16">
        <v>2.86E-2</v>
      </c>
      <c r="J339" s="16">
        <v>1.5804513942072225E-2</v>
      </c>
      <c r="K339" s="16">
        <v>3.2299999999999995E-2</v>
      </c>
      <c r="L339" s="16">
        <v>1.4433762370624596E-2</v>
      </c>
      <c r="M339" s="16">
        <v>4.4587101986208799E-2</v>
      </c>
      <c r="N339" s="16">
        <v>5.4399999999999997E-2</v>
      </c>
      <c r="O339" s="16">
        <v>2.9935724905516881E-2</v>
      </c>
      <c r="P339" s="95"/>
    </row>
    <row r="340" spans="1:16" x14ac:dyDescent="0.25">
      <c r="A340" s="16">
        <v>47</v>
      </c>
      <c r="B340" s="16">
        <v>438061</v>
      </c>
      <c r="C340" s="16">
        <v>5688779</v>
      </c>
      <c r="D340" s="31">
        <v>27</v>
      </c>
      <c r="E340" s="31" t="s">
        <v>33</v>
      </c>
      <c r="F340" s="46">
        <v>2010</v>
      </c>
      <c r="G340" s="16">
        <v>0.27939999999999998</v>
      </c>
      <c r="H340" s="16">
        <v>7.2993864329597202E-2</v>
      </c>
      <c r="I340" s="16">
        <v>0</v>
      </c>
      <c r="J340" s="16">
        <v>0</v>
      </c>
      <c r="K340" s="16">
        <v>4.3499999999999997E-2</v>
      </c>
      <c r="L340" s="16">
        <v>1.9647351963055358E-2</v>
      </c>
      <c r="M340" s="16">
        <v>5.3346512366541844E-2</v>
      </c>
      <c r="N340" s="16">
        <v>0</v>
      </c>
      <c r="O340" s="16">
        <v>0</v>
      </c>
      <c r="P340" s="95"/>
    </row>
    <row r="341" spans="1:16" x14ac:dyDescent="0.25">
      <c r="A341" s="35">
        <v>48</v>
      </c>
      <c r="B341" s="35">
        <v>438168.10856199998</v>
      </c>
      <c r="C341" s="35">
        <v>5688750.3324180003</v>
      </c>
      <c r="D341" s="96">
        <v>29</v>
      </c>
      <c r="E341" s="96" t="s">
        <v>33</v>
      </c>
      <c r="F341" s="96">
        <v>2010</v>
      </c>
      <c r="G341" s="96" t="s">
        <v>18</v>
      </c>
      <c r="H341" s="96" t="s">
        <v>18</v>
      </c>
      <c r="I341" s="96" t="s">
        <v>18</v>
      </c>
      <c r="J341" s="96" t="s">
        <v>18</v>
      </c>
      <c r="K341" s="96" t="s">
        <v>18</v>
      </c>
      <c r="L341" s="96" t="s">
        <v>18</v>
      </c>
      <c r="M341" s="96" t="s">
        <v>18</v>
      </c>
      <c r="N341" s="96" t="s">
        <v>18</v>
      </c>
      <c r="O341" s="96" t="s">
        <v>18</v>
      </c>
      <c r="P341" s="94" t="s">
        <v>21</v>
      </c>
    </row>
    <row r="342" spans="1:16" x14ac:dyDescent="0.25">
      <c r="A342" s="16">
        <v>49</v>
      </c>
      <c r="B342" s="16">
        <v>437454.10856199998</v>
      </c>
      <c r="C342" s="16">
        <v>5688869.3324180003</v>
      </c>
      <c r="D342" s="31">
        <v>27</v>
      </c>
      <c r="E342" s="31" t="s">
        <v>33</v>
      </c>
      <c r="F342" s="46">
        <v>2010</v>
      </c>
      <c r="G342" s="16">
        <v>0.1183</v>
      </c>
      <c r="H342" s="16">
        <v>3.0906135111636899E-2</v>
      </c>
      <c r="I342" s="16">
        <v>3.3700000000000001E-2</v>
      </c>
      <c r="J342" s="16">
        <v>1.8220724029569556E-2</v>
      </c>
      <c r="K342" s="16">
        <v>2.63E-2</v>
      </c>
      <c r="L342" s="16">
        <v>1.1878743830536918E-2</v>
      </c>
      <c r="M342" s="16">
        <v>1.9027391281099981E-2</v>
      </c>
      <c r="N342" s="16">
        <v>9.4999999999999998E-3</v>
      </c>
      <c r="O342" s="16">
        <v>5.116839307662731E-3</v>
      </c>
      <c r="P342" s="95"/>
    </row>
    <row r="343" spans="1:16" x14ac:dyDescent="0.25">
      <c r="A343" s="16">
        <v>50</v>
      </c>
      <c r="B343" s="16">
        <v>437811.10856199998</v>
      </c>
      <c r="C343" s="16">
        <v>5688869.3324180003</v>
      </c>
      <c r="D343" s="31">
        <v>27</v>
      </c>
      <c r="E343" s="31" t="s">
        <v>33</v>
      </c>
      <c r="F343" s="46">
        <v>2010</v>
      </c>
      <c r="G343" s="16">
        <v>0.1197</v>
      </c>
      <c r="H343" s="16">
        <v>3.1271888189881122E-2</v>
      </c>
      <c r="I343" s="16">
        <v>2.1000000000000003E-3</v>
      </c>
      <c r="J343" s="16">
        <v>1.1354160374509219E-3</v>
      </c>
      <c r="K343" s="16">
        <v>1.14E-2</v>
      </c>
      <c r="L343" s="16">
        <v>5.1489612041110593E-3</v>
      </c>
      <c r="M343" s="16">
        <v>2.6122926985770064E-2</v>
      </c>
      <c r="N343" s="16">
        <v>0</v>
      </c>
      <c r="O343" s="16">
        <v>0</v>
      </c>
      <c r="P343" s="95"/>
    </row>
    <row r="344" spans="1:16" x14ac:dyDescent="0.25">
      <c r="A344" s="16">
        <v>51</v>
      </c>
      <c r="B344" s="16">
        <v>437930.10856199998</v>
      </c>
      <c r="C344" s="16">
        <v>5688869.3324180003</v>
      </c>
      <c r="D344" s="31">
        <v>27</v>
      </c>
      <c r="E344" s="31" t="s">
        <v>33</v>
      </c>
      <c r="F344" s="46">
        <v>2010</v>
      </c>
      <c r="G344" s="16">
        <v>8.5800000000000001E-2</v>
      </c>
      <c r="H344" s="16">
        <v>2.2415438652395991E-2</v>
      </c>
      <c r="I344" s="16">
        <v>0</v>
      </c>
      <c r="J344" s="16">
        <v>0</v>
      </c>
      <c r="K344" s="16">
        <v>7.3000000000000001E-3</v>
      </c>
      <c r="L344" s="16">
        <v>3.2971418236851522E-3</v>
      </c>
      <c r="M344" s="16">
        <v>1.9118296828710839E-2</v>
      </c>
      <c r="N344" s="16">
        <v>0</v>
      </c>
      <c r="O344" s="16">
        <v>0</v>
      </c>
      <c r="P344" s="95"/>
    </row>
    <row r="345" spans="1:16" x14ac:dyDescent="0.25">
      <c r="A345" s="16">
        <v>52</v>
      </c>
      <c r="B345" s="16">
        <v>438049.10856199998</v>
      </c>
      <c r="C345" s="16">
        <v>5688869.3324180003</v>
      </c>
      <c r="D345" s="31">
        <v>27</v>
      </c>
      <c r="E345" s="31" t="s">
        <v>33</v>
      </c>
      <c r="F345" s="46">
        <v>2010</v>
      </c>
      <c r="G345" s="16">
        <v>0.15530000000000002</v>
      </c>
      <c r="H345" s="16">
        <v>4.0572466465234241E-2</v>
      </c>
      <c r="I345" s="16">
        <v>0</v>
      </c>
      <c r="J345" s="16">
        <v>0</v>
      </c>
      <c r="K345" s="16">
        <v>1.35E-2</v>
      </c>
      <c r="L345" s="16">
        <v>6.0974540574999384E-3</v>
      </c>
      <c r="M345" s="16">
        <v>3.4475012407734304E-2</v>
      </c>
      <c r="N345" s="16">
        <v>3.8999999999999998E-3</v>
      </c>
      <c r="O345" s="16">
        <v>2.100597189461542E-3</v>
      </c>
      <c r="P345" s="95"/>
    </row>
    <row r="346" spans="1:16" x14ac:dyDescent="0.25">
      <c r="A346" s="16">
        <v>53</v>
      </c>
      <c r="B346" s="16">
        <v>438287.10856199998</v>
      </c>
      <c r="C346" s="16">
        <v>5688869.3324180003</v>
      </c>
      <c r="D346" s="31">
        <v>27</v>
      </c>
      <c r="E346" s="31" t="s">
        <v>33</v>
      </c>
      <c r="F346" s="46">
        <v>2010</v>
      </c>
      <c r="G346" s="16">
        <v>6.8099999999999994E-2</v>
      </c>
      <c r="H346" s="16">
        <v>1.779127473459402E-2</v>
      </c>
      <c r="I346" s="16">
        <v>0</v>
      </c>
      <c r="J346" s="16">
        <v>0</v>
      </c>
      <c r="K346" s="16">
        <v>8.4000000000000012E-3</v>
      </c>
      <c r="L346" s="16">
        <v>3.7939714135555181E-3</v>
      </c>
      <c r="M346" s="16">
        <v>1.3997303321038502E-2</v>
      </c>
      <c r="N346" s="16">
        <v>0</v>
      </c>
      <c r="O346" s="16">
        <v>0</v>
      </c>
      <c r="P346" s="95"/>
    </row>
    <row r="347" spans="1:16" x14ac:dyDescent="0.25">
      <c r="A347" s="16">
        <v>54</v>
      </c>
      <c r="B347" s="16">
        <v>437454.10856199998</v>
      </c>
      <c r="C347" s="16">
        <v>5688988.3324180003</v>
      </c>
      <c r="D347" s="31">
        <v>27</v>
      </c>
      <c r="E347" s="31" t="s">
        <v>33</v>
      </c>
      <c r="F347" s="46">
        <v>2010</v>
      </c>
      <c r="G347" s="16">
        <v>0.1047</v>
      </c>
      <c r="H347" s="16">
        <v>2.735310520869301E-2</v>
      </c>
      <c r="I347" s="16">
        <v>4.6299999999999994E-2</v>
      </c>
      <c r="J347" s="16">
        <v>2.5033220254275082E-2</v>
      </c>
      <c r="K347" s="16">
        <v>7.4000000000000003E-3</v>
      </c>
      <c r="L347" s="16">
        <v>3.3423081500370037E-3</v>
      </c>
      <c r="M347" s="16">
        <v>2.4010797058656008E-2</v>
      </c>
      <c r="N347" s="16">
        <v>1.89E-2</v>
      </c>
      <c r="O347" s="16">
        <v>1.0179817148929012E-2</v>
      </c>
      <c r="P347" s="95"/>
    </row>
    <row r="348" spans="1:16" x14ac:dyDescent="0.25">
      <c r="A348" s="16">
        <v>55</v>
      </c>
      <c r="B348" s="16">
        <v>438049.10856199998</v>
      </c>
      <c r="C348" s="16">
        <v>5688988.3324180003</v>
      </c>
      <c r="D348" s="31">
        <v>27</v>
      </c>
      <c r="E348" s="31" t="s">
        <v>33</v>
      </c>
      <c r="F348" s="46">
        <v>2010</v>
      </c>
      <c r="G348" s="16">
        <v>8.6300000000000002E-2</v>
      </c>
      <c r="H348" s="16">
        <v>2.2546064751768929E-2</v>
      </c>
      <c r="I348" s="16">
        <v>9.300000000000001E-3</v>
      </c>
      <c r="J348" s="16">
        <v>5.0282710229969402E-3</v>
      </c>
      <c r="K348" s="16">
        <v>8.4000000000000012E-3</v>
      </c>
      <c r="L348" s="16">
        <v>3.7939714135555181E-3</v>
      </c>
      <c r="M348" s="16">
        <v>1.8752093338213413E-2</v>
      </c>
      <c r="N348" s="16">
        <v>0</v>
      </c>
      <c r="O348" s="16">
        <v>0</v>
      </c>
      <c r="P348" s="95"/>
    </row>
    <row r="349" spans="1:16" x14ac:dyDescent="0.25">
      <c r="A349" s="16">
        <v>56</v>
      </c>
      <c r="B349" s="16">
        <v>438168.10856199998</v>
      </c>
      <c r="C349" s="16">
        <v>5688988.3324180003</v>
      </c>
      <c r="D349" s="31">
        <v>27</v>
      </c>
      <c r="E349" s="31" t="s">
        <v>33</v>
      </c>
      <c r="F349" s="46">
        <v>2010</v>
      </c>
      <c r="G349" s="16">
        <v>4.58E-2</v>
      </c>
      <c r="H349" s="16">
        <v>1.196535070256103E-2</v>
      </c>
      <c r="I349" s="16">
        <v>0</v>
      </c>
      <c r="J349" s="16">
        <v>0</v>
      </c>
      <c r="K349" s="16">
        <v>9.8000000000000014E-3</v>
      </c>
      <c r="L349" s="16">
        <v>4.4262999824814381E-3</v>
      </c>
      <c r="M349" s="16">
        <v>7.5390507200795917E-3</v>
      </c>
      <c r="N349" s="16">
        <v>0</v>
      </c>
      <c r="O349" s="16">
        <v>0</v>
      </c>
      <c r="P349" s="95"/>
    </row>
    <row r="350" spans="1:16" x14ac:dyDescent="0.25">
      <c r="A350" s="36">
        <v>57</v>
      </c>
      <c r="B350" s="36">
        <v>438146</v>
      </c>
      <c r="C350" s="36">
        <v>5688977</v>
      </c>
      <c r="D350" s="99">
        <v>27</v>
      </c>
      <c r="E350" s="99" t="s">
        <v>33</v>
      </c>
      <c r="F350" s="50">
        <v>2010</v>
      </c>
      <c r="G350" s="36">
        <v>0.34200000000000003</v>
      </c>
      <c r="H350" s="36">
        <v>8.9348251971088921E-2</v>
      </c>
      <c r="I350" s="36">
        <v>0</v>
      </c>
      <c r="J350" s="36">
        <v>0</v>
      </c>
      <c r="K350" s="36">
        <v>9.6999999999999986E-3</v>
      </c>
      <c r="L350" s="36">
        <v>4.3811336561295853E-3</v>
      </c>
      <c r="M350" s="36">
        <v>8.4967118314959331E-2</v>
      </c>
      <c r="N350" s="36">
        <v>0</v>
      </c>
      <c r="O350" s="36">
        <v>0</v>
      </c>
      <c r="P350" s="100"/>
    </row>
    <row r="351" spans="1:16" x14ac:dyDescent="0.25">
      <c r="A351" s="36">
        <v>58</v>
      </c>
      <c r="B351" s="36">
        <v>438131</v>
      </c>
      <c r="C351" s="36">
        <v>5688972</v>
      </c>
      <c r="D351" s="99" t="s">
        <v>18</v>
      </c>
      <c r="E351" s="99" t="s">
        <v>18</v>
      </c>
      <c r="F351" s="99" t="s">
        <v>18</v>
      </c>
      <c r="G351" s="99" t="s">
        <v>18</v>
      </c>
      <c r="H351" s="99" t="s">
        <v>18</v>
      </c>
      <c r="I351" s="99" t="s">
        <v>18</v>
      </c>
      <c r="J351" s="99" t="s">
        <v>18</v>
      </c>
      <c r="K351" s="99" t="s">
        <v>18</v>
      </c>
      <c r="L351" s="99" t="s">
        <v>18</v>
      </c>
      <c r="M351" s="99" t="s">
        <v>18</v>
      </c>
      <c r="N351" s="99" t="s">
        <v>18</v>
      </c>
      <c r="O351" s="99" t="s">
        <v>18</v>
      </c>
      <c r="P351" s="100" t="s">
        <v>58</v>
      </c>
    </row>
    <row r="352" spans="1:16" x14ac:dyDescent="0.25">
      <c r="A352" s="36">
        <v>59</v>
      </c>
      <c r="B352" s="36">
        <v>438089</v>
      </c>
      <c r="C352" s="36">
        <v>5688713</v>
      </c>
      <c r="D352" s="99">
        <v>27</v>
      </c>
      <c r="E352" s="99" t="s">
        <v>33</v>
      </c>
      <c r="F352" s="50">
        <v>2010</v>
      </c>
      <c r="G352" s="36">
        <v>0.24719999999999998</v>
      </c>
      <c r="H352" s="36">
        <v>6.4581543529980051E-2</v>
      </c>
      <c r="I352" s="36">
        <v>0</v>
      </c>
      <c r="J352" s="36">
        <v>0</v>
      </c>
      <c r="K352" s="36">
        <v>2.58E-2</v>
      </c>
      <c r="L352" s="36">
        <v>1.1652912198777661E-2</v>
      </c>
      <c r="M352" s="36">
        <v>5.2928631331202389E-2</v>
      </c>
      <c r="N352" s="36">
        <v>0</v>
      </c>
      <c r="O352" s="36">
        <v>0</v>
      </c>
      <c r="P352" s="100"/>
    </row>
    <row r="353" spans="1:19" x14ac:dyDescent="0.25">
      <c r="A353" s="36">
        <v>60</v>
      </c>
      <c r="B353" s="36">
        <v>438099</v>
      </c>
      <c r="C353" s="36">
        <v>5688719</v>
      </c>
      <c r="D353" s="99">
        <v>27</v>
      </c>
      <c r="E353" s="99" t="s">
        <v>33</v>
      </c>
      <c r="F353" s="50">
        <v>2010</v>
      </c>
      <c r="G353" s="36">
        <v>0.27550000000000002</v>
      </c>
      <c r="H353" s="36">
        <v>7.1974980754488299E-2</v>
      </c>
      <c r="I353" s="36">
        <v>0</v>
      </c>
      <c r="J353" s="36">
        <v>0</v>
      </c>
      <c r="K353" s="36">
        <v>1.77E-2</v>
      </c>
      <c r="L353" s="36">
        <v>7.9944397642776974E-3</v>
      </c>
      <c r="M353" s="36">
        <v>6.3980540990210596E-2</v>
      </c>
      <c r="N353" s="36">
        <v>0</v>
      </c>
      <c r="O353" s="36">
        <v>0</v>
      </c>
      <c r="P353" s="100"/>
    </row>
    <row r="354" spans="1:19" x14ac:dyDescent="0.25">
      <c r="A354" s="16">
        <v>1</v>
      </c>
      <c r="B354" s="16">
        <v>437930.10856199998</v>
      </c>
      <c r="C354" s="16">
        <v>5688036.3324180003</v>
      </c>
      <c r="D354" s="31">
        <v>2</v>
      </c>
      <c r="E354" s="31" t="s">
        <v>61</v>
      </c>
      <c r="F354" s="46">
        <v>2010</v>
      </c>
      <c r="G354" s="16">
        <v>0.10920000000000001</v>
      </c>
      <c r="H354" s="16">
        <v>3.2040432898302849E-2</v>
      </c>
      <c r="I354" s="16">
        <v>1.6399999999999998E-2</v>
      </c>
      <c r="J354" s="16">
        <v>7.3530694269503902E-3</v>
      </c>
      <c r="K354" s="16">
        <v>4.7700000000000006E-2</v>
      </c>
      <c r="L354" s="16">
        <v>1.4119441913200118E-2</v>
      </c>
      <c r="M354" s="16">
        <v>1.7920990985102733E-2</v>
      </c>
      <c r="N354" s="16">
        <v>5.8500000000000003E-2</v>
      </c>
      <c r="O354" s="16">
        <v>2.7038496712795075E-2</v>
      </c>
      <c r="P354" s="95"/>
      <c r="R354" s="5">
        <f>AVERAGE(M354:M413)</f>
        <v>3.133206557964887E-2</v>
      </c>
      <c r="S354" s="5">
        <f>AVERAGE(H354:H413)</f>
        <v>4.6817444236618773E-2</v>
      </c>
    </row>
    <row r="355" spans="1:19" x14ac:dyDescent="0.25">
      <c r="A355" s="16">
        <v>2</v>
      </c>
      <c r="B355" s="16">
        <v>437811.10856199998</v>
      </c>
      <c r="C355" s="16">
        <v>5688155.3324180003</v>
      </c>
      <c r="D355" s="31">
        <v>2</v>
      </c>
      <c r="E355" s="31" t="s">
        <v>61</v>
      </c>
      <c r="F355" s="46">
        <v>2010</v>
      </c>
      <c r="G355" s="16">
        <v>8.7099999999999997E-2</v>
      </c>
      <c r="H355" s="16">
        <v>2.5556059573646317E-2</v>
      </c>
      <c r="I355" s="16">
        <v>0</v>
      </c>
      <c r="J355" s="16">
        <v>0</v>
      </c>
      <c r="K355" s="16">
        <v>6.4899999999999999E-2</v>
      </c>
      <c r="L355" s="16">
        <v>1.9210729143955715E-2</v>
      </c>
      <c r="M355" s="16">
        <v>6.3453304296906023E-3</v>
      </c>
      <c r="N355" s="16">
        <v>0</v>
      </c>
      <c r="O355" s="16">
        <v>0</v>
      </c>
      <c r="P355" s="95"/>
    </row>
    <row r="356" spans="1:19" x14ac:dyDescent="0.25">
      <c r="A356" s="16">
        <v>3</v>
      </c>
      <c r="B356" s="16">
        <v>437930.10856199998</v>
      </c>
      <c r="C356" s="16">
        <v>5688155.3324180003</v>
      </c>
      <c r="D356" s="31">
        <v>2</v>
      </c>
      <c r="E356" s="31" t="s">
        <v>61</v>
      </c>
      <c r="F356" s="46">
        <v>2010</v>
      </c>
      <c r="G356" s="16">
        <v>0.12940000000000002</v>
      </c>
      <c r="H356" s="16">
        <v>3.7967326163373526E-2</v>
      </c>
      <c r="I356" s="16">
        <v>0</v>
      </c>
      <c r="J356" s="16">
        <v>0</v>
      </c>
      <c r="K356" s="16">
        <v>8.0700000000000008E-2</v>
      </c>
      <c r="L356" s="16">
        <v>2.3887609274533532E-2</v>
      </c>
      <c r="M356" s="16">
        <v>1.4079716888839994E-2</v>
      </c>
      <c r="N356" s="16">
        <v>0</v>
      </c>
      <c r="O356" s="16">
        <v>0</v>
      </c>
      <c r="P356" s="95"/>
    </row>
    <row r="357" spans="1:19" x14ac:dyDescent="0.25">
      <c r="A357" s="16">
        <v>4</v>
      </c>
      <c r="B357" s="16">
        <v>438049.10856199998</v>
      </c>
      <c r="C357" s="16">
        <v>5688155.3324180003</v>
      </c>
      <c r="D357" s="31">
        <v>2</v>
      </c>
      <c r="E357" s="31" t="s">
        <v>61</v>
      </c>
      <c r="F357" s="46">
        <v>2010</v>
      </c>
      <c r="G357" s="16">
        <v>9.4500000000000001E-2</v>
      </c>
      <c r="H357" s="16">
        <v>2.7727297700454387E-2</v>
      </c>
      <c r="I357" s="16">
        <v>0</v>
      </c>
      <c r="J357" s="16">
        <v>0</v>
      </c>
      <c r="K357" s="16">
        <v>2.4500000000000001E-2</v>
      </c>
      <c r="L357" s="16">
        <v>7.2521242531111713E-3</v>
      </c>
      <c r="M357" s="16">
        <v>2.0475173447343217E-2</v>
      </c>
      <c r="N357" s="16">
        <v>0</v>
      </c>
      <c r="O357" s="16">
        <v>0</v>
      </c>
      <c r="P357" s="95"/>
    </row>
    <row r="358" spans="1:19" x14ac:dyDescent="0.25">
      <c r="A358" s="16">
        <v>5</v>
      </c>
      <c r="B358" s="16">
        <v>437573.10856199998</v>
      </c>
      <c r="C358" s="16">
        <v>5688274.3324180003</v>
      </c>
      <c r="D358" s="31">
        <v>2</v>
      </c>
      <c r="E358" s="31" t="s">
        <v>61</v>
      </c>
      <c r="F358" s="46">
        <v>2010</v>
      </c>
      <c r="G358" s="16">
        <v>0.17710000000000001</v>
      </c>
      <c r="H358" s="16">
        <v>5.1963009764555257E-2</v>
      </c>
      <c r="I358" s="16">
        <v>0.21249999999999999</v>
      </c>
      <c r="J358" s="16">
        <v>9.5276052026034036E-2</v>
      </c>
      <c r="K358" s="16">
        <v>5.5600000000000004E-2</v>
      </c>
      <c r="L358" s="16">
        <v>1.6457881978489027E-2</v>
      </c>
      <c r="M358" s="16">
        <v>3.550512778606623E-2</v>
      </c>
      <c r="N358" s="16">
        <v>0.1198</v>
      </c>
      <c r="O358" s="16">
        <v>5.5371143695604273E-2</v>
      </c>
      <c r="P358" s="95"/>
    </row>
    <row r="359" spans="1:19" x14ac:dyDescent="0.25">
      <c r="A359" s="16">
        <v>6</v>
      </c>
      <c r="B359" s="16">
        <v>437692.10856199998</v>
      </c>
      <c r="C359" s="16">
        <v>5688274.3324180003</v>
      </c>
      <c r="D359" s="31">
        <v>2</v>
      </c>
      <c r="E359" s="31" t="s">
        <v>61</v>
      </c>
      <c r="F359" s="46">
        <v>2010</v>
      </c>
      <c r="G359" s="16">
        <v>7.0000000000000007E-2</v>
      </c>
      <c r="H359" s="16">
        <v>2.0538739037373622E-2</v>
      </c>
      <c r="I359" s="16">
        <v>2.3600000000000003E-2</v>
      </c>
      <c r="J359" s="16">
        <v>1.0581246248538369E-2</v>
      </c>
      <c r="K359" s="16">
        <v>8.0500000000000002E-2</v>
      </c>
      <c r="L359" s="16">
        <v>2.3828408260222419E-2</v>
      </c>
      <c r="M359" s="16">
        <v>-3.289669222848797E-3</v>
      </c>
      <c r="N359" s="16">
        <v>7.4099999999999999E-2</v>
      </c>
      <c r="O359" s="16">
        <v>3.4248762502873759E-2</v>
      </c>
      <c r="P359" s="95"/>
    </row>
    <row r="360" spans="1:19" x14ac:dyDescent="0.25">
      <c r="A360" s="16">
        <v>7</v>
      </c>
      <c r="B360" s="16">
        <v>437811.10856199998</v>
      </c>
      <c r="C360" s="16">
        <v>5688274.3324180003</v>
      </c>
      <c r="D360" s="31">
        <v>2</v>
      </c>
      <c r="E360" s="31" t="s">
        <v>61</v>
      </c>
      <c r="F360" s="46">
        <v>2010</v>
      </c>
      <c r="G360" s="16">
        <v>0.11159999999999999</v>
      </c>
      <c r="H360" s="16">
        <v>3.2744618236727085E-2</v>
      </c>
      <c r="I360" s="16">
        <v>0.38719999999999999</v>
      </c>
      <c r="J360" s="16">
        <v>0.17360417573873119</v>
      </c>
      <c r="K360" s="16">
        <v>2.81E-2</v>
      </c>
      <c r="L360" s="16">
        <v>8.3177425107111794E-3</v>
      </c>
      <c r="M360" s="16">
        <v>2.4426875726015908E-2</v>
      </c>
      <c r="N360" s="16">
        <v>4.99E-2</v>
      </c>
      <c r="O360" s="16">
        <v>2.3063606597751696E-2</v>
      </c>
      <c r="P360" s="95"/>
    </row>
    <row r="361" spans="1:19" x14ac:dyDescent="0.25">
      <c r="A361" s="16">
        <v>8</v>
      </c>
      <c r="B361" s="16">
        <v>437930.10856199998</v>
      </c>
      <c r="C361" s="16">
        <v>5688274.3324180003</v>
      </c>
      <c r="D361" s="31">
        <v>2</v>
      </c>
      <c r="E361" s="31" t="s">
        <v>61</v>
      </c>
      <c r="F361" s="46">
        <v>2010</v>
      </c>
      <c r="G361" s="16">
        <v>0.13159999999999999</v>
      </c>
      <c r="H361" s="16">
        <v>3.86128293902624E-2</v>
      </c>
      <c r="I361" s="16">
        <v>0</v>
      </c>
      <c r="J361" s="16">
        <v>0</v>
      </c>
      <c r="K361" s="16">
        <v>3.3399999999999999E-2</v>
      </c>
      <c r="L361" s="16">
        <v>9.8865693899556368E-3</v>
      </c>
      <c r="M361" s="16">
        <v>2.8726260000306765E-2</v>
      </c>
      <c r="N361" s="16">
        <v>0</v>
      </c>
      <c r="O361" s="16">
        <v>0</v>
      </c>
      <c r="P361" s="95"/>
    </row>
    <row r="362" spans="1:19" x14ac:dyDescent="0.25">
      <c r="A362" s="16">
        <v>9</v>
      </c>
      <c r="B362" s="16">
        <v>438287.10856199998</v>
      </c>
      <c r="C362" s="16">
        <v>5688274.3324180003</v>
      </c>
      <c r="D362" s="31">
        <v>1</v>
      </c>
      <c r="E362" s="31" t="s">
        <v>61</v>
      </c>
      <c r="F362" s="46">
        <v>2010</v>
      </c>
      <c r="G362" s="16">
        <v>0.12670000000000001</v>
      </c>
      <c r="H362" s="16">
        <v>4.0951744640978227E-2</v>
      </c>
      <c r="I362" s="16">
        <v>0</v>
      </c>
      <c r="J362" s="16">
        <v>0</v>
      </c>
      <c r="K362" s="16">
        <v>2.0500000000000001E-2</v>
      </c>
      <c r="L362" s="16">
        <v>8.0780049418467705E-3</v>
      </c>
      <c r="M362" s="16">
        <v>3.287373969913146E-2</v>
      </c>
      <c r="N362" s="16">
        <v>0</v>
      </c>
      <c r="O362" s="16">
        <v>0</v>
      </c>
      <c r="P362" s="95"/>
    </row>
    <row r="363" spans="1:19" x14ac:dyDescent="0.25">
      <c r="A363" s="16">
        <v>10</v>
      </c>
      <c r="B363" s="16">
        <v>438406.10856199998</v>
      </c>
      <c r="C363" s="16">
        <v>5688274.3324180003</v>
      </c>
      <c r="D363" s="31">
        <v>1</v>
      </c>
      <c r="E363" s="31" t="s">
        <v>61</v>
      </c>
      <c r="F363" s="46">
        <v>2010</v>
      </c>
      <c r="G363" s="16">
        <v>8.4500000000000006E-2</v>
      </c>
      <c r="H363" s="16">
        <v>2.7311937033643728E-2</v>
      </c>
      <c r="I363" s="16">
        <v>0</v>
      </c>
      <c r="J363" s="16">
        <v>0</v>
      </c>
      <c r="K363" s="16">
        <v>8.8000000000000005E-3</v>
      </c>
      <c r="L363" s="16">
        <v>3.4676313896708092E-3</v>
      </c>
      <c r="M363" s="16">
        <v>2.384430564397292E-2</v>
      </c>
      <c r="N363" s="16">
        <v>0</v>
      </c>
      <c r="O363" s="16">
        <v>0</v>
      </c>
      <c r="P363" s="95"/>
    </row>
    <row r="364" spans="1:19" x14ac:dyDescent="0.25">
      <c r="A364" s="16">
        <v>11</v>
      </c>
      <c r="B364" s="16">
        <v>437454.10856199998</v>
      </c>
      <c r="C364" s="16">
        <v>5688393.3324180003</v>
      </c>
      <c r="D364" s="31">
        <v>2</v>
      </c>
      <c r="E364" s="31" t="s">
        <v>61</v>
      </c>
      <c r="F364" s="46">
        <v>2010</v>
      </c>
      <c r="G364" s="16">
        <v>0.16259999999999999</v>
      </c>
      <c r="H364" s="16">
        <v>4.7708556678242149E-2</v>
      </c>
      <c r="I364" s="16">
        <v>0.1376</v>
      </c>
      <c r="J364" s="16">
        <v>6.1694045923681329E-2</v>
      </c>
      <c r="K364" s="16">
        <v>3.49E-2</v>
      </c>
      <c r="L364" s="16">
        <v>1.0330576997288975E-2</v>
      </c>
      <c r="M364" s="16">
        <v>3.7377979680953174E-2</v>
      </c>
      <c r="N364" s="16">
        <v>4.24E-2</v>
      </c>
      <c r="O364" s="16">
        <v>1.9597132660213866E-2</v>
      </c>
      <c r="P364" s="95"/>
    </row>
    <row r="365" spans="1:19" x14ac:dyDescent="0.25">
      <c r="A365" s="16">
        <v>12</v>
      </c>
      <c r="B365" s="16">
        <v>437573.10856199998</v>
      </c>
      <c r="C365" s="16">
        <v>5688393.3324180003</v>
      </c>
      <c r="D365" s="31">
        <v>2</v>
      </c>
      <c r="E365" s="31" t="s">
        <v>61</v>
      </c>
      <c r="F365" s="46">
        <v>2010</v>
      </c>
      <c r="G365" s="16">
        <v>0.15840000000000001</v>
      </c>
      <c r="H365" s="16">
        <v>4.6476232335999734E-2</v>
      </c>
      <c r="I365" s="16">
        <v>0.04</v>
      </c>
      <c r="J365" s="16">
        <v>1.7934315675488758E-2</v>
      </c>
      <c r="K365" s="16">
        <v>2.1299999999999999E-2</v>
      </c>
      <c r="L365" s="16">
        <v>6.3049080241333851E-3</v>
      </c>
      <c r="M365" s="16">
        <v>4.0171324311866347E-2</v>
      </c>
      <c r="N365" s="16">
        <v>2.0799999999999999E-2</v>
      </c>
      <c r="O365" s="16">
        <v>9.6136877201049142E-3</v>
      </c>
      <c r="P365" s="95"/>
    </row>
    <row r="366" spans="1:19" x14ac:dyDescent="0.25">
      <c r="A366" s="16">
        <v>13</v>
      </c>
      <c r="B366" s="16">
        <v>437692.10856199998</v>
      </c>
      <c r="C366" s="16">
        <v>5688393.3324180003</v>
      </c>
      <c r="D366" s="31">
        <v>2</v>
      </c>
      <c r="E366" s="31" t="s">
        <v>61</v>
      </c>
      <c r="F366" s="46">
        <v>2010</v>
      </c>
      <c r="G366" s="16">
        <v>7.8200000000000006E-2</v>
      </c>
      <c r="H366" s="16">
        <v>2.2944705610323104E-2</v>
      </c>
      <c r="I366" s="16">
        <v>0.16669999999999999</v>
      </c>
      <c r="J366" s="16">
        <v>7.4741260577599403E-2</v>
      </c>
      <c r="K366" s="16">
        <v>3.95E-2</v>
      </c>
      <c r="L366" s="16">
        <v>1.1692200326444541E-2</v>
      </c>
      <c r="M366" s="16">
        <v>1.1252505283878562E-2</v>
      </c>
      <c r="N366" s="16">
        <v>5.4100000000000002E-2</v>
      </c>
      <c r="O366" s="16">
        <v>2.500483200277288E-2</v>
      </c>
      <c r="P366" s="95"/>
    </row>
    <row r="367" spans="1:19" x14ac:dyDescent="0.25">
      <c r="A367" s="35">
        <v>14</v>
      </c>
      <c r="B367" s="35">
        <v>437811.10856199998</v>
      </c>
      <c r="C367" s="35">
        <v>5688393.3324180003</v>
      </c>
      <c r="D367" s="96">
        <v>2</v>
      </c>
      <c r="E367" s="96" t="s">
        <v>61</v>
      </c>
      <c r="F367" s="96">
        <v>2010</v>
      </c>
      <c r="G367" s="96" t="s">
        <v>18</v>
      </c>
      <c r="H367" s="96" t="s">
        <v>18</v>
      </c>
      <c r="I367" s="96" t="s">
        <v>18</v>
      </c>
      <c r="J367" s="96" t="s">
        <v>18</v>
      </c>
      <c r="K367" s="96" t="s">
        <v>18</v>
      </c>
      <c r="L367" s="96" t="s">
        <v>18</v>
      </c>
      <c r="M367" s="96" t="s">
        <v>18</v>
      </c>
      <c r="N367" s="96" t="s">
        <v>18</v>
      </c>
      <c r="O367" s="96" t="s">
        <v>18</v>
      </c>
      <c r="P367" s="94" t="s">
        <v>21</v>
      </c>
    </row>
    <row r="368" spans="1:19" x14ac:dyDescent="0.25">
      <c r="A368" s="16">
        <v>15</v>
      </c>
      <c r="B368" s="16">
        <v>437930.10856199998</v>
      </c>
      <c r="C368" s="16">
        <v>5688393.3324180003</v>
      </c>
      <c r="D368" s="31">
        <v>2</v>
      </c>
      <c r="E368" s="31" t="s">
        <v>61</v>
      </c>
      <c r="F368" s="46">
        <v>2010</v>
      </c>
      <c r="G368" s="16">
        <v>9.3900000000000011E-2</v>
      </c>
      <c r="H368" s="16">
        <v>2.755125136584833E-2</v>
      </c>
      <c r="I368" s="16">
        <v>0.22769999999999999</v>
      </c>
      <c r="J368" s="16">
        <v>0.10209109198271975</v>
      </c>
      <c r="K368" s="16">
        <v>6.3600000000000004E-2</v>
      </c>
      <c r="L368" s="16">
        <v>1.8825922550933488E-2</v>
      </c>
      <c r="M368" s="16">
        <v>8.7253288149148414E-3</v>
      </c>
      <c r="N368" s="16">
        <v>7.9000000000000001E-2</v>
      </c>
      <c r="O368" s="16">
        <v>3.6513525475398476E-2</v>
      </c>
      <c r="P368" s="95"/>
    </row>
    <row r="369" spans="1:16" x14ac:dyDescent="0.25">
      <c r="A369" s="16">
        <v>16</v>
      </c>
      <c r="B369" s="16">
        <v>438049.10856199998</v>
      </c>
      <c r="C369" s="16">
        <v>5688393.3324180003</v>
      </c>
      <c r="D369" s="31">
        <v>2</v>
      </c>
      <c r="E369" s="31" t="s">
        <v>61</v>
      </c>
      <c r="F369" s="46">
        <v>2010</v>
      </c>
      <c r="G369" s="16">
        <v>7.5799999999999992E-2</v>
      </c>
      <c r="H369" s="16">
        <v>2.2240520271898861E-2</v>
      </c>
      <c r="I369" s="16">
        <v>0.1014</v>
      </c>
      <c r="J369" s="16">
        <v>4.5463490237364006E-2</v>
      </c>
      <c r="K369" s="16">
        <v>2.86E-2</v>
      </c>
      <c r="L369" s="16">
        <v>8.4657450464889587E-3</v>
      </c>
      <c r="M369" s="16">
        <v>1.3774775225409902E-2</v>
      </c>
      <c r="N369" s="16">
        <v>5.2499999999999998E-2</v>
      </c>
      <c r="O369" s="16">
        <v>2.4265317562764809E-2</v>
      </c>
      <c r="P369" s="95"/>
    </row>
    <row r="370" spans="1:16" x14ac:dyDescent="0.25">
      <c r="A370" s="16">
        <v>17</v>
      </c>
      <c r="B370" s="16">
        <v>438168.10856199998</v>
      </c>
      <c r="C370" s="16">
        <v>5688393.3324180003</v>
      </c>
      <c r="D370" s="31">
        <v>1</v>
      </c>
      <c r="E370" s="31" t="s">
        <v>61</v>
      </c>
      <c r="F370" s="46">
        <v>2010</v>
      </c>
      <c r="G370" s="16">
        <v>6.6000000000000003E-2</v>
      </c>
      <c r="H370" s="16">
        <v>2.1332400523319361E-2</v>
      </c>
      <c r="I370" s="16">
        <v>5.5799999999999995E-2</v>
      </c>
      <c r="J370" s="16">
        <v>2.2802471764865426E-2</v>
      </c>
      <c r="K370" s="16">
        <v>1.7399999999999999E-2</v>
      </c>
      <c r="L370" s="16">
        <v>6.856452975030917E-3</v>
      </c>
      <c r="M370" s="16">
        <v>1.4475947548288445E-2</v>
      </c>
      <c r="N370" s="16">
        <v>0</v>
      </c>
      <c r="O370" s="16">
        <v>0</v>
      </c>
      <c r="P370" s="95"/>
    </row>
    <row r="371" spans="1:16" x14ac:dyDescent="0.25">
      <c r="A371" s="16">
        <v>18</v>
      </c>
      <c r="B371" s="16">
        <v>438287.10856199998</v>
      </c>
      <c r="C371" s="16">
        <v>5688393.3324180003</v>
      </c>
      <c r="D371" s="31">
        <v>1</v>
      </c>
      <c r="E371" s="31" t="s">
        <v>61</v>
      </c>
      <c r="F371" s="46">
        <v>2010</v>
      </c>
      <c r="G371" s="16">
        <v>0.13009999999999999</v>
      </c>
      <c r="H371" s="16">
        <v>4.205068648611892E-2</v>
      </c>
      <c r="I371" s="16">
        <v>0</v>
      </c>
      <c r="J371" s="16">
        <v>0</v>
      </c>
      <c r="K371" s="16">
        <v>4.0299999999999996E-2</v>
      </c>
      <c r="L371" s="16">
        <v>1.5880175568606089E-2</v>
      </c>
      <c r="M371" s="16">
        <v>2.6170510917512831E-2</v>
      </c>
      <c r="N371" s="16">
        <v>0</v>
      </c>
      <c r="O371" s="16">
        <v>0</v>
      </c>
      <c r="P371" s="95"/>
    </row>
    <row r="372" spans="1:16" x14ac:dyDescent="0.25">
      <c r="A372" s="16">
        <v>19</v>
      </c>
      <c r="B372" s="16">
        <v>438406.10856199998</v>
      </c>
      <c r="C372" s="16">
        <v>5688393.3324180003</v>
      </c>
      <c r="D372" s="31">
        <v>1</v>
      </c>
      <c r="E372" s="31" t="s">
        <v>61</v>
      </c>
      <c r="F372" s="46">
        <v>2010</v>
      </c>
      <c r="G372" s="16">
        <v>7.2499999999999995E-2</v>
      </c>
      <c r="H372" s="16">
        <v>2.3433318756676567E-2</v>
      </c>
      <c r="I372" s="16">
        <v>0</v>
      </c>
      <c r="J372" s="16">
        <v>0</v>
      </c>
      <c r="K372" s="16">
        <v>1.3599999999999999E-2</v>
      </c>
      <c r="L372" s="16">
        <v>5.3590666931276135E-3</v>
      </c>
      <c r="M372" s="16">
        <v>1.8074252063548953E-2</v>
      </c>
      <c r="N372" s="16">
        <v>0</v>
      </c>
      <c r="O372" s="16">
        <v>0</v>
      </c>
      <c r="P372" s="95"/>
    </row>
    <row r="373" spans="1:16" x14ac:dyDescent="0.25">
      <c r="A373" s="16">
        <v>20</v>
      </c>
      <c r="B373" s="16">
        <v>437335.10856199998</v>
      </c>
      <c r="C373" s="16">
        <v>5688512.3324180003</v>
      </c>
      <c r="D373" s="31">
        <v>2</v>
      </c>
      <c r="E373" s="31" t="s">
        <v>61</v>
      </c>
      <c r="F373" s="46">
        <v>2010</v>
      </c>
      <c r="G373" s="16">
        <v>1.9699999999999999E-2</v>
      </c>
      <c r="H373" s="16">
        <v>5.7801879862322894E-3</v>
      </c>
      <c r="I373" s="16">
        <v>0</v>
      </c>
      <c r="J373" s="16">
        <v>0</v>
      </c>
      <c r="K373" s="16">
        <v>0.25830000000000003</v>
      </c>
      <c r="L373" s="16">
        <v>7.6458109982800643E-2</v>
      </c>
      <c r="M373" s="16">
        <v>-7.067792199656836E-2</v>
      </c>
      <c r="N373" s="16">
        <v>0</v>
      </c>
      <c r="O373" s="16">
        <v>0</v>
      </c>
      <c r="P373" s="95"/>
    </row>
    <row r="374" spans="1:16" x14ac:dyDescent="0.25">
      <c r="A374" s="16">
        <v>21</v>
      </c>
      <c r="B374" s="16">
        <v>437454.10856199998</v>
      </c>
      <c r="C374" s="16">
        <v>5688512.3324180003</v>
      </c>
      <c r="D374" s="31">
        <v>2</v>
      </c>
      <c r="E374" s="31" t="s">
        <v>61</v>
      </c>
      <c r="F374" s="46">
        <v>2010</v>
      </c>
      <c r="G374" s="16">
        <v>0</v>
      </c>
      <c r="H374" s="16">
        <v>0</v>
      </c>
      <c r="I374" s="16">
        <v>0</v>
      </c>
      <c r="J374" s="16">
        <v>0</v>
      </c>
      <c r="K374" s="16">
        <v>4.5499999999999999E-2</v>
      </c>
      <c r="L374" s="16">
        <v>1.3468230755777889E-2</v>
      </c>
      <c r="M374" s="16">
        <v>-1.3468230755777889E-2</v>
      </c>
      <c r="N374" s="16">
        <v>0</v>
      </c>
      <c r="O374" s="16">
        <v>0</v>
      </c>
      <c r="P374" s="95"/>
    </row>
    <row r="375" spans="1:16" x14ac:dyDescent="0.25">
      <c r="A375" s="16">
        <v>22</v>
      </c>
      <c r="B375" s="16">
        <v>437573.10856199998</v>
      </c>
      <c r="C375" s="16">
        <v>5688512.3324180003</v>
      </c>
      <c r="D375" s="31">
        <v>2</v>
      </c>
      <c r="E375" s="31" t="s">
        <v>61</v>
      </c>
      <c r="F375" s="46">
        <v>2010</v>
      </c>
      <c r="G375" s="16">
        <v>0.1976</v>
      </c>
      <c r="H375" s="16">
        <v>5.7977926196928958E-2</v>
      </c>
      <c r="I375" s="16">
        <v>9.01E-2</v>
      </c>
      <c r="J375" s="16">
        <v>4.0397046059038426E-2</v>
      </c>
      <c r="K375" s="16">
        <v>6.13E-2</v>
      </c>
      <c r="L375" s="16">
        <v>1.8145110886355707E-2</v>
      </c>
      <c r="M375" s="16">
        <v>3.9832815310573255E-2</v>
      </c>
      <c r="N375" s="16">
        <v>7.5900000000000009E-2</v>
      </c>
      <c r="O375" s="16">
        <v>3.5080716247882844E-2</v>
      </c>
      <c r="P375" s="95"/>
    </row>
    <row r="376" spans="1:16" x14ac:dyDescent="0.25">
      <c r="A376" s="16">
        <v>23</v>
      </c>
      <c r="B376" s="16">
        <v>437692.10856199998</v>
      </c>
      <c r="C376" s="16">
        <v>5688512.3324180003</v>
      </c>
      <c r="D376" s="31">
        <v>2</v>
      </c>
      <c r="E376" s="31" t="s">
        <v>61</v>
      </c>
      <c r="F376" s="46">
        <v>2010</v>
      </c>
      <c r="G376" s="16">
        <v>0.1113</v>
      </c>
      <c r="H376" s="16">
        <v>3.2656595069424053E-2</v>
      </c>
      <c r="I376" s="16">
        <v>0.18719999999999998</v>
      </c>
      <c r="J376" s="16">
        <v>8.3932597361287387E-2</v>
      </c>
      <c r="K376" s="16">
        <v>4.2000000000000006E-3</v>
      </c>
      <c r="L376" s="16">
        <v>1.2432213005333437E-3</v>
      </c>
      <c r="M376" s="16">
        <v>3.1413373768890709E-2</v>
      </c>
      <c r="N376" s="16">
        <v>0</v>
      </c>
      <c r="O376" s="16">
        <v>0</v>
      </c>
      <c r="P376" s="95"/>
    </row>
    <row r="377" spans="1:16" x14ac:dyDescent="0.25">
      <c r="A377" s="16">
        <v>24</v>
      </c>
      <c r="B377" s="16">
        <v>437811.10856199998</v>
      </c>
      <c r="C377" s="16">
        <v>5688512.3324180003</v>
      </c>
      <c r="D377" s="31">
        <v>2</v>
      </c>
      <c r="E377" s="31" t="s">
        <v>61</v>
      </c>
      <c r="F377" s="46">
        <v>2010</v>
      </c>
      <c r="G377" s="16">
        <v>3.0100000000000002E-2</v>
      </c>
      <c r="H377" s="16">
        <v>8.8316577860706562E-3</v>
      </c>
      <c r="I377" s="16">
        <v>0</v>
      </c>
      <c r="J377" s="16">
        <v>0</v>
      </c>
      <c r="K377" s="16">
        <v>0.127</v>
      </c>
      <c r="L377" s="16">
        <v>3.7592644087555867E-2</v>
      </c>
      <c r="M377" s="16">
        <v>-2.8760986301485211E-2</v>
      </c>
      <c r="N377" s="16">
        <v>0</v>
      </c>
      <c r="O377" s="16">
        <v>0</v>
      </c>
      <c r="P377" s="95"/>
    </row>
    <row r="378" spans="1:16" x14ac:dyDescent="0.25">
      <c r="A378" s="16">
        <v>25</v>
      </c>
      <c r="B378" s="16">
        <v>437995</v>
      </c>
      <c r="C378" s="16">
        <v>5688493</v>
      </c>
      <c r="D378" s="31">
        <v>2</v>
      </c>
      <c r="E378" s="31" t="s">
        <v>61</v>
      </c>
      <c r="F378" s="46">
        <v>2010</v>
      </c>
      <c r="G378" s="16">
        <v>0.18869999999999998</v>
      </c>
      <c r="H378" s="16">
        <v>5.5366572233605735E-2</v>
      </c>
      <c r="I378" s="16">
        <v>0.10340000000000001</v>
      </c>
      <c r="J378" s="16">
        <v>4.6360206021138446E-2</v>
      </c>
      <c r="K378" s="16">
        <v>1.5300000000000001E-2</v>
      </c>
      <c r="L378" s="16">
        <v>4.5288775948000379E-3</v>
      </c>
      <c r="M378" s="16">
        <v>5.0837694638805699E-2</v>
      </c>
      <c r="N378" s="16">
        <v>6.9800000000000001E-2</v>
      </c>
      <c r="O378" s="16">
        <v>3.2261317445352072E-2</v>
      </c>
      <c r="P378" s="95"/>
    </row>
    <row r="379" spans="1:16" x14ac:dyDescent="0.25">
      <c r="A379" s="16">
        <v>26</v>
      </c>
      <c r="B379" s="16">
        <v>438112</v>
      </c>
      <c r="C379" s="16">
        <v>5688567</v>
      </c>
      <c r="D379" s="31">
        <v>1</v>
      </c>
      <c r="E379" s="31" t="s">
        <v>61</v>
      </c>
      <c r="F379" s="46">
        <v>2010</v>
      </c>
      <c r="G379" s="16">
        <v>0.1704</v>
      </c>
      <c r="H379" s="16">
        <v>5.5076379532933616E-2</v>
      </c>
      <c r="I379" s="16">
        <v>0</v>
      </c>
      <c r="J379" s="16">
        <v>0</v>
      </c>
      <c r="K379" s="16">
        <v>2.47E-2</v>
      </c>
      <c r="L379" s="16">
        <v>9.7330108323714758E-3</v>
      </c>
      <c r="M379" s="16">
        <v>4.5343368700562138E-2</v>
      </c>
      <c r="N379" s="16">
        <v>0</v>
      </c>
      <c r="O379" s="16">
        <v>0</v>
      </c>
      <c r="P379" s="95"/>
    </row>
    <row r="380" spans="1:16" x14ac:dyDescent="0.25">
      <c r="A380" s="35">
        <v>27</v>
      </c>
      <c r="B380" s="35">
        <v>438168.10856199998</v>
      </c>
      <c r="C380" s="35">
        <v>5688512.3324180003</v>
      </c>
      <c r="D380" s="96">
        <v>2</v>
      </c>
      <c r="E380" s="96" t="s">
        <v>61</v>
      </c>
      <c r="F380" s="96">
        <v>2010</v>
      </c>
      <c r="G380" s="96" t="s">
        <v>18</v>
      </c>
      <c r="H380" s="96" t="s">
        <v>18</v>
      </c>
      <c r="I380" s="96" t="s">
        <v>18</v>
      </c>
      <c r="J380" s="96" t="s">
        <v>18</v>
      </c>
      <c r="K380" s="96" t="s">
        <v>18</v>
      </c>
      <c r="L380" s="96" t="s">
        <v>18</v>
      </c>
      <c r="M380" s="96" t="s">
        <v>18</v>
      </c>
      <c r="N380" s="96" t="s">
        <v>18</v>
      </c>
      <c r="O380" s="96" t="s">
        <v>18</v>
      </c>
      <c r="P380" s="94" t="s">
        <v>21</v>
      </c>
    </row>
    <row r="381" spans="1:16" x14ac:dyDescent="0.25">
      <c r="A381" s="35">
        <v>28</v>
      </c>
      <c r="B381" s="35">
        <v>438287.10856199998</v>
      </c>
      <c r="C381" s="35">
        <v>5688512.3324180003</v>
      </c>
      <c r="D381" s="96">
        <v>2</v>
      </c>
      <c r="E381" s="96" t="s">
        <v>61</v>
      </c>
      <c r="F381" s="96">
        <v>2010</v>
      </c>
      <c r="G381" s="96" t="s">
        <v>18</v>
      </c>
      <c r="H381" s="96" t="s">
        <v>18</v>
      </c>
      <c r="I381" s="96" t="s">
        <v>18</v>
      </c>
      <c r="J381" s="96" t="s">
        <v>18</v>
      </c>
      <c r="K381" s="96" t="s">
        <v>18</v>
      </c>
      <c r="L381" s="96" t="s">
        <v>18</v>
      </c>
      <c r="M381" s="96" t="s">
        <v>18</v>
      </c>
      <c r="N381" s="96" t="s">
        <v>18</v>
      </c>
      <c r="O381" s="96" t="s">
        <v>18</v>
      </c>
      <c r="P381" s="94" t="s">
        <v>21</v>
      </c>
    </row>
    <row r="382" spans="1:16" x14ac:dyDescent="0.25">
      <c r="A382" s="16">
        <v>29</v>
      </c>
      <c r="B382" s="16">
        <v>438381</v>
      </c>
      <c r="C382" s="16">
        <v>5688526</v>
      </c>
      <c r="D382" s="31">
        <v>1</v>
      </c>
      <c r="E382" s="31" t="s">
        <v>61</v>
      </c>
      <c r="F382" s="46">
        <v>2010</v>
      </c>
      <c r="G382" s="16">
        <v>0.06</v>
      </c>
      <c r="H382" s="16">
        <v>1.9393091384835779E-2</v>
      </c>
      <c r="I382" s="16">
        <v>0</v>
      </c>
      <c r="J382" s="16">
        <v>0</v>
      </c>
      <c r="K382" s="16">
        <v>0.15930000000000002</v>
      </c>
      <c r="L382" s="16">
        <v>6.2772009133472723E-2</v>
      </c>
      <c r="M382" s="16">
        <v>-4.3378917748636947E-2</v>
      </c>
      <c r="N382" s="16">
        <v>0</v>
      </c>
      <c r="O382" s="16">
        <v>0</v>
      </c>
      <c r="P382" s="95"/>
    </row>
    <row r="383" spans="1:16" x14ac:dyDescent="0.25">
      <c r="A383" s="16">
        <v>30</v>
      </c>
      <c r="B383" s="16">
        <v>438525.10856199998</v>
      </c>
      <c r="C383" s="16">
        <v>5688512.3324180003</v>
      </c>
      <c r="D383" s="31">
        <v>1</v>
      </c>
      <c r="E383" s="31" t="s">
        <v>61</v>
      </c>
      <c r="F383" s="46">
        <v>2010</v>
      </c>
      <c r="G383" s="16">
        <v>0.1158</v>
      </c>
      <c r="H383" s="16">
        <v>3.7428666372733059E-2</v>
      </c>
      <c r="I383" s="16">
        <v>0</v>
      </c>
      <c r="J383" s="16">
        <v>0</v>
      </c>
      <c r="K383" s="16">
        <v>1.21E-2</v>
      </c>
      <c r="L383" s="16">
        <v>4.7679931607973623E-3</v>
      </c>
      <c r="M383" s="16">
        <v>3.2660673211935699E-2</v>
      </c>
      <c r="N383" s="16">
        <v>0</v>
      </c>
      <c r="O383" s="16">
        <v>0</v>
      </c>
      <c r="P383" s="95"/>
    </row>
    <row r="384" spans="1:16" x14ac:dyDescent="0.25">
      <c r="A384" s="16">
        <v>31</v>
      </c>
      <c r="B384" s="16">
        <v>437335.10856199998</v>
      </c>
      <c r="C384" s="16">
        <v>5688631.3324180003</v>
      </c>
      <c r="D384" s="31">
        <v>2</v>
      </c>
      <c r="E384" s="31" t="s">
        <v>61</v>
      </c>
      <c r="F384" s="46">
        <v>2010</v>
      </c>
      <c r="G384" s="16">
        <v>0.37789999999999996</v>
      </c>
      <c r="H384" s="16">
        <v>0.11087984974604986</v>
      </c>
      <c r="I384" s="16">
        <v>0</v>
      </c>
      <c r="J384" s="16">
        <v>0</v>
      </c>
      <c r="K384" s="16">
        <v>4.4999999999999998E-2</v>
      </c>
      <c r="L384" s="16">
        <v>1.332022822000011E-2</v>
      </c>
      <c r="M384" s="16">
        <v>9.7559621526049758E-2</v>
      </c>
      <c r="N384" s="16">
        <v>0</v>
      </c>
      <c r="O384" s="16">
        <v>0</v>
      </c>
      <c r="P384" s="95"/>
    </row>
    <row r="385" spans="1:16" x14ac:dyDescent="0.25">
      <c r="A385" s="16">
        <v>32</v>
      </c>
      <c r="B385" s="16">
        <v>437454.10856199998</v>
      </c>
      <c r="C385" s="16">
        <v>5688631.3324180003</v>
      </c>
      <c r="D385" s="31">
        <v>2</v>
      </c>
      <c r="E385" s="31" t="s">
        <v>61</v>
      </c>
      <c r="F385" s="46">
        <v>2010</v>
      </c>
      <c r="G385" s="16">
        <v>0.1191</v>
      </c>
      <c r="H385" s="16">
        <v>3.4945197419302826E-2</v>
      </c>
      <c r="I385" s="16">
        <v>0</v>
      </c>
      <c r="J385" s="16">
        <v>0</v>
      </c>
      <c r="K385" s="16">
        <v>2E-3</v>
      </c>
      <c r="L385" s="16">
        <v>5.9201014311111597E-4</v>
      </c>
      <c r="M385" s="16">
        <v>3.4353187276191709E-2</v>
      </c>
      <c r="N385" s="16">
        <v>0</v>
      </c>
      <c r="O385" s="16">
        <v>0</v>
      </c>
      <c r="P385" s="95"/>
    </row>
    <row r="386" spans="1:16" x14ac:dyDescent="0.25">
      <c r="A386" s="16">
        <v>33</v>
      </c>
      <c r="B386" s="16">
        <v>437573.10856199998</v>
      </c>
      <c r="C386" s="16">
        <v>5688631.3324180003</v>
      </c>
      <c r="D386" s="31">
        <v>2</v>
      </c>
      <c r="E386" s="31" t="s">
        <v>61</v>
      </c>
      <c r="F386" s="46">
        <v>2010</v>
      </c>
      <c r="G386" s="16">
        <v>3.5299999999999998E-2</v>
      </c>
      <c r="H386" s="16">
        <v>1.035739268598984E-2</v>
      </c>
      <c r="I386" s="16">
        <v>0</v>
      </c>
      <c r="J386" s="16">
        <v>0</v>
      </c>
      <c r="K386" s="16">
        <v>1.5E-3</v>
      </c>
      <c r="L386" s="16">
        <v>4.44007607333337E-4</v>
      </c>
      <c r="M386" s="16">
        <v>9.9133850786565017E-3</v>
      </c>
      <c r="N386" s="16">
        <v>0</v>
      </c>
      <c r="O386" s="16">
        <v>0</v>
      </c>
      <c r="P386" s="95"/>
    </row>
    <row r="387" spans="1:16" x14ac:dyDescent="0.25">
      <c r="A387" s="16">
        <v>34</v>
      </c>
      <c r="B387" s="16">
        <v>437692.10856199998</v>
      </c>
      <c r="C387" s="16">
        <v>5688631.3324180003</v>
      </c>
      <c r="D387" s="31">
        <v>2</v>
      </c>
      <c r="E387" s="31" t="s">
        <v>61</v>
      </c>
      <c r="F387" s="46">
        <v>2010</v>
      </c>
      <c r="G387" s="16">
        <v>9.0499999999999997E-2</v>
      </c>
      <c r="H387" s="16">
        <v>2.655365546974732E-2</v>
      </c>
      <c r="I387" s="16">
        <v>0</v>
      </c>
      <c r="J387" s="16">
        <v>0</v>
      </c>
      <c r="K387" s="16">
        <v>0.29630000000000001</v>
      </c>
      <c r="L387" s="16">
        <v>8.7706302701911834E-2</v>
      </c>
      <c r="M387" s="16">
        <v>-6.1152647232164514E-2</v>
      </c>
      <c r="N387" s="16">
        <v>0</v>
      </c>
      <c r="O387" s="16">
        <v>0</v>
      </c>
      <c r="P387" s="95"/>
    </row>
    <row r="388" spans="1:16" x14ac:dyDescent="0.25">
      <c r="A388" s="16">
        <v>35</v>
      </c>
      <c r="B388" s="16">
        <v>437893</v>
      </c>
      <c r="C388" s="16">
        <v>5688620</v>
      </c>
      <c r="D388" s="31">
        <v>2</v>
      </c>
      <c r="E388" s="31" t="s">
        <v>61</v>
      </c>
      <c r="F388" s="46">
        <v>2010</v>
      </c>
      <c r="G388" s="16">
        <v>0.12790000000000001</v>
      </c>
      <c r="H388" s="16">
        <v>3.7527210326858372E-2</v>
      </c>
      <c r="I388" s="16">
        <v>6.7000000000000004E-2</v>
      </c>
      <c r="J388" s="16">
        <v>3.0039978756443673E-2</v>
      </c>
      <c r="K388" s="16">
        <v>1.7899999999999999E-2</v>
      </c>
      <c r="L388" s="16">
        <v>5.2984907808444883E-3</v>
      </c>
      <c r="M388" s="16">
        <v>3.2228719546013883E-2</v>
      </c>
      <c r="N388" s="16">
        <v>2.3899999999999998E-2</v>
      </c>
      <c r="O388" s="16">
        <v>1.1046496947620551E-2</v>
      </c>
      <c r="P388" s="95"/>
    </row>
    <row r="389" spans="1:16" x14ac:dyDescent="0.25">
      <c r="A389" s="16">
        <v>36</v>
      </c>
      <c r="B389" s="16">
        <v>437930.10856199998</v>
      </c>
      <c r="C389" s="16">
        <v>5688631.3324180003</v>
      </c>
      <c r="D389" s="31">
        <v>2</v>
      </c>
      <c r="E389" s="31" t="s">
        <v>61</v>
      </c>
      <c r="F389" s="46">
        <v>2010</v>
      </c>
      <c r="G389" s="16">
        <v>0.159</v>
      </c>
      <c r="H389" s="16">
        <v>4.6652278670605792E-2</v>
      </c>
      <c r="I389" s="16">
        <v>0</v>
      </c>
      <c r="J389" s="16">
        <v>0</v>
      </c>
      <c r="K389" s="16">
        <v>3.4500000000000003E-2</v>
      </c>
      <c r="L389" s="16">
        <v>1.0212174968666752E-2</v>
      </c>
      <c r="M389" s="16">
        <v>3.6440103701939036E-2</v>
      </c>
      <c r="N389" s="16">
        <v>0</v>
      </c>
      <c r="O389" s="16">
        <v>0</v>
      </c>
      <c r="P389" s="95"/>
    </row>
    <row r="390" spans="1:16" x14ac:dyDescent="0.25">
      <c r="A390" s="35">
        <v>37</v>
      </c>
      <c r="B390" s="35">
        <v>438049.10856199998</v>
      </c>
      <c r="C390" s="35">
        <v>5688631.3324180003</v>
      </c>
      <c r="D390" s="96">
        <v>2</v>
      </c>
      <c r="E390" s="96" t="s">
        <v>61</v>
      </c>
      <c r="F390" s="96">
        <v>2010</v>
      </c>
      <c r="G390" s="35" t="s">
        <v>18</v>
      </c>
      <c r="H390" s="35" t="s">
        <v>18</v>
      </c>
      <c r="I390" s="35" t="s">
        <v>18</v>
      </c>
      <c r="J390" s="35" t="s">
        <v>18</v>
      </c>
      <c r="K390" s="35" t="s">
        <v>18</v>
      </c>
      <c r="L390" s="35" t="s">
        <v>18</v>
      </c>
      <c r="M390" s="35" t="s">
        <v>18</v>
      </c>
      <c r="N390" s="35" t="s">
        <v>18</v>
      </c>
      <c r="O390" s="35" t="s">
        <v>18</v>
      </c>
      <c r="P390" s="94" t="s">
        <v>21</v>
      </c>
    </row>
    <row r="391" spans="1:16" x14ac:dyDescent="0.25">
      <c r="A391" s="16">
        <v>38</v>
      </c>
      <c r="B391" s="16">
        <v>438067</v>
      </c>
      <c r="C391" s="16">
        <v>5688710</v>
      </c>
      <c r="D391" s="31">
        <v>1</v>
      </c>
      <c r="E391" s="31" t="s">
        <v>61</v>
      </c>
      <c r="F391" s="46">
        <v>2010</v>
      </c>
      <c r="G391" s="16">
        <v>0.57679999999999998</v>
      </c>
      <c r="H391" s="16">
        <v>0.18643225184622131</v>
      </c>
      <c r="I391" s="16">
        <v>0</v>
      </c>
      <c r="J391" s="16">
        <v>0</v>
      </c>
      <c r="K391" s="16">
        <v>1.4500000000000001E-2</v>
      </c>
      <c r="L391" s="16">
        <v>5.7137108125257649E-3</v>
      </c>
      <c r="M391" s="16">
        <v>0.18071854103369556</v>
      </c>
      <c r="N391" s="16">
        <v>0</v>
      </c>
      <c r="O391" s="16">
        <v>0</v>
      </c>
      <c r="P391" s="95"/>
    </row>
    <row r="392" spans="1:16" x14ac:dyDescent="0.25">
      <c r="A392" s="35">
        <v>39</v>
      </c>
      <c r="B392" s="35">
        <v>438287.10856199998</v>
      </c>
      <c r="C392" s="35">
        <v>5688631.3324180003</v>
      </c>
      <c r="D392" s="96">
        <v>2</v>
      </c>
      <c r="E392" s="96" t="s">
        <v>61</v>
      </c>
      <c r="F392" s="96">
        <v>2010</v>
      </c>
      <c r="G392" s="96" t="s">
        <v>18</v>
      </c>
      <c r="H392" s="96" t="s">
        <v>18</v>
      </c>
      <c r="I392" s="96" t="s">
        <v>18</v>
      </c>
      <c r="J392" s="96" t="s">
        <v>18</v>
      </c>
      <c r="K392" s="96" t="s">
        <v>18</v>
      </c>
      <c r="L392" s="96" t="s">
        <v>18</v>
      </c>
      <c r="M392" s="96" t="s">
        <v>18</v>
      </c>
      <c r="N392" s="96" t="s">
        <v>18</v>
      </c>
      <c r="O392" s="96" t="s">
        <v>18</v>
      </c>
      <c r="P392" s="94" t="s">
        <v>22</v>
      </c>
    </row>
    <row r="393" spans="1:16" x14ac:dyDescent="0.25">
      <c r="A393" s="16">
        <v>40</v>
      </c>
      <c r="B393" s="16">
        <v>438406.10856199998</v>
      </c>
      <c r="C393" s="16">
        <v>5688631.3324180003</v>
      </c>
      <c r="D393" s="31">
        <v>1</v>
      </c>
      <c r="E393" s="31" t="s">
        <v>61</v>
      </c>
      <c r="F393" s="46">
        <v>2010</v>
      </c>
      <c r="G393" s="16">
        <v>0.11109999999999999</v>
      </c>
      <c r="H393" s="16">
        <v>3.5909540880920916E-2</v>
      </c>
      <c r="I393" s="16">
        <v>0</v>
      </c>
      <c r="J393" s="16">
        <v>0</v>
      </c>
      <c r="K393" s="16">
        <v>4.8600000000000004E-2</v>
      </c>
      <c r="L393" s="16">
        <v>1.915078244750015E-2</v>
      </c>
      <c r="M393" s="16">
        <v>1.6758758433420767E-2</v>
      </c>
      <c r="N393" s="16">
        <v>0</v>
      </c>
      <c r="O393" s="16">
        <v>0</v>
      </c>
      <c r="P393" s="95"/>
    </row>
    <row r="394" spans="1:16" x14ac:dyDescent="0.25">
      <c r="A394" s="16">
        <v>41</v>
      </c>
      <c r="B394" s="16">
        <v>437310</v>
      </c>
      <c r="C394" s="16">
        <v>5688729</v>
      </c>
      <c r="D394" s="31">
        <v>2</v>
      </c>
      <c r="E394" s="31" t="s">
        <v>61</v>
      </c>
      <c r="F394" s="46">
        <v>2010</v>
      </c>
      <c r="G394" s="16">
        <v>0.20080000000000001</v>
      </c>
      <c r="H394" s="16">
        <v>5.8916839981494613E-2</v>
      </c>
      <c r="I394" s="16">
        <v>0</v>
      </c>
      <c r="J394" s="16">
        <v>0</v>
      </c>
      <c r="K394" s="16">
        <v>6.6099999999999992E-2</v>
      </c>
      <c r="L394" s="16">
        <v>1.9565935229822383E-2</v>
      </c>
      <c r="M394" s="16">
        <v>3.935090475167223E-2</v>
      </c>
      <c r="N394" s="16">
        <v>0</v>
      </c>
      <c r="O394" s="16">
        <v>0</v>
      </c>
      <c r="P394" s="95"/>
    </row>
    <row r="395" spans="1:16" x14ac:dyDescent="0.25">
      <c r="A395" s="16">
        <v>42</v>
      </c>
      <c r="B395" s="16">
        <v>437454.10856199998</v>
      </c>
      <c r="C395" s="16">
        <v>5688750.3324180003</v>
      </c>
      <c r="D395" s="31">
        <v>2</v>
      </c>
      <c r="E395" s="31" t="s">
        <v>61</v>
      </c>
      <c r="F395" s="46">
        <v>2010</v>
      </c>
      <c r="G395" s="16">
        <v>0.17760000000000001</v>
      </c>
      <c r="H395" s="16">
        <v>5.2109715043393644E-2</v>
      </c>
      <c r="I395" s="16">
        <v>5.0000000000000001E-3</v>
      </c>
      <c r="J395" s="16">
        <v>2.2417894594360947E-3</v>
      </c>
      <c r="K395" s="16">
        <v>4.58E-2</v>
      </c>
      <c r="L395" s="16">
        <v>1.3557032277244556E-2</v>
      </c>
      <c r="M395" s="16">
        <v>3.8552682766149086E-2</v>
      </c>
      <c r="N395" s="16">
        <v>2.3100000000000002E-2</v>
      </c>
      <c r="O395" s="16">
        <v>1.0676739727616517E-2</v>
      </c>
      <c r="P395" s="95"/>
    </row>
    <row r="396" spans="1:16" x14ac:dyDescent="0.25">
      <c r="A396" s="16">
        <v>43</v>
      </c>
      <c r="B396" s="16">
        <v>437573.10856199998</v>
      </c>
      <c r="C396" s="16">
        <v>5688750.3324180003</v>
      </c>
      <c r="D396" s="31">
        <v>2</v>
      </c>
      <c r="E396" s="31" t="s">
        <v>61</v>
      </c>
      <c r="F396" s="46">
        <v>2010</v>
      </c>
      <c r="G396" s="16">
        <v>5.9000000000000007E-3</v>
      </c>
      <c r="H396" s="16">
        <v>1.7311222902929196E-3</v>
      </c>
      <c r="I396" s="16">
        <v>0</v>
      </c>
      <c r="J396" s="16">
        <v>0</v>
      </c>
      <c r="K396" s="16">
        <v>0.1123</v>
      </c>
      <c r="L396" s="16">
        <v>3.3241369535689159E-2</v>
      </c>
      <c r="M396" s="16">
        <v>-3.1510247245396243E-2</v>
      </c>
      <c r="N396" s="16">
        <v>0</v>
      </c>
      <c r="O396" s="16">
        <v>0</v>
      </c>
      <c r="P396" s="95"/>
    </row>
    <row r="397" spans="1:16" x14ac:dyDescent="0.25">
      <c r="A397" s="16">
        <v>44</v>
      </c>
      <c r="B397" s="16">
        <v>437692.10856199998</v>
      </c>
      <c r="C397" s="16">
        <v>5688750.3324180003</v>
      </c>
      <c r="D397" s="31">
        <v>2</v>
      </c>
      <c r="E397" s="31" t="s">
        <v>61</v>
      </c>
      <c r="F397" s="46">
        <v>2010</v>
      </c>
      <c r="G397" s="16">
        <v>0.215</v>
      </c>
      <c r="H397" s="16">
        <v>6.3083269900504682E-2</v>
      </c>
      <c r="I397" s="16">
        <v>0</v>
      </c>
      <c r="J397" s="16">
        <v>0</v>
      </c>
      <c r="K397" s="16">
        <v>2.6499999999999999E-2</v>
      </c>
      <c r="L397" s="16">
        <v>7.8441343962222868E-3</v>
      </c>
      <c r="M397" s="16">
        <v>5.5239135504282395E-2</v>
      </c>
      <c r="N397" s="16">
        <v>0</v>
      </c>
      <c r="O397" s="16">
        <v>0</v>
      </c>
      <c r="P397" s="95"/>
    </row>
    <row r="398" spans="1:16" x14ac:dyDescent="0.25">
      <c r="A398" s="16">
        <v>45</v>
      </c>
      <c r="B398" s="16">
        <v>437811.10856199998</v>
      </c>
      <c r="C398" s="16">
        <v>5688750.3324180003</v>
      </c>
      <c r="D398" s="31">
        <v>2</v>
      </c>
      <c r="E398" s="31" t="s">
        <v>61</v>
      </c>
      <c r="F398" s="46">
        <v>2010</v>
      </c>
      <c r="G398" s="16">
        <v>0.41110000000000002</v>
      </c>
      <c r="H398" s="16">
        <v>0.1206210802609185</v>
      </c>
      <c r="I398" s="16">
        <v>0</v>
      </c>
      <c r="J398" s="16">
        <v>0</v>
      </c>
      <c r="K398" s="16">
        <v>6.7699999999999996E-2</v>
      </c>
      <c r="L398" s="16">
        <v>2.0039543344311274E-2</v>
      </c>
      <c r="M398" s="16">
        <v>0.10058153691660723</v>
      </c>
      <c r="N398" s="16">
        <v>0</v>
      </c>
      <c r="O398" s="16">
        <v>0</v>
      </c>
      <c r="P398" s="95"/>
    </row>
    <row r="399" spans="1:16" x14ac:dyDescent="0.25">
      <c r="A399" s="16">
        <v>46</v>
      </c>
      <c r="B399" s="16">
        <v>437930.10856199998</v>
      </c>
      <c r="C399" s="16">
        <v>5688750.3324180003</v>
      </c>
      <c r="D399" s="31">
        <v>2</v>
      </c>
      <c r="E399" s="31" t="s">
        <v>61</v>
      </c>
      <c r="F399" s="46">
        <v>2010</v>
      </c>
      <c r="G399" s="16">
        <v>0.29310000000000003</v>
      </c>
      <c r="H399" s="16">
        <v>8.5998634455060119E-2</v>
      </c>
      <c r="I399" s="16">
        <v>0</v>
      </c>
      <c r="J399" s="16">
        <v>0</v>
      </c>
      <c r="K399" s="16">
        <v>3.9600000000000003E-2</v>
      </c>
      <c r="L399" s="16">
        <v>1.1721800833600098E-2</v>
      </c>
      <c r="M399" s="16">
        <v>7.4276833621460023E-2</v>
      </c>
      <c r="N399" s="16">
        <v>0</v>
      </c>
      <c r="O399" s="16">
        <v>0</v>
      </c>
      <c r="P399" s="95"/>
    </row>
    <row r="400" spans="1:16" x14ac:dyDescent="0.25">
      <c r="A400" s="16">
        <v>47</v>
      </c>
      <c r="B400" s="16">
        <v>438061</v>
      </c>
      <c r="C400" s="16">
        <v>5688779</v>
      </c>
      <c r="D400" s="31">
        <v>1</v>
      </c>
      <c r="E400" s="31" t="s">
        <v>61</v>
      </c>
      <c r="F400" s="46">
        <v>2010</v>
      </c>
      <c r="G400" s="16">
        <v>0.255</v>
      </c>
      <c r="H400" s="16">
        <v>8.2420638385552067E-2</v>
      </c>
      <c r="I400" s="16">
        <v>0.19839999999999999</v>
      </c>
      <c r="J400" s="16">
        <v>8.1075455163965957E-2</v>
      </c>
      <c r="K400" s="16">
        <v>2.87E-2</v>
      </c>
      <c r="L400" s="16">
        <v>1.1309206918585479E-2</v>
      </c>
      <c r="M400" s="16">
        <v>7.1111431466966593E-2</v>
      </c>
      <c r="N400" s="16">
        <v>7.0800000000000002E-2</v>
      </c>
      <c r="O400" s="16">
        <v>3.0412879691666419E-2</v>
      </c>
      <c r="P400" s="95"/>
    </row>
    <row r="401" spans="1:19" x14ac:dyDescent="0.25">
      <c r="A401" s="35">
        <v>48</v>
      </c>
      <c r="B401" s="35">
        <v>438168.10856199998</v>
      </c>
      <c r="C401" s="35">
        <v>5688750.3324180003</v>
      </c>
      <c r="D401" s="96">
        <v>2</v>
      </c>
      <c r="E401" s="96" t="s">
        <v>61</v>
      </c>
      <c r="F401" s="96">
        <v>2010</v>
      </c>
      <c r="G401" s="96" t="s">
        <v>18</v>
      </c>
      <c r="H401" s="96" t="s">
        <v>18</v>
      </c>
      <c r="I401" s="96" t="s">
        <v>18</v>
      </c>
      <c r="J401" s="96" t="s">
        <v>18</v>
      </c>
      <c r="K401" s="96" t="s">
        <v>18</v>
      </c>
      <c r="L401" s="96" t="s">
        <v>18</v>
      </c>
      <c r="M401" s="96" t="s">
        <v>18</v>
      </c>
      <c r="N401" s="96" t="s">
        <v>18</v>
      </c>
      <c r="O401" s="96" t="s">
        <v>18</v>
      </c>
      <c r="P401" s="94" t="s">
        <v>21</v>
      </c>
    </row>
    <row r="402" spans="1:19" x14ac:dyDescent="0.25">
      <c r="A402" s="16">
        <v>49</v>
      </c>
      <c r="B402" s="16">
        <v>437454.10856199998</v>
      </c>
      <c r="C402" s="16">
        <v>5688869.3324180003</v>
      </c>
      <c r="D402" s="31">
        <v>1</v>
      </c>
      <c r="E402" s="31" t="s">
        <v>61</v>
      </c>
      <c r="F402" s="46">
        <v>2010</v>
      </c>
      <c r="G402" s="16">
        <v>0.18180000000000002</v>
      </c>
      <c r="H402" s="16">
        <v>5.876106689605242E-2</v>
      </c>
      <c r="I402" s="16">
        <v>0.15259999999999999</v>
      </c>
      <c r="J402" s="16">
        <v>6.2359447873090751E-2</v>
      </c>
      <c r="K402" s="16">
        <v>6.1700000000000005E-2</v>
      </c>
      <c r="L402" s="16">
        <v>2.4312824629851015E-2</v>
      </c>
      <c r="M402" s="16">
        <v>3.4448242266201405E-2</v>
      </c>
      <c r="N402" s="16">
        <v>5.6500000000000002E-2</v>
      </c>
      <c r="O402" s="16">
        <v>2.4270165290665998E-2</v>
      </c>
      <c r="P402" s="95"/>
    </row>
    <row r="403" spans="1:19" x14ac:dyDescent="0.25">
      <c r="A403" s="16">
        <v>50</v>
      </c>
      <c r="B403" s="16">
        <v>437811.10856199998</v>
      </c>
      <c r="C403" s="16">
        <v>5688869.3324180003</v>
      </c>
      <c r="D403" s="31">
        <v>1</v>
      </c>
      <c r="E403" s="31" t="s">
        <v>61</v>
      </c>
      <c r="F403" s="46">
        <v>2010</v>
      </c>
      <c r="G403" s="16">
        <v>0.1171</v>
      </c>
      <c r="H403" s="16">
        <v>3.7848850019404495E-2</v>
      </c>
      <c r="I403" s="16">
        <v>0</v>
      </c>
      <c r="J403" s="16">
        <v>0</v>
      </c>
      <c r="K403" s="16">
        <v>3.6499999999999998E-2</v>
      </c>
      <c r="L403" s="16">
        <v>1.4382789286702787E-2</v>
      </c>
      <c r="M403" s="16">
        <v>2.3466060732701709E-2</v>
      </c>
      <c r="N403" s="16">
        <v>0</v>
      </c>
      <c r="O403" s="16">
        <v>0</v>
      </c>
      <c r="P403" s="95"/>
    </row>
    <row r="404" spans="1:19" x14ac:dyDescent="0.25">
      <c r="A404" s="16">
        <v>51</v>
      </c>
      <c r="B404" s="16">
        <v>437930.10856199998</v>
      </c>
      <c r="C404" s="16">
        <v>5688869.3324180003</v>
      </c>
      <c r="D404" s="31">
        <v>1</v>
      </c>
      <c r="E404" s="31" t="s">
        <v>61</v>
      </c>
      <c r="F404" s="46">
        <v>2010</v>
      </c>
      <c r="G404" s="16">
        <v>0.16109999999999999</v>
      </c>
      <c r="H404" s="16">
        <v>5.2070450368284067E-2</v>
      </c>
      <c r="I404" s="16">
        <v>0</v>
      </c>
      <c r="J404" s="16">
        <v>0</v>
      </c>
      <c r="K404" s="16">
        <v>3.1899999999999998E-2</v>
      </c>
      <c r="L404" s="16">
        <v>1.2570163787556682E-2</v>
      </c>
      <c r="M404" s="16">
        <v>3.9500286580727385E-2</v>
      </c>
      <c r="N404" s="16">
        <v>0</v>
      </c>
      <c r="O404" s="16">
        <v>0</v>
      </c>
      <c r="P404" s="95"/>
    </row>
    <row r="405" spans="1:19" x14ac:dyDescent="0.25">
      <c r="A405" s="16">
        <v>52</v>
      </c>
      <c r="B405" s="16">
        <v>438049.10856199998</v>
      </c>
      <c r="C405" s="16">
        <v>5688869.3324180003</v>
      </c>
      <c r="D405" s="31">
        <v>1</v>
      </c>
      <c r="E405" s="31" t="s">
        <v>61</v>
      </c>
      <c r="F405" s="46">
        <v>2010</v>
      </c>
      <c r="G405" s="16">
        <v>0.11040000000000001</v>
      </c>
      <c r="H405" s="16">
        <v>3.568328814809784E-2</v>
      </c>
      <c r="I405" s="16">
        <v>3.5799999999999998E-2</v>
      </c>
      <c r="J405" s="16">
        <v>1.4629542816884987E-2</v>
      </c>
      <c r="K405" s="16">
        <v>4.4499999999999998E-2</v>
      </c>
      <c r="L405" s="16">
        <v>1.7535181459130796E-2</v>
      </c>
      <c r="M405" s="16">
        <v>1.8148106688967044E-2</v>
      </c>
      <c r="N405" s="16">
        <v>9.74E-2</v>
      </c>
      <c r="O405" s="16">
        <v>4.1839187598422443E-2</v>
      </c>
      <c r="P405" s="95"/>
    </row>
    <row r="406" spans="1:19" x14ac:dyDescent="0.25">
      <c r="A406" s="16">
        <v>53</v>
      </c>
      <c r="B406" s="16">
        <v>438287.10856199998</v>
      </c>
      <c r="C406" s="16">
        <v>5688869.3324180003</v>
      </c>
      <c r="D406" s="31">
        <v>1</v>
      </c>
      <c r="E406" s="31" t="s">
        <v>61</v>
      </c>
      <c r="F406" s="46">
        <v>2010</v>
      </c>
      <c r="G406" s="16">
        <v>4.1500000000000002E-2</v>
      </c>
      <c r="H406" s="16">
        <v>1.3413554874511416E-2</v>
      </c>
      <c r="I406" s="16">
        <v>0</v>
      </c>
      <c r="J406" s="16">
        <v>0</v>
      </c>
      <c r="K406" s="16">
        <v>0.01</v>
      </c>
      <c r="L406" s="16">
        <v>3.9404902155350105E-3</v>
      </c>
      <c r="M406" s="16">
        <v>9.4730646589764045E-3</v>
      </c>
      <c r="N406" s="16">
        <v>0</v>
      </c>
      <c r="O406" s="16">
        <v>0</v>
      </c>
      <c r="P406" s="95"/>
    </row>
    <row r="407" spans="1:19" x14ac:dyDescent="0.25">
      <c r="A407" s="16">
        <v>54</v>
      </c>
      <c r="B407" s="16">
        <v>437454.10856199998</v>
      </c>
      <c r="C407" s="16">
        <v>5688988.3324180003</v>
      </c>
      <c r="D407" s="31">
        <v>1</v>
      </c>
      <c r="E407" s="31" t="s">
        <v>61</v>
      </c>
      <c r="F407" s="46">
        <v>2010</v>
      </c>
      <c r="G407" s="16">
        <v>0.18709999999999999</v>
      </c>
      <c r="H407" s="16">
        <v>6.0474123301712909E-2</v>
      </c>
      <c r="I407" s="16">
        <v>6.4899999999999999E-2</v>
      </c>
      <c r="J407" s="16">
        <v>2.6521154436196528E-2</v>
      </c>
      <c r="K407" s="16">
        <v>4.2999999999999997E-2</v>
      </c>
      <c r="L407" s="16">
        <v>1.6944107926800542E-2</v>
      </c>
      <c r="M407" s="16">
        <v>4.353001537491237E-2</v>
      </c>
      <c r="N407" s="16">
        <v>5.7299999999999997E-2</v>
      </c>
      <c r="O407" s="16">
        <v>2.4613813648763923E-2</v>
      </c>
      <c r="P407" s="95"/>
    </row>
    <row r="408" spans="1:19" x14ac:dyDescent="0.25">
      <c r="A408" s="16">
        <v>55</v>
      </c>
      <c r="B408" s="16">
        <v>438049.10856199998</v>
      </c>
      <c r="C408" s="16">
        <v>5688988.3324180003</v>
      </c>
      <c r="D408" s="31">
        <v>1</v>
      </c>
      <c r="E408" s="31" t="s">
        <v>61</v>
      </c>
      <c r="F408" s="46">
        <v>2010</v>
      </c>
      <c r="G408" s="16">
        <v>9.1200000000000003E-2</v>
      </c>
      <c r="H408" s="16">
        <v>2.9477498904950387E-2</v>
      </c>
      <c r="I408" s="16">
        <v>0.1769</v>
      </c>
      <c r="J408" s="16">
        <v>7.2289556544886988E-2</v>
      </c>
      <c r="K408" s="16">
        <v>1.2999999999999999E-2</v>
      </c>
      <c r="L408" s="16">
        <v>5.1226372801955128E-3</v>
      </c>
      <c r="M408" s="16">
        <v>2.4354861624754875E-2</v>
      </c>
      <c r="N408" s="16">
        <v>5.7000000000000002E-2</v>
      </c>
      <c r="O408" s="16">
        <v>2.4484945514477201E-2</v>
      </c>
      <c r="P408" s="95"/>
    </row>
    <row r="409" spans="1:19" x14ac:dyDescent="0.25">
      <c r="A409" s="16">
        <v>56</v>
      </c>
      <c r="B409" s="16">
        <v>438168.10856199998</v>
      </c>
      <c r="C409" s="16">
        <v>5688988.3324180003</v>
      </c>
      <c r="D409" s="31">
        <v>1</v>
      </c>
      <c r="E409" s="31" t="s">
        <v>61</v>
      </c>
      <c r="F409" s="46">
        <v>2010</v>
      </c>
      <c r="G409" s="16">
        <v>8.1900000000000001E-2</v>
      </c>
      <c r="H409" s="16">
        <v>2.6471569740300842E-2</v>
      </c>
      <c r="I409" s="16">
        <v>0</v>
      </c>
      <c r="J409" s="16">
        <v>0</v>
      </c>
      <c r="K409" s="16">
        <v>3.7000000000000002E-3</v>
      </c>
      <c r="L409" s="16">
        <v>1.4579813797479539E-3</v>
      </c>
      <c r="M409" s="16">
        <v>2.5013588360552889E-2</v>
      </c>
      <c r="N409" s="16">
        <v>0</v>
      </c>
      <c r="O409" s="16">
        <v>0</v>
      </c>
      <c r="P409" s="95"/>
    </row>
    <row r="410" spans="1:19" x14ac:dyDescent="0.25">
      <c r="A410" s="36">
        <v>57</v>
      </c>
      <c r="B410" s="36">
        <v>438146</v>
      </c>
      <c r="C410" s="36">
        <v>5688977</v>
      </c>
      <c r="D410" s="99">
        <v>1</v>
      </c>
      <c r="E410" s="99" t="s">
        <v>61</v>
      </c>
      <c r="F410" s="50">
        <v>2010</v>
      </c>
      <c r="G410" s="36">
        <v>0.17330000000000001</v>
      </c>
      <c r="H410" s="36">
        <v>5.6013712283200685E-2</v>
      </c>
      <c r="I410" s="36">
        <v>0</v>
      </c>
      <c r="J410" s="36">
        <v>0</v>
      </c>
      <c r="K410" s="36">
        <v>2.1299999999999999E-2</v>
      </c>
      <c r="L410" s="36">
        <v>8.3932441590895707E-3</v>
      </c>
      <c r="M410" s="36">
        <v>4.7620468124111116E-2</v>
      </c>
      <c r="N410" s="36">
        <v>0</v>
      </c>
      <c r="O410" s="36">
        <v>0</v>
      </c>
      <c r="P410" s="100"/>
    </row>
    <row r="411" spans="1:19" x14ac:dyDescent="0.25">
      <c r="A411" s="36">
        <v>58</v>
      </c>
      <c r="B411" s="36">
        <v>438131</v>
      </c>
      <c r="C411" s="36">
        <v>5688972</v>
      </c>
      <c r="D411" s="99">
        <v>1</v>
      </c>
      <c r="E411" s="99" t="s">
        <v>61</v>
      </c>
      <c r="F411" s="50">
        <v>2010</v>
      </c>
      <c r="G411" s="36">
        <v>0.33650000000000002</v>
      </c>
      <c r="H411" s="36">
        <v>0.10876292084995401</v>
      </c>
      <c r="I411" s="36">
        <v>0</v>
      </c>
      <c r="J411" s="36">
        <v>0</v>
      </c>
      <c r="K411" s="36">
        <v>1.7500000000000002E-2</v>
      </c>
      <c r="L411" s="36">
        <v>6.895857877186269E-3</v>
      </c>
      <c r="M411" s="36">
        <v>0.10186706297276774</v>
      </c>
      <c r="N411" s="36">
        <v>0</v>
      </c>
      <c r="O411" s="36">
        <v>0</v>
      </c>
      <c r="P411" s="100"/>
    </row>
    <row r="412" spans="1:19" x14ac:dyDescent="0.25">
      <c r="A412" s="36">
        <v>59</v>
      </c>
      <c r="B412" s="36">
        <v>438089</v>
      </c>
      <c r="C412" s="36">
        <v>5688713</v>
      </c>
      <c r="D412" s="99">
        <v>1</v>
      </c>
      <c r="E412" s="99" t="s">
        <v>61</v>
      </c>
      <c r="F412" s="50">
        <v>2010</v>
      </c>
      <c r="G412" s="36">
        <v>0.40239999999999998</v>
      </c>
      <c r="H412" s="36">
        <v>0.13006299955429862</v>
      </c>
      <c r="I412" s="36">
        <v>0</v>
      </c>
      <c r="J412" s="36">
        <v>0</v>
      </c>
      <c r="K412" s="36">
        <v>2.98E-2</v>
      </c>
      <c r="L412" s="36">
        <v>1.174266084229433E-2</v>
      </c>
      <c r="M412" s="36">
        <v>0.11832033871200429</v>
      </c>
      <c r="N412" s="36">
        <v>0</v>
      </c>
      <c r="O412" s="36">
        <v>0</v>
      </c>
      <c r="P412" s="100"/>
    </row>
    <row r="413" spans="1:19" x14ac:dyDescent="0.25">
      <c r="A413" s="36">
        <v>60</v>
      </c>
      <c r="B413" s="36">
        <v>438099</v>
      </c>
      <c r="C413" s="36">
        <v>5688719</v>
      </c>
      <c r="D413" s="99">
        <v>1</v>
      </c>
      <c r="E413" s="99" t="s">
        <v>61</v>
      </c>
      <c r="F413" s="50">
        <v>2010</v>
      </c>
      <c r="G413" s="36">
        <v>0.3196</v>
      </c>
      <c r="H413" s="36">
        <v>0.10330053344322526</v>
      </c>
      <c r="I413" s="36">
        <v>0</v>
      </c>
      <c r="J413" s="36">
        <v>0</v>
      </c>
      <c r="K413" s="36">
        <v>1.5900000000000001E-2</v>
      </c>
      <c r="L413" s="36">
        <v>6.2653794427006667E-3</v>
      </c>
      <c r="M413" s="36">
        <v>9.7035154000524593E-2</v>
      </c>
      <c r="N413" s="36">
        <v>0</v>
      </c>
      <c r="O413" s="36">
        <v>0</v>
      </c>
      <c r="P413" s="100"/>
    </row>
    <row r="414" spans="1:19" x14ac:dyDescent="0.25">
      <c r="A414" s="16">
        <v>1</v>
      </c>
      <c r="B414" s="16">
        <v>437930.10856199998</v>
      </c>
      <c r="C414" s="16">
        <v>5688036.3324180003</v>
      </c>
      <c r="D414" s="31">
        <v>5</v>
      </c>
      <c r="E414" s="31" t="s">
        <v>64</v>
      </c>
      <c r="F414" s="31">
        <v>2011</v>
      </c>
      <c r="G414" s="16">
        <v>8.7400000000000005E-2</v>
      </c>
      <c r="H414" s="16">
        <v>2.7382154380510049E-2</v>
      </c>
      <c r="I414" s="16">
        <v>2.24E-2</v>
      </c>
      <c r="J414" s="16">
        <v>9.184452729623897E-3</v>
      </c>
      <c r="K414" s="16">
        <v>7.7999999999999996E-3</v>
      </c>
      <c r="L414" s="16">
        <v>3.0854758360900343E-3</v>
      </c>
      <c r="M414" s="16">
        <v>2.4296678544420015E-2</v>
      </c>
      <c r="N414" s="16">
        <v>2.52E-2</v>
      </c>
      <c r="O414" s="16">
        <v>1.0736806130586824E-2</v>
      </c>
      <c r="P414" s="95"/>
      <c r="R414" s="5">
        <f>AVERAGE(M414:M473)</f>
        <v>2.9234860644369975E-2</v>
      </c>
      <c r="S414" s="5">
        <f>AVERAGE(H414:H473)</f>
        <v>4.1889596177811211E-2</v>
      </c>
    </row>
    <row r="415" spans="1:19" x14ac:dyDescent="0.25">
      <c r="A415" s="16">
        <v>2</v>
      </c>
      <c r="B415" s="16">
        <v>437811.10856199998</v>
      </c>
      <c r="C415" s="16">
        <v>5688155.3324180003</v>
      </c>
      <c r="D415" s="31">
        <v>5</v>
      </c>
      <c r="E415" s="31" t="s">
        <v>64</v>
      </c>
      <c r="F415" s="31">
        <v>2011</v>
      </c>
      <c r="G415" s="16">
        <v>7.7299999999999994E-2</v>
      </c>
      <c r="H415" s="16">
        <v>2.4217855075668496E-2</v>
      </c>
      <c r="I415" s="16">
        <v>0</v>
      </c>
      <c r="J415" s="16">
        <v>0</v>
      </c>
      <c r="K415" s="16">
        <v>3.49E-2</v>
      </c>
      <c r="L415" s="16">
        <v>1.3805526497377204E-2</v>
      </c>
      <c r="M415" s="16">
        <v>1.0412328578291292E-2</v>
      </c>
      <c r="N415" s="16">
        <v>0</v>
      </c>
      <c r="O415" s="16">
        <v>0</v>
      </c>
      <c r="P415" s="95"/>
    </row>
    <row r="416" spans="1:19" x14ac:dyDescent="0.25">
      <c r="A416" s="16">
        <v>3</v>
      </c>
      <c r="B416" s="16">
        <v>437930.10856199998</v>
      </c>
      <c r="C416" s="16">
        <v>5688155.3324180003</v>
      </c>
      <c r="D416" s="31">
        <v>5</v>
      </c>
      <c r="E416" s="31" t="s">
        <v>64</v>
      </c>
      <c r="F416" s="31">
        <v>2011</v>
      </c>
      <c r="G416" s="16">
        <v>2.8300000000000002E-2</v>
      </c>
      <c r="H416" s="16">
        <v>8.8663039927738482E-3</v>
      </c>
      <c r="I416" s="16">
        <v>1.15E-2</v>
      </c>
      <c r="J416" s="16">
        <v>4.7152324281551257E-3</v>
      </c>
      <c r="K416" s="16">
        <v>7.6499999999999999E-2</v>
      </c>
      <c r="L416" s="16">
        <v>3.026139762319072E-2</v>
      </c>
      <c r="M416" s="16">
        <v>-2.1395093630416872E-2</v>
      </c>
      <c r="N416" s="16">
        <v>9.1000000000000004E-3</v>
      </c>
      <c r="O416" s="16">
        <v>3.8771799916007977E-3</v>
      </c>
      <c r="P416" s="95" t="s">
        <v>65</v>
      </c>
    </row>
    <row r="417" spans="1:16" x14ac:dyDescent="0.25">
      <c r="A417" s="16">
        <v>4</v>
      </c>
      <c r="B417" s="16">
        <v>438049.10856199998</v>
      </c>
      <c r="C417" s="16">
        <v>5688155.3324180003</v>
      </c>
      <c r="D417" s="31">
        <v>5</v>
      </c>
      <c r="E417" s="31" t="s">
        <v>64</v>
      </c>
      <c r="F417" s="31">
        <v>2011</v>
      </c>
      <c r="G417" s="16">
        <v>6.2600000000000003E-2</v>
      </c>
      <c r="H417" s="16">
        <v>1.9612389750800104E-2</v>
      </c>
      <c r="I417" s="16">
        <v>0</v>
      </c>
      <c r="J417" s="16">
        <v>0</v>
      </c>
      <c r="K417" s="16">
        <v>7.1999999999999998E-3</v>
      </c>
      <c r="L417" s="16">
        <v>2.8481315410061854E-3</v>
      </c>
      <c r="M417" s="16">
        <v>1.6764258209793919E-2</v>
      </c>
      <c r="N417" s="16">
        <v>0</v>
      </c>
      <c r="O417" s="16">
        <v>0</v>
      </c>
      <c r="P417" s="95"/>
    </row>
    <row r="418" spans="1:16" x14ac:dyDescent="0.25">
      <c r="A418" s="16">
        <v>5</v>
      </c>
      <c r="B418" s="16">
        <v>437573.10856199998</v>
      </c>
      <c r="C418" s="16">
        <v>5688274.3324180003</v>
      </c>
      <c r="D418" s="31">
        <v>5</v>
      </c>
      <c r="E418" s="31" t="s">
        <v>64</v>
      </c>
      <c r="F418" s="31">
        <v>2011</v>
      </c>
      <c r="G418" s="16">
        <v>5.4299999999999994E-2</v>
      </c>
      <c r="H418" s="16">
        <v>1.9739669105898063E-2</v>
      </c>
      <c r="I418" s="16">
        <v>0.26100000000000001</v>
      </c>
      <c r="J418" s="16">
        <v>9.5051761954191807E-2</v>
      </c>
      <c r="K418" s="16">
        <v>1.4199999999999999E-2</v>
      </c>
      <c r="L418" s="16">
        <v>5.1329082905336157E-3</v>
      </c>
      <c r="M418" s="16">
        <v>1.4606760815364446E-2</v>
      </c>
      <c r="N418" s="16">
        <v>0.1361</v>
      </c>
      <c r="O418" s="16">
        <v>5.3054169873078004E-2</v>
      </c>
      <c r="P418" s="95"/>
    </row>
    <row r="419" spans="1:16" x14ac:dyDescent="0.25">
      <c r="A419" s="16">
        <v>6</v>
      </c>
      <c r="B419" s="16">
        <v>437692.10856199998</v>
      </c>
      <c r="C419" s="16">
        <v>5688274.3324180003</v>
      </c>
      <c r="D419" s="31">
        <v>5</v>
      </c>
      <c r="E419" s="31" t="s">
        <v>64</v>
      </c>
      <c r="F419" s="31">
        <v>2011</v>
      </c>
      <c r="G419" s="16">
        <v>1.46E-2</v>
      </c>
      <c r="H419" s="16">
        <v>4.5741356287808546E-3</v>
      </c>
      <c r="I419" s="16">
        <v>0.13700000000000001</v>
      </c>
      <c r="J419" s="16">
        <v>5.6172768926717596E-2</v>
      </c>
      <c r="K419" s="16">
        <v>6.7699999999999996E-2</v>
      </c>
      <c r="L419" s="16">
        <v>2.6780347961960937E-2</v>
      </c>
      <c r="M419" s="16">
        <v>-2.2206212333180084E-2</v>
      </c>
      <c r="N419" s="16">
        <v>0.20169999999999999</v>
      </c>
      <c r="O419" s="16">
        <v>8.5937055418228658E-2</v>
      </c>
      <c r="P419" s="95"/>
    </row>
    <row r="420" spans="1:16" x14ac:dyDescent="0.25">
      <c r="A420" s="16">
        <v>7</v>
      </c>
      <c r="B420" s="16">
        <v>437811.10856199998</v>
      </c>
      <c r="C420" s="16">
        <v>5688274.3324180003</v>
      </c>
      <c r="D420" s="31">
        <v>5</v>
      </c>
      <c r="E420" s="31" t="s">
        <v>64</v>
      </c>
      <c r="F420" s="31">
        <v>2011</v>
      </c>
      <c r="G420" s="16">
        <v>1.5099999999999999E-2</v>
      </c>
      <c r="H420" s="16">
        <v>4.7307841092185544E-3</v>
      </c>
      <c r="I420" s="16">
        <v>0.26069999999999999</v>
      </c>
      <c r="J420" s="16">
        <v>0.10689226904522098</v>
      </c>
      <c r="K420" s="16">
        <v>8.4000000000000012E-3</v>
      </c>
      <c r="L420" s="16">
        <v>3.3228201311738836E-3</v>
      </c>
      <c r="M420" s="16">
        <v>1.4079639780446708E-3</v>
      </c>
      <c r="N420" s="16">
        <v>5.7299999999999997E-2</v>
      </c>
      <c r="O420" s="16">
        <v>2.4413452035024801E-2</v>
      </c>
      <c r="P420" s="95"/>
    </row>
    <row r="421" spans="1:16" x14ac:dyDescent="0.25">
      <c r="A421" s="16">
        <v>8</v>
      </c>
      <c r="B421" s="16">
        <v>437930.10856199998</v>
      </c>
      <c r="C421" s="16">
        <v>5688274.3324180003</v>
      </c>
      <c r="D421" s="31">
        <v>5</v>
      </c>
      <c r="E421" s="31" t="s">
        <v>64</v>
      </c>
      <c r="F421" s="31">
        <v>2011</v>
      </c>
      <c r="G421" s="16">
        <v>6.59E-2</v>
      </c>
      <c r="H421" s="16">
        <v>2.0646269721688926E-2</v>
      </c>
      <c r="I421" s="16">
        <v>0</v>
      </c>
      <c r="J421" s="16">
        <v>0</v>
      </c>
      <c r="K421" s="16">
        <v>5.4299999999999994E-2</v>
      </c>
      <c r="L421" s="16">
        <v>2.1479658705088313E-2</v>
      </c>
      <c r="M421" s="16">
        <v>-8.3338898339938711E-4</v>
      </c>
      <c r="N421" s="16">
        <v>2.1399999999999999E-2</v>
      </c>
      <c r="O421" s="16">
        <v>9.1177639362919859E-3</v>
      </c>
      <c r="P421" s="95"/>
    </row>
    <row r="422" spans="1:16" x14ac:dyDescent="0.25">
      <c r="A422" s="16">
        <v>9</v>
      </c>
      <c r="B422" s="16">
        <v>438287.10856199998</v>
      </c>
      <c r="C422" s="16">
        <v>5688274.3324180003</v>
      </c>
      <c r="D422" s="31">
        <v>5</v>
      </c>
      <c r="E422" s="31" t="s">
        <v>64</v>
      </c>
      <c r="F422" s="31">
        <v>2011</v>
      </c>
      <c r="G422" s="16">
        <v>6.2200000000000005E-2</v>
      </c>
      <c r="H422" s="16">
        <v>1.9487070966449943E-2</v>
      </c>
      <c r="I422" s="16">
        <v>1.2500000000000001E-2</v>
      </c>
      <c r="J422" s="16">
        <v>5.1252526392990506E-3</v>
      </c>
      <c r="K422" s="16">
        <v>0</v>
      </c>
      <c r="L422" s="16">
        <v>0</v>
      </c>
      <c r="M422" s="16">
        <v>1.9487070966449943E-2</v>
      </c>
      <c r="N422" s="16">
        <v>2.86E-2</v>
      </c>
      <c r="O422" s="16">
        <v>1.2185422830745364E-2</v>
      </c>
      <c r="P422" s="95" t="s">
        <v>66</v>
      </c>
    </row>
    <row r="423" spans="1:16" x14ac:dyDescent="0.25">
      <c r="A423" s="16">
        <v>10</v>
      </c>
      <c r="B423" s="16">
        <v>438406.10856199998</v>
      </c>
      <c r="C423" s="16">
        <v>5688274.3324180003</v>
      </c>
      <c r="D423" s="31">
        <v>5</v>
      </c>
      <c r="E423" s="31" t="s">
        <v>64</v>
      </c>
      <c r="F423" s="31">
        <v>2011</v>
      </c>
      <c r="G423" s="16">
        <v>3.9299999999999995E-2</v>
      </c>
      <c r="H423" s="16">
        <v>1.2312570562403258E-2</v>
      </c>
      <c r="I423" s="16">
        <v>0</v>
      </c>
      <c r="J423" s="16">
        <v>0</v>
      </c>
      <c r="K423" s="16">
        <v>1.11E-2</v>
      </c>
      <c r="L423" s="16">
        <v>4.3908694590512028E-3</v>
      </c>
      <c r="M423" s="16">
        <v>7.9217011033520558E-3</v>
      </c>
      <c r="N423" s="16">
        <v>0</v>
      </c>
      <c r="O423" s="16">
        <v>0</v>
      </c>
      <c r="P423" s="95"/>
    </row>
    <row r="424" spans="1:16" x14ac:dyDescent="0.25">
      <c r="A424" s="16">
        <v>11</v>
      </c>
      <c r="B424" s="16">
        <v>437454.10856199998</v>
      </c>
      <c r="C424" s="16">
        <v>5688393.3324180003</v>
      </c>
      <c r="D424" s="31">
        <v>6</v>
      </c>
      <c r="E424" s="31" t="s">
        <v>64</v>
      </c>
      <c r="F424" s="31">
        <v>2011</v>
      </c>
      <c r="G424" s="16">
        <v>0.13250000000000001</v>
      </c>
      <c r="H424" s="16">
        <v>4.1511847315990634E-2</v>
      </c>
      <c r="I424" s="16">
        <v>0.2626</v>
      </c>
      <c r="J424" s="16">
        <v>0.10767130744639444</v>
      </c>
      <c r="K424" s="16">
        <v>4.1799999999999997E-2</v>
      </c>
      <c r="L424" s="16">
        <v>1.6534985890841465E-2</v>
      </c>
      <c r="M424" s="16">
        <v>2.4976861425149169E-2</v>
      </c>
      <c r="N424" s="16">
        <v>0.43589999999999995</v>
      </c>
      <c r="O424" s="16">
        <v>0.18572118223503159</v>
      </c>
      <c r="P424" s="95" t="s">
        <v>138</v>
      </c>
    </row>
    <row r="425" spans="1:16" x14ac:dyDescent="0.25">
      <c r="A425" s="16">
        <v>12</v>
      </c>
      <c r="B425" s="16">
        <v>437573.10856199998</v>
      </c>
      <c r="C425" s="16">
        <v>5688393.3324180003</v>
      </c>
      <c r="D425" s="31">
        <v>6</v>
      </c>
      <c r="E425" s="31" t="s">
        <v>64</v>
      </c>
      <c r="F425" s="31">
        <v>2011</v>
      </c>
      <c r="G425" s="16">
        <v>0.1012</v>
      </c>
      <c r="H425" s="16">
        <v>3.6789217560163616E-2</v>
      </c>
      <c r="I425" s="16">
        <v>7.6799999999999993E-2</v>
      </c>
      <c r="J425" s="16">
        <v>2.7969254092267928E-2</v>
      </c>
      <c r="K425" s="16">
        <v>1.29E-2</v>
      </c>
      <c r="L425" s="16">
        <v>4.6629941512594114E-3</v>
      </c>
      <c r="M425" s="16">
        <v>3.2126223408904205E-2</v>
      </c>
      <c r="N425" s="16">
        <v>0</v>
      </c>
      <c r="O425" s="16">
        <v>0</v>
      </c>
      <c r="P425" s="95"/>
    </row>
    <row r="426" spans="1:16" x14ac:dyDescent="0.25">
      <c r="A426" s="16">
        <v>13</v>
      </c>
      <c r="B426" s="16">
        <v>437692.10856199998</v>
      </c>
      <c r="C426" s="16">
        <v>5688393.3324180003</v>
      </c>
      <c r="D426" s="31">
        <v>6</v>
      </c>
      <c r="E426" s="31" t="s">
        <v>64</v>
      </c>
      <c r="F426" s="31">
        <v>2011</v>
      </c>
      <c r="G426" s="16">
        <v>0.1507</v>
      </c>
      <c r="H426" s="16">
        <v>5.4783943540678427E-2</v>
      </c>
      <c r="I426" s="16">
        <v>0.50380000000000003</v>
      </c>
      <c r="J426" s="16">
        <v>0.18347539338130969</v>
      </c>
      <c r="K426" s="16">
        <v>2.6800000000000001E-2</v>
      </c>
      <c r="L426" s="16">
        <v>9.6874607173451349E-3</v>
      </c>
      <c r="M426" s="16">
        <v>4.5096482823333291E-2</v>
      </c>
      <c r="N426" s="16">
        <v>0.21790000000000001</v>
      </c>
      <c r="O426" s="16">
        <v>8.494124625528067E-2</v>
      </c>
      <c r="P426" s="95"/>
    </row>
    <row r="427" spans="1:16" x14ac:dyDescent="0.25">
      <c r="A427" s="35">
        <v>14</v>
      </c>
      <c r="B427" s="35">
        <v>437811.10856199998</v>
      </c>
      <c r="C427" s="35">
        <v>5688393.3324180003</v>
      </c>
      <c r="D427" s="96">
        <v>6</v>
      </c>
      <c r="E427" s="96" t="s">
        <v>64</v>
      </c>
      <c r="F427" s="96">
        <v>2011</v>
      </c>
      <c r="G427" s="96" t="s">
        <v>18</v>
      </c>
      <c r="H427" s="96" t="s">
        <v>18</v>
      </c>
      <c r="I427" s="96" t="s">
        <v>18</v>
      </c>
      <c r="J427" s="96" t="s">
        <v>18</v>
      </c>
      <c r="K427" s="96" t="s">
        <v>18</v>
      </c>
      <c r="L427" s="96" t="s">
        <v>18</v>
      </c>
      <c r="M427" s="96" t="s">
        <v>18</v>
      </c>
      <c r="N427" s="96" t="s">
        <v>18</v>
      </c>
      <c r="O427" s="96" t="s">
        <v>18</v>
      </c>
      <c r="P427" s="94" t="s">
        <v>21</v>
      </c>
    </row>
    <row r="428" spans="1:16" x14ac:dyDescent="0.25">
      <c r="A428" s="16">
        <v>15</v>
      </c>
      <c r="B428" s="16">
        <v>437930.10856199998</v>
      </c>
      <c r="C428" s="16">
        <v>5688393.3324180003</v>
      </c>
      <c r="D428" s="31">
        <v>5</v>
      </c>
      <c r="E428" s="31" t="s">
        <v>64</v>
      </c>
      <c r="F428" s="31">
        <v>2011</v>
      </c>
      <c r="G428" s="16">
        <v>5.11E-2</v>
      </c>
      <c r="H428" s="16">
        <v>1.6009474700732992E-2</v>
      </c>
      <c r="I428" s="16">
        <v>0.38789999999999997</v>
      </c>
      <c r="J428" s="16">
        <v>0.15904683990272811</v>
      </c>
      <c r="K428" s="16">
        <v>1.78E-2</v>
      </c>
      <c r="L428" s="16">
        <v>7.0412140874875143E-3</v>
      </c>
      <c r="M428" s="16">
        <v>8.9682606132454774E-3</v>
      </c>
      <c r="N428" s="16">
        <v>0.24669999999999997</v>
      </c>
      <c r="O428" s="16">
        <v>0.10510992350856227</v>
      </c>
      <c r="P428" s="95"/>
    </row>
    <row r="429" spans="1:16" x14ac:dyDescent="0.25">
      <c r="A429" s="16">
        <v>16</v>
      </c>
      <c r="B429" s="16">
        <v>438049.10856199998</v>
      </c>
      <c r="C429" s="16">
        <v>5688393.3324180003</v>
      </c>
      <c r="D429" s="31">
        <v>5</v>
      </c>
      <c r="E429" s="31" t="s">
        <v>64</v>
      </c>
      <c r="F429" s="31">
        <v>2011</v>
      </c>
      <c r="G429" s="16">
        <v>5.2899999999999996E-2</v>
      </c>
      <c r="H429" s="16">
        <v>1.657340923030871E-2</v>
      </c>
      <c r="I429" s="16">
        <v>0.34239999999999998</v>
      </c>
      <c r="J429" s="16">
        <v>0.14039092029567957</v>
      </c>
      <c r="K429" s="16">
        <v>0.35260000000000002</v>
      </c>
      <c r="L429" s="16">
        <v>0.13947933074427515</v>
      </c>
      <c r="M429" s="16">
        <v>-0.12290592151396644</v>
      </c>
      <c r="N429" s="16">
        <v>2.3300000000000001E-2</v>
      </c>
      <c r="O429" s="16">
        <v>9.927285033439405E-3</v>
      </c>
      <c r="P429" s="95"/>
    </row>
    <row r="430" spans="1:16" x14ac:dyDescent="0.25">
      <c r="A430" s="16">
        <v>17</v>
      </c>
      <c r="B430" s="16">
        <v>438168.10856199998</v>
      </c>
      <c r="C430" s="16">
        <v>5688393.3324180003</v>
      </c>
      <c r="D430" s="31">
        <v>5</v>
      </c>
      <c r="E430" s="31" t="s">
        <v>64</v>
      </c>
      <c r="F430" s="31">
        <v>2011</v>
      </c>
      <c r="G430" s="16">
        <v>8.1700000000000009E-2</v>
      </c>
      <c r="H430" s="16">
        <v>2.5596361703520264E-2</v>
      </c>
      <c r="I430" s="16">
        <v>0.20949999999999999</v>
      </c>
      <c r="J430" s="16">
        <v>8.589923423465208E-2</v>
      </c>
      <c r="K430" s="16">
        <v>6.7999999999999996E-3</v>
      </c>
      <c r="L430" s="16">
        <v>2.6899020109502859E-3</v>
      </c>
      <c r="M430" s="16">
        <v>2.2906459692569978E-2</v>
      </c>
      <c r="N430" s="16">
        <v>0</v>
      </c>
      <c r="O430" s="16">
        <v>0</v>
      </c>
      <c r="P430" s="95"/>
    </row>
    <row r="431" spans="1:16" x14ac:dyDescent="0.25">
      <c r="A431" s="16">
        <v>18</v>
      </c>
      <c r="B431" s="16">
        <v>438287.10856199998</v>
      </c>
      <c r="C431" s="16">
        <v>5688393.3324180003</v>
      </c>
      <c r="D431" s="31">
        <v>5</v>
      </c>
      <c r="E431" s="31" t="s">
        <v>64</v>
      </c>
      <c r="F431" s="31">
        <v>2011</v>
      </c>
      <c r="G431" s="16">
        <v>0.1103</v>
      </c>
      <c r="H431" s="16">
        <v>3.4556654784556724E-2</v>
      </c>
      <c r="I431" s="16">
        <v>0</v>
      </c>
      <c r="J431" s="16">
        <v>0</v>
      </c>
      <c r="K431" s="16">
        <v>5.5500000000000001E-2</v>
      </c>
      <c r="L431" s="16">
        <v>2.1954347295256013E-2</v>
      </c>
      <c r="M431" s="16">
        <v>1.2602307489300711E-2</v>
      </c>
      <c r="N431" s="16">
        <v>0</v>
      </c>
      <c r="O431" s="16">
        <v>0</v>
      </c>
      <c r="P431" s="95"/>
    </row>
    <row r="432" spans="1:16" x14ac:dyDescent="0.25">
      <c r="A432" s="16">
        <v>19</v>
      </c>
      <c r="B432" s="16">
        <v>438406.10856199998</v>
      </c>
      <c r="C432" s="16">
        <v>5688393.3324180003</v>
      </c>
      <c r="D432" s="31">
        <v>5</v>
      </c>
      <c r="E432" s="31" t="s">
        <v>64</v>
      </c>
      <c r="F432" s="31">
        <v>2011</v>
      </c>
      <c r="G432" s="16">
        <v>4.0299999999999996E-2</v>
      </c>
      <c r="H432" s="16">
        <v>1.2625867523278659E-2</v>
      </c>
      <c r="I432" s="16">
        <v>0</v>
      </c>
      <c r="J432" s="16">
        <v>0</v>
      </c>
      <c r="K432" s="16">
        <v>6.7999999999999996E-3</v>
      </c>
      <c r="L432" s="16">
        <v>2.6899020109502859E-3</v>
      </c>
      <c r="M432" s="16">
        <v>9.9359655123283722E-3</v>
      </c>
      <c r="N432" s="16">
        <v>0</v>
      </c>
      <c r="O432" s="16">
        <v>0</v>
      </c>
      <c r="P432" s="95"/>
    </row>
    <row r="433" spans="1:16" x14ac:dyDescent="0.25">
      <c r="A433" s="16">
        <v>20</v>
      </c>
      <c r="B433" s="16">
        <v>437335.10856199998</v>
      </c>
      <c r="C433" s="16">
        <v>5688512.3324180003</v>
      </c>
      <c r="D433" s="31">
        <v>6</v>
      </c>
      <c r="E433" s="31" t="s">
        <v>64</v>
      </c>
      <c r="F433" s="31">
        <v>2011</v>
      </c>
      <c r="G433" s="16">
        <v>2.53E-2</v>
      </c>
      <c r="H433" s="16">
        <v>9.197304390040904E-3</v>
      </c>
      <c r="I433" s="16">
        <v>1.9899999999999998E-2</v>
      </c>
      <c r="J433" s="16">
        <v>7.2472416202621322E-3</v>
      </c>
      <c r="K433" s="16">
        <v>3.6200000000000003E-2</v>
      </c>
      <c r="L433" s="16">
        <v>1.3085301416712459E-2</v>
      </c>
      <c r="M433" s="16">
        <v>-3.8879970266715545E-3</v>
      </c>
      <c r="N433" s="16">
        <v>0</v>
      </c>
      <c r="O433" s="16">
        <v>0</v>
      </c>
      <c r="P433" s="95"/>
    </row>
    <row r="434" spans="1:16" x14ac:dyDescent="0.25">
      <c r="A434" s="16">
        <v>21</v>
      </c>
      <c r="B434" s="16">
        <v>437454.10856199998</v>
      </c>
      <c r="C434" s="16">
        <v>5688512.3324180003</v>
      </c>
      <c r="D434" s="31">
        <v>6</v>
      </c>
      <c r="E434" s="31" t="s">
        <v>64</v>
      </c>
      <c r="F434" s="31">
        <v>2011</v>
      </c>
      <c r="G434" s="16">
        <v>3.3000000000000002E-2</v>
      </c>
      <c r="H434" s="16">
        <v>1.1996483987009875E-2</v>
      </c>
      <c r="I434" s="16">
        <v>0</v>
      </c>
      <c r="J434" s="16">
        <v>0</v>
      </c>
      <c r="K434" s="16">
        <v>1.3900000000000001E-2</v>
      </c>
      <c r="L434" s="16">
        <v>5.0244665660857226E-3</v>
      </c>
      <c r="M434" s="16">
        <v>6.9720174209241528E-3</v>
      </c>
      <c r="N434" s="16">
        <v>0</v>
      </c>
      <c r="O434" s="16">
        <v>0</v>
      </c>
      <c r="P434" s="95"/>
    </row>
    <row r="435" spans="1:16" x14ac:dyDescent="0.25">
      <c r="A435" s="16">
        <v>22</v>
      </c>
      <c r="B435" s="16">
        <v>437573.10856199998</v>
      </c>
      <c r="C435" s="16">
        <v>5688512.3324180003</v>
      </c>
      <c r="D435" s="31">
        <v>6</v>
      </c>
      <c r="E435" s="31" t="s">
        <v>64</v>
      </c>
      <c r="F435" s="31">
        <v>2011</v>
      </c>
      <c r="G435" s="16">
        <v>0.1454</v>
      </c>
      <c r="H435" s="16">
        <v>5.2857235506401083E-2</v>
      </c>
      <c r="I435" s="16">
        <v>0.2964</v>
      </c>
      <c r="J435" s="16">
        <v>0.10794384001234654</v>
      </c>
      <c r="K435" s="16">
        <v>9.8000000000000014E-3</v>
      </c>
      <c r="L435" s="16">
        <v>3.5424296652978482E-3</v>
      </c>
      <c r="M435" s="16">
        <v>4.9314805841103232E-2</v>
      </c>
      <c r="N435" s="16">
        <v>0.25900000000000001</v>
      </c>
      <c r="O435" s="16">
        <v>0.10096274795831892</v>
      </c>
      <c r="P435" s="95" t="s">
        <v>67</v>
      </c>
    </row>
    <row r="436" spans="1:16" x14ac:dyDescent="0.25">
      <c r="A436" s="16">
        <v>23</v>
      </c>
      <c r="B436" s="16">
        <v>437692.10856199998</v>
      </c>
      <c r="C436" s="16">
        <v>5688512.3324180003</v>
      </c>
      <c r="D436" s="31">
        <v>6</v>
      </c>
      <c r="E436" s="31" t="s">
        <v>64</v>
      </c>
      <c r="F436" s="31">
        <v>2011</v>
      </c>
      <c r="G436" s="16">
        <v>9.7000000000000003E-2</v>
      </c>
      <c r="H436" s="16">
        <v>3.5262392325453265E-2</v>
      </c>
      <c r="I436" s="16">
        <v>0.1237</v>
      </c>
      <c r="J436" s="16">
        <v>4.5049436604343011E-2</v>
      </c>
      <c r="K436" s="16">
        <v>5.2999999999999999E-2</v>
      </c>
      <c r="L436" s="16">
        <v>1.915803798579448E-2</v>
      </c>
      <c r="M436" s="16">
        <v>1.6104354339658785E-2</v>
      </c>
      <c r="N436" s="16">
        <v>0</v>
      </c>
      <c r="O436" s="16">
        <v>0</v>
      </c>
      <c r="P436" s="95"/>
    </row>
    <row r="437" spans="1:16" x14ac:dyDescent="0.25">
      <c r="A437" s="16">
        <v>24</v>
      </c>
      <c r="B437" s="16">
        <v>437811.10856199998</v>
      </c>
      <c r="C437" s="16">
        <v>5688512.3324180003</v>
      </c>
      <c r="D437" s="31">
        <v>6</v>
      </c>
      <c r="E437" s="31" t="s">
        <v>64</v>
      </c>
      <c r="F437" s="31">
        <v>2011</v>
      </c>
      <c r="G437" s="16">
        <v>0.1555</v>
      </c>
      <c r="H437" s="16">
        <v>5.6528886666061678E-2</v>
      </c>
      <c r="I437" s="16">
        <v>0</v>
      </c>
      <c r="J437" s="16">
        <v>0</v>
      </c>
      <c r="K437" s="16">
        <v>7.7999999999999996E-3</v>
      </c>
      <c r="L437" s="16">
        <v>2.8194848356452255E-3</v>
      </c>
      <c r="M437" s="16">
        <v>5.3709401830416455E-2</v>
      </c>
      <c r="N437" s="16">
        <v>0</v>
      </c>
      <c r="O437" s="16">
        <v>0</v>
      </c>
      <c r="P437" s="95"/>
    </row>
    <row r="438" spans="1:16" x14ac:dyDescent="0.25">
      <c r="A438" s="16">
        <v>25</v>
      </c>
      <c r="B438" s="16">
        <v>437995</v>
      </c>
      <c r="C438" s="16">
        <v>5688493</v>
      </c>
      <c r="D438" s="31">
        <v>5</v>
      </c>
      <c r="E438" s="31" t="s">
        <v>64</v>
      </c>
      <c r="F438" s="31">
        <v>2011</v>
      </c>
      <c r="G438" s="16">
        <v>8.2000000000000003E-2</v>
      </c>
      <c r="H438" s="16">
        <v>2.5690350791782883E-2</v>
      </c>
      <c r="I438" s="16">
        <v>0</v>
      </c>
      <c r="J438" s="16">
        <v>0</v>
      </c>
      <c r="K438" s="16">
        <v>2.5000000000000001E-2</v>
      </c>
      <c r="L438" s="16">
        <v>9.8893456284937006E-3</v>
      </c>
      <c r="M438" s="16">
        <v>1.5801005163289181E-2</v>
      </c>
      <c r="N438" s="16">
        <v>1.0500000000000001E-2</v>
      </c>
      <c r="O438" s="16">
        <v>4.473669221077844E-3</v>
      </c>
      <c r="P438" s="95"/>
    </row>
    <row r="439" spans="1:16" x14ac:dyDescent="0.25">
      <c r="A439" s="16">
        <v>26</v>
      </c>
      <c r="B439" s="16">
        <v>438112</v>
      </c>
      <c r="C439" s="16">
        <v>5688567</v>
      </c>
      <c r="D439" s="31">
        <v>5</v>
      </c>
      <c r="E439" s="31" t="s">
        <v>64</v>
      </c>
      <c r="F439" s="31">
        <v>2011</v>
      </c>
      <c r="G439" s="16">
        <v>7.2599999999999998E-2</v>
      </c>
      <c r="H439" s="16">
        <v>2.2745359359554112E-2</v>
      </c>
      <c r="I439" s="16">
        <v>8.43E-2</v>
      </c>
      <c r="J439" s="16">
        <v>3.4564703799432793E-2</v>
      </c>
      <c r="K439" s="16">
        <v>7.959999999999999E-2</v>
      </c>
      <c r="L439" s="16">
        <v>3.1487676481123938E-2</v>
      </c>
      <c r="M439" s="16">
        <v>-8.7423171215698266E-3</v>
      </c>
      <c r="N439" s="16">
        <v>5.1200000000000002E-2</v>
      </c>
      <c r="O439" s="16">
        <v>2.1814463249446248E-2</v>
      </c>
      <c r="P439" s="95"/>
    </row>
    <row r="440" spans="1:16" x14ac:dyDescent="0.25">
      <c r="A440" s="35">
        <v>27</v>
      </c>
      <c r="B440" s="35">
        <v>438168.10856199998</v>
      </c>
      <c r="C440" s="35">
        <v>5688512.3324180003</v>
      </c>
      <c r="D440" s="96">
        <v>6</v>
      </c>
      <c r="E440" s="96" t="s">
        <v>64</v>
      </c>
      <c r="F440" s="96">
        <v>2011</v>
      </c>
      <c r="G440" s="96" t="s">
        <v>18</v>
      </c>
      <c r="H440" s="96" t="s">
        <v>18</v>
      </c>
      <c r="I440" s="96" t="s">
        <v>18</v>
      </c>
      <c r="J440" s="96" t="s">
        <v>18</v>
      </c>
      <c r="K440" s="96" t="s">
        <v>18</v>
      </c>
      <c r="L440" s="96" t="s">
        <v>18</v>
      </c>
      <c r="M440" s="96" t="s">
        <v>18</v>
      </c>
      <c r="N440" s="96" t="s">
        <v>18</v>
      </c>
      <c r="O440" s="96" t="s">
        <v>18</v>
      </c>
      <c r="P440" s="94" t="s">
        <v>21</v>
      </c>
    </row>
    <row r="441" spans="1:16" x14ac:dyDescent="0.25">
      <c r="A441" s="35">
        <v>28</v>
      </c>
      <c r="B441" s="35">
        <v>438287.10856199998</v>
      </c>
      <c r="C441" s="35">
        <v>5688512.3324180003</v>
      </c>
      <c r="D441" s="96">
        <v>6</v>
      </c>
      <c r="E441" s="96" t="s">
        <v>64</v>
      </c>
      <c r="F441" s="96">
        <v>2011</v>
      </c>
      <c r="G441" s="96" t="s">
        <v>18</v>
      </c>
      <c r="H441" s="96" t="s">
        <v>18</v>
      </c>
      <c r="I441" s="96" t="s">
        <v>18</v>
      </c>
      <c r="J441" s="96" t="s">
        <v>18</v>
      </c>
      <c r="K441" s="96" t="s">
        <v>18</v>
      </c>
      <c r="L441" s="96" t="s">
        <v>18</v>
      </c>
      <c r="M441" s="96" t="s">
        <v>18</v>
      </c>
      <c r="N441" s="96" t="s">
        <v>18</v>
      </c>
      <c r="O441" s="96" t="s">
        <v>18</v>
      </c>
      <c r="P441" s="94" t="s">
        <v>21</v>
      </c>
    </row>
    <row r="442" spans="1:16" x14ac:dyDescent="0.25">
      <c r="A442" s="16">
        <v>29</v>
      </c>
      <c r="B442" s="16">
        <v>438381</v>
      </c>
      <c r="C442" s="16">
        <v>5688526</v>
      </c>
      <c r="D442" s="31">
        <v>4</v>
      </c>
      <c r="E442" s="31" t="s">
        <v>64</v>
      </c>
      <c r="F442" s="31">
        <v>2011</v>
      </c>
      <c r="G442" s="16">
        <v>0.2437</v>
      </c>
      <c r="H442" s="16">
        <v>6.6029620363529981E-2</v>
      </c>
      <c r="I442" s="16">
        <v>0</v>
      </c>
      <c r="J442" s="16">
        <v>0</v>
      </c>
      <c r="K442" s="16">
        <v>5.9499999999999997E-2</v>
      </c>
      <c r="L442" s="16">
        <v>1.9597652412951517E-2</v>
      </c>
      <c r="M442" s="16">
        <v>4.6431967950578468E-2</v>
      </c>
      <c r="N442" s="16">
        <v>0</v>
      </c>
      <c r="O442" s="16">
        <v>0</v>
      </c>
      <c r="P442" s="95"/>
    </row>
    <row r="443" spans="1:16" x14ac:dyDescent="0.25">
      <c r="A443" s="16">
        <v>30</v>
      </c>
      <c r="B443" s="16">
        <v>438525.10856199998</v>
      </c>
      <c r="C443" s="16">
        <v>5688512.3324180003</v>
      </c>
      <c r="D443" s="31">
        <v>4</v>
      </c>
      <c r="E443" s="31" t="s">
        <v>64</v>
      </c>
      <c r="F443" s="31">
        <v>2011</v>
      </c>
      <c r="G443" s="16">
        <v>0.1346</v>
      </c>
      <c r="H443" s="16">
        <v>3.646937587579456E-2</v>
      </c>
      <c r="I443" s="16">
        <v>4.0999999999999995E-3</v>
      </c>
      <c r="J443" s="16">
        <v>1.9144294703423426E-3</v>
      </c>
      <c r="K443" s="16">
        <v>2.5600000000000001E-2</v>
      </c>
      <c r="L443" s="16">
        <v>8.431931122211073E-3</v>
      </c>
      <c r="M443" s="16">
        <v>2.8037444753583489E-2</v>
      </c>
      <c r="N443" s="16">
        <v>0</v>
      </c>
      <c r="O443" s="16">
        <v>0</v>
      </c>
      <c r="P443" s="95" t="s">
        <v>68</v>
      </c>
    </row>
    <row r="444" spans="1:16" x14ac:dyDescent="0.25">
      <c r="A444" s="16">
        <v>31</v>
      </c>
      <c r="B444" s="16">
        <v>437335.10856199998</v>
      </c>
      <c r="C444" s="16">
        <v>5688631.3324180003</v>
      </c>
      <c r="D444" s="31">
        <v>5</v>
      </c>
      <c r="E444" s="31" t="s">
        <v>64</v>
      </c>
      <c r="F444" s="31">
        <v>2011</v>
      </c>
      <c r="G444" s="16">
        <v>0.10940000000000001</v>
      </c>
      <c r="H444" s="16">
        <v>3.4274687519768872E-2</v>
      </c>
      <c r="I444" s="16">
        <v>7.2099999999999997E-2</v>
      </c>
      <c r="J444" s="16">
        <v>2.9562457223476921E-2</v>
      </c>
      <c r="K444" s="16">
        <v>6.6E-3</v>
      </c>
      <c r="L444" s="16">
        <v>2.6107872459223366E-3</v>
      </c>
      <c r="M444" s="16">
        <v>3.1663900273846537E-2</v>
      </c>
      <c r="N444" s="16">
        <v>2.93E-2</v>
      </c>
      <c r="O444" s="16">
        <v>1.2483667445483886E-2</v>
      </c>
      <c r="P444" s="95" t="s">
        <v>69</v>
      </c>
    </row>
    <row r="445" spans="1:16" x14ac:dyDescent="0.25">
      <c r="A445" s="16">
        <v>32</v>
      </c>
      <c r="B445" s="16">
        <v>437454.10856199998</v>
      </c>
      <c r="C445" s="16">
        <v>5688631.3324180003</v>
      </c>
      <c r="D445" s="31">
        <v>5</v>
      </c>
      <c r="E445" s="31" t="s">
        <v>64</v>
      </c>
      <c r="F445" s="31">
        <v>2011</v>
      </c>
      <c r="G445" s="16">
        <v>9.2999999999999999E-2</v>
      </c>
      <c r="H445" s="16">
        <v>2.9136617361412293E-2</v>
      </c>
      <c r="I445" s="16">
        <v>0</v>
      </c>
      <c r="J445" s="16">
        <v>0</v>
      </c>
      <c r="K445" s="16">
        <v>6.7000000000000002E-3</v>
      </c>
      <c r="L445" s="16">
        <v>2.6503446284363115E-3</v>
      </c>
      <c r="M445" s="16">
        <v>2.648627273297598E-2</v>
      </c>
      <c r="N445" s="16">
        <v>0</v>
      </c>
      <c r="O445" s="16">
        <v>0</v>
      </c>
      <c r="P445" s="95"/>
    </row>
    <row r="446" spans="1:16" x14ac:dyDescent="0.25">
      <c r="A446" s="16">
        <v>33</v>
      </c>
      <c r="B446" s="16">
        <v>437573.10856199998</v>
      </c>
      <c r="C446" s="16">
        <v>5688631.3324180003</v>
      </c>
      <c r="D446" s="31">
        <v>5</v>
      </c>
      <c r="E446" s="31" t="s">
        <v>64</v>
      </c>
      <c r="F446" s="31">
        <v>2011</v>
      </c>
      <c r="G446" s="16">
        <v>7.0999999999999994E-2</v>
      </c>
      <c r="H446" s="16">
        <v>2.2244084222153467E-2</v>
      </c>
      <c r="I446" s="16">
        <v>0</v>
      </c>
      <c r="J446" s="16">
        <v>0</v>
      </c>
      <c r="K446" s="16">
        <v>1.1999999999999999E-3</v>
      </c>
      <c r="L446" s="16">
        <v>4.7468859016769755E-4</v>
      </c>
      <c r="M446" s="16">
        <v>2.176939563198577E-2</v>
      </c>
      <c r="N446" s="16">
        <v>0</v>
      </c>
      <c r="O446" s="16">
        <v>0</v>
      </c>
      <c r="P446" s="95"/>
    </row>
    <row r="447" spans="1:16" x14ac:dyDescent="0.25">
      <c r="A447" s="16">
        <v>34</v>
      </c>
      <c r="B447" s="16">
        <v>437692.10856199998</v>
      </c>
      <c r="C447" s="16">
        <v>5688631.3324180003</v>
      </c>
      <c r="D447" s="31">
        <v>5</v>
      </c>
      <c r="E447" s="31" t="s">
        <v>64</v>
      </c>
      <c r="F447" s="31">
        <v>2011</v>
      </c>
      <c r="G447" s="16">
        <v>0.12409999999999999</v>
      </c>
      <c r="H447" s="16">
        <v>3.8880152844637257E-2</v>
      </c>
      <c r="I447" s="16">
        <v>0</v>
      </c>
      <c r="J447" s="16">
        <v>0</v>
      </c>
      <c r="K447" s="16">
        <v>3.5700000000000003E-2</v>
      </c>
      <c r="L447" s="16">
        <v>1.4121985557489005E-2</v>
      </c>
      <c r="M447" s="16">
        <v>2.4758167287148254E-2</v>
      </c>
      <c r="N447" s="16">
        <v>0</v>
      </c>
      <c r="O447" s="16">
        <v>0</v>
      </c>
      <c r="P447" s="95"/>
    </row>
    <row r="448" spans="1:16" x14ac:dyDescent="0.25">
      <c r="A448" s="16">
        <v>35</v>
      </c>
      <c r="B448" s="16">
        <v>437893</v>
      </c>
      <c r="C448" s="16">
        <v>5688620</v>
      </c>
      <c r="D448" s="31">
        <v>5</v>
      </c>
      <c r="E448" s="31" t="s">
        <v>64</v>
      </c>
      <c r="F448" s="31">
        <v>2011</v>
      </c>
      <c r="G448" s="16">
        <v>3.6899999999999995E-2</v>
      </c>
      <c r="H448" s="16">
        <v>1.1560657856302295E-2</v>
      </c>
      <c r="I448" s="16">
        <v>1.2500000000000001E-2</v>
      </c>
      <c r="J448" s="16">
        <v>5.1252526392990506E-3</v>
      </c>
      <c r="K448" s="16">
        <v>5.5299999999999995E-2</v>
      </c>
      <c r="L448" s="16">
        <v>2.1875232530228061E-2</v>
      </c>
      <c r="M448" s="16">
        <v>-1.0314574673925766E-2</v>
      </c>
      <c r="N448" s="16">
        <v>0</v>
      </c>
      <c r="O448" s="16">
        <v>0</v>
      </c>
      <c r="P448" s="95" t="s">
        <v>70</v>
      </c>
    </row>
    <row r="449" spans="1:16" x14ac:dyDescent="0.25">
      <c r="A449" s="16">
        <v>36</v>
      </c>
      <c r="B449" s="16">
        <v>437930.10856199998</v>
      </c>
      <c r="C449" s="16">
        <v>5688631.3324180003</v>
      </c>
      <c r="D449" s="31">
        <v>5</v>
      </c>
      <c r="E449" s="31" t="s">
        <v>64</v>
      </c>
      <c r="F449" s="31">
        <v>2011</v>
      </c>
      <c r="G449" s="16">
        <v>8.5900000000000004E-2</v>
      </c>
      <c r="H449" s="16">
        <v>2.6912208939196946E-2</v>
      </c>
      <c r="I449" s="16">
        <v>0</v>
      </c>
      <c r="J449" s="16">
        <v>0</v>
      </c>
      <c r="K449" s="16">
        <v>5.9299999999999999E-2</v>
      </c>
      <c r="L449" s="16">
        <v>2.3457527830787056E-2</v>
      </c>
      <c r="M449" s="16">
        <v>3.4546811084098898E-3</v>
      </c>
      <c r="N449" s="16">
        <v>0</v>
      </c>
      <c r="O449" s="16">
        <v>0</v>
      </c>
      <c r="P449" s="95"/>
    </row>
    <row r="450" spans="1:16" x14ac:dyDescent="0.25">
      <c r="A450" s="35">
        <v>37</v>
      </c>
      <c r="B450" s="35">
        <v>438049.10856199998</v>
      </c>
      <c r="C450" s="35">
        <v>5688631.3324180003</v>
      </c>
      <c r="D450" s="96">
        <v>6</v>
      </c>
      <c r="E450" s="96" t="s">
        <v>64</v>
      </c>
      <c r="F450" s="96">
        <v>2011</v>
      </c>
      <c r="G450" s="96" t="s">
        <v>18</v>
      </c>
      <c r="H450" s="96" t="s">
        <v>18</v>
      </c>
      <c r="I450" s="96" t="s">
        <v>18</v>
      </c>
      <c r="J450" s="96" t="s">
        <v>18</v>
      </c>
      <c r="K450" s="96" t="s">
        <v>18</v>
      </c>
      <c r="L450" s="96" t="s">
        <v>18</v>
      </c>
      <c r="M450" s="96" t="s">
        <v>18</v>
      </c>
      <c r="N450" s="96" t="s">
        <v>18</v>
      </c>
      <c r="O450" s="96" t="s">
        <v>18</v>
      </c>
      <c r="P450" s="94" t="s">
        <v>21</v>
      </c>
    </row>
    <row r="451" spans="1:16" x14ac:dyDescent="0.25">
      <c r="A451" s="16">
        <v>38</v>
      </c>
      <c r="B451" s="16">
        <v>438067</v>
      </c>
      <c r="C451" s="16">
        <v>5688710</v>
      </c>
      <c r="D451" s="31">
        <v>4</v>
      </c>
      <c r="E451" s="31" t="s">
        <v>64</v>
      </c>
      <c r="F451" s="31">
        <v>2011</v>
      </c>
      <c r="G451" s="16">
        <v>0.71829999999999994</v>
      </c>
      <c r="H451" s="16">
        <v>0.19462074808011318</v>
      </c>
      <c r="I451" s="16">
        <v>0</v>
      </c>
      <c r="J451" s="16">
        <v>0</v>
      </c>
      <c r="K451" s="16">
        <v>1.5699999999999999E-2</v>
      </c>
      <c r="L451" s="16">
        <v>5.1711452585435089E-3</v>
      </c>
      <c r="M451" s="16">
        <v>0.18944960282156967</v>
      </c>
      <c r="N451" s="16">
        <v>0</v>
      </c>
      <c r="O451" s="16">
        <v>0</v>
      </c>
      <c r="P451" s="95"/>
    </row>
    <row r="452" spans="1:16" x14ac:dyDescent="0.25">
      <c r="A452" s="35">
        <v>39</v>
      </c>
      <c r="B452" s="35">
        <v>438287.10856199998</v>
      </c>
      <c r="C452" s="35">
        <v>5688631.3324180003</v>
      </c>
      <c r="D452" s="96">
        <v>6</v>
      </c>
      <c r="E452" s="96" t="s">
        <v>64</v>
      </c>
      <c r="F452" s="96">
        <v>2011</v>
      </c>
      <c r="G452" s="96" t="s">
        <v>18</v>
      </c>
      <c r="H452" s="96" t="s">
        <v>18</v>
      </c>
      <c r="I452" s="96" t="s">
        <v>18</v>
      </c>
      <c r="J452" s="96" t="s">
        <v>18</v>
      </c>
      <c r="K452" s="96" t="s">
        <v>18</v>
      </c>
      <c r="L452" s="96" t="s">
        <v>18</v>
      </c>
      <c r="M452" s="96" t="s">
        <v>18</v>
      </c>
      <c r="N452" s="96" t="s">
        <v>18</v>
      </c>
      <c r="O452" s="96" t="s">
        <v>18</v>
      </c>
      <c r="P452" s="94" t="s">
        <v>22</v>
      </c>
    </row>
    <row r="453" spans="1:16" x14ac:dyDescent="0.25">
      <c r="A453" s="16">
        <v>40</v>
      </c>
      <c r="B453" s="16">
        <v>438406.10856199998</v>
      </c>
      <c r="C453" s="16">
        <v>5688631.3324180003</v>
      </c>
      <c r="D453" s="31">
        <v>4</v>
      </c>
      <c r="E453" s="31" t="s">
        <v>64</v>
      </c>
      <c r="F453" s="31">
        <v>2011</v>
      </c>
      <c r="G453" s="16">
        <v>0.13300000000000001</v>
      </c>
      <c r="H453" s="16">
        <v>3.603586174948497E-2</v>
      </c>
      <c r="I453" s="16">
        <v>0</v>
      </c>
      <c r="J453" s="16">
        <v>0</v>
      </c>
      <c r="K453" s="16">
        <v>2.4399999999999998E-2</v>
      </c>
      <c r="L453" s="16">
        <v>8.0366843508574287E-3</v>
      </c>
      <c r="M453" s="16">
        <v>2.7999177398627541E-2</v>
      </c>
      <c r="N453" s="16">
        <v>3.3000000000000002E-2</v>
      </c>
      <c r="O453" s="16">
        <v>1.5031575512588713E-2</v>
      </c>
      <c r="P453" s="95" t="s">
        <v>71</v>
      </c>
    </row>
    <row r="454" spans="1:16" x14ac:dyDescent="0.25">
      <c r="A454" s="16">
        <v>41</v>
      </c>
      <c r="B454" s="16">
        <v>437310</v>
      </c>
      <c r="C454" s="16">
        <v>5688729</v>
      </c>
      <c r="D454" s="31">
        <v>4</v>
      </c>
      <c r="E454" s="31" t="s">
        <v>64</v>
      </c>
      <c r="F454" s="31">
        <v>2011</v>
      </c>
      <c r="G454" s="16">
        <v>8.7400000000000005E-2</v>
      </c>
      <c r="H454" s="16">
        <v>2.3680709149661552E-2</v>
      </c>
      <c r="I454" s="16">
        <v>0</v>
      </c>
      <c r="J454" s="16">
        <v>0</v>
      </c>
      <c r="K454" s="16">
        <v>5.4000000000000003E-3</v>
      </c>
      <c r="L454" s="16">
        <v>1.7786104710913982E-3</v>
      </c>
      <c r="M454" s="16">
        <v>2.1902098678570153E-2</v>
      </c>
      <c r="N454" s="16">
        <v>0</v>
      </c>
      <c r="O454" s="16">
        <v>0</v>
      </c>
      <c r="P454" s="95"/>
    </row>
    <row r="455" spans="1:16" x14ac:dyDescent="0.25">
      <c r="A455" s="16">
        <v>42</v>
      </c>
      <c r="B455" s="16">
        <v>437454.10856199998</v>
      </c>
      <c r="C455" s="16">
        <v>5688750.3324180003</v>
      </c>
      <c r="D455" s="31">
        <v>4</v>
      </c>
      <c r="E455" s="31" t="s">
        <v>64</v>
      </c>
      <c r="F455" s="31">
        <v>2011</v>
      </c>
      <c r="G455" s="16">
        <v>0.156</v>
      </c>
      <c r="H455" s="16">
        <v>4.226762731518538E-2</v>
      </c>
      <c r="I455" s="16">
        <v>3.5799999999999998E-2</v>
      </c>
      <c r="J455" s="16">
        <v>1.6716237814208747E-2</v>
      </c>
      <c r="K455" s="16">
        <v>3.4099999999999998E-2</v>
      </c>
      <c r="L455" s="16">
        <v>1.1231595752632717E-2</v>
      </c>
      <c r="M455" s="16">
        <v>3.1036031562552663E-2</v>
      </c>
      <c r="N455" s="16">
        <v>2.24E-2</v>
      </c>
      <c r="O455" s="16">
        <v>1.0203251257029913E-2</v>
      </c>
      <c r="P455" s="95"/>
    </row>
    <row r="456" spans="1:16" x14ac:dyDescent="0.25">
      <c r="A456" s="16">
        <v>43</v>
      </c>
      <c r="B456" s="16">
        <v>437573.10856199998</v>
      </c>
      <c r="C456" s="16">
        <v>5688750.3324180003</v>
      </c>
      <c r="D456" s="31">
        <v>4</v>
      </c>
      <c r="E456" s="31" t="s">
        <v>64</v>
      </c>
      <c r="F456" s="31">
        <v>2011</v>
      </c>
      <c r="G456" s="16">
        <v>0.10929999999999999</v>
      </c>
      <c r="H456" s="16">
        <v>2.9614433753524114E-2</v>
      </c>
      <c r="I456" s="16">
        <v>0</v>
      </c>
      <c r="J456" s="16">
        <v>0</v>
      </c>
      <c r="K456" s="16">
        <v>2.5700000000000001E-2</v>
      </c>
      <c r="L456" s="16">
        <v>8.4648683531572105E-3</v>
      </c>
      <c r="M456" s="16">
        <v>2.1149565400366901E-2</v>
      </c>
      <c r="N456" s="16">
        <v>0</v>
      </c>
      <c r="O456" s="16">
        <v>0</v>
      </c>
      <c r="P456" s="95"/>
    </row>
    <row r="457" spans="1:16" x14ac:dyDescent="0.25">
      <c r="A457" s="16">
        <v>44</v>
      </c>
      <c r="B457" s="16">
        <v>437692.10856199998</v>
      </c>
      <c r="C457" s="16">
        <v>5688750.3324180003</v>
      </c>
      <c r="D457" s="31">
        <v>4</v>
      </c>
      <c r="E457" s="31" t="s">
        <v>64</v>
      </c>
      <c r="F457" s="31">
        <v>2011</v>
      </c>
      <c r="G457" s="16">
        <v>0.11990000000000001</v>
      </c>
      <c r="H457" s="16">
        <v>3.2486464840325177E-2</v>
      </c>
      <c r="I457" s="16">
        <v>1.54E-2</v>
      </c>
      <c r="J457" s="16">
        <v>7.1907838642127023E-3</v>
      </c>
      <c r="K457" s="16">
        <v>2.01E-2</v>
      </c>
      <c r="L457" s="16">
        <v>6.6203834201735371E-3</v>
      </c>
      <c r="M457" s="16">
        <v>2.5866081420151642E-2</v>
      </c>
      <c r="N457" s="16">
        <v>1.89E-2</v>
      </c>
      <c r="O457" s="16">
        <v>8.6089932481189894E-3</v>
      </c>
      <c r="P457" s="95" t="s">
        <v>71</v>
      </c>
    </row>
    <row r="458" spans="1:16" x14ac:dyDescent="0.25">
      <c r="A458" s="16">
        <v>45</v>
      </c>
      <c r="B458" s="16">
        <v>437811.10856199998</v>
      </c>
      <c r="C458" s="16">
        <v>5688750.3324180003</v>
      </c>
      <c r="D458" s="31">
        <v>4</v>
      </c>
      <c r="E458" s="31" t="s">
        <v>64</v>
      </c>
      <c r="F458" s="31">
        <v>2011</v>
      </c>
      <c r="G458" s="16">
        <v>0.16969999999999999</v>
      </c>
      <c r="H458" s="16">
        <v>4.5979592021711271E-2</v>
      </c>
      <c r="I458" s="16">
        <v>0</v>
      </c>
      <c r="J458" s="16">
        <v>0</v>
      </c>
      <c r="K458" s="16">
        <v>1.32E-2</v>
      </c>
      <c r="L458" s="16">
        <v>4.3477144848900846E-3</v>
      </c>
      <c r="M458" s="16">
        <v>4.1631877536821189E-2</v>
      </c>
      <c r="N458" s="16">
        <v>0</v>
      </c>
      <c r="O458" s="16">
        <v>0</v>
      </c>
      <c r="P458" s="95"/>
    </row>
    <row r="459" spans="1:16" x14ac:dyDescent="0.25">
      <c r="A459" s="16">
        <v>46</v>
      </c>
      <c r="B459" s="16">
        <v>437930.10856199998</v>
      </c>
      <c r="C459" s="16">
        <v>5688750.3324180003</v>
      </c>
      <c r="D459" s="31">
        <v>4</v>
      </c>
      <c r="E459" s="31" t="s">
        <v>64</v>
      </c>
      <c r="F459" s="31">
        <v>2011</v>
      </c>
      <c r="G459" s="16">
        <v>0.31889999999999996</v>
      </c>
      <c r="H459" s="16">
        <v>8.6404784300080875E-2</v>
      </c>
      <c r="I459" s="16">
        <v>0.1147</v>
      </c>
      <c r="J459" s="16">
        <v>5.3557331767869934E-2</v>
      </c>
      <c r="K459" s="16">
        <v>5.9700000000000003E-2</v>
      </c>
      <c r="L459" s="16">
        <v>1.9663526874843792E-2</v>
      </c>
      <c r="M459" s="16">
        <v>6.674125742523708E-2</v>
      </c>
      <c r="N459" s="16">
        <v>0</v>
      </c>
      <c r="O459" s="16">
        <v>0</v>
      </c>
      <c r="P459" s="95"/>
    </row>
    <row r="460" spans="1:16" x14ac:dyDescent="0.25">
      <c r="A460" s="16">
        <v>47</v>
      </c>
      <c r="B460" s="16">
        <v>438061</v>
      </c>
      <c r="C460" s="16">
        <v>5688779</v>
      </c>
      <c r="D460" s="31">
        <v>4</v>
      </c>
      <c r="E460" s="31" t="s">
        <v>64</v>
      </c>
      <c r="F460" s="31">
        <v>2011</v>
      </c>
      <c r="G460" s="16">
        <v>0.41210000000000002</v>
      </c>
      <c r="H460" s="16">
        <v>0.11165698215761471</v>
      </c>
      <c r="I460" s="16">
        <v>0</v>
      </c>
      <c r="J460" s="16">
        <v>0</v>
      </c>
      <c r="K460" s="16">
        <v>9.6099999999999991E-2</v>
      </c>
      <c r="L460" s="16">
        <v>3.1652678939237656E-2</v>
      </c>
      <c r="M460" s="16">
        <v>8.0004303218377065E-2</v>
      </c>
      <c r="N460" s="16">
        <v>0</v>
      </c>
      <c r="O460" s="16">
        <v>0</v>
      </c>
      <c r="P460" s="95"/>
    </row>
    <row r="461" spans="1:16" x14ac:dyDescent="0.25">
      <c r="A461" s="35">
        <v>48</v>
      </c>
      <c r="B461" s="35">
        <v>438168.10856199998</v>
      </c>
      <c r="C461" s="35">
        <v>5688750.3324180003</v>
      </c>
      <c r="D461" s="96">
        <v>6</v>
      </c>
      <c r="E461" s="96" t="s">
        <v>64</v>
      </c>
      <c r="F461" s="96">
        <v>2011</v>
      </c>
      <c r="G461" s="96" t="s">
        <v>18</v>
      </c>
      <c r="H461" s="96" t="s">
        <v>18</v>
      </c>
      <c r="I461" s="96" t="s">
        <v>18</v>
      </c>
      <c r="J461" s="96" t="s">
        <v>18</v>
      </c>
      <c r="K461" s="96" t="s">
        <v>18</v>
      </c>
      <c r="L461" s="96" t="s">
        <v>18</v>
      </c>
      <c r="M461" s="96" t="s">
        <v>18</v>
      </c>
      <c r="N461" s="96" t="s">
        <v>18</v>
      </c>
      <c r="O461" s="96" t="s">
        <v>18</v>
      </c>
      <c r="P461" s="94" t="s">
        <v>21</v>
      </c>
    </row>
    <row r="462" spans="1:16" x14ac:dyDescent="0.25">
      <c r="A462" s="16">
        <v>49</v>
      </c>
      <c r="B462" s="16">
        <v>437454.10856199998</v>
      </c>
      <c r="C462" s="16">
        <v>5688869.3324180003</v>
      </c>
      <c r="D462" s="31">
        <v>3</v>
      </c>
      <c r="E462" s="31" t="s">
        <v>64</v>
      </c>
      <c r="F462" s="31">
        <v>2011</v>
      </c>
      <c r="G462" s="16">
        <v>0.18890000000000001</v>
      </c>
      <c r="H462" s="16">
        <v>5.2513433132366998E-2</v>
      </c>
      <c r="I462" s="16">
        <v>1.41E-2</v>
      </c>
      <c r="J462" s="16">
        <v>6.3852180646597244E-3</v>
      </c>
      <c r="K462" s="16">
        <v>5.6600000000000004E-2</v>
      </c>
      <c r="L462" s="16">
        <v>1.8056898682509155E-2</v>
      </c>
      <c r="M462" s="16">
        <v>3.4456534449857842E-2</v>
      </c>
      <c r="N462" s="16">
        <v>2.8999999999999998E-3</v>
      </c>
      <c r="O462" s="16">
        <v>1.3629431908502637E-3</v>
      </c>
      <c r="P462" s="95" t="s">
        <v>71</v>
      </c>
    </row>
    <row r="463" spans="1:16" x14ac:dyDescent="0.25">
      <c r="A463" s="16">
        <v>50</v>
      </c>
      <c r="B463" s="16">
        <v>437811.10856199998</v>
      </c>
      <c r="C463" s="16">
        <v>5688869.3324180003</v>
      </c>
      <c r="D463" s="31">
        <v>3</v>
      </c>
      <c r="E463" s="31" t="s">
        <v>64</v>
      </c>
      <c r="F463" s="31">
        <v>2011</v>
      </c>
      <c r="G463" s="16">
        <v>0.1202</v>
      </c>
      <c r="H463" s="16">
        <v>3.341511203023035E-2</v>
      </c>
      <c r="I463" s="16">
        <v>2.3699999999999999E-2</v>
      </c>
      <c r="J463" s="16">
        <v>1.0732600576768473E-2</v>
      </c>
      <c r="K463" s="16">
        <v>9.4999999999999998E-3</v>
      </c>
      <c r="L463" s="16">
        <v>3.0307515456508296E-3</v>
      </c>
      <c r="M463" s="16">
        <v>3.0384360484579521E-2</v>
      </c>
      <c r="N463" s="16">
        <v>3.7000000000000002E-3</v>
      </c>
      <c r="O463" s="16">
        <v>1.7389275193606813E-3</v>
      </c>
      <c r="P463" s="95" t="s">
        <v>72</v>
      </c>
    </row>
    <row r="464" spans="1:16" x14ac:dyDescent="0.25">
      <c r="A464" s="16">
        <v>51</v>
      </c>
      <c r="B464" s="16">
        <v>437930.10856199998</v>
      </c>
      <c r="C464" s="16">
        <v>5688869.3324180003</v>
      </c>
      <c r="D464" s="31">
        <v>3</v>
      </c>
      <c r="E464" s="31" t="s">
        <v>64</v>
      </c>
      <c r="F464" s="31">
        <v>2011</v>
      </c>
      <c r="G464" s="16">
        <v>0.15959999999999999</v>
      </c>
      <c r="H464" s="16">
        <v>4.4368152080072908E-2</v>
      </c>
      <c r="I464" s="16">
        <v>0</v>
      </c>
      <c r="J464" s="16">
        <v>0</v>
      </c>
      <c r="K464" s="16">
        <v>7.6E-3</v>
      </c>
      <c r="L464" s="16">
        <v>2.4246012365206635E-3</v>
      </c>
      <c r="M464" s="16">
        <v>4.1943550843552245E-2</v>
      </c>
      <c r="N464" s="16">
        <v>0</v>
      </c>
      <c r="O464" s="16">
        <v>0</v>
      </c>
      <c r="P464" s="95"/>
    </row>
    <row r="465" spans="1:19" x14ac:dyDescent="0.25">
      <c r="A465" s="16">
        <v>52</v>
      </c>
      <c r="B465" s="16">
        <v>438049.10856199998</v>
      </c>
      <c r="C465" s="16">
        <v>5688869.3324180003</v>
      </c>
      <c r="D465" s="31">
        <v>4</v>
      </c>
      <c r="E465" s="31" t="s">
        <v>64</v>
      </c>
      <c r="F465" s="31">
        <v>2011</v>
      </c>
      <c r="G465" s="16">
        <v>6.9900000000000004E-2</v>
      </c>
      <c r="H465" s="16">
        <v>1.8939148393150373E-2</v>
      </c>
      <c r="I465" s="16">
        <v>0</v>
      </c>
      <c r="J465" s="16">
        <v>0</v>
      </c>
      <c r="K465" s="16">
        <v>8.6900000000000005E-2</v>
      </c>
      <c r="L465" s="16">
        <v>2.8622453692193055E-2</v>
      </c>
      <c r="M465" s="16">
        <v>-9.6833052990426827E-3</v>
      </c>
      <c r="N465" s="16">
        <v>0.30310000000000004</v>
      </c>
      <c r="O465" s="16">
        <v>0.13806274357168605</v>
      </c>
      <c r="P465" s="95"/>
    </row>
    <row r="466" spans="1:19" x14ac:dyDescent="0.25">
      <c r="A466" s="16">
        <v>53</v>
      </c>
      <c r="B466" s="16">
        <v>438287.10856199998</v>
      </c>
      <c r="C466" s="16">
        <v>5688869.3324180003</v>
      </c>
      <c r="D466" s="31">
        <v>4</v>
      </c>
      <c r="E466" s="31" t="s">
        <v>64</v>
      </c>
      <c r="F466" s="31">
        <v>2011</v>
      </c>
      <c r="G466" s="16">
        <v>6.0899999999999996E-2</v>
      </c>
      <c r="H466" s="16">
        <v>1.6500631432658907E-2</v>
      </c>
      <c r="I466" s="16">
        <v>0</v>
      </c>
      <c r="J466" s="16">
        <v>0</v>
      </c>
      <c r="K466" s="16">
        <v>5.5999999999999999E-3</v>
      </c>
      <c r="L466" s="16">
        <v>1.8444849329836721E-3</v>
      </c>
      <c r="M466" s="16">
        <v>1.4656146499675235E-2</v>
      </c>
      <c r="N466" s="16">
        <v>0</v>
      </c>
      <c r="O466" s="16">
        <v>0</v>
      </c>
      <c r="P466" s="95"/>
    </row>
    <row r="467" spans="1:19" x14ac:dyDescent="0.25">
      <c r="A467" s="16">
        <v>54</v>
      </c>
      <c r="B467" s="16">
        <v>437454.10856199998</v>
      </c>
      <c r="C467" s="16">
        <v>5688988.3324180003</v>
      </c>
      <c r="D467" s="31">
        <v>3</v>
      </c>
      <c r="E467" s="31" t="s">
        <v>64</v>
      </c>
      <c r="F467" s="31">
        <v>2011</v>
      </c>
      <c r="G467" s="16">
        <v>4.6899999999999997E-2</v>
      </c>
      <c r="H467" s="16">
        <v>1.3038009602477564E-2</v>
      </c>
      <c r="I467" s="16">
        <v>0.10440000000000001</v>
      </c>
      <c r="J467" s="16">
        <v>4.7277784819182642E-2</v>
      </c>
      <c r="K467" s="16">
        <v>1.3099999999999999E-2</v>
      </c>
      <c r="L467" s="16">
        <v>4.1792468682132489E-3</v>
      </c>
      <c r="M467" s="16">
        <v>8.8587627342643152E-3</v>
      </c>
      <c r="N467" s="16">
        <v>3.8700000000000005E-2</v>
      </c>
      <c r="O467" s="16">
        <v>1.8188241891691454E-2</v>
      </c>
      <c r="P467" s="95"/>
    </row>
    <row r="468" spans="1:19" x14ac:dyDescent="0.25">
      <c r="A468" s="16">
        <v>55</v>
      </c>
      <c r="B468" s="16">
        <v>438049.10856199998</v>
      </c>
      <c r="C468" s="16">
        <v>5688988.3324180003</v>
      </c>
      <c r="D468" s="31">
        <v>4</v>
      </c>
      <c r="E468" s="31" t="s">
        <v>64</v>
      </c>
      <c r="F468" s="31">
        <v>2011</v>
      </c>
      <c r="G468" s="16">
        <v>0.24099999999999999</v>
      </c>
      <c r="H468" s="16">
        <v>6.5298065275382539E-2</v>
      </c>
      <c r="I468" s="16">
        <v>0.1565</v>
      </c>
      <c r="J468" s="16">
        <v>7.3075173685018702E-2</v>
      </c>
      <c r="K468" s="16">
        <v>3.2100000000000004E-2</v>
      </c>
      <c r="L468" s="16">
        <v>1.0572851133709978E-2</v>
      </c>
      <c r="M468" s="16">
        <v>5.4725214141672557E-2</v>
      </c>
      <c r="N468" s="16">
        <v>0.21740000000000001</v>
      </c>
      <c r="O468" s="16">
        <v>9.9026197467781407E-2</v>
      </c>
      <c r="P468" s="95"/>
    </row>
    <row r="469" spans="1:19" x14ac:dyDescent="0.25">
      <c r="A469" s="16">
        <v>56</v>
      </c>
      <c r="B469" s="16">
        <v>438168.10856199998</v>
      </c>
      <c r="C469" s="16">
        <v>5688988.3324180003</v>
      </c>
      <c r="D469" s="31">
        <v>4</v>
      </c>
      <c r="E469" s="31" t="s">
        <v>64</v>
      </c>
      <c r="F469" s="31">
        <v>2011</v>
      </c>
      <c r="G469" s="16">
        <v>0.45800000000000002</v>
      </c>
      <c r="H469" s="16">
        <v>0.12409341865612118</v>
      </c>
      <c r="I469" s="16">
        <v>0</v>
      </c>
      <c r="J469" s="16">
        <v>0</v>
      </c>
      <c r="K469" s="16">
        <v>2.8999999999999998E-3</v>
      </c>
      <c r="L469" s="16">
        <v>9.5517969743797305E-4</v>
      </c>
      <c r="M469" s="16">
        <v>0.12313823895868321</v>
      </c>
      <c r="N469" s="16">
        <v>0</v>
      </c>
      <c r="O469" s="16">
        <v>0</v>
      </c>
      <c r="P469" s="95"/>
    </row>
    <row r="470" spans="1:19" x14ac:dyDescent="0.25">
      <c r="A470" s="36">
        <v>57</v>
      </c>
      <c r="B470" s="36">
        <v>438146</v>
      </c>
      <c r="C470" s="36">
        <v>5688977</v>
      </c>
      <c r="D470" s="99">
        <v>4</v>
      </c>
      <c r="E470" s="99" t="s">
        <v>64</v>
      </c>
      <c r="F470" s="99">
        <v>2011</v>
      </c>
      <c r="G470" s="36">
        <v>0.49389999999999995</v>
      </c>
      <c r="H470" s="36">
        <v>0.13382039186519268</v>
      </c>
      <c r="I470" s="36">
        <v>3.0000000000000001E-3</v>
      </c>
      <c r="J470" s="36">
        <v>1.4008020514700069E-3</v>
      </c>
      <c r="K470" s="36">
        <v>2.3199999999999998E-2</v>
      </c>
      <c r="L470" s="36">
        <v>7.6414375795037844E-3</v>
      </c>
      <c r="M470" s="36">
        <v>0.1261789542856889</v>
      </c>
      <c r="N470" s="36">
        <v>0</v>
      </c>
      <c r="O470" s="36">
        <v>0</v>
      </c>
      <c r="P470" s="100" t="s">
        <v>72</v>
      </c>
    </row>
    <row r="471" spans="1:19" x14ac:dyDescent="0.25">
      <c r="A471" s="36">
        <v>58</v>
      </c>
      <c r="B471" s="36">
        <v>438131</v>
      </c>
      <c r="C471" s="36">
        <v>5688972</v>
      </c>
      <c r="D471" s="99">
        <v>4</v>
      </c>
      <c r="E471" s="99" t="s">
        <v>64</v>
      </c>
      <c r="F471" s="99">
        <v>2011</v>
      </c>
      <c r="G471" s="36">
        <v>0.45580000000000004</v>
      </c>
      <c r="H471" s="36">
        <v>0.12349733673244549</v>
      </c>
      <c r="I471" s="36">
        <v>2.1100000000000001E-2</v>
      </c>
      <c r="J471" s="36">
        <v>9.8523077620057166E-3</v>
      </c>
      <c r="K471" s="36">
        <v>8.0999999999999996E-3</v>
      </c>
      <c r="L471" s="36">
        <v>2.6679157066370972E-3</v>
      </c>
      <c r="M471" s="36">
        <v>0.12082942102580839</v>
      </c>
      <c r="N471" s="36">
        <v>9.4999999999999998E-3</v>
      </c>
      <c r="O471" s="36">
        <v>4.3272717384725077E-3</v>
      </c>
      <c r="P471" s="100" t="s">
        <v>73</v>
      </c>
    </row>
    <row r="472" spans="1:19" x14ac:dyDescent="0.25">
      <c r="A472" s="36">
        <v>59</v>
      </c>
      <c r="B472" s="36">
        <v>438089</v>
      </c>
      <c r="C472" s="36">
        <v>5688713</v>
      </c>
      <c r="D472" s="99">
        <v>4</v>
      </c>
      <c r="E472" s="99" t="s">
        <v>64</v>
      </c>
      <c r="F472" s="99">
        <v>2011</v>
      </c>
      <c r="G472" s="36">
        <v>0.33489999999999998</v>
      </c>
      <c r="H472" s="36">
        <v>9.073992556317681E-2</v>
      </c>
      <c r="I472" s="36">
        <v>4.6399999999999997E-2</v>
      </c>
      <c r="J472" s="36">
        <v>2.1665738396069438E-2</v>
      </c>
      <c r="K472" s="36">
        <v>2.6800000000000001E-2</v>
      </c>
      <c r="L472" s="36">
        <v>8.8271778935647173E-3</v>
      </c>
      <c r="M472" s="36">
        <v>8.1912747669612096E-2</v>
      </c>
      <c r="N472" s="36">
        <v>3.4200000000000001E-2</v>
      </c>
      <c r="O472" s="36">
        <v>1.5578178258501029E-2</v>
      </c>
      <c r="P472" s="100" t="s">
        <v>73</v>
      </c>
    </row>
    <row r="473" spans="1:19" x14ac:dyDescent="0.25">
      <c r="A473" s="36">
        <v>60</v>
      </c>
      <c r="B473" s="36">
        <v>438099</v>
      </c>
      <c r="C473" s="36">
        <v>5688719</v>
      </c>
      <c r="D473" s="99">
        <v>4</v>
      </c>
      <c r="E473" s="99" t="s">
        <v>64</v>
      </c>
      <c r="F473" s="99">
        <v>2011</v>
      </c>
      <c r="G473" s="36">
        <v>0.23350000000000001</v>
      </c>
      <c r="H473" s="36">
        <v>6.3265967808306317E-2</v>
      </c>
      <c r="I473" s="36">
        <v>0</v>
      </c>
      <c r="J473" s="36">
        <v>0</v>
      </c>
      <c r="K473" s="36">
        <v>1.06E-2</v>
      </c>
      <c r="L473" s="36">
        <v>3.4913464802905224E-3</v>
      </c>
      <c r="M473" s="36">
        <v>5.9774621328015795E-2</v>
      </c>
      <c r="N473" s="36">
        <v>0</v>
      </c>
      <c r="O473" s="36">
        <v>0</v>
      </c>
      <c r="P473" s="100"/>
    </row>
    <row r="474" spans="1:19" x14ac:dyDescent="0.25">
      <c r="A474" s="16">
        <v>1</v>
      </c>
      <c r="B474" s="16">
        <v>437930.10856199998</v>
      </c>
      <c r="C474" s="16">
        <v>5688036.3324180003</v>
      </c>
      <c r="D474" s="31">
        <v>15</v>
      </c>
      <c r="E474" s="31" t="s">
        <v>24</v>
      </c>
      <c r="F474" s="31">
        <v>2011</v>
      </c>
      <c r="G474" s="16">
        <v>4.0899999999999999E-2</v>
      </c>
      <c r="H474" s="16">
        <v>1.1576598243057875E-2</v>
      </c>
      <c r="I474" s="16">
        <v>4.7500000000000001E-2</v>
      </c>
      <c r="J474" s="16">
        <v>1.7062019197289207E-2</v>
      </c>
      <c r="K474" s="16">
        <v>2.64E-2</v>
      </c>
      <c r="L474" s="16">
        <v>7.8296625693100846E-3</v>
      </c>
      <c r="M474" s="16">
        <v>3.74693567374779E-3</v>
      </c>
      <c r="N474" s="16">
        <v>1.18E-2</v>
      </c>
      <c r="O474" s="16">
        <v>4.2343057076681245E-3</v>
      </c>
      <c r="P474" s="95"/>
      <c r="R474" s="5">
        <f>AVERAGE(M474:M533)</f>
        <v>1.2778954601058027E-2</v>
      </c>
      <c r="S474" s="5">
        <f>AVERAGE(H474:H533)</f>
        <v>3.1344185809034059E-2</v>
      </c>
    </row>
    <row r="475" spans="1:19" x14ac:dyDescent="0.25">
      <c r="A475" s="16">
        <v>2</v>
      </c>
      <c r="B475" s="16">
        <v>437811.10856199998</v>
      </c>
      <c r="C475" s="16">
        <v>5688155.3324180003</v>
      </c>
      <c r="D475" s="31">
        <v>15</v>
      </c>
      <c r="E475" s="31" t="s">
        <v>24</v>
      </c>
      <c r="F475" s="31">
        <v>2011</v>
      </c>
      <c r="G475" s="16">
        <v>6.9800000000000001E-2</v>
      </c>
      <c r="H475" s="16">
        <v>1.9756639544387278E-2</v>
      </c>
      <c r="I475" s="16">
        <v>0.15659999999999999</v>
      </c>
      <c r="J475" s="16">
        <v>5.6250783290431365E-2</v>
      </c>
      <c r="K475" s="16">
        <v>1.9E-2</v>
      </c>
      <c r="L475" s="16">
        <v>5.6349844248822578E-3</v>
      </c>
      <c r="M475" s="16">
        <v>1.4121655119505021E-2</v>
      </c>
      <c r="N475" s="16">
        <v>3.6499999999999998E-2</v>
      </c>
      <c r="O475" s="16">
        <v>1.3097640536431063E-2</v>
      </c>
      <c r="P475" s="95"/>
    </row>
    <row r="476" spans="1:19" x14ac:dyDescent="0.25">
      <c r="A476" s="16">
        <v>3</v>
      </c>
      <c r="B476" s="16">
        <v>437930.10856199998</v>
      </c>
      <c r="C476" s="16">
        <v>5688155.3324180003</v>
      </c>
      <c r="D476" s="31">
        <v>15</v>
      </c>
      <c r="E476" s="31" t="s">
        <v>24</v>
      </c>
      <c r="F476" s="31">
        <v>2011</v>
      </c>
      <c r="G476" s="16">
        <v>2.98E-2</v>
      </c>
      <c r="H476" s="16">
        <v>8.4347830719590389E-3</v>
      </c>
      <c r="I476" s="16">
        <v>8.7400000000000005E-2</v>
      </c>
      <c r="J476" s="16">
        <v>3.1394115323012145E-2</v>
      </c>
      <c r="K476" s="16">
        <v>5.0599999999999999E-2</v>
      </c>
      <c r="L476" s="16">
        <v>1.5006853257844328E-2</v>
      </c>
      <c r="M476" s="16">
        <v>-6.5720701858852891E-3</v>
      </c>
      <c r="N476" s="16">
        <v>0.14940000000000001</v>
      </c>
      <c r="O476" s="16">
        <v>5.3610616332679481E-2</v>
      </c>
      <c r="P476" s="95"/>
    </row>
    <row r="477" spans="1:19" x14ac:dyDescent="0.25">
      <c r="A477" s="16">
        <v>4</v>
      </c>
      <c r="B477" s="16">
        <v>438049.10856199998</v>
      </c>
      <c r="C477" s="16">
        <v>5688155.3324180003</v>
      </c>
      <c r="D477" s="31">
        <v>15</v>
      </c>
      <c r="E477" s="31" t="s">
        <v>24</v>
      </c>
      <c r="F477" s="31">
        <v>2011</v>
      </c>
      <c r="G477" s="16">
        <v>9.4700000000000006E-2</v>
      </c>
      <c r="H477" s="16">
        <v>2.680449519847386E-2</v>
      </c>
      <c r="I477" s="16">
        <v>5.4999999999999997E-3</v>
      </c>
      <c r="J477" s="16">
        <v>1.9756022228440136E-3</v>
      </c>
      <c r="K477" s="16">
        <v>3.7499999999999999E-2</v>
      </c>
      <c r="L477" s="16">
        <v>1.1121679785951825E-2</v>
      </c>
      <c r="M477" s="16">
        <v>1.5682815412522033E-2</v>
      </c>
      <c r="N477" s="16">
        <v>5.9999999999999995E-4</v>
      </c>
      <c r="O477" s="16">
        <v>2.1530368005092158E-4</v>
      </c>
      <c r="P477" s="95"/>
    </row>
    <row r="478" spans="1:19" x14ac:dyDescent="0.25">
      <c r="A478" s="16">
        <v>5</v>
      </c>
      <c r="B478" s="16">
        <v>437573.10856199998</v>
      </c>
      <c r="C478" s="16">
        <v>5688274.3324180003</v>
      </c>
      <c r="D478" s="31">
        <v>15</v>
      </c>
      <c r="E478" s="31" t="s">
        <v>24</v>
      </c>
      <c r="F478" s="31">
        <v>2011</v>
      </c>
      <c r="G478" s="16">
        <v>2.3699999999999999E-2</v>
      </c>
      <c r="H478" s="16">
        <v>6.7081999599137316E-3</v>
      </c>
      <c r="I478" s="16">
        <v>0.2505</v>
      </c>
      <c r="J478" s="16">
        <v>8.9979701240440982E-2</v>
      </c>
      <c r="K478" s="16">
        <v>0.1046</v>
      </c>
      <c r="L478" s="16">
        <v>3.1022072149614957E-2</v>
      </c>
      <c r="M478" s="16">
        <v>-2.4313872189701227E-2</v>
      </c>
      <c r="N478" s="16">
        <v>4.3099999999999999E-2</v>
      </c>
      <c r="O478" s="16">
        <v>1.5465981016991202E-2</v>
      </c>
      <c r="P478" s="95"/>
    </row>
    <row r="479" spans="1:19" x14ac:dyDescent="0.25">
      <c r="A479" s="16">
        <v>6</v>
      </c>
      <c r="B479" s="16">
        <v>437692.10856199998</v>
      </c>
      <c r="C479" s="16">
        <v>5688274.3324180003</v>
      </c>
      <c r="D479" s="31">
        <v>15</v>
      </c>
      <c r="E479" s="31" t="s">
        <v>24</v>
      </c>
      <c r="F479" s="31">
        <v>2011</v>
      </c>
      <c r="G479" s="16">
        <v>8.9200000000000002E-2</v>
      </c>
      <c r="H479" s="16">
        <v>2.5247739933514975E-2</v>
      </c>
      <c r="I479" s="16">
        <v>9.5200000000000007E-2</v>
      </c>
      <c r="J479" s="16">
        <v>3.4195878475409107E-2</v>
      </c>
      <c r="K479" s="16">
        <v>0.19359999999999999</v>
      </c>
      <c r="L479" s="16">
        <v>5.7417525508273955E-2</v>
      </c>
      <c r="M479" s="16">
        <v>-3.2169785574758983E-2</v>
      </c>
      <c r="N479" s="16">
        <v>0.29420000000000002</v>
      </c>
      <c r="O479" s="16">
        <v>0.1055705711183019</v>
      </c>
      <c r="P479" s="95"/>
    </row>
    <row r="480" spans="1:19" x14ac:dyDescent="0.25">
      <c r="A480" s="16">
        <v>7</v>
      </c>
      <c r="B480" s="16">
        <v>437811.10856199998</v>
      </c>
      <c r="C480" s="16">
        <v>5688274.3324180003</v>
      </c>
      <c r="D480" s="31">
        <v>15</v>
      </c>
      <c r="E480" s="31" t="s">
        <v>24</v>
      </c>
      <c r="F480" s="31">
        <v>2011</v>
      </c>
      <c r="G480" s="16">
        <v>2.12E-2</v>
      </c>
      <c r="H480" s="16">
        <v>6.0005839303869674E-3</v>
      </c>
      <c r="I480" s="16">
        <v>5.4199999999999998E-2</v>
      </c>
      <c r="J480" s="16">
        <v>1.9468661905117368E-2</v>
      </c>
      <c r="K480" s="16">
        <v>1.0200000000000001E-2</v>
      </c>
      <c r="L480" s="16">
        <v>3.0250969017788965E-3</v>
      </c>
      <c r="M480" s="16">
        <v>2.975487028608071E-3</v>
      </c>
      <c r="N480" s="16">
        <v>0.2172</v>
      </c>
      <c r="O480" s="16">
        <v>7.7939932178433619E-2</v>
      </c>
      <c r="P480" s="95"/>
    </row>
    <row r="481" spans="1:16" x14ac:dyDescent="0.25">
      <c r="A481" s="16">
        <v>8</v>
      </c>
      <c r="B481" s="16">
        <v>437930.10856199998</v>
      </c>
      <c r="C481" s="16">
        <v>5688274.3324180003</v>
      </c>
      <c r="D481" s="31">
        <v>15</v>
      </c>
      <c r="E481" s="31" t="s">
        <v>24</v>
      </c>
      <c r="F481" s="31">
        <v>2011</v>
      </c>
      <c r="G481" s="16">
        <v>5.1400000000000001E-2</v>
      </c>
      <c r="H481" s="16">
        <v>1.4548585567070289E-2</v>
      </c>
      <c r="I481" s="16">
        <v>0</v>
      </c>
      <c r="J481" s="16">
        <v>0</v>
      </c>
      <c r="K481" s="16">
        <v>8.8300000000000003E-2</v>
      </c>
      <c r="L481" s="16">
        <v>2.618784866932123E-2</v>
      </c>
      <c r="M481" s="16">
        <v>-1.1639263102250941E-2</v>
      </c>
      <c r="N481" s="16">
        <v>4.7999999999999996E-3</v>
      </c>
      <c r="O481" s="16">
        <v>1.7224294404073726E-3</v>
      </c>
      <c r="P481" s="95"/>
    </row>
    <row r="482" spans="1:16" x14ac:dyDescent="0.25">
      <c r="A482" s="16">
        <v>9</v>
      </c>
      <c r="B482" s="16">
        <v>438287.10856199998</v>
      </c>
      <c r="C482" s="16">
        <v>5688274.3324180003</v>
      </c>
      <c r="D482" s="31">
        <v>13</v>
      </c>
      <c r="E482" s="31" t="s">
        <v>24</v>
      </c>
      <c r="F482" s="31">
        <v>2011</v>
      </c>
      <c r="G482" s="16">
        <v>0</v>
      </c>
      <c r="H482" s="16">
        <v>0</v>
      </c>
      <c r="I482" s="16">
        <v>8.8400000000000006E-2</v>
      </c>
      <c r="J482" s="16">
        <v>3.1753315727165603E-2</v>
      </c>
      <c r="K482" s="16">
        <v>0.126</v>
      </c>
      <c r="L482" s="16">
        <v>3.736884408079813E-2</v>
      </c>
      <c r="M482" s="16">
        <v>-3.736884408079813E-2</v>
      </c>
      <c r="N482" s="16">
        <v>4.8000000000000001E-2</v>
      </c>
      <c r="O482" s="16">
        <v>1.7224294404073727E-2</v>
      </c>
      <c r="P482" s="95"/>
    </row>
    <row r="483" spans="1:16" x14ac:dyDescent="0.25">
      <c r="A483" s="16">
        <v>10</v>
      </c>
      <c r="B483" s="16">
        <v>438406.10856199998</v>
      </c>
      <c r="C483" s="16">
        <v>5688274.3324180003</v>
      </c>
      <c r="D483" s="31">
        <v>13</v>
      </c>
      <c r="E483" s="31" t="s">
        <v>24</v>
      </c>
      <c r="F483" s="31">
        <v>2011</v>
      </c>
      <c r="G483" s="16">
        <v>0.1237</v>
      </c>
      <c r="H483" s="16">
        <v>3.5012841140984331E-2</v>
      </c>
      <c r="I483" s="16">
        <v>2.1700000000000001E-2</v>
      </c>
      <c r="J483" s="16">
        <v>7.7946487701300174E-3</v>
      </c>
      <c r="K483" s="16">
        <v>5.45E-2</v>
      </c>
      <c r="L483" s="16">
        <v>1.6163507955583318E-2</v>
      </c>
      <c r="M483" s="16">
        <v>1.8849333185401013E-2</v>
      </c>
      <c r="N483" s="16">
        <v>3.8999999999999998E-3</v>
      </c>
      <c r="O483" s="16">
        <v>1.3994739203309903E-3</v>
      </c>
      <c r="P483" s="95"/>
    </row>
    <row r="484" spans="1:16" x14ac:dyDescent="0.25">
      <c r="A484" s="16">
        <v>11</v>
      </c>
      <c r="B484" s="16">
        <v>437454.10856199998</v>
      </c>
      <c r="C484" s="16">
        <v>5688393.3324180003</v>
      </c>
      <c r="D484" s="31">
        <v>15</v>
      </c>
      <c r="E484" s="31" t="s">
        <v>24</v>
      </c>
      <c r="F484" s="31">
        <v>2011</v>
      </c>
      <c r="G484" s="16">
        <v>0.15859999999999999</v>
      </c>
      <c r="H484" s="16">
        <v>4.489116091317797E-2</v>
      </c>
      <c r="I484" s="16">
        <v>0.28649999999999998</v>
      </c>
      <c r="J484" s="16">
        <v>0.10291091578996542</v>
      </c>
      <c r="K484" s="16">
        <v>8.8300000000000003E-2</v>
      </c>
      <c r="L484" s="16">
        <v>2.618784866932123E-2</v>
      </c>
      <c r="M484" s="16">
        <v>1.870331224385674E-2</v>
      </c>
      <c r="N484" s="16">
        <v>0.1552</v>
      </c>
      <c r="O484" s="16">
        <v>5.5691885239838389E-2</v>
      </c>
      <c r="P484" s="95"/>
    </row>
    <row r="485" spans="1:16" x14ac:dyDescent="0.25">
      <c r="A485" s="16">
        <v>12</v>
      </c>
      <c r="B485" s="16">
        <v>437573.10856199998</v>
      </c>
      <c r="C485" s="16">
        <v>5688393.3324180003</v>
      </c>
      <c r="D485" s="31">
        <v>15</v>
      </c>
      <c r="E485" s="31" t="s">
        <v>24</v>
      </c>
      <c r="F485" s="31">
        <v>2011</v>
      </c>
      <c r="G485" s="16">
        <v>5.4800000000000001E-2</v>
      </c>
      <c r="H485" s="16">
        <v>1.5510943367226689E-2</v>
      </c>
      <c r="I485" s="16">
        <v>9.69E-2</v>
      </c>
      <c r="J485" s="16">
        <v>3.4806519162469983E-2</v>
      </c>
      <c r="K485" s="16">
        <v>3.8600000000000002E-2</v>
      </c>
      <c r="L485" s="16">
        <v>1.1447915726339745E-2</v>
      </c>
      <c r="M485" s="16">
        <v>4.0630276408869445E-3</v>
      </c>
      <c r="N485" s="16">
        <v>7.9899999999999999E-2</v>
      </c>
      <c r="O485" s="16">
        <v>2.8671273393447726E-2</v>
      </c>
      <c r="P485" s="95"/>
    </row>
    <row r="486" spans="1:16" x14ac:dyDescent="0.25">
      <c r="A486" s="16">
        <v>13</v>
      </c>
      <c r="B486" s="16">
        <v>437692.10856199998</v>
      </c>
      <c r="C486" s="16">
        <v>5688393.3324180003</v>
      </c>
      <c r="D486" s="31">
        <v>15</v>
      </c>
      <c r="E486" s="31" t="s">
        <v>24</v>
      </c>
      <c r="F486" s="31">
        <v>2011</v>
      </c>
      <c r="G486" s="16">
        <v>9.1800000000000007E-2</v>
      </c>
      <c r="H486" s="16">
        <v>2.5983660604222813E-2</v>
      </c>
      <c r="I486" s="16">
        <v>0.29609999999999997</v>
      </c>
      <c r="J486" s="16">
        <v>0.10635923966983861</v>
      </c>
      <c r="K486" s="16">
        <v>1.7399999999999999E-2</v>
      </c>
      <c r="L486" s="16">
        <v>5.1900000000000002E-2</v>
      </c>
      <c r="M486" s="16">
        <v>2.0823201183541168E-2</v>
      </c>
      <c r="N486" s="16">
        <v>0.251</v>
      </c>
      <c r="O486" s="16">
        <v>9.0068706154635539E-2</v>
      </c>
      <c r="P486" s="95"/>
    </row>
    <row r="487" spans="1:16" x14ac:dyDescent="0.25">
      <c r="A487" s="35">
        <v>14</v>
      </c>
      <c r="B487" s="35">
        <v>437811.10856199998</v>
      </c>
      <c r="C487" s="35">
        <v>5688393.3324180003</v>
      </c>
      <c r="D487" s="96">
        <v>15</v>
      </c>
      <c r="E487" s="96" t="s">
        <v>24</v>
      </c>
      <c r="F487" s="96">
        <v>2011</v>
      </c>
      <c r="G487" s="96" t="s">
        <v>18</v>
      </c>
      <c r="H487" s="96" t="s">
        <v>18</v>
      </c>
      <c r="I487" s="96" t="s">
        <v>18</v>
      </c>
      <c r="J487" s="96" t="s">
        <v>18</v>
      </c>
      <c r="K487" s="96" t="s">
        <v>18</v>
      </c>
      <c r="L487" s="96" t="s">
        <v>18</v>
      </c>
      <c r="M487" s="96" t="s">
        <v>18</v>
      </c>
      <c r="N487" s="96" t="s">
        <v>18</v>
      </c>
      <c r="O487" s="96" t="s">
        <v>18</v>
      </c>
      <c r="P487" s="94" t="s">
        <v>21</v>
      </c>
    </row>
    <row r="488" spans="1:16" x14ac:dyDescent="0.25">
      <c r="A488" s="16">
        <v>15</v>
      </c>
      <c r="B488" s="16">
        <v>437930.10856199998</v>
      </c>
      <c r="C488" s="16">
        <v>5688393.3324180003</v>
      </c>
      <c r="D488" s="31">
        <v>13</v>
      </c>
      <c r="E488" s="31" t="s">
        <v>24</v>
      </c>
      <c r="F488" s="31">
        <v>2011</v>
      </c>
      <c r="G488" s="16">
        <v>0</v>
      </c>
      <c r="H488" s="16">
        <v>0</v>
      </c>
      <c r="I488" s="16">
        <v>0</v>
      </c>
      <c r="J488" s="16">
        <v>0</v>
      </c>
      <c r="K488" s="16">
        <v>7.3599999999999999E-2</v>
      </c>
      <c r="L488" s="16">
        <v>2.1828150193228115E-2</v>
      </c>
      <c r="M488" s="16">
        <v>-2.1828150193228115E-2</v>
      </c>
      <c r="N488" s="16">
        <v>0.26919999999999999</v>
      </c>
      <c r="O488" s="16">
        <v>9.6599584449513484E-2</v>
      </c>
      <c r="P488" s="95"/>
    </row>
    <row r="489" spans="1:16" x14ac:dyDescent="0.25">
      <c r="A489" s="16">
        <v>16</v>
      </c>
      <c r="B489" s="16">
        <v>438049.10856199998</v>
      </c>
      <c r="C489" s="16">
        <v>5688393.3324180003</v>
      </c>
      <c r="D489" s="31">
        <v>13</v>
      </c>
      <c r="E489" s="31" t="s">
        <v>24</v>
      </c>
      <c r="F489" s="31">
        <v>2011</v>
      </c>
      <c r="G489" s="16">
        <v>2.07E-2</v>
      </c>
      <c r="H489" s="16">
        <v>5.8590607244816137E-3</v>
      </c>
      <c r="I489" s="16">
        <v>0</v>
      </c>
      <c r="J489" s="16">
        <v>0</v>
      </c>
      <c r="K489" s="16">
        <v>1.4500000000000001E-2</v>
      </c>
      <c r="L489" s="16">
        <v>4.3003828505680389E-3</v>
      </c>
      <c r="M489" s="16">
        <v>1.5586778739135748E-3</v>
      </c>
      <c r="N489" s="16">
        <v>0.39379999999999998</v>
      </c>
      <c r="O489" s="16">
        <v>0.14131098200675488</v>
      </c>
      <c r="P489" s="95"/>
    </row>
    <row r="490" spans="1:16" x14ac:dyDescent="0.25">
      <c r="A490" s="16">
        <v>17</v>
      </c>
      <c r="B490" s="16">
        <v>438168.10856199998</v>
      </c>
      <c r="C490" s="16">
        <v>5688393.3324180003</v>
      </c>
      <c r="D490" s="31">
        <v>13</v>
      </c>
      <c r="E490" s="31" t="s">
        <v>24</v>
      </c>
      <c r="F490" s="31">
        <v>2011</v>
      </c>
      <c r="G490" s="16">
        <v>9.3299999999999994E-2</v>
      </c>
      <c r="H490" s="16">
        <v>2.6408230221938868E-2</v>
      </c>
      <c r="I490" s="16">
        <v>0</v>
      </c>
      <c r="J490" s="16">
        <v>0</v>
      </c>
      <c r="K490" s="16">
        <v>2.58E-2</v>
      </c>
      <c r="L490" s="16">
        <v>7.6517156927348555E-3</v>
      </c>
      <c r="M490" s="16">
        <v>1.8756514529204012E-2</v>
      </c>
      <c r="N490" s="16">
        <v>9.4000000000000004E-3</v>
      </c>
      <c r="O490" s="16">
        <v>3.3730909874644384E-3</v>
      </c>
      <c r="P490" s="95"/>
    </row>
    <row r="491" spans="1:16" x14ac:dyDescent="0.25">
      <c r="A491" s="16">
        <v>18</v>
      </c>
      <c r="B491" s="16">
        <v>438287.10856199998</v>
      </c>
      <c r="C491" s="16">
        <v>5688393.3324180003</v>
      </c>
      <c r="D491" s="31">
        <v>13</v>
      </c>
      <c r="E491" s="31" t="s">
        <v>24</v>
      </c>
      <c r="F491" s="31">
        <v>2011</v>
      </c>
      <c r="G491" s="16">
        <v>5.9700000000000003E-2</v>
      </c>
      <c r="H491" s="16">
        <v>1.6897870785099148E-2</v>
      </c>
      <c r="I491" s="16">
        <v>0</v>
      </c>
      <c r="J491" s="16">
        <v>0</v>
      </c>
      <c r="K491" s="16">
        <v>4.1399999999999999E-2</v>
      </c>
      <c r="L491" s="16">
        <v>1.2278334483690815E-2</v>
      </c>
      <c r="M491" s="16">
        <v>4.6195363014083328E-3</v>
      </c>
      <c r="N491" s="16">
        <v>2.0500000000000001E-2</v>
      </c>
      <c r="O491" s="16">
        <v>7.3562090684064886E-3</v>
      </c>
      <c r="P491" s="95"/>
    </row>
    <row r="492" spans="1:16" x14ac:dyDescent="0.25">
      <c r="A492" s="16">
        <v>19</v>
      </c>
      <c r="B492" s="16">
        <v>438406.10856199998</v>
      </c>
      <c r="C492" s="16">
        <v>5688393.3324180003</v>
      </c>
      <c r="D492" s="31">
        <v>13</v>
      </c>
      <c r="E492" s="31" t="s">
        <v>24</v>
      </c>
      <c r="F492" s="31">
        <v>2011</v>
      </c>
      <c r="G492" s="16">
        <v>0.17699999999999999</v>
      </c>
      <c r="H492" s="16">
        <v>5.0099214890494959E-2</v>
      </c>
      <c r="I492" s="16">
        <v>0</v>
      </c>
      <c r="J492" s="16">
        <v>0</v>
      </c>
      <c r="K492" s="16">
        <v>3.4799999999999998E-2</v>
      </c>
      <c r="L492" s="16">
        <v>1.0320918841363293E-2</v>
      </c>
      <c r="M492" s="16">
        <v>3.9778296049131662E-2</v>
      </c>
      <c r="N492" s="16">
        <v>1.5299999999999999E-2</v>
      </c>
      <c r="O492" s="16">
        <v>5.4902438412985002E-3</v>
      </c>
      <c r="P492" s="95"/>
    </row>
    <row r="493" spans="1:16" x14ac:dyDescent="0.25">
      <c r="A493" s="16">
        <v>20</v>
      </c>
      <c r="B493" s="16">
        <v>437335.10856199998</v>
      </c>
      <c r="C493" s="16">
        <v>5688512.3324180003</v>
      </c>
      <c r="D493" s="31">
        <v>14</v>
      </c>
      <c r="E493" s="31" t="s">
        <v>24</v>
      </c>
      <c r="F493" s="31">
        <v>2011</v>
      </c>
      <c r="G493" s="16">
        <v>3.4099999999999998E-2</v>
      </c>
      <c r="H493" s="16">
        <v>9.6518826427450747E-3</v>
      </c>
      <c r="I493" s="16">
        <v>5.04E-2</v>
      </c>
      <c r="J493" s="16">
        <v>1.8103700369334234E-2</v>
      </c>
      <c r="K493" s="16">
        <v>2.6499999999999999E-2</v>
      </c>
      <c r="L493" s="16">
        <v>7.859320382072623E-3</v>
      </c>
      <c r="M493" s="16">
        <v>1.7925622606724517E-3</v>
      </c>
      <c r="N493" s="16">
        <v>0.10290000000000001</v>
      </c>
      <c r="O493" s="16">
        <v>3.6924581128733057E-2</v>
      </c>
      <c r="P493" s="95"/>
    </row>
    <row r="494" spans="1:16" x14ac:dyDescent="0.25">
      <c r="A494" s="16">
        <v>21</v>
      </c>
      <c r="B494" s="16">
        <v>437454.10856199998</v>
      </c>
      <c r="C494" s="16">
        <v>5688512.3324180003</v>
      </c>
      <c r="D494" s="31">
        <v>14</v>
      </c>
      <c r="E494" s="31" t="s">
        <v>24</v>
      </c>
      <c r="F494" s="31">
        <v>2011</v>
      </c>
      <c r="G494" s="16">
        <v>4.2900000000000001E-2</v>
      </c>
      <c r="H494" s="16">
        <v>1.2142691066679288E-2</v>
      </c>
      <c r="I494" s="16">
        <v>0</v>
      </c>
      <c r="J494" s="16">
        <v>0</v>
      </c>
      <c r="K494" s="16">
        <v>1.7100000000000001E-2</v>
      </c>
      <c r="L494" s="16">
        <v>5.0714859823940322E-3</v>
      </c>
      <c r="M494" s="16">
        <v>7.0712050842852555E-3</v>
      </c>
      <c r="N494" s="16">
        <v>2.7000000000000001E-3</v>
      </c>
      <c r="O494" s="16">
        <v>9.6886656022914723E-4</v>
      </c>
      <c r="P494" s="95"/>
    </row>
    <row r="495" spans="1:16" x14ac:dyDescent="0.25">
      <c r="A495" s="16">
        <v>22</v>
      </c>
      <c r="B495" s="16">
        <v>437573.10856199998</v>
      </c>
      <c r="C495" s="16">
        <v>5688512.3324180003</v>
      </c>
      <c r="D495" s="31">
        <v>14</v>
      </c>
      <c r="E495" s="31" t="s">
        <v>24</v>
      </c>
      <c r="F495" s="31">
        <v>2011</v>
      </c>
      <c r="G495" s="16">
        <v>3.61E-2</v>
      </c>
      <c r="H495" s="16">
        <v>1.0217975466366486E-2</v>
      </c>
      <c r="I495" s="16">
        <v>0.37709999999999999</v>
      </c>
      <c r="J495" s="16">
        <v>0.13545447240626862</v>
      </c>
      <c r="K495" s="16">
        <v>0.31409999999999999</v>
      </c>
      <c r="L495" s="16">
        <v>9.3155189887132478E-2</v>
      </c>
      <c r="M495" s="16">
        <v>-8.2937214420765987E-2</v>
      </c>
      <c r="N495" s="16">
        <v>0.19239999999999999</v>
      </c>
      <c r="O495" s="16">
        <v>6.9040713402995516E-2</v>
      </c>
      <c r="P495" s="95"/>
    </row>
    <row r="496" spans="1:16" x14ac:dyDescent="0.25">
      <c r="A496" s="16">
        <v>23</v>
      </c>
      <c r="B496" s="16">
        <v>437692.10856199998</v>
      </c>
      <c r="C496" s="16">
        <v>5688512.3324180003</v>
      </c>
      <c r="D496" s="31">
        <v>14</v>
      </c>
      <c r="E496" s="31" t="s">
        <v>24</v>
      </c>
      <c r="F496" s="31">
        <v>2011</v>
      </c>
      <c r="G496" s="16">
        <v>0.114</v>
      </c>
      <c r="H496" s="16">
        <v>3.2267290946420488E-2</v>
      </c>
      <c r="I496" s="16">
        <v>0.19359999999999999</v>
      </c>
      <c r="J496" s="16">
        <v>6.9541198244109273E-2</v>
      </c>
      <c r="K496" s="16">
        <v>2.53E-2</v>
      </c>
      <c r="L496" s="16">
        <v>7.503426628922164E-3</v>
      </c>
      <c r="M496" s="16">
        <v>2.4763864317498323E-2</v>
      </c>
      <c r="N496" s="16">
        <v>0.26229999999999998</v>
      </c>
      <c r="O496" s="16">
        <v>9.4123592128927888E-2</v>
      </c>
      <c r="P496" s="95"/>
    </row>
    <row r="497" spans="1:16" x14ac:dyDescent="0.25">
      <c r="A497" s="16">
        <v>24</v>
      </c>
      <c r="B497" s="16">
        <v>437811.10856199998</v>
      </c>
      <c r="C497" s="16">
        <v>5688512.3324180003</v>
      </c>
      <c r="D497" s="31">
        <v>14</v>
      </c>
      <c r="E497" s="31" t="s">
        <v>24</v>
      </c>
      <c r="F497" s="31">
        <v>2011</v>
      </c>
      <c r="G497" s="16">
        <v>9.4700000000000006E-2</v>
      </c>
      <c r="H497" s="16">
        <v>2.680449519847386E-2</v>
      </c>
      <c r="I497" s="16">
        <v>0</v>
      </c>
      <c r="J497" s="16">
        <v>0</v>
      </c>
      <c r="K497" s="16">
        <v>3.8199999999999998E-2</v>
      </c>
      <c r="L497" s="16">
        <v>1.1329284475289591E-2</v>
      </c>
      <c r="M497" s="16">
        <v>1.5475210723184269E-2</v>
      </c>
      <c r="N497" s="16">
        <v>0</v>
      </c>
      <c r="O497" s="16">
        <v>0</v>
      </c>
      <c r="P497" s="95"/>
    </row>
    <row r="498" spans="1:16" x14ac:dyDescent="0.25">
      <c r="A498" s="16">
        <v>25</v>
      </c>
      <c r="B498" s="16">
        <v>437995</v>
      </c>
      <c r="C498" s="16">
        <v>5688493</v>
      </c>
      <c r="D498" s="31">
        <v>13</v>
      </c>
      <c r="E498" s="31" t="s">
        <v>24</v>
      </c>
      <c r="F498" s="31">
        <v>2011</v>
      </c>
      <c r="G498" s="16">
        <v>0.1192</v>
      </c>
      <c r="H498" s="16">
        <v>3.3739132287836156E-2</v>
      </c>
      <c r="I498" s="16">
        <v>3.0099999999999998E-2</v>
      </c>
      <c r="J498" s="16">
        <v>1.0811932165019056E-2</v>
      </c>
      <c r="K498" s="16">
        <v>1.32E-2</v>
      </c>
      <c r="L498" s="16">
        <v>3.9148312846550423E-3</v>
      </c>
      <c r="M498" s="16">
        <v>2.9824301003181113E-2</v>
      </c>
      <c r="N498" s="16">
        <v>4.1999999999999997E-3</v>
      </c>
      <c r="O498" s="16">
        <v>1.5071257603564512E-3</v>
      </c>
      <c r="P498" s="95"/>
    </row>
    <row r="499" spans="1:16" x14ac:dyDescent="0.25">
      <c r="A499" s="16">
        <v>26</v>
      </c>
      <c r="B499" s="16">
        <v>438112</v>
      </c>
      <c r="C499" s="16">
        <v>5688567</v>
      </c>
      <c r="D499" s="31">
        <v>13</v>
      </c>
      <c r="E499" s="31" t="s">
        <v>24</v>
      </c>
      <c r="F499" s="31">
        <v>2011</v>
      </c>
      <c r="G499" s="16">
        <v>0.1847</v>
      </c>
      <c r="H499" s="16">
        <v>5.2278672261437398E-2</v>
      </c>
      <c r="I499" s="16">
        <v>2.3300000000000001E-2</v>
      </c>
      <c r="J499" s="16">
        <v>8.3693694167755479E-3</v>
      </c>
      <c r="K499" s="16">
        <v>5.9799999999999999E-2</v>
      </c>
      <c r="L499" s="16">
        <v>1.7735372031997845E-2</v>
      </c>
      <c r="M499" s="16">
        <v>3.454330022943955E-2</v>
      </c>
      <c r="N499" s="16">
        <v>1.14E-2</v>
      </c>
      <c r="O499" s="16">
        <v>4.0907699209675108E-3</v>
      </c>
      <c r="P499" s="95"/>
    </row>
    <row r="500" spans="1:16" x14ac:dyDescent="0.25">
      <c r="A500" s="35">
        <v>27</v>
      </c>
      <c r="B500" s="35">
        <v>438168.10856199998</v>
      </c>
      <c r="C500" s="35">
        <v>5688512.3324180003</v>
      </c>
      <c r="D500" s="96">
        <v>15</v>
      </c>
      <c r="E500" s="96" t="s">
        <v>24</v>
      </c>
      <c r="F500" s="96">
        <v>2011</v>
      </c>
      <c r="G500" s="96" t="s">
        <v>18</v>
      </c>
      <c r="H500" s="96" t="s">
        <v>18</v>
      </c>
      <c r="I500" s="96" t="s">
        <v>18</v>
      </c>
      <c r="J500" s="96" t="s">
        <v>18</v>
      </c>
      <c r="K500" s="96" t="s">
        <v>18</v>
      </c>
      <c r="L500" s="96" t="s">
        <v>18</v>
      </c>
      <c r="M500" s="96" t="s">
        <v>18</v>
      </c>
      <c r="N500" s="96" t="s">
        <v>18</v>
      </c>
      <c r="O500" s="96" t="s">
        <v>18</v>
      </c>
      <c r="P500" s="94" t="s">
        <v>21</v>
      </c>
    </row>
    <row r="501" spans="1:16" x14ac:dyDescent="0.25">
      <c r="A501" s="35">
        <v>28</v>
      </c>
      <c r="B501" s="35">
        <v>438287.10856199998</v>
      </c>
      <c r="C501" s="35">
        <v>5688512.3324180003</v>
      </c>
      <c r="D501" s="96">
        <v>15</v>
      </c>
      <c r="E501" s="96" t="s">
        <v>24</v>
      </c>
      <c r="F501" s="96">
        <v>2011</v>
      </c>
      <c r="G501" s="96" t="s">
        <v>18</v>
      </c>
      <c r="H501" s="96" t="s">
        <v>18</v>
      </c>
      <c r="I501" s="96" t="s">
        <v>18</v>
      </c>
      <c r="J501" s="96" t="s">
        <v>18</v>
      </c>
      <c r="K501" s="96" t="s">
        <v>18</v>
      </c>
      <c r="L501" s="96" t="s">
        <v>18</v>
      </c>
      <c r="M501" s="96" t="s">
        <v>18</v>
      </c>
      <c r="N501" s="96" t="s">
        <v>18</v>
      </c>
      <c r="O501" s="96" t="s">
        <v>18</v>
      </c>
      <c r="P501" s="94" t="s">
        <v>21</v>
      </c>
    </row>
    <row r="502" spans="1:16" x14ac:dyDescent="0.25">
      <c r="A502" s="16">
        <v>29</v>
      </c>
      <c r="B502" s="16">
        <v>438381</v>
      </c>
      <c r="C502" s="16">
        <v>5688526</v>
      </c>
      <c r="D502" s="31">
        <v>13</v>
      </c>
      <c r="E502" s="31" t="s">
        <v>24</v>
      </c>
      <c r="F502" s="31">
        <v>2011</v>
      </c>
      <c r="G502" s="16">
        <v>0.21540000000000001</v>
      </c>
      <c r="H502" s="16">
        <v>6.0968197104026074E-2</v>
      </c>
      <c r="I502" s="16">
        <v>0</v>
      </c>
      <c r="J502" s="16">
        <v>0</v>
      </c>
      <c r="K502" s="16">
        <v>5.0799999999999998E-2</v>
      </c>
      <c r="L502" s="16">
        <v>1.5066168883369405E-2</v>
      </c>
      <c r="M502" s="16">
        <v>4.5902028220656671E-2</v>
      </c>
      <c r="N502" s="16">
        <v>6.4999999999999997E-3</v>
      </c>
      <c r="O502" s="16">
        <v>2.3324565338849841E-3</v>
      </c>
      <c r="P502" s="95"/>
    </row>
    <row r="503" spans="1:16" x14ac:dyDescent="0.25">
      <c r="A503" s="16">
        <v>30</v>
      </c>
      <c r="B503" s="16">
        <v>438525.10856199998</v>
      </c>
      <c r="C503" s="16">
        <v>5688512.3324180003</v>
      </c>
      <c r="D503" s="31">
        <v>13</v>
      </c>
      <c r="E503" s="31" t="s">
        <v>24</v>
      </c>
      <c r="F503" s="31">
        <v>2011</v>
      </c>
      <c r="G503" s="16">
        <v>7.3300000000000004E-2</v>
      </c>
      <c r="H503" s="16">
        <v>2.0747301985724751E-2</v>
      </c>
      <c r="I503" s="16">
        <v>1.7399999999999999E-2</v>
      </c>
      <c r="J503" s="16">
        <v>6.2500870322701515E-3</v>
      </c>
      <c r="K503" s="16">
        <v>3.9300000000000002E-2</v>
      </c>
      <c r="L503" s="16">
        <v>1.1655520415677512E-2</v>
      </c>
      <c r="M503" s="16">
        <v>9.0917815700472387E-3</v>
      </c>
      <c r="N503" s="16">
        <v>6.8999999999999999E-3</v>
      </c>
      <c r="O503" s="16">
        <v>2.4759923205855982E-3</v>
      </c>
      <c r="P503" s="95"/>
    </row>
    <row r="504" spans="1:16" x14ac:dyDescent="0.25">
      <c r="A504" s="16">
        <v>31</v>
      </c>
      <c r="B504" s="16">
        <v>437335.10856199998</v>
      </c>
      <c r="C504" s="16">
        <v>5688631.3324180003</v>
      </c>
      <c r="D504" s="31">
        <v>14</v>
      </c>
      <c r="E504" s="31" t="s">
        <v>24</v>
      </c>
      <c r="F504" s="31">
        <v>2011</v>
      </c>
      <c r="G504" s="16">
        <v>0.1903</v>
      </c>
      <c r="H504" s="16">
        <v>5.3863732167577352E-2</v>
      </c>
      <c r="I504" s="16">
        <v>0</v>
      </c>
      <c r="J504" s="16">
        <v>0</v>
      </c>
      <c r="K504" s="16">
        <v>1.5699999999999999E-2</v>
      </c>
      <c r="L504" s="16">
        <v>4.6562766037184971E-3</v>
      </c>
      <c r="M504" s="16">
        <v>4.9207455563858853E-2</v>
      </c>
      <c r="N504" s="16">
        <v>0</v>
      </c>
      <c r="O504" s="16">
        <v>0</v>
      </c>
      <c r="P504" s="95"/>
    </row>
    <row r="505" spans="1:16" x14ac:dyDescent="0.25">
      <c r="A505" s="16">
        <v>32</v>
      </c>
      <c r="B505" s="16">
        <v>437454.10856199998</v>
      </c>
      <c r="C505" s="16">
        <v>5688631.3324180003</v>
      </c>
      <c r="D505" s="31">
        <v>14</v>
      </c>
      <c r="E505" s="31" t="s">
        <v>24</v>
      </c>
      <c r="F505" s="31">
        <v>2011</v>
      </c>
      <c r="G505" s="16">
        <v>8.0600000000000005E-2</v>
      </c>
      <c r="H505" s="16">
        <v>2.2813540791942904E-2</v>
      </c>
      <c r="I505" s="16">
        <v>0</v>
      </c>
      <c r="J505" s="16">
        <v>0</v>
      </c>
      <c r="K505" s="16">
        <v>1.2500000000000001E-2</v>
      </c>
      <c r="L505" s="16">
        <v>3.7072265953172752E-3</v>
      </c>
      <c r="M505" s="16">
        <v>1.9106314196625628E-2</v>
      </c>
      <c r="N505" s="16">
        <v>0</v>
      </c>
      <c r="O505" s="16">
        <v>0</v>
      </c>
      <c r="P505" s="95"/>
    </row>
    <row r="506" spans="1:16" x14ac:dyDescent="0.25">
      <c r="A506" s="16">
        <v>33</v>
      </c>
      <c r="B506" s="16">
        <v>437573.10856199998</v>
      </c>
      <c r="C506" s="16">
        <v>5688631.3324180003</v>
      </c>
      <c r="D506" s="31">
        <v>14</v>
      </c>
      <c r="E506" s="31" t="s">
        <v>24</v>
      </c>
      <c r="F506" s="31">
        <v>2011</v>
      </c>
      <c r="G506" s="16">
        <v>7.2900000000000006E-2</v>
      </c>
      <c r="H506" s="16">
        <v>2.0634083421000468E-2</v>
      </c>
      <c r="I506" s="16">
        <v>0</v>
      </c>
      <c r="J506" s="16">
        <v>0</v>
      </c>
      <c r="K506" s="16">
        <v>0.12590000000000001</v>
      </c>
      <c r="L506" s="16">
        <v>5.1604594206816467E-3</v>
      </c>
      <c r="M506" s="16">
        <v>1.5473624000318821E-2</v>
      </c>
      <c r="N506" s="16">
        <v>0</v>
      </c>
      <c r="O506" s="16">
        <v>0</v>
      </c>
      <c r="P506" s="95"/>
    </row>
    <row r="507" spans="1:16" x14ac:dyDescent="0.25">
      <c r="A507" s="16">
        <v>34</v>
      </c>
      <c r="B507" s="16">
        <v>437692.10856199998</v>
      </c>
      <c r="C507" s="16">
        <v>5688631.3324180003</v>
      </c>
      <c r="D507" s="31">
        <v>14</v>
      </c>
      <c r="E507" s="31" t="s">
        <v>24</v>
      </c>
      <c r="F507" s="31">
        <v>2011</v>
      </c>
      <c r="G507" s="16">
        <v>0.19850000000000001</v>
      </c>
      <c r="H507" s="16">
        <v>5.6184712744425144E-2</v>
      </c>
      <c r="I507" s="16">
        <v>0</v>
      </c>
      <c r="J507" s="16">
        <v>0</v>
      </c>
      <c r="K507" s="16">
        <v>0.1061</v>
      </c>
      <c r="L507" s="16">
        <v>3.1466939341053032E-2</v>
      </c>
      <c r="M507" s="16">
        <v>2.4717773403372112E-2</v>
      </c>
      <c r="N507" s="16">
        <v>2.5000000000000001E-2</v>
      </c>
      <c r="O507" s="16">
        <v>8.9709866687883999E-3</v>
      </c>
      <c r="P507" s="95"/>
    </row>
    <row r="508" spans="1:16" x14ac:dyDescent="0.25">
      <c r="A508" s="16">
        <v>35</v>
      </c>
      <c r="B508" s="16">
        <v>437893</v>
      </c>
      <c r="C508" s="16">
        <v>5688620</v>
      </c>
      <c r="D508" s="31">
        <v>14</v>
      </c>
      <c r="E508" s="31" t="s">
        <v>24</v>
      </c>
      <c r="F508" s="31">
        <v>2011</v>
      </c>
      <c r="G508" s="16">
        <v>0.10340000000000001</v>
      </c>
      <c r="H508" s="16">
        <v>2.9266998981227001E-2</v>
      </c>
      <c r="I508" s="16">
        <v>2.0299999999999999E-2</v>
      </c>
      <c r="J508" s="16">
        <v>7.2917682043151764E-3</v>
      </c>
      <c r="K508" s="16">
        <v>7.9299999999999995E-2</v>
      </c>
      <c r="L508" s="16">
        <v>2.3518645520692792E-2</v>
      </c>
      <c r="M508" s="16">
        <v>5.7483534605342092E-3</v>
      </c>
      <c r="N508" s="16">
        <v>2E-3</v>
      </c>
      <c r="O508" s="16">
        <v>7.1767893350307196E-4</v>
      </c>
      <c r="P508" s="95"/>
    </row>
    <row r="509" spans="1:16" x14ac:dyDescent="0.25">
      <c r="A509" s="16">
        <v>36</v>
      </c>
      <c r="B509" s="16">
        <v>437930.10856199998</v>
      </c>
      <c r="C509" s="16">
        <v>5688631.3324180003</v>
      </c>
      <c r="D509" s="31">
        <v>14</v>
      </c>
      <c r="E509" s="31" t="s">
        <v>24</v>
      </c>
      <c r="F509" s="31">
        <v>2011</v>
      </c>
      <c r="G509" s="31" t="s">
        <v>18</v>
      </c>
      <c r="H509" s="31" t="s">
        <v>18</v>
      </c>
      <c r="I509" s="31" t="s">
        <v>18</v>
      </c>
      <c r="J509" s="31" t="s">
        <v>18</v>
      </c>
      <c r="K509" s="16">
        <v>3.6299999999999999E-2</v>
      </c>
      <c r="L509" s="16">
        <v>1.0765786032801365E-2</v>
      </c>
      <c r="M509" s="31" t="s">
        <v>18</v>
      </c>
      <c r="N509" s="16">
        <v>0</v>
      </c>
      <c r="O509" s="16">
        <v>0</v>
      </c>
      <c r="P509" s="95" t="s">
        <v>77</v>
      </c>
    </row>
    <row r="510" spans="1:16" x14ac:dyDescent="0.25">
      <c r="A510" s="35">
        <v>37</v>
      </c>
      <c r="B510" s="35">
        <v>438049.10856199998</v>
      </c>
      <c r="C510" s="35">
        <v>5688631.3324180003</v>
      </c>
      <c r="D510" s="96">
        <v>15</v>
      </c>
      <c r="E510" s="96" t="s">
        <v>24</v>
      </c>
      <c r="F510" s="96">
        <v>2011</v>
      </c>
      <c r="G510" s="96" t="s">
        <v>18</v>
      </c>
      <c r="H510" s="96" t="s">
        <v>18</v>
      </c>
      <c r="I510" s="96" t="s">
        <v>18</v>
      </c>
      <c r="J510" s="96" t="s">
        <v>18</v>
      </c>
      <c r="K510" s="96" t="s">
        <v>18</v>
      </c>
      <c r="L510" s="96" t="s">
        <v>18</v>
      </c>
      <c r="M510" s="96" t="s">
        <v>18</v>
      </c>
      <c r="N510" s="96" t="s">
        <v>18</v>
      </c>
      <c r="O510" s="96" t="s">
        <v>18</v>
      </c>
      <c r="P510" s="94" t="s">
        <v>21</v>
      </c>
    </row>
    <row r="511" spans="1:16" x14ac:dyDescent="0.25">
      <c r="A511" s="16">
        <v>38</v>
      </c>
      <c r="B511" s="16">
        <v>438067</v>
      </c>
      <c r="C511" s="16">
        <v>5688710</v>
      </c>
      <c r="D511" s="31">
        <v>13</v>
      </c>
      <c r="E511" s="31" t="s">
        <v>24</v>
      </c>
      <c r="F511" s="31">
        <v>2011</v>
      </c>
      <c r="G511" s="16">
        <v>0.1201</v>
      </c>
      <c r="H511" s="16">
        <v>3.3993874058465788E-2</v>
      </c>
      <c r="I511" s="16">
        <v>2.8E-3</v>
      </c>
      <c r="J511" s="16">
        <v>1.0057611316296796E-3</v>
      </c>
      <c r="K511" s="16">
        <v>0.35170000000000001</v>
      </c>
      <c r="L511" s="16">
        <v>0.10430652748584684</v>
      </c>
      <c r="M511" s="16">
        <v>-7.031265342738105E-2</v>
      </c>
      <c r="N511" s="16">
        <v>2.86E-2</v>
      </c>
      <c r="O511" s="16">
        <v>1.0262808749093929E-2</v>
      </c>
      <c r="P511" s="95"/>
    </row>
    <row r="512" spans="1:16" x14ac:dyDescent="0.25">
      <c r="A512" s="35">
        <v>39</v>
      </c>
      <c r="B512" s="35">
        <v>438287.10856199998</v>
      </c>
      <c r="C512" s="35">
        <v>5688631.3324180003</v>
      </c>
      <c r="D512" s="96">
        <v>15</v>
      </c>
      <c r="E512" s="96" t="s">
        <v>24</v>
      </c>
      <c r="F512" s="96">
        <v>2011</v>
      </c>
      <c r="G512" s="96" t="s">
        <v>18</v>
      </c>
      <c r="H512" s="96" t="s">
        <v>18</v>
      </c>
      <c r="I512" s="96" t="s">
        <v>18</v>
      </c>
      <c r="J512" s="96" t="s">
        <v>18</v>
      </c>
      <c r="K512" s="96" t="s">
        <v>18</v>
      </c>
      <c r="L512" s="96" t="s">
        <v>18</v>
      </c>
      <c r="M512" s="96" t="s">
        <v>18</v>
      </c>
      <c r="N512" s="96" t="s">
        <v>18</v>
      </c>
      <c r="O512" s="96" t="s">
        <v>18</v>
      </c>
      <c r="P512" s="94" t="s">
        <v>22</v>
      </c>
    </row>
    <row r="513" spans="1:16" x14ac:dyDescent="0.25">
      <c r="A513" s="16">
        <v>40</v>
      </c>
      <c r="B513" s="16">
        <v>438406.10856199998</v>
      </c>
      <c r="C513" s="16">
        <v>5688631.3324180003</v>
      </c>
      <c r="D513" s="31">
        <v>13</v>
      </c>
      <c r="E513" s="31" t="s">
        <v>24</v>
      </c>
      <c r="F513" s="31">
        <v>2011</v>
      </c>
      <c r="G513" s="16">
        <v>7.3099999999999998E-2</v>
      </c>
      <c r="H513" s="16">
        <v>2.0690692703362608E-2</v>
      </c>
      <c r="I513" s="16">
        <v>0</v>
      </c>
      <c r="J513" s="16">
        <v>0</v>
      </c>
      <c r="K513" s="16">
        <v>3.9600000000000003E-2</v>
      </c>
      <c r="L513" s="16">
        <v>1.1744493853965128E-2</v>
      </c>
      <c r="M513" s="16">
        <v>8.9461988493974801E-3</v>
      </c>
      <c r="N513" s="16">
        <v>0</v>
      </c>
      <c r="O513" s="16">
        <v>0</v>
      </c>
      <c r="P513" s="95"/>
    </row>
    <row r="514" spans="1:16" x14ac:dyDescent="0.25">
      <c r="A514" s="16">
        <v>41</v>
      </c>
      <c r="B514" s="16">
        <v>437310</v>
      </c>
      <c r="C514" s="16">
        <v>5688729</v>
      </c>
      <c r="D514" s="31">
        <v>14</v>
      </c>
      <c r="E514" s="31" t="s">
        <v>24</v>
      </c>
      <c r="F514" s="31">
        <v>2011</v>
      </c>
      <c r="G514" s="16">
        <v>9.11E-2</v>
      </c>
      <c r="H514" s="16">
        <v>2.5785528115955317E-2</v>
      </c>
      <c r="I514" s="16">
        <v>0</v>
      </c>
      <c r="J514" s="16">
        <v>0</v>
      </c>
      <c r="K514" s="16">
        <v>1.6799999999999999E-2</v>
      </c>
      <c r="L514" s="16">
        <v>4.9825125441064167E-3</v>
      </c>
      <c r="M514" s="16">
        <v>2.0803015571848899E-2</v>
      </c>
      <c r="N514" s="16">
        <v>0</v>
      </c>
      <c r="O514" s="16">
        <v>0</v>
      </c>
      <c r="P514" s="95"/>
    </row>
    <row r="515" spans="1:16" x14ac:dyDescent="0.25">
      <c r="A515" s="16">
        <v>42</v>
      </c>
      <c r="B515" s="16">
        <v>437454.10856199998</v>
      </c>
      <c r="C515" s="16">
        <v>5688750.3324180003</v>
      </c>
      <c r="D515" s="31">
        <v>14</v>
      </c>
      <c r="E515" s="31" t="s">
        <v>24</v>
      </c>
      <c r="F515" s="31">
        <v>2011</v>
      </c>
      <c r="G515" s="16">
        <v>0.14319999999999999</v>
      </c>
      <c r="H515" s="16">
        <v>4.0532246171293099E-2</v>
      </c>
      <c r="I515" s="16">
        <v>3.5000000000000003E-2</v>
      </c>
      <c r="J515" s="16">
        <v>1.2572014145370996E-2</v>
      </c>
      <c r="K515" s="16">
        <v>3.5000000000000003E-2</v>
      </c>
      <c r="L515" s="16">
        <v>1.038023446688837E-2</v>
      </c>
      <c r="M515" s="16">
        <v>3.0152011704404728E-2</v>
      </c>
      <c r="N515" s="16">
        <v>2.4299999999999999E-2</v>
      </c>
      <c r="O515" s="16">
        <v>8.7197990420623244E-3</v>
      </c>
      <c r="P515" s="95"/>
    </row>
    <row r="516" spans="1:16" x14ac:dyDescent="0.25">
      <c r="A516" s="16">
        <v>43</v>
      </c>
      <c r="B516" s="16">
        <v>437573.10856199998</v>
      </c>
      <c r="C516" s="16">
        <v>5688750.3324180003</v>
      </c>
      <c r="D516" s="31">
        <v>14</v>
      </c>
      <c r="E516" s="31" t="s">
        <v>24</v>
      </c>
      <c r="F516" s="31">
        <v>2011</v>
      </c>
      <c r="G516" s="16">
        <v>0.1062</v>
      </c>
      <c r="H516" s="16">
        <v>3.0059528934296979E-2</v>
      </c>
      <c r="I516" s="16">
        <v>9.9000000000000008E-3</v>
      </c>
      <c r="J516" s="16">
        <v>3.5560840011192247E-3</v>
      </c>
      <c r="K516" s="16">
        <v>6.9400000000000003E-2</v>
      </c>
      <c r="L516" s="16">
        <v>2.058252205720151E-2</v>
      </c>
      <c r="M516" s="16">
        <v>9.4770068770954688E-3</v>
      </c>
      <c r="N516" s="16">
        <v>0</v>
      </c>
      <c r="O516" s="16">
        <v>0</v>
      </c>
      <c r="P516" s="95"/>
    </row>
    <row r="517" spans="1:16" x14ac:dyDescent="0.25">
      <c r="A517" s="16">
        <v>44</v>
      </c>
      <c r="B517" s="16">
        <v>437692.10856199998</v>
      </c>
      <c r="C517" s="16">
        <v>5688750.3324180003</v>
      </c>
      <c r="D517" s="31">
        <v>14</v>
      </c>
      <c r="E517" s="31" t="s">
        <v>24</v>
      </c>
      <c r="F517" s="31">
        <v>2011</v>
      </c>
      <c r="G517" s="16">
        <v>6.6799999999999998E-2</v>
      </c>
      <c r="H517" s="16">
        <v>1.8907500308955161E-2</v>
      </c>
      <c r="I517" s="16">
        <v>5.8200000000000002E-2</v>
      </c>
      <c r="J517" s="16">
        <v>2.0905463521731199E-2</v>
      </c>
      <c r="K517" s="16">
        <v>3.6900000000000002E-2</v>
      </c>
      <c r="L517" s="16">
        <v>1.0943732909376596E-2</v>
      </c>
      <c r="M517" s="16">
        <v>7.9637673995785647E-3</v>
      </c>
      <c r="N517" s="16">
        <v>2.9600000000000001E-2</v>
      </c>
      <c r="O517" s="16">
        <v>1.0621648215845466E-2</v>
      </c>
      <c r="P517" s="95"/>
    </row>
    <row r="518" spans="1:16" x14ac:dyDescent="0.25">
      <c r="A518" s="16">
        <v>45</v>
      </c>
      <c r="B518" s="16">
        <v>437811.10856199998</v>
      </c>
      <c r="C518" s="16">
        <v>5688750.3324180003</v>
      </c>
      <c r="D518" s="31">
        <v>14</v>
      </c>
      <c r="E518" s="31" t="s">
        <v>24</v>
      </c>
      <c r="F518" s="31">
        <v>2011</v>
      </c>
      <c r="G518" s="16">
        <v>0.15820000000000001</v>
      </c>
      <c r="H518" s="16">
        <v>4.4777942348453691E-2</v>
      </c>
      <c r="I518" s="16">
        <v>0</v>
      </c>
      <c r="J518" s="16">
        <v>0</v>
      </c>
      <c r="K518" s="16">
        <v>0.1212</v>
      </c>
      <c r="L518" s="16">
        <v>3.5945269068196298E-2</v>
      </c>
      <c r="M518" s="16">
        <v>8.8326732802573929E-3</v>
      </c>
      <c r="N518" s="16">
        <v>0</v>
      </c>
      <c r="O518" s="16">
        <v>0</v>
      </c>
      <c r="P518" s="95"/>
    </row>
    <row r="519" spans="1:16" x14ac:dyDescent="0.25">
      <c r="A519" s="16">
        <v>46</v>
      </c>
      <c r="B519" s="16">
        <v>437930.10856199998</v>
      </c>
      <c r="C519" s="16">
        <v>5688750.3324180003</v>
      </c>
      <c r="D519" s="31">
        <v>13</v>
      </c>
      <c r="E519" s="31" t="s">
        <v>24</v>
      </c>
      <c r="F519" s="31">
        <v>2011</v>
      </c>
      <c r="G519" s="16">
        <v>0.16200000000000001</v>
      </c>
      <c r="H519" s="16">
        <v>4.5853518713334374E-2</v>
      </c>
      <c r="I519" s="16">
        <v>8.14E-2</v>
      </c>
      <c r="J519" s="16">
        <v>2.9238912898091399E-2</v>
      </c>
      <c r="K519" s="16">
        <v>8.1699999999999995E-2</v>
      </c>
      <c r="L519" s="16">
        <v>2.4230433026993708E-2</v>
      </c>
      <c r="M519" s="16">
        <v>2.1623085686340665E-2</v>
      </c>
      <c r="N519" s="16">
        <v>2.2000000000000001E-3</v>
      </c>
      <c r="O519" s="16">
        <v>7.8944682685337924E-4</v>
      </c>
      <c r="P519" s="95"/>
    </row>
    <row r="520" spans="1:16" x14ac:dyDescent="0.25">
      <c r="A520" s="16">
        <v>47</v>
      </c>
      <c r="B520" s="16">
        <v>438061</v>
      </c>
      <c r="C520" s="16">
        <v>5688779</v>
      </c>
      <c r="D520" s="31">
        <v>13</v>
      </c>
      <c r="E520" s="31" t="s">
        <v>24</v>
      </c>
      <c r="F520" s="31">
        <v>2011</v>
      </c>
      <c r="G520" s="16">
        <v>0.18595</v>
      </c>
      <c r="H520" s="16">
        <v>5.263248027620078E-2</v>
      </c>
      <c r="I520" s="16">
        <v>6.0499999999999998E-3</v>
      </c>
      <c r="J520" s="16">
        <v>2.1731624451284148E-3</v>
      </c>
      <c r="K520" s="16">
        <v>4.4900000000000002E-2</v>
      </c>
      <c r="L520" s="16">
        <v>1.3316357930379653E-2</v>
      </c>
      <c r="M520" s="16">
        <v>3.9316122345821131E-2</v>
      </c>
      <c r="N520" s="16">
        <v>7.1099999999999997E-2</v>
      </c>
      <c r="O520" s="16">
        <v>2.5513486086034209E-2</v>
      </c>
      <c r="P520" s="95"/>
    </row>
    <row r="521" spans="1:16" x14ac:dyDescent="0.25">
      <c r="A521" s="35">
        <v>48</v>
      </c>
      <c r="B521" s="35">
        <v>438168.10856199998</v>
      </c>
      <c r="C521" s="35">
        <v>5688750.3324180003</v>
      </c>
      <c r="D521" s="96">
        <v>15</v>
      </c>
      <c r="E521" s="96" t="s">
        <v>24</v>
      </c>
      <c r="F521" s="96">
        <v>2011</v>
      </c>
      <c r="G521" s="96" t="s">
        <v>18</v>
      </c>
      <c r="H521" s="96" t="s">
        <v>18</v>
      </c>
      <c r="I521" s="96" t="s">
        <v>18</v>
      </c>
      <c r="J521" s="96" t="s">
        <v>18</v>
      </c>
      <c r="K521" s="96" t="s">
        <v>18</v>
      </c>
      <c r="L521" s="96" t="s">
        <v>18</v>
      </c>
      <c r="M521" s="96" t="s">
        <v>18</v>
      </c>
      <c r="N521" s="96" t="s">
        <v>18</v>
      </c>
      <c r="O521" s="96" t="s">
        <v>18</v>
      </c>
      <c r="P521" s="94" t="s">
        <v>21</v>
      </c>
    </row>
    <row r="522" spans="1:16" x14ac:dyDescent="0.25">
      <c r="A522" s="16">
        <v>49</v>
      </c>
      <c r="B522" s="16">
        <v>437454.10856199998</v>
      </c>
      <c r="C522" s="16">
        <v>5688869.3324180003</v>
      </c>
      <c r="D522" s="31">
        <v>13</v>
      </c>
      <c r="E522" s="31" t="s">
        <v>24</v>
      </c>
      <c r="F522" s="31">
        <v>2011</v>
      </c>
      <c r="G522" s="16">
        <v>0</v>
      </c>
      <c r="H522" s="16">
        <v>0</v>
      </c>
      <c r="I522" s="16">
        <v>0</v>
      </c>
      <c r="J522" s="16">
        <v>0</v>
      </c>
      <c r="K522" s="16">
        <v>9.3299999999999994E-2</v>
      </c>
      <c r="L522" s="16">
        <v>2.767073930744814E-2</v>
      </c>
      <c r="M522" s="16">
        <v>-2.767073930744814E-2</v>
      </c>
      <c r="N522" s="16">
        <v>1.6899999999999998E-2</v>
      </c>
      <c r="O522" s="16">
        <v>6.0643869881009576E-3</v>
      </c>
      <c r="P522" s="95"/>
    </row>
    <row r="523" spans="1:16" x14ac:dyDescent="0.25">
      <c r="A523" s="16">
        <v>50</v>
      </c>
      <c r="B523" s="16">
        <v>437811.10856199998</v>
      </c>
      <c r="C523" s="16">
        <v>5688869.3324180003</v>
      </c>
      <c r="D523" s="31">
        <v>13</v>
      </c>
      <c r="E523" s="31" t="s">
        <v>24</v>
      </c>
      <c r="F523" s="31">
        <v>2011</v>
      </c>
      <c r="G523" s="16">
        <v>0.1241</v>
      </c>
      <c r="H523" s="16">
        <v>3.5126059705708618E-2</v>
      </c>
      <c r="I523" s="16">
        <v>0</v>
      </c>
      <c r="J523" s="16">
        <v>0</v>
      </c>
      <c r="K523" s="16">
        <v>6.8900000000000003E-2</v>
      </c>
      <c r="L523" s="16">
        <v>2.0434232993388819E-2</v>
      </c>
      <c r="M523" s="16">
        <v>1.4691826712319798E-2</v>
      </c>
      <c r="N523" s="16">
        <v>2.2499999999999999E-2</v>
      </c>
      <c r="O523" s="16">
        <v>8.0738880019095589E-3</v>
      </c>
      <c r="P523" s="95"/>
    </row>
    <row r="524" spans="1:16" x14ac:dyDescent="0.25">
      <c r="A524" s="16">
        <v>51</v>
      </c>
      <c r="B524" s="16">
        <v>437930.10856199998</v>
      </c>
      <c r="C524" s="16">
        <v>5688869.3324180003</v>
      </c>
      <c r="D524" s="31">
        <v>13</v>
      </c>
      <c r="E524" s="31" t="s">
        <v>24</v>
      </c>
      <c r="F524" s="31">
        <v>2011</v>
      </c>
      <c r="G524" s="16">
        <v>0.1532</v>
      </c>
      <c r="H524" s="16">
        <v>4.3362710289400162E-2</v>
      </c>
      <c r="I524" s="16">
        <v>0</v>
      </c>
      <c r="J524" s="16">
        <v>0</v>
      </c>
      <c r="K524" s="16">
        <v>2.4299999999999999E-2</v>
      </c>
      <c r="L524" s="16">
        <v>7.2068485012967819E-3</v>
      </c>
      <c r="M524" s="16">
        <v>3.6155861788103379E-2</v>
      </c>
      <c r="N524" s="16">
        <v>0</v>
      </c>
      <c r="O524" s="16">
        <v>0</v>
      </c>
      <c r="P524" s="95"/>
    </row>
    <row r="525" spans="1:16" x14ac:dyDescent="0.25">
      <c r="A525" s="16">
        <v>52</v>
      </c>
      <c r="B525" s="16">
        <v>438049.10856199998</v>
      </c>
      <c r="C525" s="16">
        <v>5688869.3324180003</v>
      </c>
      <c r="D525" s="31">
        <v>13</v>
      </c>
      <c r="E525" s="31" t="s">
        <v>24</v>
      </c>
      <c r="F525" s="31">
        <v>2011</v>
      </c>
      <c r="G525" s="16">
        <v>0.1958</v>
      </c>
      <c r="H525" s="16">
        <v>5.5420487432536233E-2</v>
      </c>
      <c r="I525" s="16">
        <v>0</v>
      </c>
      <c r="J525" s="16">
        <v>0</v>
      </c>
      <c r="K525" s="16">
        <v>6.5100000000000005E-2</v>
      </c>
      <c r="L525" s="16">
        <v>1.9307236108412368E-2</v>
      </c>
      <c r="M525" s="16">
        <v>3.6113251324123866E-2</v>
      </c>
      <c r="N525" s="16">
        <v>6.8500000000000005E-2</v>
      </c>
      <c r="O525" s="16">
        <v>2.4580503472480218E-2</v>
      </c>
      <c r="P525" s="95"/>
    </row>
    <row r="526" spans="1:16" x14ac:dyDescent="0.25">
      <c r="A526" s="16">
        <v>53</v>
      </c>
      <c r="B526" s="16">
        <v>438287.10856199998</v>
      </c>
      <c r="C526" s="16">
        <v>5688869.3324180003</v>
      </c>
      <c r="D526" s="31">
        <v>13</v>
      </c>
      <c r="E526" s="31" t="s">
        <v>24</v>
      </c>
      <c r="F526" s="31">
        <v>2011</v>
      </c>
      <c r="G526" s="16">
        <v>4.19E-2</v>
      </c>
      <c r="H526" s="16">
        <v>1.1859644654868582E-2</v>
      </c>
      <c r="I526" s="16">
        <v>0</v>
      </c>
      <c r="J526" s="16">
        <v>0</v>
      </c>
      <c r="K526" s="16">
        <v>1.9800000000000002E-2</v>
      </c>
      <c r="L526" s="16">
        <v>5.8722469269825639E-3</v>
      </c>
      <c r="M526" s="16">
        <v>5.9873977278860182E-3</v>
      </c>
      <c r="N526" s="16">
        <v>0</v>
      </c>
      <c r="O526" s="16">
        <v>0</v>
      </c>
      <c r="P526" s="95"/>
    </row>
    <row r="527" spans="1:16" x14ac:dyDescent="0.25">
      <c r="A527" s="16">
        <v>54</v>
      </c>
      <c r="B527" s="16">
        <v>437454.10856199998</v>
      </c>
      <c r="C527" s="16">
        <v>5688988.3324180003</v>
      </c>
      <c r="D527" s="31">
        <v>13</v>
      </c>
      <c r="E527" s="31" t="s">
        <v>24</v>
      </c>
      <c r="F527" s="31">
        <v>2011</v>
      </c>
      <c r="G527" s="16">
        <v>9.4399999999999998E-2</v>
      </c>
      <c r="H527" s="16">
        <v>2.6719581274930647E-2</v>
      </c>
      <c r="I527" s="16">
        <v>4.1099999999999998E-2</v>
      </c>
      <c r="J527" s="16">
        <v>1.4763136610707082E-2</v>
      </c>
      <c r="K527" s="16">
        <v>3.6900000000000002E-2</v>
      </c>
      <c r="L527" s="16">
        <v>1.0943732909376596E-2</v>
      </c>
      <c r="M527" s="16">
        <v>1.5775848365554051E-2</v>
      </c>
      <c r="N527" s="16">
        <v>1.95E-2</v>
      </c>
      <c r="O527" s="16">
        <v>6.9973696016549522E-3</v>
      </c>
      <c r="P527" s="95"/>
    </row>
    <row r="528" spans="1:16" x14ac:dyDescent="0.25">
      <c r="A528" s="16">
        <v>55</v>
      </c>
      <c r="B528" s="16">
        <v>438049.10856199998</v>
      </c>
      <c r="C528" s="16">
        <v>5688988.3324180003</v>
      </c>
      <c r="D528" s="31">
        <v>13</v>
      </c>
      <c r="E528" s="31" t="s">
        <v>24</v>
      </c>
      <c r="F528" s="31">
        <v>2011</v>
      </c>
      <c r="G528" s="16">
        <v>0.25490000000000002</v>
      </c>
      <c r="H528" s="16">
        <v>7.2148530370548969E-2</v>
      </c>
      <c r="I528" s="16">
        <v>0.2417</v>
      </c>
      <c r="J528" s="16">
        <v>8.6818737683890562E-2</v>
      </c>
      <c r="K528" s="16">
        <v>0.1129</v>
      </c>
      <c r="L528" s="16">
        <v>3.3483670608905627E-2</v>
      </c>
      <c r="M528" s="16">
        <v>3.8664859761643341E-2</v>
      </c>
      <c r="N528" s="16">
        <v>0</v>
      </c>
      <c r="O528" s="16">
        <v>0</v>
      </c>
      <c r="P528" s="95"/>
    </row>
    <row r="529" spans="1:19" x14ac:dyDescent="0.25">
      <c r="A529" s="16">
        <v>56</v>
      </c>
      <c r="B529" s="16">
        <v>438168.10856199998</v>
      </c>
      <c r="C529" s="16">
        <v>5688988.3324180003</v>
      </c>
      <c r="D529" s="31">
        <v>13</v>
      </c>
      <c r="E529" s="31" t="s">
        <v>24</v>
      </c>
      <c r="F529" s="31">
        <v>2011</v>
      </c>
      <c r="G529" s="16">
        <v>4.9399999999999999E-2</v>
      </c>
      <c r="H529" s="16">
        <v>1.3982492743448876E-2</v>
      </c>
      <c r="I529" s="16">
        <v>0</v>
      </c>
      <c r="J529" s="16">
        <v>0</v>
      </c>
      <c r="K529" s="16">
        <v>1.6199999999999999E-2</v>
      </c>
      <c r="L529" s="16">
        <v>4.8045656675311877E-3</v>
      </c>
      <c r="M529" s="16">
        <v>9.1779270759176877E-3</v>
      </c>
      <c r="N529" s="16">
        <v>3.0499999999999999E-2</v>
      </c>
      <c r="O529" s="16">
        <v>1.0944603735921848E-2</v>
      </c>
      <c r="P529" s="95"/>
    </row>
    <row r="530" spans="1:19" x14ac:dyDescent="0.25">
      <c r="A530" s="36">
        <v>57</v>
      </c>
      <c r="B530" s="36">
        <v>438146</v>
      </c>
      <c r="C530" s="36">
        <v>5688977</v>
      </c>
      <c r="D530" s="99">
        <v>13</v>
      </c>
      <c r="E530" s="99" t="s">
        <v>24</v>
      </c>
      <c r="F530" s="99">
        <v>2011</v>
      </c>
      <c r="G530" s="36">
        <v>0.2452</v>
      </c>
      <c r="H530" s="36">
        <v>6.9402980175985118E-2</v>
      </c>
      <c r="I530" s="36">
        <v>2.0500000000000001E-2</v>
      </c>
      <c r="J530" s="36">
        <v>7.3636082851458685E-3</v>
      </c>
      <c r="K530" s="36">
        <v>2.8400000000000002E-2</v>
      </c>
      <c r="L530" s="36">
        <v>8.4228188245608487E-3</v>
      </c>
      <c r="M530" s="36">
        <v>6.098016135142427E-2</v>
      </c>
      <c r="N530" s="36">
        <v>2E-3</v>
      </c>
      <c r="O530" s="36">
        <v>7.1767893350307196E-4</v>
      </c>
      <c r="P530" s="100"/>
    </row>
    <row r="531" spans="1:19" x14ac:dyDescent="0.25">
      <c r="A531" s="36">
        <v>58</v>
      </c>
      <c r="B531" s="36">
        <v>438131</v>
      </c>
      <c r="C531" s="36">
        <v>5688972</v>
      </c>
      <c r="D531" s="99">
        <v>13</v>
      </c>
      <c r="E531" s="99" t="s">
        <v>24</v>
      </c>
      <c r="F531" s="99">
        <v>2011</v>
      </c>
      <c r="G531" s="36">
        <v>0.32600000000000001</v>
      </c>
      <c r="H531" s="36">
        <v>9.2273130250290158E-2</v>
      </c>
      <c r="I531" s="36">
        <v>6.1999999999999998E-3</v>
      </c>
      <c r="J531" s="36">
        <v>2.2270425057514332E-3</v>
      </c>
      <c r="K531" s="36">
        <v>3.9699999999999999E-2</v>
      </c>
      <c r="L531" s="36">
        <v>1.1774151666727664E-2</v>
      </c>
      <c r="M531" s="36">
        <v>8.0498978583562489E-2</v>
      </c>
      <c r="N531" s="36">
        <v>2.52E-2</v>
      </c>
      <c r="O531" s="36">
        <v>9.0427545621387072E-3</v>
      </c>
      <c r="P531" s="100"/>
    </row>
    <row r="532" spans="1:19" x14ac:dyDescent="0.25">
      <c r="A532" s="36">
        <v>59</v>
      </c>
      <c r="B532" s="36">
        <v>438089</v>
      </c>
      <c r="C532" s="36">
        <v>5688713</v>
      </c>
      <c r="D532" s="99">
        <v>13</v>
      </c>
      <c r="E532" s="99" t="s">
        <v>24</v>
      </c>
      <c r="F532" s="99">
        <v>2011</v>
      </c>
      <c r="G532" s="36">
        <v>0.27300000000000002</v>
      </c>
      <c r="H532" s="36">
        <v>7.7271670424322744E-2</v>
      </c>
      <c r="I532" s="36">
        <v>7.6799999999999993E-2</v>
      </c>
      <c r="J532" s="36">
        <v>2.7586591038985496E-2</v>
      </c>
      <c r="K532" s="36">
        <v>9.8500000000000004E-2</v>
      </c>
      <c r="L532" s="36">
        <v>2.9212945571100126E-2</v>
      </c>
      <c r="M532" s="36">
        <v>4.8058724853222615E-2</v>
      </c>
      <c r="N532" s="36">
        <v>2.1700000000000001E-2</v>
      </c>
      <c r="O532" s="36">
        <v>7.7868164285083315E-3</v>
      </c>
      <c r="P532" s="100"/>
    </row>
    <row r="533" spans="1:19" x14ac:dyDescent="0.25">
      <c r="A533" s="36">
        <v>60</v>
      </c>
      <c r="B533" s="36">
        <v>438099</v>
      </c>
      <c r="C533" s="36">
        <v>5688719</v>
      </c>
      <c r="D533" s="99">
        <v>13</v>
      </c>
      <c r="E533" s="99" t="s">
        <v>24</v>
      </c>
      <c r="F533" s="99">
        <v>2011</v>
      </c>
      <c r="G533" s="36">
        <v>0.2442</v>
      </c>
      <c r="H533" s="36">
        <v>6.9119933764174399E-2</v>
      </c>
      <c r="I533" s="36">
        <v>0.13589999999999999</v>
      </c>
      <c r="J533" s="36">
        <v>4.8815334924454806E-2</v>
      </c>
      <c r="K533" s="36">
        <v>5.6099999999999997E-2</v>
      </c>
      <c r="L533" s="36">
        <v>1.663803295978393E-2</v>
      </c>
      <c r="M533" s="36">
        <v>5.2481900804390469E-2</v>
      </c>
      <c r="N533" s="36">
        <v>0</v>
      </c>
      <c r="O533" s="36">
        <v>0</v>
      </c>
      <c r="P533" s="100"/>
    </row>
    <row r="534" spans="1:19" x14ac:dyDescent="0.25">
      <c r="A534" s="16">
        <v>1</v>
      </c>
      <c r="B534" s="16">
        <v>437930.10856199998</v>
      </c>
      <c r="C534" s="16">
        <v>5688036.3324180003</v>
      </c>
      <c r="D534" s="31">
        <v>27</v>
      </c>
      <c r="E534" s="31" t="s">
        <v>33</v>
      </c>
      <c r="F534" s="31">
        <v>2011</v>
      </c>
      <c r="G534" s="16">
        <v>1.24E-2</v>
      </c>
      <c r="H534" s="16">
        <v>3.342844752204136E-3</v>
      </c>
      <c r="I534" s="16">
        <v>2.6499999999999999E-2</v>
      </c>
      <c r="J534" s="16">
        <v>1.3372855988810292E-2</v>
      </c>
      <c r="K534" s="16">
        <v>3.3399999999999999E-2</v>
      </c>
      <c r="L534" s="16">
        <v>1.3864332175320676E-2</v>
      </c>
      <c r="M534" s="16">
        <v>-1.0521487423116541E-2</v>
      </c>
      <c r="N534" s="16">
        <v>0</v>
      </c>
      <c r="O534" s="16">
        <v>0</v>
      </c>
      <c r="P534" s="95"/>
      <c r="R534" s="5">
        <f>AVERAGE(M534:M593)</f>
        <v>1.7020705620883161E-2</v>
      </c>
      <c r="S534" s="5">
        <f>AVERAGE(H534:H593)</f>
        <v>2.7832063332406815E-2</v>
      </c>
    </row>
    <row r="535" spans="1:19" x14ac:dyDescent="0.25">
      <c r="A535" s="16">
        <v>2</v>
      </c>
      <c r="B535" s="16">
        <v>437811.10856199998</v>
      </c>
      <c r="C535" s="16">
        <v>5688155.3324180003</v>
      </c>
      <c r="D535" s="31">
        <v>27</v>
      </c>
      <c r="E535" s="31" t="s">
        <v>33</v>
      </c>
      <c r="F535" s="31">
        <v>2011</v>
      </c>
      <c r="G535" s="16">
        <v>7.7599999999999988E-2</v>
      </c>
      <c r="H535" s="16">
        <v>2.0919738126696848E-2</v>
      </c>
      <c r="I535" s="16">
        <v>0.1011</v>
      </c>
      <c r="J535" s="16">
        <v>5.1018707187498881E-2</v>
      </c>
      <c r="K535" s="16">
        <v>9.1000000000000004E-3</v>
      </c>
      <c r="L535" s="16">
        <v>3.7774078681262926E-3</v>
      </c>
      <c r="M535" s="16">
        <v>1.7142330258570555E-2</v>
      </c>
      <c r="N535" s="16">
        <v>4.8000000000000001E-2</v>
      </c>
      <c r="O535" s="16">
        <v>2.7014417762083489E-2</v>
      </c>
      <c r="P535" s="95"/>
    </row>
    <row r="536" spans="1:19" x14ac:dyDescent="0.25">
      <c r="A536" s="16">
        <v>3</v>
      </c>
      <c r="B536" s="16">
        <v>437930.10856199998</v>
      </c>
      <c r="C536" s="16">
        <v>5688155.3324180003</v>
      </c>
      <c r="D536" s="31">
        <v>27</v>
      </c>
      <c r="E536" s="31" t="s">
        <v>33</v>
      </c>
      <c r="F536" s="31">
        <v>2011</v>
      </c>
      <c r="G536" s="16">
        <v>6.3799999999999996E-2</v>
      </c>
      <c r="H536" s="16">
        <v>1.71994754185987E-2</v>
      </c>
      <c r="I536" s="16">
        <v>0</v>
      </c>
      <c r="J536" s="16">
        <v>0</v>
      </c>
      <c r="K536" s="16">
        <v>2.2600000000000002E-2</v>
      </c>
      <c r="L536" s="16">
        <v>9.381254705456506E-3</v>
      </c>
      <c r="M536" s="16">
        <v>7.8182207131421936E-3</v>
      </c>
      <c r="N536" s="16">
        <v>0</v>
      </c>
      <c r="O536" s="16">
        <v>0</v>
      </c>
      <c r="P536" s="95"/>
    </row>
    <row r="537" spans="1:19" x14ac:dyDescent="0.25">
      <c r="A537" s="16">
        <v>4</v>
      </c>
      <c r="B537" s="16">
        <v>438049.10856199998</v>
      </c>
      <c r="C537" s="16">
        <v>5688155.3324180003</v>
      </c>
      <c r="D537" s="31">
        <v>27</v>
      </c>
      <c r="E537" s="31" t="s">
        <v>33</v>
      </c>
      <c r="F537" s="31">
        <v>2011</v>
      </c>
      <c r="G537" s="16">
        <v>5.3700000000000005E-2</v>
      </c>
      <c r="H537" s="16">
        <v>1.447667445107759E-2</v>
      </c>
      <c r="I537" s="16">
        <v>0</v>
      </c>
      <c r="J537" s="16">
        <v>0</v>
      </c>
      <c r="K537" s="16">
        <v>6.0299999999999999E-2</v>
      </c>
      <c r="L537" s="16">
        <v>2.5030515873408286E-2</v>
      </c>
      <c r="M537" s="16">
        <v>-1.0553841422330696E-2</v>
      </c>
      <c r="N537" s="16">
        <v>0</v>
      </c>
      <c r="O537" s="16">
        <v>0</v>
      </c>
      <c r="P537" s="95"/>
    </row>
    <row r="538" spans="1:19" x14ac:dyDescent="0.25">
      <c r="A538" s="16">
        <v>5</v>
      </c>
      <c r="B538" s="16">
        <v>437573.10856199998</v>
      </c>
      <c r="C538" s="16">
        <v>5688274.3324180003</v>
      </c>
      <c r="D538" s="31">
        <v>27</v>
      </c>
      <c r="E538" s="31" t="s">
        <v>33</v>
      </c>
      <c r="F538" s="31">
        <v>2011</v>
      </c>
      <c r="G538" s="16">
        <v>4.99E-2</v>
      </c>
      <c r="H538" s="16">
        <v>1.3452254285079547E-2</v>
      </c>
      <c r="I538" s="16">
        <v>6.9000000000000006E-2</v>
      </c>
      <c r="J538" s="16">
        <v>3.4819889178411709E-2</v>
      </c>
      <c r="K538" s="16">
        <v>3.5700000000000003E-2</v>
      </c>
      <c r="L538" s="16">
        <v>1.4819061636495455E-2</v>
      </c>
      <c r="M538" s="16">
        <v>-1.3668073514159079E-3</v>
      </c>
      <c r="N538" s="16">
        <v>1.3800000000000002E-2</v>
      </c>
      <c r="O538" s="16">
        <v>7.7666451065990039E-3</v>
      </c>
      <c r="P538" s="95"/>
    </row>
    <row r="539" spans="1:19" x14ac:dyDescent="0.25">
      <c r="A539" s="16">
        <v>6</v>
      </c>
      <c r="B539" s="16">
        <v>437692.10856199998</v>
      </c>
      <c r="C539" s="16">
        <v>5688274.3324180003</v>
      </c>
      <c r="D539" s="31">
        <v>27</v>
      </c>
      <c r="E539" s="31" t="s">
        <v>33</v>
      </c>
      <c r="F539" s="31">
        <v>2011</v>
      </c>
      <c r="G539" s="16">
        <v>3.8100000000000002E-2</v>
      </c>
      <c r="H539" s="16">
        <v>1.0271160085401418E-2</v>
      </c>
      <c r="I539" s="16">
        <v>8.2599999999999993E-2</v>
      </c>
      <c r="J539" s="16">
        <v>4.1682939799084148E-2</v>
      </c>
      <c r="K539" s="16">
        <v>2.1899999999999999E-2</v>
      </c>
      <c r="L539" s="16">
        <v>9.0906848694467905E-3</v>
      </c>
      <c r="M539" s="16">
        <v>1.1804752159546277E-3</v>
      </c>
      <c r="N539" s="16">
        <v>1.84E-2</v>
      </c>
      <c r="O539" s="16">
        <v>1.0355526808798671E-2</v>
      </c>
      <c r="P539" s="95"/>
    </row>
    <row r="540" spans="1:19" x14ac:dyDescent="0.25">
      <c r="A540" s="16">
        <v>7</v>
      </c>
      <c r="B540" s="16">
        <v>437811.10856199998</v>
      </c>
      <c r="C540" s="16">
        <v>5688274.3324180003</v>
      </c>
      <c r="D540" s="31">
        <v>27</v>
      </c>
      <c r="E540" s="31" t="s">
        <v>33</v>
      </c>
      <c r="F540" s="31">
        <v>2011</v>
      </c>
      <c r="G540" s="16">
        <v>0.1638</v>
      </c>
      <c r="H540" s="16">
        <v>4.4157900839599799E-2</v>
      </c>
      <c r="I540" s="16">
        <v>0.31900000000000001</v>
      </c>
      <c r="J540" s="16">
        <v>0.16097890794077294</v>
      </c>
      <c r="K540" s="16">
        <v>1E-3</v>
      </c>
      <c r="L540" s="16">
        <v>4.1509976572816397E-4</v>
      </c>
      <c r="M540" s="16">
        <v>4.3742801073871636E-2</v>
      </c>
      <c r="N540" s="16">
        <v>1.72E-2</v>
      </c>
      <c r="O540" s="16">
        <v>9.6801663647465824E-3</v>
      </c>
      <c r="P540" s="95"/>
    </row>
    <row r="541" spans="1:19" x14ac:dyDescent="0.25">
      <c r="A541" s="16">
        <v>8</v>
      </c>
      <c r="B541" s="16">
        <v>437930.10856199998</v>
      </c>
      <c r="C541" s="16">
        <v>5688274.3324180003</v>
      </c>
      <c r="D541" s="31">
        <v>27</v>
      </c>
      <c r="E541" s="31" t="s">
        <v>33</v>
      </c>
      <c r="F541" s="31">
        <v>2011</v>
      </c>
      <c r="G541" s="16">
        <v>0.1308</v>
      </c>
      <c r="H541" s="16">
        <v>3.5261620450669433E-2</v>
      </c>
      <c r="I541" s="16">
        <v>0</v>
      </c>
      <c r="J541" s="16">
        <v>0</v>
      </c>
      <c r="K541" s="16">
        <v>1.21E-2</v>
      </c>
      <c r="L541" s="16">
        <v>5.0227071653107837E-3</v>
      </c>
      <c r="M541" s="16">
        <v>3.0238913285358649E-2</v>
      </c>
      <c r="N541" s="16">
        <v>0</v>
      </c>
      <c r="O541" s="16">
        <v>0</v>
      </c>
      <c r="P541" s="95"/>
    </row>
    <row r="542" spans="1:19" x14ac:dyDescent="0.25">
      <c r="A542" s="16">
        <v>9</v>
      </c>
      <c r="B542" s="16">
        <v>438287.10856199998</v>
      </c>
      <c r="C542" s="16">
        <v>5688274.3324180003</v>
      </c>
      <c r="D542" s="31">
        <v>26</v>
      </c>
      <c r="E542" s="31" t="s">
        <v>33</v>
      </c>
      <c r="F542" s="31">
        <v>2011</v>
      </c>
      <c r="G542" s="16">
        <v>6.9800000000000001E-2</v>
      </c>
      <c r="H542" s="16">
        <v>2.1136771408558783E-2</v>
      </c>
      <c r="I542" s="16">
        <v>0</v>
      </c>
      <c r="J542" s="16">
        <v>0</v>
      </c>
      <c r="K542" s="16">
        <v>2.9899999999999999E-2</v>
      </c>
      <c r="L542" s="16">
        <v>1.0490304050221383E-2</v>
      </c>
      <c r="M542" s="16">
        <v>1.0646467358337399E-2</v>
      </c>
      <c r="N542" s="16">
        <v>0</v>
      </c>
      <c r="O542" s="16">
        <v>0</v>
      </c>
      <c r="P542" s="95"/>
    </row>
    <row r="543" spans="1:19" x14ac:dyDescent="0.25">
      <c r="A543" s="16">
        <v>10</v>
      </c>
      <c r="B543" s="16">
        <v>438406.10856199998</v>
      </c>
      <c r="C543" s="16">
        <v>5688274.3324180003</v>
      </c>
      <c r="D543" s="31">
        <v>26</v>
      </c>
      <c r="E543" s="31" t="s">
        <v>33</v>
      </c>
      <c r="F543" s="31">
        <v>2011</v>
      </c>
      <c r="G543" s="16">
        <v>4.41E-2</v>
      </c>
      <c r="H543" s="16">
        <v>1.3354321190794303E-2</v>
      </c>
      <c r="I543" s="16">
        <v>0</v>
      </c>
      <c r="J543" s="16">
        <v>0</v>
      </c>
      <c r="K543" s="16">
        <v>2.4199999999999999E-2</v>
      </c>
      <c r="L543" s="16">
        <v>8.4904802011825254E-3</v>
      </c>
      <c r="M543" s="16">
        <v>4.8638409896117774E-3</v>
      </c>
      <c r="N543" s="16">
        <v>0</v>
      </c>
      <c r="O543" s="16">
        <v>0</v>
      </c>
      <c r="P543" s="95"/>
    </row>
    <row r="544" spans="1:19" x14ac:dyDescent="0.25">
      <c r="A544" s="16">
        <v>11</v>
      </c>
      <c r="B544" s="16">
        <v>437454.10856199998</v>
      </c>
      <c r="C544" s="16">
        <v>5688393.3324180003</v>
      </c>
      <c r="D544" s="31">
        <v>27</v>
      </c>
      <c r="E544" s="31" t="s">
        <v>33</v>
      </c>
      <c r="F544" s="31">
        <v>2011</v>
      </c>
      <c r="G544" s="16">
        <v>8.3199999999999996E-2</v>
      </c>
      <c r="H544" s="16">
        <v>2.2429409950272913E-2</v>
      </c>
      <c r="I544" s="16">
        <v>1.9300000000000001E-2</v>
      </c>
      <c r="J544" s="16">
        <v>9.7394762484542888E-3</v>
      </c>
      <c r="K544" s="16">
        <v>6.1499999999999999E-2</v>
      </c>
      <c r="L544" s="16">
        <v>2.5528635592282085E-2</v>
      </c>
      <c r="M544" s="16">
        <v>-3.0992256420091721E-3</v>
      </c>
      <c r="N544" s="16">
        <v>8.8499999999999995E-2</v>
      </c>
      <c r="O544" s="16">
        <v>4.980783274884143E-2</v>
      </c>
      <c r="P544" s="95"/>
    </row>
    <row r="545" spans="1:16" x14ac:dyDescent="0.25">
      <c r="A545" s="16">
        <v>12</v>
      </c>
      <c r="B545" s="16">
        <v>437573.10856199998</v>
      </c>
      <c r="C545" s="16">
        <v>5688393.3324180003</v>
      </c>
      <c r="D545" s="31">
        <v>27</v>
      </c>
      <c r="E545" s="31" t="s">
        <v>33</v>
      </c>
      <c r="F545" s="31">
        <v>2011</v>
      </c>
      <c r="G545" s="16">
        <v>5.9200000000000003E-2</v>
      </c>
      <c r="H545" s="16">
        <v>1.5959387849232651E-2</v>
      </c>
      <c r="I545" s="16">
        <v>5.4700000000000006E-2</v>
      </c>
      <c r="J545" s="16">
        <v>2.7603593305204642E-2</v>
      </c>
      <c r="K545" s="16">
        <v>0.04</v>
      </c>
      <c r="L545" s="16">
        <v>1.6603990629126559E-2</v>
      </c>
      <c r="M545" s="16">
        <v>-6.4460277989390746E-4</v>
      </c>
      <c r="N545" s="16">
        <v>0.1348</v>
      </c>
      <c r="O545" s="16">
        <v>7.5865489881851128E-2</v>
      </c>
      <c r="P545" s="95"/>
    </row>
    <row r="546" spans="1:16" x14ac:dyDescent="0.25">
      <c r="A546" s="16">
        <v>13</v>
      </c>
      <c r="B546" s="16">
        <v>437692.10856199998</v>
      </c>
      <c r="C546" s="16">
        <v>5688393.3324180003</v>
      </c>
      <c r="D546" s="31">
        <v>27</v>
      </c>
      <c r="E546" s="31" t="s">
        <v>33</v>
      </c>
      <c r="F546" s="31">
        <v>2011</v>
      </c>
      <c r="G546" s="16">
        <v>0.1041</v>
      </c>
      <c r="H546" s="16">
        <v>2.8063720863262143E-2</v>
      </c>
      <c r="I546" s="16">
        <v>8.0500000000000002E-2</v>
      </c>
      <c r="J546" s="16">
        <v>4.0623204041480322E-2</v>
      </c>
      <c r="K546" s="16">
        <v>3.5499999999999997E-2</v>
      </c>
      <c r="L546" s="16">
        <v>1.473604168334982E-2</v>
      </c>
      <c r="M546" s="16">
        <v>1.3327679179912323E-2</v>
      </c>
      <c r="N546" s="16">
        <v>0.34970000000000001</v>
      </c>
      <c r="O546" s="16">
        <v>0.19681128940417908</v>
      </c>
      <c r="P546" s="95"/>
    </row>
    <row r="547" spans="1:16" x14ac:dyDescent="0.25">
      <c r="A547" s="35">
        <v>14</v>
      </c>
      <c r="B547" s="35">
        <v>437811.10856199998</v>
      </c>
      <c r="C547" s="35">
        <v>5688393.3324180003</v>
      </c>
      <c r="D547" s="96">
        <v>27</v>
      </c>
      <c r="E547" s="96" t="s">
        <v>33</v>
      </c>
      <c r="F547" s="96">
        <v>2011</v>
      </c>
      <c r="G547" s="96" t="s">
        <v>18</v>
      </c>
      <c r="H547" s="96" t="s">
        <v>18</v>
      </c>
      <c r="I547" s="96" t="s">
        <v>18</v>
      </c>
      <c r="J547" s="96" t="s">
        <v>18</v>
      </c>
      <c r="K547" s="96" t="s">
        <v>18</v>
      </c>
      <c r="L547" s="96" t="s">
        <v>18</v>
      </c>
      <c r="M547" s="96" t="s">
        <v>18</v>
      </c>
      <c r="N547" s="96" t="s">
        <v>18</v>
      </c>
      <c r="O547" s="96" t="s">
        <v>18</v>
      </c>
      <c r="P547" s="94" t="s">
        <v>89</v>
      </c>
    </row>
    <row r="548" spans="1:16" x14ac:dyDescent="0.25">
      <c r="A548" s="16">
        <v>15</v>
      </c>
      <c r="B548" s="16">
        <v>437930.10856199998</v>
      </c>
      <c r="C548" s="16">
        <v>5688393.3324180003</v>
      </c>
      <c r="D548" s="31">
        <v>27</v>
      </c>
      <c r="E548" s="31" t="s">
        <v>33</v>
      </c>
      <c r="F548" s="31">
        <v>2011</v>
      </c>
      <c r="G548" s="16">
        <v>0.13519999999999999</v>
      </c>
      <c r="H548" s="16">
        <v>3.6447791169193479E-2</v>
      </c>
      <c r="I548" s="16">
        <v>6.7000000000000004E-2</v>
      </c>
      <c r="J548" s="16">
        <v>3.3810617028312812E-2</v>
      </c>
      <c r="K548" s="16">
        <v>1.23E-2</v>
      </c>
      <c r="L548" s="16">
        <v>5.1057271184564174E-3</v>
      </c>
      <c r="M548" s="16">
        <v>3.1342064050737063E-2</v>
      </c>
      <c r="N548" s="16">
        <v>0.12340000000000001</v>
      </c>
      <c r="O548" s="16">
        <v>6.9449565663356305E-2</v>
      </c>
      <c r="P548" s="95"/>
    </row>
    <row r="549" spans="1:16" x14ac:dyDescent="0.25">
      <c r="A549" s="16">
        <v>16</v>
      </c>
      <c r="B549" s="16">
        <v>438049.10856199998</v>
      </c>
      <c r="C549" s="16">
        <v>5688393.3324180003</v>
      </c>
      <c r="D549" s="31">
        <v>26</v>
      </c>
      <c r="E549" s="31" t="s">
        <v>33</v>
      </c>
      <c r="F549" s="31">
        <v>2011</v>
      </c>
      <c r="G549" s="16">
        <v>7.6999999999999999E-2</v>
      </c>
      <c r="H549" s="16">
        <v>2.3317068745831324E-2</v>
      </c>
      <c r="I549" s="16">
        <v>6.9900000000000004E-2</v>
      </c>
      <c r="J549" s="16">
        <v>3.3602354067383759E-2</v>
      </c>
      <c r="K549" s="16">
        <v>4.4000000000000003E-3</v>
      </c>
      <c r="L549" s="16">
        <v>1.5437236729422773E-3</v>
      </c>
      <c r="M549" s="16">
        <v>2.1773345072889045E-2</v>
      </c>
      <c r="N549" s="16">
        <v>5.7200000000000001E-2</v>
      </c>
      <c r="O549" s="16">
        <v>2.8047018128098285E-2</v>
      </c>
      <c r="P549" s="95"/>
    </row>
    <row r="550" spans="1:16" x14ac:dyDescent="0.25">
      <c r="A550" s="16">
        <v>17</v>
      </c>
      <c r="B550" s="16">
        <v>438168.10856199998</v>
      </c>
      <c r="C550" s="16">
        <v>5688393.3324180003</v>
      </c>
      <c r="D550" s="31">
        <v>26</v>
      </c>
      <c r="E550" s="31" t="s">
        <v>33</v>
      </c>
      <c r="F550" s="31">
        <v>2011</v>
      </c>
      <c r="G550" s="16">
        <v>1.7999999999999999E-2</v>
      </c>
      <c r="H550" s="16">
        <v>5.450743343181348E-3</v>
      </c>
      <c r="I550" s="16">
        <v>0</v>
      </c>
      <c r="J550" s="16">
        <v>0</v>
      </c>
      <c r="K550" s="16">
        <v>1.03E-2</v>
      </c>
      <c r="L550" s="16">
        <v>3.6137167798421491E-3</v>
      </c>
      <c r="M550" s="16">
        <v>1.8370265633391989E-3</v>
      </c>
      <c r="N550" s="16">
        <v>0</v>
      </c>
      <c r="O550" s="16">
        <v>0</v>
      </c>
      <c r="P550" s="95"/>
    </row>
    <row r="551" spans="1:16" x14ac:dyDescent="0.25">
      <c r="A551" s="16">
        <v>18</v>
      </c>
      <c r="B551" s="16">
        <v>438287.10856199998</v>
      </c>
      <c r="C551" s="16">
        <v>5688393.3324180003</v>
      </c>
      <c r="D551" s="31">
        <v>26</v>
      </c>
      <c r="E551" s="31" t="s">
        <v>33</v>
      </c>
      <c r="F551" s="31">
        <v>2011</v>
      </c>
      <c r="G551" s="16">
        <v>7.0599999999999996E-2</v>
      </c>
      <c r="H551" s="16">
        <v>2.1379026668255731E-2</v>
      </c>
      <c r="I551" s="16">
        <v>0</v>
      </c>
      <c r="J551" s="16">
        <v>0</v>
      </c>
      <c r="K551" s="16">
        <v>1.3599999999999999E-2</v>
      </c>
      <c r="L551" s="16">
        <v>4.7715095345488567E-3</v>
      </c>
      <c r="M551" s="16">
        <v>1.6607517133706874E-2</v>
      </c>
      <c r="N551" s="16">
        <v>0</v>
      </c>
      <c r="O551" s="16">
        <v>0</v>
      </c>
      <c r="P551" s="95"/>
    </row>
    <row r="552" spans="1:16" x14ac:dyDescent="0.25">
      <c r="A552" s="16">
        <v>19</v>
      </c>
      <c r="B552" s="16">
        <v>438406.10856199998</v>
      </c>
      <c r="C552" s="16">
        <v>5688393.3324180003</v>
      </c>
      <c r="D552" s="31">
        <v>26</v>
      </c>
      <c r="E552" s="31" t="s">
        <v>33</v>
      </c>
      <c r="F552" s="31">
        <v>2011</v>
      </c>
      <c r="G552" s="16">
        <v>9.7099999999999992E-2</v>
      </c>
      <c r="H552" s="16">
        <v>2.9403732145717159E-2</v>
      </c>
      <c r="I552" s="16">
        <v>0</v>
      </c>
      <c r="J552" s="16">
        <v>0</v>
      </c>
      <c r="K552" s="16">
        <v>5.9799999999999999E-2</v>
      </c>
      <c r="L552" s="16">
        <v>2.0980608100442767E-2</v>
      </c>
      <c r="M552" s="16">
        <v>8.4231240452743925E-3</v>
      </c>
      <c r="N552" s="16">
        <v>0</v>
      </c>
      <c r="O552" s="16">
        <v>0</v>
      </c>
      <c r="P552" s="95"/>
    </row>
    <row r="553" spans="1:16" x14ac:dyDescent="0.25">
      <c r="A553" s="16">
        <v>20</v>
      </c>
      <c r="B553" s="16">
        <v>437335.10856199998</v>
      </c>
      <c r="C553" s="16">
        <v>5688512.3324180003</v>
      </c>
      <c r="D553" s="31">
        <v>27</v>
      </c>
      <c r="E553" s="31" t="s">
        <v>33</v>
      </c>
      <c r="F553" s="31">
        <v>2011</v>
      </c>
      <c r="G553" s="16">
        <v>3.1399999999999997E-2</v>
      </c>
      <c r="H553" s="16">
        <v>8.4649455821943446E-3</v>
      </c>
      <c r="I553" s="16">
        <v>4.4400000000000002E-2</v>
      </c>
      <c r="J553" s="16">
        <v>2.2405841732195359E-2</v>
      </c>
      <c r="K553" s="16">
        <v>5.79E-2</v>
      </c>
      <c r="L553" s="16">
        <v>2.4034276435660695E-2</v>
      </c>
      <c r="M553" s="16">
        <v>-1.5569330853466351E-2</v>
      </c>
      <c r="N553" s="16">
        <v>0</v>
      </c>
      <c r="O553" s="16">
        <v>0</v>
      </c>
      <c r="P553" s="95"/>
    </row>
    <row r="554" spans="1:16" x14ac:dyDescent="0.25">
      <c r="A554" s="16">
        <v>21</v>
      </c>
      <c r="B554" s="16">
        <v>437454.10856199998</v>
      </c>
      <c r="C554" s="16">
        <v>5688512.3324180003</v>
      </c>
      <c r="D554" s="31">
        <v>27</v>
      </c>
      <c r="E554" s="31" t="s">
        <v>33</v>
      </c>
      <c r="F554" s="31">
        <v>2011</v>
      </c>
      <c r="G554" s="16">
        <v>3.0600000000000002E-2</v>
      </c>
      <c r="H554" s="16">
        <v>8.2492781788263362E-3</v>
      </c>
      <c r="I554" s="16">
        <v>0</v>
      </c>
      <c r="J554" s="16">
        <v>0</v>
      </c>
      <c r="K554" s="16">
        <v>2.5999999999999999E-3</v>
      </c>
      <c r="L554" s="16">
        <v>1.0792593908932264E-3</v>
      </c>
      <c r="M554" s="16">
        <v>7.1700187879331096E-3</v>
      </c>
      <c r="N554" s="16">
        <v>0</v>
      </c>
      <c r="O554" s="16">
        <v>0</v>
      </c>
      <c r="P554" s="95"/>
    </row>
    <row r="555" spans="1:16" x14ac:dyDescent="0.25">
      <c r="A555" s="16">
        <v>22</v>
      </c>
      <c r="B555" s="16">
        <v>437573.10856199998</v>
      </c>
      <c r="C555" s="16">
        <v>5688512.3324180003</v>
      </c>
      <c r="D555" s="31">
        <v>27</v>
      </c>
      <c r="E555" s="31" t="s">
        <v>33</v>
      </c>
      <c r="F555" s="31">
        <v>2011</v>
      </c>
      <c r="G555" s="16">
        <v>8.3099999999999993E-2</v>
      </c>
      <c r="H555" s="16">
        <v>2.2402451524851909E-2</v>
      </c>
      <c r="I555" s="16">
        <v>0.27300000000000002</v>
      </c>
      <c r="J555" s="16">
        <v>0.13776564848849848</v>
      </c>
      <c r="K555" s="16">
        <v>8.3299999999999999E-2</v>
      </c>
      <c r="L555" s="16">
        <v>3.4577810485156062E-2</v>
      </c>
      <c r="M555" s="16">
        <v>-1.2175358960304153E-2</v>
      </c>
      <c r="N555" s="16">
        <v>1.8200000000000001E-2</v>
      </c>
      <c r="O555" s="16">
        <v>1.024296673478999E-2</v>
      </c>
      <c r="P555" s="95"/>
    </row>
    <row r="556" spans="1:16" x14ac:dyDescent="0.25">
      <c r="A556" s="16">
        <v>23</v>
      </c>
      <c r="B556" s="16">
        <v>437692.10856199998</v>
      </c>
      <c r="C556" s="16">
        <v>5688512.3324180003</v>
      </c>
      <c r="D556" s="31">
        <v>27</v>
      </c>
      <c r="E556" s="31" t="s">
        <v>33</v>
      </c>
      <c r="F556" s="31">
        <v>2011</v>
      </c>
      <c r="G556" s="16">
        <v>5.2399999999999995E-2</v>
      </c>
      <c r="H556" s="16">
        <v>1.4126214920604573E-2</v>
      </c>
      <c r="I556" s="16">
        <v>0</v>
      </c>
      <c r="J556" s="16">
        <v>0</v>
      </c>
      <c r="K556" s="16">
        <v>1.67E-2</v>
      </c>
      <c r="L556" s="16">
        <v>6.9321660876603382E-3</v>
      </c>
      <c r="M556" s="16">
        <v>7.194048832944235E-3</v>
      </c>
      <c r="N556" s="16">
        <v>0</v>
      </c>
      <c r="O556" s="16">
        <v>0</v>
      </c>
      <c r="P556" s="95"/>
    </row>
    <row r="557" spans="1:16" x14ac:dyDescent="0.25">
      <c r="A557" s="16">
        <v>24</v>
      </c>
      <c r="B557" s="16">
        <v>437811.10856199998</v>
      </c>
      <c r="C557" s="16">
        <v>5688512.3324180003</v>
      </c>
      <c r="D557" s="31">
        <v>27</v>
      </c>
      <c r="E557" s="31" t="s">
        <v>33</v>
      </c>
      <c r="F557" s="31">
        <v>2011</v>
      </c>
      <c r="G557" s="31" t="s">
        <v>18</v>
      </c>
      <c r="H557" s="31" t="s">
        <v>18</v>
      </c>
      <c r="I557" s="31" t="s">
        <v>18</v>
      </c>
      <c r="J557" s="31" t="s">
        <v>18</v>
      </c>
      <c r="K557" s="16">
        <v>3.7999999999999999E-2</v>
      </c>
      <c r="L557" s="16">
        <v>1.5773791097670232E-2</v>
      </c>
      <c r="M557" s="31" t="s">
        <v>18</v>
      </c>
      <c r="N557" s="16">
        <v>0</v>
      </c>
      <c r="O557" s="16">
        <v>0</v>
      </c>
      <c r="P557" s="95" t="s">
        <v>80</v>
      </c>
    </row>
    <row r="558" spans="1:16" x14ac:dyDescent="0.25">
      <c r="A558" s="16">
        <v>25</v>
      </c>
      <c r="B558" s="16">
        <v>437995</v>
      </c>
      <c r="C558" s="16">
        <v>5688493</v>
      </c>
      <c r="D558" s="31">
        <v>27</v>
      </c>
      <c r="E558" s="31" t="s">
        <v>33</v>
      </c>
      <c r="F558" s="31">
        <v>2011</v>
      </c>
      <c r="G558" s="16">
        <v>0.1113</v>
      </c>
      <c r="H558" s="16">
        <v>3.0004727493574222E-2</v>
      </c>
      <c r="I558" s="16">
        <v>4.3299999999999998E-2</v>
      </c>
      <c r="J558" s="16">
        <v>2.1850742049640968E-2</v>
      </c>
      <c r="K558" s="16">
        <v>4.7000000000000002E-3</v>
      </c>
      <c r="L558" s="16">
        <v>1.9509688989223708E-3</v>
      </c>
      <c r="M558" s="16">
        <v>2.805375859465185E-2</v>
      </c>
      <c r="N558" s="16">
        <v>0</v>
      </c>
      <c r="O558" s="16">
        <v>0</v>
      </c>
      <c r="P558" s="95"/>
    </row>
    <row r="559" spans="1:16" x14ac:dyDescent="0.25">
      <c r="A559" s="16">
        <v>26</v>
      </c>
      <c r="B559" s="16">
        <v>438112</v>
      </c>
      <c r="C559" s="16">
        <v>5688567</v>
      </c>
      <c r="D559" s="46">
        <v>27</v>
      </c>
      <c r="E559" s="46" t="s">
        <v>33</v>
      </c>
      <c r="F559" s="46">
        <v>2011</v>
      </c>
      <c r="G559" s="31" t="s">
        <v>18</v>
      </c>
      <c r="H559" s="31" t="s">
        <v>18</v>
      </c>
      <c r="I559" s="31" t="s">
        <v>18</v>
      </c>
      <c r="J559" s="31" t="s">
        <v>18</v>
      </c>
      <c r="K559" s="31" t="s">
        <v>18</v>
      </c>
      <c r="L559" s="31" t="s">
        <v>18</v>
      </c>
      <c r="M559" s="31" t="s">
        <v>18</v>
      </c>
      <c r="N559" s="31" t="s">
        <v>18</v>
      </c>
      <c r="O559" s="31" t="s">
        <v>18</v>
      </c>
      <c r="P559" s="95" t="s">
        <v>81</v>
      </c>
    </row>
    <row r="560" spans="1:16" x14ac:dyDescent="0.25">
      <c r="A560" s="35">
        <v>27</v>
      </c>
      <c r="B560" s="35">
        <v>438168.10856199998</v>
      </c>
      <c r="C560" s="35">
        <v>5688512.3324180003</v>
      </c>
      <c r="D560" s="96">
        <v>27</v>
      </c>
      <c r="E560" s="96" t="s">
        <v>33</v>
      </c>
      <c r="F560" s="96">
        <v>2011</v>
      </c>
      <c r="G560" s="96" t="s">
        <v>18</v>
      </c>
      <c r="H560" s="96" t="s">
        <v>18</v>
      </c>
      <c r="I560" s="96" t="s">
        <v>18</v>
      </c>
      <c r="J560" s="96" t="s">
        <v>18</v>
      </c>
      <c r="K560" s="96" t="s">
        <v>18</v>
      </c>
      <c r="L560" s="96" t="s">
        <v>18</v>
      </c>
      <c r="M560" s="96" t="s">
        <v>18</v>
      </c>
      <c r="N560" s="96" t="s">
        <v>18</v>
      </c>
      <c r="O560" s="96" t="s">
        <v>18</v>
      </c>
      <c r="P560" s="94" t="s">
        <v>89</v>
      </c>
    </row>
    <row r="561" spans="1:16" x14ac:dyDescent="0.25">
      <c r="A561" s="35">
        <v>28</v>
      </c>
      <c r="B561" s="35">
        <v>438287.10856199998</v>
      </c>
      <c r="C561" s="35">
        <v>5688512.3324180003</v>
      </c>
      <c r="D561" s="96">
        <v>27</v>
      </c>
      <c r="E561" s="96" t="s">
        <v>33</v>
      </c>
      <c r="F561" s="96">
        <v>2011</v>
      </c>
      <c r="G561" s="96" t="s">
        <v>18</v>
      </c>
      <c r="H561" s="96" t="s">
        <v>18</v>
      </c>
      <c r="I561" s="96" t="s">
        <v>18</v>
      </c>
      <c r="J561" s="96" t="s">
        <v>18</v>
      </c>
      <c r="K561" s="96" t="s">
        <v>18</v>
      </c>
      <c r="L561" s="96" t="s">
        <v>18</v>
      </c>
      <c r="M561" s="96" t="s">
        <v>18</v>
      </c>
      <c r="N561" s="96" t="s">
        <v>18</v>
      </c>
      <c r="O561" s="96" t="s">
        <v>18</v>
      </c>
      <c r="P561" s="94" t="s">
        <v>89</v>
      </c>
    </row>
    <row r="562" spans="1:16" x14ac:dyDescent="0.25">
      <c r="A562" s="16">
        <v>29</v>
      </c>
      <c r="B562" s="16">
        <v>438381</v>
      </c>
      <c r="C562" s="16">
        <v>5688526</v>
      </c>
      <c r="D562" s="31">
        <v>25</v>
      </c>
      <c r="E562" s="31" t="s">
        <v>33</v>
      </c>
      <c r="F562" s="31">
        <v>2011</v>
      </c>
      <c r="G562" s="16">
        <v>6.7999999999999996E-3</v>
      </c>
      <c r="H562" s="16">
        <v>2.0305793433991266E-3</v>
      </c>
      <c r="I562" s="16">
        <v>7.5700000000000003E-2</v>
      </c>
      <c r="J562" s="16">
        <v>3.4553541154718093E-2</v>
      </c>
      <c r="K562" s="16">
        <v>3.8799999999999994E-2</v>
      </c>
      <c r="L562" s="16">
        <v>1.233566668876851E-2</v>
      </c>
      <c r="M562" s="16">
        <v>-1.0305087345369383E-2</v>
      </c>
      <c r="N562" s="16">
        <v>0</v>
      </c>
      <c r="O562" s="16">
        <v>0</v>
      </c>
      <c r="P562" s="95"/>
    </row>
    <row r="563" spans="1:16" x14ac:dyDescent="0.25">
      <c r="A563" s="16">
        <v>30</v>
      </c>
      <c r="B563" s="16">
        <v>438525.10856199998</v>
      </c>
      <c r="C563" s="16">
        <v>5688512.3324180003</v>
      </c>
      <c r="D563" s="31">
        <v>25</v>
      </c>
      <c r="E563" s="31" t="s">
        <v>33</v>
      </c>
      <c r="F563" s="31">
        <v>2011</v>
      </c>
      <c r="G563" s="16">
        <v>6.13E-2</v>
      </c>
      <c r="H563" s="16">
        <v>1.8305075551524483E-2</v>
      </c>
      <c r="I563" s="16">
        <v>0</v>
      </c>
      <c r="J563" s="16">
        <v>0</v>
      </c>
      <c r="K563" s="16">
        <v>2.5000000000000001E-3</v>
      </c>
      <c r="L563" s="16">
        <v>7.9482388458560003E-4</v>
      </c>
      <c r="M563" s="16">
        <v>1.7510251666938884E-2</v>
      </c>
      <c r="N563" s="16">
        <v>0</v>
      </c>
      <c r="O563" s="16">
        <v>0</v>
      </c>
      <c r="P563" s="95"/>
    </row>
    <row r="564" spans="1:16" x14ac:dyDescent="0.25">
      <c r="A564" s="16">
        <v>31</v>
      </c>
      <c r="B564" s="16">
        <v>437335.10856199998</v>
      </c>
      <c r="C564" s="16">
        <v>5688631.3324180003</v>
      </c>
      <c r="D564" s="31">
        <v>25</v>
      </c>
      <c r="E564" s="31" t="s">
        <v>33</v>
      </c>
      <c r="F564" s="31">
        <v>2011</v>
      </c>
      <c r="G564" s="16">
        <v>7.0599999999999996E-2</v>
      </c>
      <c r="H564" s="16">
        <v>2.1082191418232109E-2</v>
      </c>
      <c r="I564" s="16">
        <v>0</v>
      </c>
      <c r="J564" s="16">
        <v>0</v>
      </c>
      <c r="K564" s="16">
        <v>4.2000000000000006E-3</v>
      </c>
      <c r="L564" s="16">
        <v>1.3353041261038082E-3</v>
      </c>
      <c r="M564" s="16">
        <v>1.9746887292128302E-2</v>
      </c>
      <c r="N564" s="16">
        <v>0</v>
      </c>
      <c r="O564" s="16">
        <v>0</v>
      </c>
      <c r="P564" s="95"/>
    </row>
    <row r="565" spans="1:16" x14ac:dyDescent="0.25">
      <c r="A565" s="16">
        <v>32</v>
      </c>
      <c r="B565" s="16">
        <v>437454.10856199998</v>
      </c>
      <c r="C565" s="16">
        <v>5688631.3324180003</v>
      </c>
      <c r="D565" s="31">
        <v>25</v>
      </c>
      <c r="E565" s="31" t="s">
        <v>33</v>
      </c>
      <c r="F565" s="31">
        <v>2011</v>
      </c>
      <c r="G565" s="16">
        <v>5.7000000000000002E-3</v>
      </c>
      <c r="H565" s="16">
        <v>1.7021032731433857E-3</v>
      </c>
      <c r="I565" s="16">
        <v>0</v>
      </c>
      <c r="J565" s="16">
        <v>0</v>
      </c>
      <c r="K565" s="16">
        <v>3.0000000000000001E-3</v>
      </c>
      <c r="L565" s="16">
        <v>9.5378866150272002E-4</v>
      </c>
      <c r="M565" s="16">
        <v>7.4831461164066566E-4</v>
      </c>
      <c r="N565" s="16">
        <v>0</v>
      </c>
      <c r="O565" s="16">
        <v>0</v>
      </c>
      <c r="P565" s="95"/>
    </row>
    <row r="566" spans="1:16" x14ac:dyDescent="0.25">
      <c r="A566" s="16">
        <v>33</v>
      </c>
      <c r="B566" s="16">
        <v>437573.10856199998</v>
      </c>
      <c r="C566" s="16">
        <v>5688631.3324180003</v>
      </c>
      <c r="D566" s="31">
        <v>25</v>
      </c>
      <c r="E566" s="31" t="s">
        <v>33</v>
      </c>
      <c r="F566" s="31">
        <v>2011</v>
      </c>
      <c r="G566" s="16">
        <v>4.3299999999999998E-2</v>
      </c>
      <c r="H566" s="16">
        <v>1.2930012583703262E-2</v>
      </c>
      <c r="I566" s="16">
        <v>0</v>
      </c>
      <c r="J566" s="16">
        <v>0</v>
      </c>
      <c r="K566" s="16">
        <v>1.5E-3</v>
      </c>
      <c r="L566" s="16">
        <v>4.7689433075136001E-4</v>
      </c>
      <c r="M566" s="16">
        <v>1.2453118252951902E-2</v>
      </c>
      <c r="N566" s="16">
        <v>0</v>
      </c>
      <c r="O566" s="16">
        <v>0</v>
      </c>
      <c r="P566" s="95"/>
    </row>
    <row r="567" spans="1:16" x14ac:dyDescent="0.25">
      <c r="A567" s="16">
        <v>34</v>
      </c>
      <c r="B567" s="16">
        <v>437692.10856199998</v>
      </c>
      <c r="C567" s="16">
        <v>5688631.3324180003</v>
      </c>
      <c r="D567" s="31">
        <v>25</v>
      </c>
      <c r="E567" s="31" t="s">
        <v>33</v>
      </c>
      <c r="F567" s="31">
        <v>2011</v>
      </c>
      <c r="G567" s="16">
        <v>5.0799999999999998E-2</v>
      </c>
      <c r="H567" s="16">
        <v>1.516962215362877E-2</v>
      </c>
      <c r="I567" s="16">
        <v>0</v>
      </c>
      <c r="J567" s="16">
        <v>0</v>
      </c>
      <c r="K567" s="16">
        <v>5.5399999999999998E-2</v>
      </c>
      <c r="L567" s="16">
        <v>1.7613297282416895E-2</v>
      </c>
      <c r="M567" s="16">
        <v>-2.4436751287881253E-3</v>
      </c>
      <c r="N567" s="16">
        <v>0</v>
      </c>
      <c r="O567" s="16">
        <v>0</v>
      </c>
      <c r="P567" s="95"/>
    </row>
    <row r="568" spans="1:16" x14ac:dyDescent="0.25">
      <c r="A568" s="16">
        <v>35</v>
      </c>
      <c r="B568" s="16">
        <v>437893</v>
      </c>
      <c r="C568" s="16">
        <v>5688620</v>
      </c>
      <c r="D568" s="46">
        <v>25</v>
      </c>
      <c r="E568" s="46" t="s">
        <v>33</v>
      </c>
      <c r="F568" s="46">
        <v>2011</v>
      </c>
      <c r="G568" s="31" t="s">
        <v>18</v>
      </c>
      <c r="H568" s="31" t="s">
        <v>18</v>
      </c>
      <c r="I568" s="31" t="s">
        <v>18</v>
      </c>
      <c r="J568" s="31" t="s">
        <v>18</v>
      </c>
      <c r="K568" s="31" t="s">
        <v>18</v>
      </c>
      <c r="L568" s="31" t="s">
        <v>18</v>
      </c>
      <c r="M568" s="31" t="s">
        <v>18</v>
      </c>
      <c r="N568" s="31" t="s">
        <v>18</v>
      </c>
      <c r="O568" s="31" t="s">
        <v>18</v>
      </c>
      <c r="P568" s="95" t="s">
        <v>81</v>
      </c>
    </row>
    <row r="569" spans="1:16" x14ac:dyDescent="0.25">
      <c r="A569" s="16">
        <v>36</v>
      </c>
      <c r="B569" s="16">
        <v>437930.10856199998</v>
      </c>
      <c r="C569" s="16">
        <v>5688631.3324180003</v>
      </c>
      <c r="D569" s="46">
        <v>25</v>
      </c>
      <c r="E569" s="46" t="s">
        <v>33</v>
      </c>
      <c r="F569" s="46">
        <v>2011</v>
      </c>
      <c r="G569" s="31" t="s">
        <v>18</v>
      </c>
      <c r="H569" s="31" t="s">
        <v>18</v>
      </c>
      <c r="I569" s="31" t="s">
        <v>18</v>
      </c>
      <c r="J569" s="31" t="s">
        <v>18</v>
      </c>
      <c r="K569" s="31" t="s">
        <v>18</v>
      </c>
      <c r="L569" s="31" t="s">
        <v>18</v>
      </c>
      <c r="M569" s="31" t="s">
        <v>18</v>
      </c>
      <c r="N569" s="31" t="s">
        <v>18</v>
      </c>
      <c r="O569" s="31" t="s">
        <v>18</v>
      </c>
      <c r="P569" s="95" t="s">
        <v>81</v>
      </c>
    </row>
    <row r="570" spans="1:16" x14ac:dyDescent="0.25">
      <c r="A570" s="35">
        <v>37</v>
      </c>
      <c r="B570" s="35">
        <v>438049.10856199998</v>
      </c>
      <c r="C570" s="35">
        <v>5688631.3324180003</v>
      </c>
      <c r="D570" s="96">
        <v>27</v>
      </c>
      <c r="E570" s="96" t="s">
        <v>33</v>
      </c>
      <c r="F570" s="96">
        <v>2011</v>
      </c>
      <c r="G570" s="96" t="s">
        <v>18</v>
      </c>
      <c r="H570" s="96" t="s">
        <v>18</v>
      </c>
      <c r="I570" s="96" t="s">
        <v>18</v>
      </c>
      <c r="J570" s="96" t="s">
        <v>18</v>
      </c>
      <c r="K570" s="96" t="s">
        <v>18</v>
      </c>
      <c r="L570" s="96" t="s">
        <v>18</v>
      </c>
      <c r="M570" s="96" t="s">
        <v>18</v>
      </c>
      <c r="N570" s="96" t="s">
        <v>18</v>
      </c>
      <c r="O570" s="96" t="s">
        <v>18</v>
      </c>
      <c r="P570" s="94" t="s">
        <v>89</v>
      </c>
    </row>
    <row r="571" spans="1:16" x14ac:dyDescent="0.25">
      <c r="A571" s="16">
        <v>38</v>
      </c>
      <c r="B571" s="16">
        <v>438067</v>
      </c>
      <c r="C571" s="16">
        <v>5688710</v>
      </c>
      <c r="D571" s="31">
        <v>26</v>
      </c>
      <c r="E571" s="31" t="s">
        <v>33</v>
      </c>
      <c r="F571" s="31">
        <v>2011</v>
      </c>
      <c r="G571" s="16">
        <v>0.43639999999999995</v>
      </c>
      <c r="H571" s="16">
        <v>0.13215024416468557</v>
      </c>
      <c r="I571" s="16">
        <v>0</v>
      </c>
      <c r="J571" s="16">
        <v>0</v>
      </c>
      <c r="K571" s="16">
        <v>8.0000000000000004E-4</v>
      </c>
      <c r="L571" s="16">
        <v>2.8067703144405044E-4</v>
      </c>
      <c r="M571" s="16">
        <v>0.13186956713324152</v>
      </c>
      <c r="N571" s="16">
        <v>0</v>
      </c>
      <c r="O571" s="16">
        <v>0</v>
      </c>
      <c r="P571" s="95"/>
    </row>
    <row r="572" spans="1:16" x14ac:dyDescent="0.25">
      <c r="A572" s="35">
        <v>39</v>
      </c>
      <c r="B572" s="35">
        <v>438287.10856199998</v>
      </c>
      <c r="C572" s="35">
        <v>5688631.3324180003</v>
      </c>
      <c r="D572" s="96">
        <v>27</v>
      </c>
      <c r="E572" s="96" t="s">
        <v>33</v>
      </c>
      <c r="F572" s="96">
        <v>2011</v>
      </c>
      <c r="G572" s="96" t="s">
        <v>18</v>
      </c>
      <c r="H572" s="96" t="s">
        <v>18</v>
      </c>
      <c r="I572" s="96" t="s">
        <v>18</v>
      </c>
      <c r="J572" s="96" t="s">
        <v>18</v>
      </c>
      <c r="K572" s="96" t="s">
        <v>18</v>
      </c>
      <c r="L572" s="96" t="s">
        <v>18</v>
      </c>
      <c r="M572" s="96" t="s">
        <v>18</v>
      </c>
      <c r="N572" s="96" t="s">
        <v>18</v>
      </c>
      <c r="O572" s="96" t="s">
        <v>18</v>
      </c>
      <c r="P572" s="94" t="s">
        <v>22</v>
      </c>
    </row>
    <row r="573" spans="1:16" x14ac:dyDescent="0.25">
      <c r="A573" s="16">
        <v>40</v>
      </c>
      <c r="B573" s="16">
        <v>438406.10856199998</v>
      </c>
      <c r="C573" s="16">
        <v>5688631.3324180003</v>
      </c>
      <c r="D573" s="31">
        <v>25</v>
      </c>
      <c r="E573" s="31" t="s">
        <v>33</v>
      </c>
      <c r="F573" s="31">
        <v>2011</v>
      </c>
      <c r="G573" s="16">
        <v>2.5100000000000001E-2</v>
      </c>
      <c r="H573" s="16">
        <v>7.4952266940173651E-3</v>
      </c>
      <c r="I573" s="16">
        <v>0</v>
      </c>
      <c r="J573" s="16">
        <v>0</v>
      </c>
      <c r="K573" s="16">
        <v>2.6499999999999999E-2</v>
      </c>
      <c r="L573" s="16">
        <v>8.4251331766073603E-3</v>
      </c>
      <c r="M573" s="16">
        <v>-9.2990648258999518E-4</v>
      </c>
      <c r="N573" s="16">
        <v>0</v>
      </c>
      <c r="O573" s="16">
        <v>0</v>
      </c>
      <c r="P573" s="95"/>
    </row>
    <row r="574" spans="1:16" x14ac:dyDescent="0.25">
      <c r="A574" s="16">
        <v>41</v>
      </c>
      <c r="B574" s="16">
        <v>437310</v>
      </c>
      <c r="C574" s="16">
        <v>5688729</v>
      </c>
      <c r="D574" s="31">
        <v>25</v>
      </c>
      <c r="E574" s="31" t="s">
        <v>33</v>
      </c>
      <c r="F574" s="31">
        <v>2011</v>
      </c>
      <c r="G574" s="16">
        <v>4.4899999999999995E-2</v>
      </c>
      <c r="H574" s="16">
        <v>1.3407795958620704E-2</v>
      </c>
      <c r="I574" s="16">
        <v>0</v>
      </c>
      <c r="J574" s="16">
        <v>0</v>
      </c>
      <c r="K574" s="16">
        <v>2.1000000000000003E-3</v>
      </c>
      <c r="L574" s="16">
        <v>6.6765206305190411E-4</v>
      </c>
      <c r="M574" s="16">
        <v>1.27401438955688E-2</v>
      </c>
      <c r="N574" s="16">
        <v>0</v>
      </c>
      <c r="O574" s="16">
        <v>0</v>
      </c>
      <c r="P574" s="95"/>
    </row>
    <row r="575" spans="1:16" x14ac:dyDescent="0.25">
      <c r="A575" s="16">
        <v>42</v>
      </c>
      <c r="B575" s="16">
        <v>437454.10856199998</v>
      </c>
      <c r="C575" s="16">
        <v>5688750.3324180003</v>
      </c>
      <c r="D575" s="31">
        <v>25</v>
      </c>
      <c r="E575" s="31" t="s">
        <v>33</v>
      </c>
      <c r="F575" s="31">
        <v>2011</v>
      </c>
      <c r="G575" s="16">
        <v>0.1323</v>
      </c>
      <c r="H575" s="16">
        <v>3.9506712813485952E-2</v>
      </c>
      <c r="I575" s="16">
        <v>7.7999999999999996E-3</v>
      </c>
      <c r="J575" s="16">
        <v>3.560338454515206E-3</v>
      </c>
      <c r="K575" s="16">
        <v>1.01E-2</v>
      </c>
      <c r="L575" s="16">
        <v>3.2110884937258236E-3</v>
      </c>
      <c r="M575" s="16">
        <v>3.6295624319760127E-2</v>
      </c>
      <c r="N575" s="16">
        <v>1.67E-2</v>
      </c>
      <c r="O575" s="16">
        <v>7.956132075471703E-3</v>
      </c>
      <c r="P575" s="95"/>
    </row>
    <row r="576" spans="1:16" x14ac:dyDescent="0.25">
      <c r="A576" s="16">
        <v>43</v>
      </c>
      <c r="B576" s="16">
        <v>437573.10856199998</v>
      </c>
      <c r="C576" s="16">
        <v>5688750.3324180003</v>
      </c>
      <c r="D576" s="31">
        <v>25</v>
      </c>
      <c r="E576" s="31" t="s">
        <v>33</v>
      </c>
      <c r="F576" s="31">
        <v>2011</v>
      </c>
      <c r="G576" s="16">
        <v>0.121</v>
      </c>
      <c r="H576" s="16">
        <v>3.6132367728131519E-2</v>
      </c>
      <c r="I576" s="16">
        <v>2.6100000000000002E-2</v>
      </c>
      <c r="J576" s="16">
        <v>1.1913440213185498E-2</v>
      </c>
      <c r="K576" s="16">
        <v>9.2200000000000004E-2</v>
      </c>
      <c r="L576" s="16">
        <v>2.9313104863516928E-2</v>
      </c>
      <c r="M576" s="16">
        <v>6.8192628646145913E-3</v>
      </c>
      <c r="N576" s="16">
        <v>1.47E-2</v>
      </c>
      <c r="O576" s="16">
        <v>7.0033018867924571E-3</v>
      </c>
      <c r="P576" s="95"/>
    </row>
    <row r="577" spans="1:16" x14ac:dyDescent="0.25">
      <c r="A577" s="16">
        <v>44</v>
      </c>
      <c r="B577" s="16">
        <v>437692.10856199998</v>
      </c>
      <c r="C577" s="16">
        <v>5688750.3324180003</v>
      </c>
      <c r="D577" s="31">
        <v>25</v>
      </c>
      <c r="E577" s="31" t="s">
        <v>33</v>
      </c>
      <c r="F577" s="31">
        <v>2011</v>
      </c>
      <c r="G577" s="16">
        <v>0.12670000000000001</v>
      </c>
      <c r="H577" s="16">
        <v>3.7834471001274912E-2</v>
      </c>
      <c r="I577" s="16">
        <v>0</v>
      </c>
      <c r="J577" s="16">
        <v>0</v>
      </c>
      <c r="K577" s="16">
        <v>2.23E-2</v>
      </c>
      <c r="L577" s="16">
        <v>7.0898290505035516E-3</v>
      </c>
      <c r="M577" s="16">
        <v>3.0744641950771361E-2</v>
      </c>
      <c r="N577" s="16">
        <v>0</v>
      </c>
      <c r="O577" s="16">
        <v>0</v>
      </c>
      <c r="P577" s="95"/>
    </row>
    <row r="578" spans="1:16" x14ac:dyDescent="0.25">
      <c r="A578" s="16">
        <v>45</v>
      </c>
      <c r="B578" s="16">
        <v>437811.10856199998</v>
      </c>
      <c r="C578" s="16">
        <v>5688750.3324180003</v>
      </c>
      <c r="D578" s="31">
        <v>25</v>
      </c>
      <c r="E578" s="31" t="s">
        <v>33</v>
      </c>
      <c r="F578" s="31">
        <v>2011</v>
      </c>
      <c r="G578" s="16">
        <v>0.1046</v>
      </c>
      <c r="H578" s="16">
        <v>3.1235088135227743E-2</v>
      </c>
      <c r="I578" s="16">
        <v>9.7500000000000003E-2</v>
      </c>
      <c r="J578" s="16">
        <v>4.4504230681440077E-2</v>
      </c>
      <c r="K578" s="16">
        <v>1.6899999999999998E-2</v>
      </c>
      <c r="L578" s="16">
        <v>5.3730094597986555E-3</v>
      </c>
      <c r="M578" s="16">
        <v>2.5862078675429088E-2</v>
      </c>
      <c r="N578" s="16">
        <v>0</v>
      </c>
      <c r="O578" s="16">
        <v>0</v>
      </c>
      <c r="P578" s="95"/>
    </row>
    <row r="579" spans="1:16" x14ac:dyDescent="0.25">
      <c r="A579" s="16">
        <v>46</v>
      </c>
      <c r="B579" s="16">
        <v>437930.10856199998</v>
      </c>
      <c r="C579" s="16">
        <v>5688750.3324180003</v>
      </c>
      <c r="D579" s="31">
        <v>25</v>
      </c>
      <c r="E579" s="31" t="s">
        <v>33</v>
      </c>
      <c r="F579" s="31">
        <v>2011</v>
      </c>
      <c r="G579" s="16">
        <v>0.15630000000000002</v>
      </c>
      <c r="H579" s="16">
        <v>4.6673463437247584E-2</v>
      </c>
      <c r="I579" s="16">
        <v>2.7E-2</v>
      </c>
      <c r="J579" s="16">
        <v>1.232424849639879E-2</v>
      </c>
      <c r="K579" s="16">
        <v>6.2799999999999995E-2</v>
      </c>
      <c r="L579" s="16">
        <v>1.9965975980790269E-2</v>
      </c>
      <c r="M579" s="16">
        <v>2.6707487456457315E-2</v>
      </c>
      <c r="N579" s="16">
        <v>7.6E-3</v>
      </c>
      <c r="O579" s="16">
        <v>3.6207547169811345E-3</v>
      </c>
      <c r="P579" s="95"/>
    </row>
    <row r="580" spans="1:16" x14ac:dyDescent="0.25">
      <c r="A580" s="16">
        <v>47</v>
      </c>
      <c r="B580" s="16">
        <v>438061</v>
      </c>
      <c r="C580" s="16">
        <v>5688779</v>
      </c>
      <c r="D580" s="31">
        <v>26</v>
      </c>
      <c r="E580" s="31" t="s">
        <v>33</v>
      </c>
      <c r="F580" s="31">
        <v>2011</v>
      </c>
      <c r="G580" s="16">
        <v>0.127</v>
      </c>
      <c r="H580" s="16">
        <v>3.8458022476890626E-2</v>
      </c>
      <c r="I580" s="16">
        <v>3.5400000000000001E-2</v>
      </c>
      <c r="J580" s="16">
        <v>1.7017501201507652E-2</v>
      </c>
      <c r="K580" s="16">
        <v>3.27E-2</v>
      </c>
      <c r="L580" s="16">
        <v>1.1472673660275561E-2</v>
      </c>
      <c r="M580" s="16">
        <v>2.6985348816615067E-2</v>
      </c>
      <c r="N580" s="16">
        <v>1.04E-2</v>
      </c>
      <c r="O580" s="16">
        <v>5.0994578414724151E-3</v>
      </c>
      <c r="P580" s="95"/>
    </row>
    <row r="581" spans="1:16" x14ac:dyDescent="0.25">
      <c r="A581" s="35">
        <v>48</v>
      </c>
      <c r="B581" s="35">
        <v>438168.10856199998</v>
      </c>
      <c r="C581" s="35">
        <v>5688750.3324180003</v>
      </c>
      <c r="D581" s="96">
        <v>27</v>
      </c>
      <c r="E581" s="96" t="s">
        <v>33</v>
      </c>
      <c r="F581" s="96">
        <v>2011</v>
      </c>
      <c r="G581" s="96" t="s">
        <v>18</v>
      </c>
      <c r="H581" s="96" t="s">
        <v>18</v>
      </c>
      <c r="I581" s="96" t="s">
        <v>18</v>
      </c>
      <c r="J581" s="96" t="s">
        <v>18</v>
      </c>
      <c r="K581" s="96" t="s">
        <v>18</v>
      </c>
      <c r="L581" s="96" t="s">
        <v>18</v>
      </c>
      <c r="M581" s="96" t="s">
        <v>18</v>
      </c>
      <c r="N581" s="96" t="s">
        <v>18</v>
      </c>
      <c r="O581" s="96" t="s">
        <v>18</v>
      </c>
      <c r="P581" s="94" t="s">
        <v>89</v>
      </c>
    </row>
    <row r="582" spans="1:16" x14ac:dyDescent="0.25">
      <c r="A582" s="16">
        <v>49</v>
      </c>
      <c r="B582" s="16">
        <v>437454.10856199998</v>
      </c>
      <c r="C582" s="16">
        <v>5688869.3324180003</v>
      </c>
      <c r="D582" s="31">
        <v>27</v>
      </c>
      <c r="E582" s="31" t="s">
        <v>33</v>
      </c>
      <c r="F582" s="31">
        <v>2011</v>
      </c>
      <c r="G582" s="16">
        <v>0.1656</v>
      </c>
      <c r="H582" s="16">
        <v>4.4643152497177818E-2</v>
      </c>
      <c r="I582" s="16">
        <v>2.3E-3</v>
      </c>
      <c r="J582" s="16">
        <v>1.1606629726137233E-3</v>
      </c>
      <c r="K582" s="16">
        <v>5.45E-2</v>
      </c>
      <c r="L582" s="16">
        <v>2.2622937232184937E-2</v>
      </c>
      <c r="M582" s="16">
        <v>2.2020215264992881E-2</v>
      </c>
      <c r="N582" s="16">
        <v>4.0999999999999995E-3</v>
      </c>
      <c r="O582" s="16">
        <v>2.3074815171779642E-3</v>
      </c>
      <c r="P582" s="95"/>
    </row>
    <row r="583" spans="1:16" x14ac:dyDescent="0.25">
      <c r="A583" s="16">
        <v>50</v>
      </c>
      <c r="B583" s="16">
        <v>437811.10856199998</v>
      </c>
      <c r="C583" s="16">
        <v>5688869.3324180003</v>
      </c>
      <c r="D583" s="46">
        <v>27</v>
      </c>
      <c r="E583" s="46" t="s">
        <v>33</v>
      </c>
      <c r="F583" s="46">
        <v>2011</v>
      </c>
      <c r="G583" s="31" t="s">
        <v>18</v>
      </c>
      <c r="H583" s="31" t="s">
        <v>18</v>
      </c>
      <c r="I583" s="31" t="s">
        <v>18</v>
      </c>
      <c r="J583" s="31" t="s">
        <v>18</v>
      </c>
      <c r="K583" s="31" t="s">
        <v>18</v>
      </c>
      <c r="L583" s="31" t="s">
        <v>18</v>
      </c>
      <c r="M583" s="31" t="s">
        <v>18</v>
      </c>
      <c r="N583" s="31" t="s">
        <v>18</v>
      </c>
      <c r="O583" s="31" t="s">
        <v>18</v>
      </c>
      <c r="P583" s="95" t="s">
        <v>81</v>
      </c>
    </row>
    <row r="584" spans="1:16" x14ac:dyDescent="0.25">
      <c r="A584" s="16">
        <v>51</v>
      </c>
      <c r="B584" s="16">
        <v>437930.10856199998</v>
      </c>
      <c r="C584" s="16">
        <v>5688869.3324180003</v>
      </c>
      <c r="D584" s="46" t="s">
        <v>18</v>
      </c>
      <c r="E584" s="46" t="s">
        <v>33</v>
      </c>
      <c r="F584" s="46">
        <v>2011</v>
      </c>
      <c r="G584" s="31" t="s">
        <v>18</v>
      </c>
      <c r="H584" s="31" t="s">
        <v>18</v>
      </c>
      <c r="I584" s="31" t="s">
        <v>18</v>
      </c>
      <c r="J584" s="31" t="s">
        <v>18</v>
      </c>
      <c r="K584" s="31" t="s">
        <v>18</v>
      </c>
      <c r="L584" s="31" t="s">
        <v>18</v>
      </c>
      <c r="M584" s="31" t="s">
        <v>18</v>
      </c>
      <c r="N584" s="31" t="s">
        <v>18</v>
      </c>
      <c r="O584" s="31" t="s">
        <v>18</v>
      </c>
      <c r="P584" s="95" t="s">
        <v>81</v>
      </c>
    </row>
    <row r="585" spans="1:16" x14ac:dyDescent="0.25">
      <c r="A585" s="16">
        <v>52</v>
      </c>
      <c r="B585" s="16">
        <v>438049.10856199998</v>
      </c>
      <c r="C585" s="16">
        <v>5688869.3324180003</v>
      </c>
      <c r="D585" s="31">
        <v>26</v>
      </c>
      <c r="E585" s="31" t="s">
        <v>33</v>
      </c>
      <c r="F585" s="31">
        <v>2011</v>
      </c>
      <c r="G585" s="16">
        <v>7.5200000000000003E-2</v>
      </c>
      <c r="H585" s="16">
        <v>2.2771994411513188E-2</v>
      </c>
      <c r="I585" s="16">
        <v>0.1295</v>
      </c>
      <c r="J585" s="16">
        <v>6.2253288293650878E-2</v>
      </c>
      <c r="K585" s="16">
        <v>1.5300000000000001E-2</v>
      </c>
      <c r="L585" s="16">
        <v>5.3679482263674647E-3</v>
      </c>
      <c r="M585" s="16">
        <v>1.7404046185145725E-2</v>
      </c>
      <c r="N585" s="16">
        <v>0</v>
      </c>
      <c r="O585" s="16">
        <v>0</v>
      </c>
      <c r="P585" s="95"/>
    </row>
    <row r="586" spans="1:16" x14ac:dyDescent="0.25">
      <c r="A586" s="16">
        <v>53</v>
      </c>
      <c r="B586" s="16">
        <v>438287.10856199998</v>
      </c>
      <c r="C586" s="16">
        <v>5688869.3324180003</v>
      </c>
      <c r="D586" s="31">
        <v>26</v>
      </c>
      <c r="E586" s="31" t="s">
        <v>33</v>
      </c>
      <c r="F586" s="31">
        <v>2011</v>
      </c>
      <c r="G586" s="16">
        <v>5.0799999999999998E-2</v>
      </c>
      <c r="H586" s="16">
        <v>1.5383208990756249E-2</v>
      </c>
      <c r="I586" s="16">
        <v>0</v>
      </c>
      <c r="J586" s="16">
        <v>0</v>
      </c>
      <c r="K586" s="16">
        <v>5.4999999999999997E-3</v>
      </c>
      <c r="L586" s="16">
        <v>1.9296545911778465E-3</v>
      </c>
      <c r="M586" s="16">
        <v>1.3453554399578401E-2</v>
      </c>
      <c r="N586" s="16">
        <v>0</v>
      </c>
      <c r="O586" s="16">
        <v>0</v>
      </c>
      <c r="P586" s="95"/>
    </row>
    <row r="587" spans="1:16" x14ac:dyDescent="0.25">
      <c r="A587" s="16">
        <v>54</v>
      </c>
      <c r="B587" s="16">
        <v>437454.10856199998</v>
      </c>
      <c r="C587" s="16">
        <v>5688988.3324180003</v>
      </c>
      <c r="D587" s="31">
        <v>27</v>
      </c>
      <c r="E587" s="31" t="s">
        <v>33</v>
      </c>
      <c r="F587" s="31">
        <v>2011</v>
      </c>
      <c r="G587" s="16">
        <v>6.5799999999999997E-2</v>
      </c>
      <c r="H587" s="16">
        <v>1.7738643927018721E-2</v>
      </c>
      <c r="I587" s="16">
        <v>3.6899999999999995E-2</v>
      </c>
      <c r="J587" s="16">
        <v>1.8621071169324516E-2</v>
      </c>
      <c r="K587" s="16">
        <v>4.0799999999999996E-2</v>
      </c>
      <c r="L587" s="16">
        <v>1.693607044170909E-2</v>
      </c>
      <c r="M587" s="16">
        <v>8.0257348530963016E-4</v>
      </c>
      <c r="N587" s="16">
        <v>1.4500000000000001E-2</v>
      </c>
      <c r="O587" s="16">
        <v>8.1606053656293875E-3</v>
      </c>
      <c r="P587" s="95"/>
    </row>
    <row r="588" spans="1:16" x14ac:dyDescent="0.25">
      <c r="A588" s="16">
        <v>55</v>
      </c>
      <c r="B588" s="16">
        <v>438049.10856199998</v>
      </c>
      <c r="C588" s="16">
        <v>5688988.3324180003</v>
      </c>
      <c r="D588" s="31">
        <v>26</v>
      </c>
      <c r="E588" s="31" t="s">
        <v>33</v>
      </c>
      <c r="F588" s="31">
        <v>2011</v>
      </c>
      <c r="G588" s="16">
        <v>0.17349999999999999</v>
      </c>
      <c r="H588" s="16">
        <v>5.253910944677577E-2</v>
      </c>
      <c r="I588" s="16">
        <v>0.15230000000000002</v>
      </c>
      <c r="J588" s="16">
        <v>7.3213712796316832E-2</v>
      </c>
      <c r="K588" s="16">
        <v>5.8400000000000001E-2</v>
      </c>
      <c r="L588" s="16">
        <v>2.0489423295415681E-2</v>
      </c>
      <c r="M588" s="16">
        <v>3.2049686151360085E-2</v>
      </c>
      <c r="N588" s="16">
        <v>0</v>
      </c>
      <c r="O588" s="16">
        <v>0</v>
      </c>
      <c r="P588" s="95"/>
    </row>
    <row r="589" spans="1:16" x14ac:dyDescent="0.25">
      <c r="A589" s="16">
        <v>56</v>
      </c>
      <c r="B589" s="16">
        <v>438168.10856199998</v>
      </c>
      <c r="C589" s="16">
        <v>5688988.3324180003</v>
      </c>
      <c r="D589" s="31">
        <v>26</v>
      </c>
      <c r="E589" s="31" t="s">
        <v>33</v>
      </c>
      <c r="F589" s="31">
        <v>2011</v>
      </c>
      <c r="G589" s="16">
        <v>1.5900000000000001E-2</v>
      </c>
      <c r="H589" s="16">
        <v>4.8148232864768581E-3</v>
      </c>
      <c r="I589" s="16">
        <v>0</v>
      </c>
      <c r="J589" s="16">
        <v>0</v>
      </c>
      <c r="K589" s="16">
        <v>4.2000000000000006E-3</v>
      </c>
      <c r="L589" s="16">
        <v>1.4735544150812649E-3</v>
      </c>
      <c r="M589" s="16">
        <v>3.3412688713955934E-3</v>
      </c>
      <c r="N589" s="16">
        <v>0</v>
      </c>
      <c r="O589" s="16">
        <v>0</v>
      </c>
      <c r="P589" s="95"/>
    </row>
    <row r="590" spans="1:16" x14ac:dyDescent="0.25">
      <c r="A590" s="36">
        <v>57</v>
      </c>
      <c r="B590" s="36">
        <v>438146</v>
      </c>
      <c r="C590" s="36">
        <v>5688977</v>
      </c>
      <c r="D590" s="99">
        <v>26</v>
      </c>
      <c r="E590" s="99" t="s">
        <v>33</v>
      </c>
      <c r="F590" s="99">
        <v>2011</v>
      </c>
      <c r="G590" s="36">
        <v>0.22700000000000001</v>
      </c>
      <c r="H590" s="36">
        <v>6.8739929939009223E-2</v>
      </c>
      <c r="I590" s="36">
        <v>0</v>
      </c>
      <c r="J590" s="36">
        <v>0</v>
      </c>
      <c r="K590" s="36">
        <v>2.93E-2</v>
      </c>
      <c r="L590" s="36">
        <v>1.0279796276638347E-2</v>
      </c>
      <c r="M590" s="36">
        <v>5.8460133662370878E-2</v>
      </c>
      <c r="N590" s="36">
        <v>0</v>
      </c>
      <c r="O590" s="36">
        <v>0</v>
      </c>
      <c r="P590" s="100"/>
    </row>
    <row r="591" spans="1:16" x14ac:dyDescent="0.25">
      <c r="A591" s="36">
        <v>58</v>
      </c>
      <c r="B591" s="36">
        <v>438131</v>
      </c>
      <c r="C591" s="36">
        <v>5688972</v>
      </c>
      <c r="D591" s="99">
        <v>26</v>
      </c>
      <c r="E591" s="99" t="s">
        <v>33</v>
      </c>
      <c r="F591" s="99">
        <v>2011</v>
      </c>
      <c r="G591" s="36">
        <v>0.22619999999999998</v>
      </c>
      <c r="H591" s="36">
        <v>6.8497674679312268E-2</v>
      </c>
      <c r="I591" s="36">
        <v>0</v>
      </c>
      <c r="J591" s="36">
        <v>0</v>
      </c>
      <c r="K591" s="36">
        <v>1.8E-3</v>
      </c>
      <c r="L591" s="36">
        <v>6.315233207491134E-4</v>
      </c>
      <c r="M591" s="36">
        <v>6.7866151358563151E-2</v>
      </c>
      <c r="N591" s="36">
        <v>0</v>
      </c>
      <c r="O591" s="36">
        <v>0</v>
      </c>
      <c r="P591" s="100"/>
    </row>
    <row r="592" spans="1:16" x14ac:dyDescent="0.25">
      <c r="A592" s="36">
        <v>59</v>
      </c>
      <c r="B592" s="36">
        <v>438089</v>
      </c>
      <c r="C592" s="36">
        <v>5688713</v>
      </c>
      <c r="D592" s="99">
        <v>26</v>
      </c>
      <c r="E592" s="99" t="s">
        <v>33</v>
      </c>
      <c r="F592" s="99">
        <v>2011</v>
      </c>
      <c r="G592" s="36">
        <v>0.27560000000000001</v>
      </c>
      <c r="H592" s="36">
        <v>8.3456936965598874E-2</v>
      </c>
      <c r="I592" s="36">
        <v>0</v>
      </c>
      <c r="J592" s="36">
        <v>0</v>
      </c>
      <c r="K592" s="36">
        <v>0.1024</v>
      </c>
      <c r="L592" s="36">
        <v>3.5926660024838457E-2</v>
      </c>
      <c r="M592" s="36">
        <v>4.7530276940760417E-2</v>
      </c>
      <c r="N592" s="36">
        <v>0</v>
      </c>
      <c r="O592" s="36">
        <v>0</v>
      </c>
      <c r="P592" s="100"/>
    </row>
    <row r="593" spans="1:19" x14ac:dyDescent="0.25">
      <c r="A593" s="36">
        <v>60</v>
      </c>
      <c r="B593" s="36">
        <v>438099</v>
      </c>
      <c r="C593" s="36">
        <v>5688719</v>
      </c>
      <c r="D593" s="99">
        <v>26</v>
      </c>
      <c r="E593" s="99" t="s">
        <v>33</v>
      </c>
      <c r="F593" s="99">
        <v>2011</v>
      </c>
      <c r="G593" s="36">
        <v>0.1452</v>
      </c>
      <c r="H593" s="36">
        <v>4.396932963499621E-2</v>
      </c>
      <c r="I593" s="36">
        <v>0</v>
      </c>
      <c r="J593" s="36">
        <v>0</v>
      </c>
      <c r="K593" s="36">
        <v>6.3100000000000003E-2</v>
      </c>
      <c r="L593" s="36">
        <v>2.2138400855149478E-2</v>
      </c>
      <c r="M593" s="36">
        <v>2.1830928779846732E-2</v>
      </c>
      <c r="N593" s="36">
        <v>0</v>
      </c>
      <c r="O593" s="36">
        <v>0</v>
      </c>
      <c r="P593" s="100"/>
    </row>
    <row r="594" spans="1:19" x14ac:dyDescent="0.25">
      <c r="A594" s="16">
        <v>1</v>
      </c>
      <c r="B594" s="16">
        <v>437930.10856199998</v>
      </c>
      <c r="C594" s="16">
        <v>5688036.3324180003</v>
      </c>
      <c r="D594" s="31">
        <v>9</v>
      </c>
      <c r="E594" s="31" t="s">
        <v>61</v>
      </c>
      <c r="F594" s="31">
        <v>2011</v>
      </c>
      <c r="G594" s="16">
        <v>0.11</v>
      </c>
      <c r="H594" s="16">
        <v>3.5200000000000002E-2</v>
      </c>
      <c r="I594" s="16">
        <v>1.4500000000000001E-2</v>
      </c>
      <c r="J594" s="16">
        <v>5.2199999999999998E-3</v>
      </c>
      <c r="K594" s="16">
        <v>4.5700000000000005E-2</v>
      </c>
      <c r="L594" s="16">
        <v>1.6452000000000001E-2</v>
      </c>
      <c r="M594" s="16">
        <v>1.8748000000000001E-2</v>
      </c>
      <c r="N594" s="16">
        <v>0</v>
      </c>
      <c r="O594" s="16">
        <v>0</v>
      </c>
      <c r="P594" s="95"/>
      <c r="R594" s="5">
        <f>AVERAGE(M594:M653)</f>
        <v>5.1828180000000001E-2</v>
      </c>
      <c r="S594" s="5">
        <f>AVERAGE(H594:H653)</f>
        <v>6.653619999999999E-2</v>
      </c>
    </row>
    <row r="595" spans="1:19" x14ac:dyDescent="0.25">
      <c r="A595" s="16">
        <v>2</v>
      </c>
      <c r="B595" s="16">
        <v>437811.10856199998</v>
      </c>
      <c r="C595" s="16">
        <v>5688155.3324180003</v>
      </c>
      <c r="D595" s="31">
        <v>9</v>
      </c>
      <c r="E595" s="31" t="s">
        <v>61</v>
      </c>
      <c r="F595" s="31">
        <v>2011</v>
      </c>
      <c r="G595" s="16">
        <v>0.1346</v>
      </c>
      <c r="H595" s="16">
        <v>4.3071999999999999E-2</v>
      </c>
      <c r="I595" s="16">
        <v>9.3799999999999994E-2</v>
      </c>
      <c r="J595" s="16">
        <v>3.3767999999999999E-2</v>
      </c>
      <c r="K595" s="16">
        <v>5.74E-2</v>
      </c>
      <c r="L595" s="16">
        <v>2.0663999999999998E-2</v>
      </c>
      <c r="M595" s="16">
        <v>2.2408000000000001E-2</v>
      </c>
      <c r="N595" s="16">
        <v>0</v>
      </c>
      <c r="O595" s="16">
        <v>0</v>
      </c>
      <c r="P595" s="95"/>
    </row>
    <row r="596" spans="1:19" x14ac:dyDescent="0.25">
      <c r="A596" s="16">
        <v>3</v>
      </c>
      <c r="B596" s="16">
        <v>437930.10856199998</v>
      </c>
      <c r="C596" s="16">
        <v>5688155.3324180003</v>
      </c>
      <c r="D596" s="31">
        <v>9</v>
      </c>
      <c r="E596" s="31" t="s">
        <v>61</v>
      </c>
      <c r="F596" s="31">
        <v>2011</v>
      </c>
      <c r="G596" s="16">
        <v>0.1129</v>
      </c>
      <c r="H596" s="16">
        <v>3.6128E-2</v>
      </c>
      <c r="I596" s="16">
        <v>5.8500000000000003E-2</v>
      </c>
      <c r="J596" s="16">
        <v>2.1059999999999999E-2</v>
      </c>
      <c r="K596" s="16">
        <v>3.5999999999999997E-2</v>
      </c>
      <c r="L596" s="16">
        <v>1.2959999999999999E-2</v>
      </c>
      <c r="M596" s="16">
        <v>2.3168000000000001E-2</v>
      </c>
      <c r="N596" s="16">
        <v>3.7000000000000002E-3</v>
      </c>
      <c r="O596" s="16">
        <v>2.0350000000000004E-3</v>
      </c>
      <c r="P596" s="95"/>
    </row>
    <row r="597" spans="1:19" x14ac:dyDescent="0.25">
      <c r="A597" s="16">
        <v>4</v>
      </c>
      <c r="B597" s="16">
        <v>438049.10856199998</v>
      </c>
      <c r="C597" s="16">
        <v>5688155.3324180003</v>
      </c>
      <c r="D597" s="31">
        <v>9</v>
      </c>
      <c r="E597" s="31" t="s">
        <v>61</v>
      </c>
      <c r="F597" s="31">
        <v>2011</v>
      </c>
      <c r="G597" s="16">
        <v>0.15890000000000001</v>
      </c>
      <c r="H597" s="16">
        <v>5.0848000000000004E-2</v>
      </c>
      <c r="I597" s="16">
        <v>0</v>
      </c>
      <c r="J597" s="16">
        <v>0</v>
      </c>
      <c r="K597" s="16">
        <v>6.6599999999999993E-2</v>
      </c>
      <c r="L597" s="16">
        <v>2.3975999999999997E-2</v>
      </c>
      <c r="M597" s="16">
        <v>2.6872000000000007E-2</v>
      </c>
      <c r="N597" s="16">
        <v>0</v>
      </c>
      <c r="O597" s="16">
        <v>0</v>
      </c>
      <c r="P597" s="95"/>
    </row>
    <row r="598" spans="1:19" x14ac:dyDescent="0.25">
      <c r="A598" s="16">
        <v>5</v>
      </c>
      <c r="B598" s="16">
        <v>437573.10856199998</v>
      </c>
      <c r="C598" s="16">
        <v>5688274.3324180003</v>
      </c>
      <c r="D598" s="31">
        <v>9</v>
      </c>
      <c r="E598" s="31" t="s">
        <v>61</v>
      </c>
      <c r="F598" s="31">
        <v>2011</v>
      </c>
      <c r="G598" s="16">
        <v>4.6899999999999997E-2</v>
      </c>
      <c r="H598" s="16">
        <v>1.5007999999999999E-2</v>
      </c>
      <c r="I598" s="16">
        <v>0.13250000000000001</v>
      </c>
      <c r="J598" s="16">
        <v>4.7699999999999999E-2</v>
      </c>
      <c r="K598" s="16">
        <v>5.3899999999999997E-2</v>
      </c>
      <c r="L598" s="16">
        <v>1.9403999999999998E-2</v>
      </c>
      <c r="M598" s="16">
        <v>-4.3959999999999989E-3</v>
      </c>
      <c r="N598" s="16">
        <v>9.5700000000000007E-2</v>
      </c>
      <c r="O598" s="16">
        <v>5.2635000000000008E-2</v>
      </c>
      <c r="P598" s="95"/>
    </row>
    <row r="599" spans="1:19" x14ac:dyDescent="0.25">
      <c r="A599" s="16">
        <v>6</v>
      </c>
      <c r="B599" s="16">
        <v>437692.10856199998</v>
      </c>
      <c r="C599" s="16">
        <v>5688274.3324180003</v>
      </c>
      <c r="D599" s="31">
        <v>9</v>
      </c>
      <c r="E599" s="31" t="s">
        <v>61</v>
      </c>
      <c r="F599" s="31">
        <v>2011</v>
      </c>
      <c r="G599" s="16">
        <v>9.1400000000000009E-2</v>
      </c>
      <c r="H599" s="16">
        <v>2.9248000000000003E-2</v>
      </c>
      <c r="I599" s="16">
        <v>0.10859999999999999</v>
      </c>
      <c r="J599" s="16">
        <v>3.9095999999999992E-2</v>
      </c>
      <c r="K599" s="16">
        <v>2.0399999999999998E-2</v>
      </c>
      <c r="L599" s="16">
        <v>7.343999999999999E-3</v>
      </c>
      <c r="M599" s="16">
        <v>2.1904000000000003E-2</v>
      </c>
      <c r="N599" s="16">
        <v>4.0500000000000001E-2</v>
      </c>
      <c r="O599" s="16">
        <v>2.2275000000000003E-2</v>
      </c>
      <c r="P599" s="95"/>
    </row>
    <row r="600" spans="1:19" x14ac:dyDescent="0.25">
      <c r="A600" s="16">
        <v>7</v>
      </c>
      <c r="B600" s="16">
        <v>437811.10856199998</v>
      </c>
      <c r="C600" s="16">
        <v>5688274.3324180003</v>
      </c>
      <c r="D600" s="31">
        <v>9</v>
      </c>
      <c r="E600" s="31" t="s">
        <v>61</v>
      </c>
      <c r="F600" s="31">
        <v>2011</v>
      </c>
      <c r="G600" s="16">
        <v>2.01E-2</v>
      </c>
      <c r="H600" s="16">
        <v>6.4320000000000002E-3</v>
      </c>
      <c r="I600" s="16">
        <v>0.45139999999999997</v>
      </c>
      <c r="J600" s="16">
        <v>0.16250399999999998</v>
      </c>
      <c r="K600" s="16">
        <v>2.35E-2</v>
      </c>
      <c r="L600" s="16">
        <v>8.4600000000000005E-3</v>
      </c>
      <c r="M600" s="16">
        <v>-2.0280000000000003E-3</v>
      </c>
      <c r="N600" s="16">
        <v>0.11609999999999999</v>
      </c>
      <c r="O600" s="16">
        <v>6.3855000000000009E-2</v>
      </c>
      <c r="P600" s="95"/>
    </row>
    <row r="601" spans="1:19" x14ac:dyDescent="0.25">
      <c r="A601" s="16">
        <v>8</v>
      </c>
      <c r="B601" s="16">
        <v>437930.10856199998</v>
      </c>
      <c r="C601" s="16">
        <v>5688274.3324180003</v>
      </c>
      <c r="D601" s="31">
        <v>9</v>
      </c>
      <c r="E601" s="31" t="s">
        <v>61</v>
      </c>
      <c r="F601" s="31">
        <v>2011</v>
      </c>
      <c r="G601" s="16">
        <v>0.1966</v>
      </c>
      <c r="H601" s="16">
        <v>6.2911999999999996E-2</v>
      </c>
      <c r="I601" s="16">
        <v>8.2799999999999999E-2</v>
      </c>
      <c r="J601" s="16">
        <v>2.9807999999999998E-2</v>
      </c>
      <c r="K601" s="16">
        <v>2.35E-2</v>
      </c>
      <c r="L601" s="16">
        <v>8.4600000000000005E-3</v>
      </c>
      <c r="M601" s="16">
        <v>5.4451999999999993E-2</v>
      </c>
      <c r="N601" s="16">
        <v>8.1799999999999998E-2</v>
      </c>
      <c r="O601" s="16">
        <v>4.4990000000000002E-2</v>
      </c>
      <c r="P601" s="95"/>
    </row>
    <row r="602" spans="1:19" x14ac:dyDescent="0.25">
      <c r="A602" s="16">
        <v>9</v>
      </c>
      <c r="B602" s="16">
        <v>438287.10856199998</v>
      </c>
      <c r="C602" s="16">
        <v>5688274.3324180003</v>
      </c>
      <c r="D602" s="31">
        <v>9</v>
      </c>
      <c r="E602" s="31" t="s">
        <v>61</v>
      </c>
      <c r="F602" s="31">
        <v>2011</v>
      </c>
      <c r="G602" s="16">
        <v>0.1191</v>
      </c>
      <c r="H602" s="16">
        <v>3.8112E-2</v>
      </c>
      <c r="I602" s="16">
        <v>0</v>
      </c>
      <c r="J602" s="16">
        <v>0</v>
      </c>
      <c r="K602" s="16">
        <v>7.7499999999999999E-2</v>
      </c>
      <c r="L602" s="16">
        <v>2.7899999999999998E-2</v>
      </c>
      <c r="M602" s="16">
        <v>1.0212000000000002E-2</v>
      </c>
      <c r="N602" s="16">
        <v>3.3E-3</v>
      </c>
      <c r="O602" s="16">
        <v>1.8150000000000002E-3</v>
      </c>
      <c r="P602" s="95"/>
    </row>
    <row r="603" spans="1:19" x14ac:dyDescent="0.25">
      <c r="A603" s="16">
        <v>10</v>
      </c>
      <c r="B603" s="16">
        <v>438406.10856199998</v>
      </c>
      <c r="C603" s="16">
        <v>5688274.3324180003</v>
      </c>
      <c r="D603" s="31">
        <v>9</v>
      </c>
      <c r="E603" s="31" t="s">
        <v>61</v>
      </c>
      <c r="F603" s="31">
        <v>2011</v>
      </c>
      <c r="G603" s="16">
        <v>0.12990000000000002</v>
      </c>
      <c r="H603" s="16">
        <v>4.1568000000000008E-2</v>
      </c>
      <c r="I603" s="16">
        <v>0</v>
      </c>
      <c r="J603" s="16">
        <v>0</v>
      </c>
      <c r="K603" s="16">
        <v>2.5000000000000001E-2</v>
      </c>
      <c r="L603" s="16">
        <v>8.9999999999999993E-3</v>
      </c>
      <c r="M603" s="16">
        <v>3.2568000000000007E-2</v>
      </c>
      <c r="N603" s="16">
        <v>0</v>
      </c>
      <c r="O603" s="16">
        <v>0</v>
      </c>
      <c r="P603" s="95"/>
    </row>
    <row r="604" spans="1:19" x14ac:dyDescent="0.25">
      <c r="A604" s="16">
        <v>11</v>
      </c>
      <c r="B604" s="16">
        <v>437454.10856199998</v>
      </c>
      <c r="C604" s="16">
        <v>5688393.3324180003</v>
      </c>
      <c r="D604" s="31">
        <v>9</v>
      </c>
      <c r="E604" s="31" t="s">
        <v>61</v>
      </c>
      <c r="F604" s="31">
        <v>2011</v>
      </c>
      <c r="G604" s="16">
        <v>0.13780000000000001</v>
      </c>
      <c r="H604" s="16">
        <v>4.4096000000000003E-2</v>
      </c>
      <c r="I604" s="16">
        <v>6.2899999999999998E-2</v>
      </c>
      <c r="J604" s="16">
        <v>2.2643999999999997E-2</v>
      </c>
      <c r="K604" s="16">
        <v>7.3999999999999996E-2</v>
      </c>
      <c r="L604" s="16">
        <v>2.6639999999999997E-2</v>
      </c>
      <c r="M604" s="16">
        <v>1.7456000000000006E-2</v>
      </c>
      <c r="N604" s="16">
        <v>5.9200000000000003E-2</v>
      </c>
      <c r="O604" s="16">
        <v>3.2560000000000006E-2</v>
      </c>
      <c r="P604" s="95"/>
    </row>
    <row r="605" spans="1:19" x14ac:dyDescent="0.25">
      <c r="A605" s="16">
        <v>12</v>
      </c>
      <c r="B605" s="16">
        <v>437573.10856199998</v>
      </c>
      <c r="C605" s="16">
        <v>5688393.3324180003</v>
      </c>
      <c r="D605" s="31">
        <v>9</v>
      </c>
      <c r="E605" s="31" t="s">
        <v>61</v>
      </c>
      <c r="F605" s="31">
        <v>2011</v>
      </c>
      <c r="G605" s="31" t="s">
        <v>18</v>
      </c>
      <c r="H605" s="31" t="s">
        <v>18</v>
      </c>
      <c r="I605" s="16">
        <v>0.2361</v>
      </c>
      <c r="J605" s="16">
        <v>8.4996000000000002E-2</v>
      </c>
      <c r="K605" s="16">
        <v>4.0600000000000004E-2</v>
      </c>
      <c r="L605" s="16">
        <v>1.4616000000000001E-2</v>
      </c>
      <c r="M605" s="31" t="s">
        <v>18</v>
      </c>
      <c r="N605" s="16">
        <v>0.20619999999999999</v>
      </c>
      <c r="O605" s="16">
        <v>0.11341000000000001</v>
      </c>
      <c r="P605" s="95" t="s">
        <v>190</v>
      </c>
    </row>
    <row r="606" spans="1:19" x14ac:dyDescent="0.25">
      <c r="A606" s="16">
        <v>13</v>
      </c>
      <c r="B606" s="16">
        <v>437692.10856199998</v>
      </c>
      <c r="C606" s="16">
        <v>5688393.3324180003</v>
      </c>
      <c r="D606" s="31">
        <v>9</v>
      </c>
      <c r="E606" s="31" t="s">
        <v>61</v>
      </c>
      <c r="F606" s="31">
        <v>2011</v>
      </c>
      <c r="G606" s="16">
        <v>0.15490000000000001</v>
      </c>
      <c r="H606" s="16">
        <v>4.9568000000000001E-2</v>
      </c>
      <c r="I606" s="16">
        <v>0.2777</v>
      </c>
      <c r="J606" s="16">
        <v>9.9971999999999991E-2</v>
      </c>
      <c r="K606" s="16">
        <v>9.3099999999999988E-2</v>
      </c>
      <c r="L606" s="16">
        <v>3.3515999999999997E-2</v>
      </c>
      <c r="M606" s="16">
        <v>1.6052000000000004E-2</v>
      </c>
      <c r="N606" s="16">
        <v>8.6199999999999999E-2</v>
      </c>
      <c r="O606" s="16">
        <v>4.7410000000000001E-2</v>
      </c>
      <c r="P606" s="95"/>
    </row>
    <row r="607" spans="1:19" x14ac:dyDescent="0.25">
      <c r="A607" s="35">
        <v>14</v>
      </c>
      <c r="B607" s="35">
        <v>437811.10856199998</v>
      </c>
      <c r="C607" s="35">
        <v>5688393.3324180003</v>
      </c>
      <c r="D607" s="96">
        <v>9</v>
      </c>
      <c r="E607" s="96" t="s">
        <v>61</v>
      </c>
      <c r="F607" s="96">
        <v>2011</v>
      </c>
      <c r="G607" s="96" t="s">
        <v>18</v>
      </c>
      <c r="H607" s="96" t="s">
        <v>18</v>
      </c>
      <c r="I607" s="96" t="s">
        <v>18</v>
      </c>
      <c r="J607" s="96" t="s">
        <v>18</v>
      </c>
      <c r="K607" s="96" t="s">
        <v>18</v>
      </c>
      <c r="L607" s="96" t="s">
        <v>18</v>
      </c>
      <c r="M607" s="96" t="s">
        <v>18</v>
      </c>
      <c r="N607" s="96" t="s">
        <v>18</v>
      </c>
      <c r="O607" s="96" t="s">
        <v>18</v>
      </c>
      <c r="P607" s="94" t="s">
        <v>89</v>
      </c>
    </row>
    <row r="608" spans="1:19" x14ac:dyDescent="0.25">
      <c r="A608" s="16">
        <v>15</v>
      </c>
      <c r="B608" s="16">
        <v>437930.10856199998</v>
      </c>
      <c r="C608" s="16">
        <v>5688393.3324180003</v>
      </c>
      <c r="D608" s="31">
        <v>9</v>
      </c>
      <c r="E608" s="31" t="s">
        <v>61</v>
      </c>
      <c r="F608" s="31">
        <v>2011</v>
      </c>
      <c r="G608" s="16">
        <v>0.22569999999999998</v>
      </c>
      <c r="H608" s="16">
        <v>7.2223999999999997E-2</v>
      </c>
      <c r="I608" s="16">
        <v>0.32900000000000001</v>
      </c>
      <c r="J608" s="16">
        <v>0.11844</v>
      </c>
      <c r="K608" s="16">
        <v>3.5499999999999997E-2</v>
      </c>
      <c r="L608" s="16">
        <v>1.2779999999999998E-2</v>
      </c>
      <c r="M608" s="16">
        <v>5.9443999999999997E-2</v>
      </c>
      <c r="N608" s="16">
        <v>0.18030000000000002</v>
      </c>
      <c r="O608" s="16">
        <v>9.9165000000000017E-2</v>
      </c>
      <c r="P608" s="95"/>
    </row>
    <row r="609" spans="1:16" x14ac:dyDescent="0.25">
      <c r="A609" s="16">
        <v>16</v>
      </c>
      <c r="B609" s="16">
        <v>438049.10856199998</v>
      </c>
      <c r="C609" s="16">
        <v>5688393.3324180003</v>
      </c>
      <c r="D609" s="31">
        <v>9</v>
      </c>
      <c r="E609" s="31" t="s">
        <v>61</v>
      </c>
      <c r="F609" s="31">
        <v>2011</v>
      </c>
      <c r="G609" s="16">
        <v>0.1663</v>
      </c>
      <c r="H609" s="16">
        <v>5.3215999999999999E-2</v>
      </c>
      <c r="I609" s="16">
        <v>0.1951</v>
      </c>
      <c r="J609" s="16">
        <v>7.0235999999999993E-2</v>
      </c>
      <c r="K609" s="16">
        <v>5.8200000000000002E-2</v>
      </c>
      <c r="L609" s="16">
        <v>2.0951999999999998E-2</v>
      </c>
      <c r="M609" s="16">
        <v>3.2264000000000001E-2</v>
      </c>
      <c r="N609" s="16">
        <v>6.3500000000000001E-2</v>
      </c>
      <c r="O609" s="16">
        <v>3.4925000000000005E-2</v>
      </c>
      <c r="P609" s="95"/>
    </row>
    <row r="610" spans="1:16" x14ac:dyDescent="0.25">
      <c r="A610" s="16">
        <v>17</v>
      </c>
      <c r="B610" s="16">
        <v>438168.10856199998</v>
      </c>
      <c r="C610" s="16">
        <v>5688393.3324180003</v>
      </c>
      <c r="D610" s="31">
        <v>9</v>
      </c>
      <c r="E610" s="31" t="s">
        <v>61</v>
      </c>
      <c r="F610" s="31">
        <v>2011</v>
      </c>
      <c r="G610" s="16">
        <v>7.5799999999999992E-2</v>
      </c>
      <c r="H610" s="16">
        <v>2.4256E-2</v>
      </c>
      <c r="I610" s="16">
        <v>1.6000000000000001E-3</v>
      </c>
      <c r="J610" s="16">
        <v>5.7600000000000001E-4</v>
      </c>
      <c r="K610" s="16">
        <v>1.43E-2</v>
      </c>
      <c r="L610" s="16">
        <v>5.1479999999999998E-3</v>
      </c>
      <c r="M610" s="16">
        <v>1.9108E-2</v>
      </c>
      <c r="N610" s="16">
        <v>8.6E-3</v>
      </c>
      <c r="O610" s="16">
        <v>4.7300000000000007E-3</v>
      </c>
      <c r="P610" s="95"/>
    </row>
    <row r="611" spans="1:16" x14ac:dyDescent="0.25">
      <c r="A611" s="16">
        <v>18</v>
      </c>
      <c r="B611" s="16">
        <v>438287.10856199998</v>
      </c>
      <c r="C611" s="16">
        <v>5688393.3324180003</v>
      </c>
      <c r="D611" s="31">
        <v>9</v>
      </c>
      <c r="E611" s="31" t="s">
        <v>61</v>
      </c>
      <c r="F611" s="31">
        <v>2011</v>
      </c>
      <c r="G611" s="16">
        <v>4.6200000000000005E-2</v>
      </c>
      <c r="H611" s="16">
        <v>1.4784000000000002E-2</v>
      </c>
      <c r="I611" s="16">
        <v>0</v>
      </c>
      <c r="J611" s="16">
        <v>0</v>
      </c>
      <c r="K611" s="16">
        <v>6.1700000000000005E-2</v>
      </c>
      <c r="L611" s="16">
        <v>2.2212000000000003E-2</v>
      </c>
      <c r="M611" s="16">
        <v>-7.4280000000000006E-3</v>
      </c>
      <c r="N611" s="16">
        <v>0</v>
      </c>
      <c r="O611" s="16">
        <v>0</v>
      </c>
      <c r="P611" s="95"/>
    </row>
    <row r="612" spans="1:16" x14ac:dyDescent="0.25">
      <c r="A612" s="16">
        <v>19</v>
      </c>
      <c r="B612" s="16">
        <v>438406.10856199998</v>
      </c>
      <c r="C612" s="16">
        <v>5688393.3324180003</v>
      </c>
      <c r="D612" s="31">
        <v>9</v>
      </c>
      <c r="E612" s="31" t="s">
        <v>61</v>
      </c>
      <c r="F612" s="31">
        <v>2011</v>
      </c>
      <c r="G612" s="16">
        <v>0.15280000000000002</v>
      </c>
      <c r="H612" s="16">
        <v>4.8896000000000009E-2</v>
      </c>
      <c r="I612" s="16">
        <v>0</v>
      </c>
      <c r="J612" s="16">
        <v>0</v>
      </c>
      <c r="K612" s="16">
        <v>2.9100000000000001E-2</v>
      </c>
      <c r="L612" s="16">
        <v>1.0475999999999999E-2</v>
      </c>
      <c r="M612" s="16">
        <v>3.842000000000001E-2</v>
      </c>
      <c r="N612" s="16">
        <v>5.9999999999999995E-4</v>
      </c>
      <c r="O612" s="16">
        <v>3.3E-4</v>
      </c>
      <c r="P612" s="95"/>
    </row>
    <row r="613" spans="1:16" x14ac:dyDescent="0.25">
      <c r="A613" s="16">
        <v>20</v>
      </c>
      <c r="B613" s="16">
        <v>437335.10856199998</v>
      </c>
      <c r="C613" s="16">
        <v>5688512.3324180003</v>
      </c>
      <c r="D613" s="31">
        <v>9</v>
      </c>
      <c r="E613" s="31" t="s">
        <v>61</v>
      </c>
      <c r="F613" s="31">
        <v>2011</v>
      </c>
      <c r="G613" s="16">
        <v>0.16839999999999999</v>
      </c>
      <c r="H613" s="16">
        <v>5.3887999999999998E-2</v>
      </c>
      <c r="I613" s="16">
        <v>6.1200000000000004E-2</v>
      </c>
      <c r="J613" s="16">
        <v>2.2032E-2</v>
      </c>
      <c r="K613" s="16">
        <v>5.4200000000000005E-2</v>
      </c>
      <c r="L613" s="16">
        <v>1.9512000000000002E-2</v>
      </c>
      <c r="M613" s="16">
        <v>3.4375999999999997E-2</v>
      </c>
      <c r="N613" s="16">
        <v>7.5700000000000003E-2</v>
      </c>
      <c r="O613" s="16">
        <v>4.1635000000000005E-2</v>
      </c>
      <c r="P613" s="95"/>
    </row>
    <row r="614" spans="1:16" x14ac:dyDescent="0.25">
      <c r="A614" s="16">
        <v>21</v>
      </c>
      <c r="B614" s="16">
        <v>437454.10856199998</v>
      </c>
      <c r="C614" s="16">
        <v>5688512.3324180003</v>
      </c>
      <c r="D614" s="31">
        <v>9</v>
      </c>
      <c r="E614" s="31" t="s">
        <v>61</v>
      </c>
      <c r="F614" s="31">
        <v>2011</v>
      </c>
      <c r="G614" s="16">
        <v>6.6099999999999992E-2</v>
      </c>
      <c r="H614" s="16">
        <v>2.1151999999999997E-2</v>
      </c>
      <c r="I614" s="16">
        <v>1.1999999999999999E-3</v>
      </c>
      <c r="J614" s="16">
        <v>4.3199999999999993E-4</v>
      </c>
      <c r="K614" s="16">
        <v>1.6500000000000001E-2</v>
      </c>
      <c r="L614" s="16">
        <v>5.94E-3</v>
      </c>
      <c r="M614" s="16">
        <v>1.5211999999999996E-2</v>
      </c>
      <c r="N614" s="16">
        <v>0</v>
      </c>
      <c r="O614" s="16">
        <v>0</v>
      </c>
      <c r="P614" s="95"/>
    </row>
    <row r="615" spans="1:16" x14ac:dyDescent="0.25">
      <c r="A615" s="16">
        <v>22</v>
      </c>
      <c r="B615" s="16">
        <v>437573.10856199998</v>
      </c>
      <c r="C615" s="16">
        <v>5688512.3324180003</v>
      </c>
      <c r="D615" s="31">
        <v>9</v>
      </c>
      <c r="E615" s="31" t="s">
        <v>61</v>
      </c>
      <c r="F615" s="31">
        <v>2011</v>
      </c>
      <c r="G615" s="16">
        <v>0.1424</v>
      </c>
      <c r="H615" s="16">
        <v>4.5567999999999997E-2</v>
      </c>
      <c r="I615" s="16">
        <v>0.4224</v>
      </c>
      <c r="J615" s="16">
        <v>0.152064</v>
      </c>
      <c r="K615" s="16">
        <v>9.4000000000000004E-3</v>
      </c>
      <c r="L615" s="16">
        <v>3.3839999999999999E-3</v>
      </c>
      <c r="M615" s="16">
        <v>4.2183999999999999E-2</v>
      </c>
      <c r="N615" s="16">
        <v>0.29070000000000001</v>
      </c>
      <c r="O615" s="16">
        <v>0.15988500000000003</v>
      </c>
      <c r="P615" s="95"/>
    </row>
    <row r="616" spans="1:16" x14ac:dyDescent="0.25">
      <c r="A616" s="16">
        <v>23</v>
      </c>
      <c r="B616" s="16">
        <v>437692.10856199998</v>
      </c>
      <c r="C616" s="16">
        <v>5688512.3324180003</v>
      </c>
      <c r="D616" s="31">
        <v>9</v>
      </c>
      <c r="E616" s="31" t="s">
        <v>61</v>
      </c>
      <c r="F616" s="31">
        <v>2011</v>
      </c>
      <c r="G616" s="16">
        <v>3.5400000000000001E-2</v>
      </c>
      <c r="H616" s="16">
        <v>1.1328000000000001E-2</v>
      </c>
      <c r="I616" s="16">
        <v>9.4099999999999989E-2</v>
      </c>
      <c r="J616" s="16">
        <v>3.3875999999999996E-2</v>
      </c>
      <c r="K616" s="16">
        <v>1.0199999999999999E-2</v>
      </c>
      <c r="L616" s="16">
        <v>3.6719999999999995E-3</v>
      </c>
      <c r="M616" s="16">
        <v>7.6560000000000013E-3</v>
      </c>
      <c r="N616" s="16">
        <v>0</v>
      </c>
      <c r="O616" s="16">
        <v>0</v>
      </c>
      <c r="P616" s="95"/>
    </row>
    <row r="617" spans="1:16" x14ac:dyDescent="0.25">
      <c r="A617" s="16">
        <v>24</v>
      </c>
      <c r="B617" s="16">
        <v>437811.10856199998</v>
      </c>
      <c r="C617" s="16">
        <v>5688512.3324180003</v>
      </c>
      <c r="D617" s="31">
        <v>9</v>
      </c>
      <c r="E617" s="31" t="s">
        <v>61</v>
      </c>
      <c r="F617" s="31">
        <v>2011</v>
      </c>
      <c r="G617" s="16">
        <v>7.9000000000000008E-3</v>
      </c>
      <c r="H617" s="16">
        <v>2.5280000000000003E-3</v>
      </c>
      <c r="I617" s="16">
        <v>0</v>
      </c>
      <c r="J617" s="16">
        <v>0</v>
      </c>
      <c r="K617" s="16">
        <v>0.13159999999999999</v>
      </c>
      <c r="L617" s="16">
        <v>4.7375999999999995E-2</v>
      </c>
      <c r="M617" s="16">
        <v>-4.4847999999999992E-2</v>
      </c>
      <c r="N617" s="16">
        <v>0</v>
      </c>
      <c r="O617" s="16">
        <v>0</v>
      </c>
      <c r="P617" s="95"/>
    </row>
    <row r="618" spans="1:16" x14ac:dyDescent="0.25">
      <c r="A618" s="16">
        <v>25</v>
      </c>
      <c r="B618" s="16">
        <v>437995</v>
      </c>
      <c r="C618" s="16">
        <v>5688493</v>
      </c>
      <c r="D618" s="31">
        <v>9</v>
      </c>
      <c r="E618" s="31" t="s">
        <v>61</v>
      </c>
      <c r="F618" s="31">
        <v>2011</v>
      </c>
      <c r="G618" s="16">
        <v>1.0985</v>
      </c>
      <c r="H618" s="16">
        <v>0.35152</v>
      </c>
      <c r="I618" s="16">
        <v>0.14299999999999999</v>
      </c>
      <c r="J618" s="16">
        <v>5.1479999999999991E-2</v>
      </c>
      <c r="K618" s="16">
        <v>5.11E-2</v>
      </c>
      <c r="L618" s="16">
        <v>1.8395999999999999E-2</v>
      </c>
      <c r="M618" s="16">
        <v>0.33312399999999998</v>
      </c>
      <c r="N618" s="16">
        <v>2.3E-3</v>
      </c>
      <c r="O618" s="16">
        <v>1.2650000000000001E-3</v>
      </c>
      <c r="P618" s="95"/>
    </row>
    <row r="619" spans="1:16" x14ac:dyDescent="0.25">
      <c r="A619" s="16">
        <v>26</v>
      </c>
      <c r="B619" s="16">
        <v>438112</v>
      </c>
      <c r="C619" s="16">
        <v>5688567</v>
      </c>
      <c r="D619" s="31">
        <v>8</v>
      </c>
      <c r="E619" s="31" t="s">
        <v>61</v>
      </c>
      <c r="F619" s="31">
        <v>2011</v>
      </c>
      <c r="G619" s="16">
        <v>0.5877</v>
      </c>
      <c r="H619" s="16">
        <v>0.17630999999999999</v>
      </c>
      <c r="I619" s="16">
        <v>0</v>
      </c>
      <c r="J619" s="16">
        <v>0</v>
      </c>
      <c r="K619" s="16">
        <v>7.17E-2</v>
      </c>
      <c r="L619" s="16">
        <v>1.7925E-2</v>
      </c>
      <c r="M619" s="16">
        <v>0.158385</v>
      </c>
      <c r="N619" s="16">
        <v>0</v>
      </c>
      <c r="O619" s="16">
        <v>0</v>
      </c>
      <c r="P619" s="95"/>
    </row>
    <row r="620" spans="1:16" x14ac:dyDescent="0.25">
      <c r="A620" s="35">
        <v>27</v>
      </c>
      <c r="B620" s="35">
        <v>438168.10856199998</v>
      </c>
      <c r="C620" s="35">
        <v>5688512.3324180003</v>
      </c>
      <c r="D620" s="96">
        <v>9</v>
      </c>
      <c r="E620" s="96" t="s">
        <v>61</v>
      </c>
      <c r="F620" s="96">
        <v>2011</v>
      </c>
      <c r="G620" s="96" t="s">
        <v>18</v>
      </c>
      <c r="H620" s="96" t="s">
        <v>18</v>
      </c>
      <c r="I620" s="96" t="s">
        <v>18</v>
      </c>
      <c r="J620" s="96" t="s">
        <v>18</v>
      </c>
      <c r="K620" s="96" t="s">
        <v>18</v>
      </c>
      <c r="L620" s="96" t="s">
        <v>18</v>
      </c>
      <c r="M620" s="96" t="s">
        <v>18</v>
      </c>
      <c r="N620" s="96" t="s">
        <v>18</v>
      </c>
      <c r="O620" s="96" t="s">
        <v>18</v>
      </c>
      <c r="P620" s="94" t="s">
        <v>89</v>
      </c>
    </row>
    <row r="621" spans="1:16" x14ac:dyDescent="0.25">
      <c r="A621" s="35">
        <v>28</v>
      </c>
      <c r="B621" s="35">
        <v>438287.10856199998</v>
      </c>
      <c r="C621" s="35">
        <v>5688512.3324180003</v>
      </c>
      <c r="D621" s="96">
        <v>9</v>
      </c>
      <c r="E621" s="96" t="s">
        <v>61</v>
      </c>
      <c r="F621" s="96">
        <v>2011</v>
      </c>
      <c r="G621" s="96" t="s">
        <v>18</v>
      </c>
      <c r="H621" s="96" t="s">
        <v>18</v>
      </c>
      <c r="I621" s="96" t="s">
        <v>18</v>
      </c>
      <c r="J621" s="96" t="s">
        <v>18</v>
      </c>
      <c r="K621" s="96" t="s">
        <v>18</v>
      </c>
      <c r="L621" s="96" t="s">
        <v>18</v>
      </c>
      <c r="M621" s="96" t="s">
        <v>18</v>
      </c>
      <c r="N621" s="96" t="s">
        <v>18</v>
      </c>
      <c r="O621" s="96" t="s">
        <v>18</v>
      </c>
      <c r="P621" s="94" t="s">
        <v>89</v>
      </c>
    </row>
    <row r="622" spans="1:16" x14ac:dyDescent="0.25">
      <c r="A622" s="16">
        <v>29</v>
      </c>
      <c r="B622" s="16">
        <v>438381</v>
      </c>
      <c r="C622" s="16">
        <v>5688526</v>
      </c>
      <c r="D622" s="31">
        <v>8</v>
      </c>
      <c r="E622" s="31" t="s">
        <v>61</v>
      </c>
      <c r="F622" s="31">
        <v>2011</v>
      </c>
      <c r="G622" s="16">
        <v>0.20050000000000001</v>
      </c>
      <c r="H622" s="16">
        <v>6.0150000000000002E-2</v>
      </c>
      <c r="I622" s="16">
        <v>0</v>
      </c>
      <c r="J622" s="16">
        <v>0</v>
      </c>
      <c r="K622" s="16">
        <v>4.8799999999999996E-2</v>
      </c>
      <c r="L622" s="16">
        <v>1.2199999999999999E-2</v>
      </c>
      <c r="M622" s="16">
        <v>4.7950000000000007E-2</v>
      </c>
      <c r="N622" s="16">
        <v>0</v>
      </c>
      <c r="O622" s="16">
        <v>0</v>
      </c>
      <c r="P622" s="95"/>
    </row>
    <row r="623" spans="1:16" x14ac:dyDescent="0.25">
      <c r="A623" s="16">
        <v>30</v>
      </c>
      <c r="B623" s="16">
        <v>438525.10856199998</v>
      </c>
      <c r="C623" s="16">
        <v>5688512.3324180003</v>
      </c>
      <c r="D623" s="31">
        <v>8</v>
      </c>
      <c r="E623" s="31" t="s">
        <v>61</v>
      </c>
      <c r="F623" s="31">
        <v>2011</v>
      </c>
      <c r="G623" s="16">
        <v>0.124</v>
      </c>
      <c r="H623" s="16">
        <v>3.7199999999999997E-2</v>
      </c>
      <c r="I623" s="16">
        <v>0</v>
      </c>
      <c r="J623" s="16">
        <v>0</v>
      </c>
      <c r="K623" s="16">
        <v>2.93E-2</v>
      </c>
      <c r="L623" s="16">
        <v>7.3249999999999999E-3</v>
      </c>
      <c r="M623" s="16">
        <v>2.9874999999999999E-2</v>
      </c>
      <c r="N623" s="16">
        <v>0</v>
      </c>
      <c r="O623" s="16">
        <v>0</v>
      </c>
      <c r="P623" s="95"/>
    </row>
    <row r="624" spans="1:16" x14ac:dyDescent="0.25">
      <c r="A624" s="16">
        <v>31</v>
      </c>
      <c r="B624" s="16">
        <v>437335.10856199998</v>
      </c>
      <c r="C624" s="16">
        <v>5688631.3324180003</v>
      </c>
      <c r="D624" s="31">
        <v>9</v>
      </c>
      <c r="E624" s="31" t="s">
        <v>61</v>
      </c>
      <c r="F624" s="31">
        <v>2011</v>
      </c>
      <c r="G624" s="16">
        <v>7.0499999999999993E-2</v>
      </c>
      <c r="H624" s="16">
        <v>2.2559999999999997E-2</v>
      </c>
      <c r="I624" s="16">
        <v>0</v>
      </c>
      <c r="J624" s="16">
        <v>0</v>
      </c>
      <c r="K624" s="16">
        <v>0.2024</v>
      </c>
      <c r="L624" s="16">
        <v>7.2863999999999998E-2</v>
      </c>
      <c r="M624" s="16">
        <v>-5.0304000000000001E-2</v>
      </c>
      <c r="N624" s="16">
        <v>4.0999999999999995E-3</v>
      </c>
      <c r="O624" s="16">
        <v>2.2550000000000001E-3</v>
      </c>
      <c r="P624" s="95"/>
    </row>
    <row r="625" spans="1:16" x14ac:dyDescent="0.25">
      <c r="A625" s="16">
        <v>32</v>
      </c>
      <c r="B625" s="16">
        <v>437454.10856199998</v>
      </c>
      <c r="C625" s="16">
        <v>5688631.3324180003</v>
      </c>
      <c r="D625" s="31">
        <v>9</v>
      </c>
      <c r="E625" s="31" t="s">
        <v>61</v>
      </c>
      <c r="F625" s="31">
        <v>2011</v>
      </c>
      <c r="G625" s="16">
        <v>0.11109999999999999</v>
      </c>
      <c r="H625" s="16">
        <v>3.5552E-2</v>
      </c>
      <c r="I625" s="16">
        <v>2.8E-3</v>
      </c>
      <c r="J625" s="16">
        <v>1.008E-3</v>
      </c>
      <c r="K625" s="16">
        <v>2.8999999999999998E-3</v>
      </c>
      <c r="L625" s="16">
        <v>1.0439999999999998E-3</v>
      </c>
      <c r="M625" s="16">
        <v>3.4507999999999997E-2</v>
      </c>
      <c r="N625" s="16">
        <v>0</v>
      </c>
      <c r="O625" s="16">
        <v>0</v>
      </c>
      <c r="P625" s="95"/>
    </row>
    <row r="626" spans="1:16" x14ac:dyDescent="0.25">
      <c r="A626" s="16">
        <v>33</v>
      </c>
      <c r="B626" s="16">
        <v>437573.10856199998</v>
      </c>
      <c r="C626" s="16">
        <v>5688631.3324180003</v>
      </c>
      <c r="D626" s="31">
        <v>9</v>
      </c>
      <c r="E626" s="31" t="s">
        <v>61</v>
      </c>
      <c r="F626" s="31">
        <v>2011</v>
      </c>
      <c r="G626" s="16">
        <v>7.9799999999999996E-2</v>
      </c>
      <c r="H626" s="16">
        <v>2.5536E-2</v>
      </c>
      <c r="I626" s="16">
        <v>7.7999999999999996E-3</v>
      </c>
      <c r="J626" s="16">
        <v>2.8079999999999997E-3</v>
      </c>
      <c r="K626" s="16">
        <v>8.6E-3</v>
      </c>
      <c r="L626" s="16">
        <v>3.0959999999999998E-3</v>
      </c>
      <c r="M626" s="16">
        <v>2.2440000000000002E-2</v>
      </c>
      <c r="N626" s="16">
        <v>0</v>
      </c>
      <c r="O626" s="16">
        <v>0</v>
      </c>
      <c r="P626" s="95"/>
    </row>
    <row r="627" spans="1:16" x14ac:dyDescent="0.25">
      <c r="A627" s="16">
        <v>34</v>
      </c>
      <c r="B627" s="16">
        <v>437692.10856199998</v>
      </c>
      <c r="C627" s="16">
        <v>5688631.3324180003</v>
      </c>
      <c r="D627" s="31">
        <v>9</v>
      </c>
      <c r="E627" s="31" t="s">
        <v>61</v>
      </c>
      <c r="F627" s="31">
        <v>2011</v>
      </c>
      <c r="G627" s="16">
        <v>0.23019999999999999</v>
      </c>
      <c r="H627" s="16">
        <v>7.3663999999999993E-2</v>
      </c>
      <c r="I627" s="16">
        <v>0</v>
      </c>
      <c r="J627" s="16">
        <v>0</v>
      </c>
      <c r="K627" s="16">
        <v>1.2699999999999999E-2</v>
      </c>
      <c r="L627" s="16">
        <v>4.5719999999999997E-3</v>
      </c>
      <c r="M627" s="16">
        <v>6.9091999999999987E-2</v>
      </c>
      <c r="N627" s="16">
        <v>0</v>
      </c>
      <c r="O627" s="16">
        <v>0</v>
      </c>
      <c r="P627" s="95"/>
    </row>
    <row r="628" spans="1:16" x14ac:dyDescent="0.25">
      <c r="A628" s="16">
        <v>35</v>
      </c>
      <c r="B628" s="16">
        <v>437893</v>
      </c>
      <c r="C628" s="16">
        <v>5688620</v>
      </c>
      <c r="D628" s="31">
        <v>9</v>
      </c>
      <c r="E628" s="31" t="s">
        <v>61</v>
      </c>
      <c r="F628" s="31">
        <v>2011</v>
      </c>
      <c r="G628" s="16">
        <v>1.4199999999999999E-2</v>
      </c>
      <c r="H628" s="16">
        <v>4.5439999999999994E-3</v>
      </c>
      <c r="I628" s="16">
        <v>0</v>
      </c>
      <c r="J628" s="16">
        <v>0</v>
      </c>
      <c r="K628" s="16">
        <v>0.111</v>
      </c>
      <c r="L628" s="16">
        <v>3.9960000000000002E-2</v>
      </c>
      <c r="M628" s="16">
        <v>-3.5416000000000003E-2</v>
      </c>
      <c r="N628" s="16">
        <v>0</v>
      </c>
      <c r="O628" s="16">
        <v>0</v>
      </c>
      <c r="P628" s="95"/>
    </row>
    <row r="629" spans="1:16" x14ac:dyDescent="0.25">
      <c r="A629" s="16">
        <v>36</v>
      </c>
      <c r="B629" s="16">
        <v>437930.10856199998</v>
      </c>
      <c r="C629" s="16">
        <v>5688631.3324180003</v>
      </c>
      <c r="D629" s="31">
        <v>9</v>
      </c>
      <c r="E629" s="31" t="s">
        <v>61</v>
      </c>
      <c r="F629" s="31">
        <v>2011</v>
      </c>
      <c r="G629" s="16">
        <v>0.46560000000000001</v>
      </c>
      <c r="H629" s="16">
        <v>0.14899200000000001</v>
      </c>
      <c r="I629" s="16">
        <v>0</v>
      </c>
      <c r="J629" s="16">
        <v>0</v>
      </c>
      <c r="K629" s="16">
        <v>8.0999999999999996E-3</v>
      </c>
      <c r="L629" s="16">
        <v>2.9159999999999998E-3</v>
      </c>
      <c r="M629" s="16">
        <v>0.14607600000000001</v>
      </c>
      <c r="N629" s="16">
        <v>0</v>
      </c>
      <c r="O629" s="16">
        <v>0</v>
      </c>
      <c r="P629" s="95"/>
    </row>
    <row r="630" spans="1:16" x14ac:dyDescent="0.25">
      <c r="A630" s="35">
        <v>37</v>
      </c>
      <c r="B630" s="35">
        <v>438049.10856199998</v>
      </c>
      <c r="C630" s="35">
        <v>5688631.3324180003</v>
      </c>
      <c r="D630" s="96">
        <v>9</v>
      </c>
      <c r="E630" s="96" t="s">
        <v>61</v>
      </c>
      <c r="F630" s="96">
        <v>2011</v>
      </c>
      <c r="G630" s="96" t="s">
        <v>18</v>
      </c>
      <c r="H630" s="96" t="s">
        <v>18</v>
      </c>
      <c r="I630" s="96" t="s">
        <v>18</v>
      </c>
      <c r="J630" s="96" t="s">
        <v>18</v>
      </c>
      <c r="K630" s="96" t="s">
        <v>18</v>
      </c>
      <c r="L630" s="96" t="s">
        <v>18</v>
      </c>
      <c r="M630" s="96" t="s">
        <v>18</v>
      </c>
      <c r="N630" s="96" t="s">
        <v>18</v>
      </c>
      <c r="O630" s="96" t="s">
        <v>18</v>
      </c>
      <c r="P630" s="94" t="s">
        <v>89</v>
      </c>
    </row>
    <row r="631" spans="1:16" x14ac:dyDescent="0.25">
      <c r="A631" s="16">
        <v>38</v>
      </c>
      <c r="B631" s="16">
        <v>438067</v>
      </c>
      <c r="C631" s="16">
        <v>5688710</v>
      </c>
      <c r="D631" s="31">
        <v>8</v>
      </c>
      <c r="E631" s="31" t="s">
        <v>61</v>
      </c>
      <c r="F631" s="31">
        <v>2011</v>
      </c>
      <c r="G631" s="16">
        <v>0.68559999999999999</v>
      </c>
      <c r="H631" s="16">
        <v>0.20568</v>
      </c>
      <c r="I631" s="16">
        <v>4.1399999999999999E-2</v>
      </c>
      <c r="J631" s="16">
        <v>1.3247999999999999E-2</v>
      </c>
      <c r="K631" s="16">
        <v>1.61E-2</v>
      </c>
      <c r="L631" s="16">
        <v>4.0249999999999999E-3</v>
      </c>
      <c r="M631" s="16">
        <v>0.201655</v>
      </c>
      <c r="N631" s="16">
        <v>0</v>
      </c>
      <c r="O631" s="16">
        <v>0</v>
      </c>
      <c r="P631" s="95"/>
    </row>
    <row r="632" spans="1:16" x14ac:dyDescent="0.25">
      <c r="A632" s="35">
        <v>39</v>
      </c>
      <c r="B632" s="35">
        <v>438287.10856199998</v>
      </c>
      <c r="C632" s="35">
        <v>5688631.3324180003</v>
      </c>
      <c r="D632" s="96">
        <v>9</v>
      </c>
      <c r="E632" s="96" t="s">
        <v>61</v>
      </c>
      <c r="F632" s="96">
        <v>2011</v>
      </c>
      <c r="G632" s="96" t="s">
        <v>18</v>
      </c>
      <c r="H632" s="96" t="s">
        <v>18</v>
      </c>
      <c r="I632" s="96" t="s">
        <v>18</v>
      </c>
      <c r="J632" s="96" t="s">
        <v>18</v>
      </c>
      <c r="K632" s="96" t="s">
        <v>18</v>
      </c>
      <c r="L632" s="96" t="s">
        <v>18</v>
      </c>
      <c r="M632" s="96" t="s">
        <v>18</v>
      </c>
      <c r="N632" s="96" t="s">
        <v>18</v>
      </c>
      <c r="O632" s="96" t="s">
        <v>18</v>
      </c>
      <c r="P632" s="94" t="s">
        <v>22</v>
      </c>
    </row>
    <row r="633" spans="1:16" x14ac:dyDescent="0.25">
      <c r="A633" s="16">
        <v>40</v>
      </c>
      <c r="B633" s="16">
        <v>438406.10856199998</v>
      </c>
      <c r="C633" s="16">
        <v>5688631.3324180003</v>
      </c>
      <c r="D633" s="31">
        <v>8</v>
      </c>
      <c r="E633" s="31" t="s">
        <v>61</v>
      </c>
      <c r="F633" s="31">
        <v>2011</v>
      </c>
      <c r="G633" s="16">
        <v>0.16969999999999999</v>
      </c>
      <c r="H633" s="16">
        <v>5.0909999999999997E-2</v>
      </c>
      <c r="I633" s="16">
        <v>3.3100000000000004E-2</v>
      </c>
      <c r="J633" s="16">
        <v>1.0592000000000002E-2</v>
      </c>
      <c r="K633" s="16">
        <v>1.8200000000000001E-2</v>
      </c>
      <c r="L633" s="16">
        <v>4.5500000000000002E-3</v>
      </c>
      <c r="M633" s="16">
        <v>4.6359999999999998E-2</v>
      </c>
      <c r="N633" s="16">
        <v>0</v>
      </c>
      <c r="O633" s="16">
        <v>0</v>
      </c>
      <c r="P633" s="95"/>
    </row>
    <row r="634" spans="1:16" x14ac:dyDescent="0.25">
      <c r="A634" s="16">
        <v>41</v>
      </c>
      <c r="B634" s="16">
        <v>437310</v>
      </c>
      <c r="C634" s="16">
        <v>5688729</v>
      </c>
      <c r="D634" s="31">
        <v>8</v>
      </c>
      <c r="E634" s="31" t="s">
        <v>61</v>
      </c>
      <c r="F634" s="31">
        <v>2011</v>
      </c>
      <c r="G634" s="16">
        <v>4.9200000000000001E-2</v>
      </c>
      <c r="H634" s="16">
        <v>1.4759999999999999E-2</v>
      </c>
      <c r="I634" s="16">
        <v>0</v>
      </c>
      <c r="J634" s="16">
        <v>0</v>
      </c>
      <c r="K634" s="16">
        <v>5.7000000000000002E-3</v>
      </c>
      <c r="L634" s="16">
        <v>1.4250000000000001E-3</v>
      </c>
      <c r="M634" s="16">
        <v>1.3335E-2</v>
      </c>
      <c r="N634" s="16">
        <v>0</v>
      </c>
      <c r="O634" s="16">
        <v>0</v>
      </c>
      <c r="P634" s="95"/>
    </row>
    <row r="635" spans="1:16" x14ac:dyDescent="0.25">
      <c r="A635" s="16">
        <v>42</v>
      </c>
      <c r="B635" s="16">
        <v>437454.10856199998</v>
      </c>
      <c r="C635" s="16">
        <v>5688750.3324180003</v>
      </c>
      <c r="D635" s="31">
        <v>8</v>
      </c>
      <c r="E635" s="31" t="s">
        <v>61</v>
      </c>
      <c r="F635" s="31">
        <v>2011</v>
      </c>
      <c r="G635" s="16">
        <v>0.1115</v>
      </c>
      <c r="H635" s="16">
        <v>3.3450000000000001E-2</v>
      </c>
      <c r="I635" s="16">
        <v>8.4199999999999997E-2</v>
      </c>
      <c r="J635" s="16">
        <v>2.6943999999999999E-2</v>
      </c>
      <c r="K635" s="16">
        <v>2.9000000000000001E-2</v>
      </c>
      <c r="L635" s="16">
        <v>7.2500000000000004E-3</v>
      </c>
      <c r="M635" s="16">
        <v>2.6200000000000001E-2</v>
      </c>
      <c r="N635" s="16">
        <v>3.0600000000000002E-2</v>
      </c>
      <c r="O635" s="16">
        <v>1.1628000000000001E-2</v>
      </c>
      <c r="P635" s="95"/>
    </row>
    <row r="636" spans="1:16" x14ac:dyDescent="0.25">
      <c r="A636" s="16">
        <v>43</v>
      </c>
      <c r="B636" s="16">
        <v>437573.10856199998</v>
      </c>
      <c r="C636" s="16">
        <v>5688750.3324180003</v>
      </c>
      <c r="D636" s="31">
        <v>8</v>
      </c>
      <c r="E636" s="31" t="s">
        <v>61</v>
      </c>
      <c r="F636" s="31">
        <v>2011</v>
      </c>
      <c r="G636" s="16">
        <v>0.1181</v>
      </c>
      <c r="H636" s="16">
        <v>3.5429999999999996E-2</v>
      </c>
      <c r="I636" s="16">
        <v>8.9099999999999999E-2</v>
      </c>
      <c r="J636" s="16">
        <v>2.8511999999999999E-2</v>
      </c>
      <c r="K636" s="16">
        <v>5.4899999999999997E-2</v>
      </c>
      <c r="L636" s="16">
        <v>1.3724999999999999E-2</v>
      </c>
      <c r="M636" s="16">
        <v>2.1704999999999995E-2</v>
      </c>
      <c r="N636" s="16">
        <v>5.5500000000000001E-2</v>
      </c>
      <c r="O636" s="16">
        <v>2.1090000000000001E-2</v>
      </c>
      <c r="P636" s="95"/>
    </row>
    <row r="637" spans="1:16" x14ac:dyDescent="0.25">
      <c r="A637" s="16">
        <v>44</v>
      </c>
      <c r="B637" s="16">
        <v>437692.10856199998</v>
      </c>
      <c r="C637" s="16">
        <v>5688750.3324180003</v>
      </c>
      <c r="D637" s="31">
        <v>8</v>
      </c>
      <c r="E637" s="31" t="s">
        <v>61</v>
      </c>
      <c r="F637" s="31">
        <v>2011</v>
      </c>
      <c r="G637" s="16">
        <v>0.112</v>
      </c>
      <c r="H637" s="16">
        <v>3.3599999999999998E-2</v>
      </c>
      <c r="I637" s="16">
        <v>3.1899999999999998E-2</v>
      </c>
      <c r="J637" s="16">
        <v>1.0208E-2</v>
      </c>
      <c r="K637" s="16">
        <v>1.4999999999999999E-2</v>
      </c>
      <c r="L637" s="16">
        <v>3.7499999999999999E-3</v>
      </c>
      <c r="M637" s="16">
        <v>2.9849999999999998E-2</v>
      </c>
      <c r="N637" s="16">
        <v>0</v>
      </c>
      <c r="O637" s="16">
        <v>0</v>
      </c>
      <c r="P637" s="95"/>
    </row>
    <row r="638" spans="1:16" x14ac:dyDescent="0.25">
      <c r="A638" s="16">
        <v>45</v>
      </c>
      <c r="B638" s="16">
        <v>437811.10856199998</v>
      </c>
      <c r="C638" s="16">
        <v>5688750.3324180003</v>
      </c>
      <c r="D638" s="31">
        <v>8</v>
      </c>
      <c r="E638" s="31" t="s">
        <v>61</v>
      </c>
      <c r="F638" s="31">
        <v>2011</v>
      </c>
      <c r="G638" s="16">
        <v>0.34960000000000002</v>
      </c>
      <c r="H638" s="16">
        <v>0.10488</v>
      </c>
      <c r="I638" s="16">
        <v>1.1900000000000001E-2</v>
      </c>
      <c r="J638" s="16">
        <v>3.8080000000000002E-3</v>
      </c>
      <c r="K638" s="16">
        <v>3.4700000000000002E-2</v>
      </c>
      <c r="L638" s="16">
        <v>8.6750000000000004E-3</v>
      </c>
      <c r="M638" s="16">
        <v>9.6204999999999999E-2</v>
      </c>
      <c r="N638" s="16">
        <v>4.8399999999999999E-2</v>
      </c>
      <c r="O638" s="16">
        <v>1.8391999999999999E-2</v>
      </c>
      <c r="P638" s="95"/>
    </row>
    <row r="639" spans="1:16" x14ac:dyDescent="0.25">
      <c r="A639" s="16">
        <v>46</v>
      </c>
      <c r="B639" s="16">
        <v>437930.10856199998</v>
      </c>
      <c r="C639" s="16">
        <v>5688750.3324180003</v>
      </c>
      <c r="D639" s="31">
        <v>8</v>
      </c>
      <c r="E639" s="31" t="s">
        <v>61</v>
      </c>
      <c r="F639" s="31">
        <v>2011</v>
      </c>
      <c r="G639" s="16">
        <v>0.15540000000000001</v>
      </c>
      <c r="H639" s="16">
        <v>4.6620000000000002E-2</v>
      </c>
      <c r="I639" s="16">
        <v>2.4399999999999998E-2</v>
      </c>
      <c r="J639" s="16">
        <v>7.8079999999999998E-3</v>
      </c>
      <c r="K639" s="16">
        <v>7.1900000000000006E-2</v>
      </c>
      <c r="L639" s="16">
        <v>1.7975000000000001E-2</v>
      </c>
      <c r="M639" s="16">
        <v>2.8645E-2</v>
      </c>
      <c r="N639" s="16">
        <v>0</v>
      </c>
      <c r="O639" s="16">
        <v>0</v>
      </c>
      <c r="P639" s="95"/>
    </row>
    <row r="640" spans="1:16" x14ac:dyDescent="0.25">
      <c r="A640" s="16">
        <v>47</v>
      </c>
      <c r="B640" s="16">
        <v>438061</v>
      </c>
      <c r="C640" s="16">
        <v>5688779</v>
      </c>
      <c r="D640" s="31">
        <v>8</v>
      </c>
      <c r="E640" s="31" t="s">
        <v>61</v>
      </c>
      <c r="F640" s="31">
        <v>2011</v>
      </c>
      <c r="G640" s="16">
        <v>0.55100000000000005</v>
      </c>
      <c r="H640" s="16">
        <v>0.1653</v>
      </c>
      <c r="I640" s="16">
        <v>0.10199999999999999</v>
      </c>
      <c r="J640" s="16">
        <v>3.2639999999999995E-2</v>
      </c>
      <c r="K640" s="16">
        <v>8.3799999999999999E-2</v>
      </c>
      <c r="L640" s="16">
        <v>2.095E-2</v>
      </c>
      <c r="M640" s="16">
        <v>0.14435000000000001</v>
      </c>
      <c r="N640" s="16">
        <v>2.0399999999999998E-2</v>
      </c>
      <c r="O640" s="16">
        <v>7.7519999999999993E-3</v>
      </c>
      <c r="P640" s="95"/>
    </row>
    <row r="641" spans="1:19" x14ac:dyDescent="0.25">
      <c r="A641" s="35">
        <v>48</v>
      </c>
      <c r="B641" s="35">
        <v>438168.10856199998</v>
      </c>
      <c r="C641" s="35">
        <v>5688750.3324180003</v>
      </c>
      <c r="D641" s="96">
        <v>9</v>
      </c>
      <c r="E641" s="96" t="s">
        <v>61</v>
      </c>
      <c r="F641" s="96">
        <v>2011</v>
      </c>
      <c r="G641" s="96" t="s">
        <v>18</v>
      </c>
      <c r="H641" s="96" t="s">
        <v>18</v>
      </c>
      <c r="I641" s="96" t="s">
        <v>18</v>
      </c>
      <c r="J641" s="96" t="s">
        <v>18</v>
      </c>
      <c r="K641" s="96" t="s">
        <v>18</v>
      </c>
      <c r="L641" s="96" t="s">
        <v>18</v>
      </c>
      <c r="M641" s="96" t="s">
        <v>18</v>
      </c>
      <c r="N641" s="96" t="s">
        <v>18</v>
      </c>
      <c r="O641" s="96" t="s">
        <v>18</v>
      </c>
      <c r="P641" s="94" t="s">
        <v>89</v>
      </c>
    </row>
    <row r="642" spans="1:19" x14ac:dyDescent="0.25">
      <c r="A642" s="16">
        <v>49</v>
      </c>
      <c r="B642" s="16">
        <v>437454.10856199998</v>
      </c>
      <c r="C642" s="16">
        <v>5688869.3324180003</v>
      </c>
      <c r="D642" s="31">
        <v>8</v>
      </c>
      <c r="E642" s="31" t="s">
        <v>61</v>
      </c>
      <c r="F642" s="31">
        <v>2011</v>
      </c>
      <c r="G642" s="16">
        <v>0.35439999999999999</v>
      </c>
      <c r="H642" s="16">
        <v>0.10632</v>
      </c>
      <c r="I642" s="16">
        <v>0</v>
      </c>
      <c r="J642" s="16">
        <v>0</v>
      </c>
      <c r="K642" s="16">
        <v>8.6999999999999994E-3</v>
      </c>
      <c r="L642" s="16">
        <v>2.1749999999999999E-3</v>
      </c>
      <c r="M642" s="16">
        <v>0.104145</v>
      </c>
      <c r="N642" s="16">
        <v>0</v>
      </c>
      <c r="O642" s="16">
        <v>0</v>
      </c>
      <c r="P642" s="95"/>
    </row>
    <row r="643" spans="1:19" x14ac:dyDescent="0.25">
      <c r="A643" s="16">
        <v>50</v>
      </c>
      <c r="B643" s="16">
        <v>437811.10856199998</v>
      </c>
      <c r="C643" s="16">
        <v>5688869.3324180003</v>
      </c>
      <c r="D643" s="31">
        <v>8</v>
      </c>
      <c r="E643" s="31" t="s">
        <v>61</v>
      </c>
      <c r="F643" s="31">
        <v>2011</v>
      </c>
      <c r="G643" s="31" t="s">
        <v>18</v>
      </c>
      <c r="H643" s="31" t="s">
        <v>18</v>
      </c>
      <c r="I643" s="31" t="s">
        <v>18</v>
      </c>
      <c r="J643" s="31" t="s">
        <v>18</v>
      </c>
      <c r="K643" s="31" t="s">
        <v>18</v>
      </c>
      <c r="L643" s="31" t="s">
        <v>18</v>
      </c>
      <c r="M643" s="31" t="s">
        <v>18</v>
      </c>
      <c r="N643" s="31" t="s">
        <v>18</v>
      </c>
      <c r="O643" s="31" t="s">
        <v>18</v>
      </c>
      <c r="P643" s="95" t="s">
        <v>81</v>
      </c>
    </row>
    <row r="644" spans="1:19" x14ac:dyDescent="0.25">
      <c r="A644" s="16">
        <v>51</v>
      </c>
      <c r="B644" s="16">
        <v>437930.10856199998</v>
      </c>
      <c r="C644" s="16">
        <v>5688869.3324180003</v>
      </c>
      <c r="D644" s="31">
        <v>8</v>
      </c>
      <c r="E644" s="31" t="s">
        <v>61</v>
      </c>
      <c r="F644" s="31">
        <v>2011</v>
      </c>
      <c r="G644" s="31" t="s">
        <v>18</v>
      </c>
      <c r="H644" s="31" t="s">
        <v>18</v>
      </c>
      <c r="I644" s="31" t="s">
        <v>18</v>
      </c>
      <c r="J644" s="31" t="s">
        <v>18</v>
      </c>
      <c r="K644" s="31" t="s">
        <v>18</v>
      </c>
      <c r="L644" s="31" t="s">
        <v>18</v>
      </c>
      <c r="M644" s="31" t="s">
        <v>18</v>
      </c>
      <c r="N644" s="31" t="s">
        <v>18</v>
      </c>
      <c r="O644" s="31" t="s">
        <v>18</v>
      </c>
      <c r="P644" s="95" t="s">
        <v>191</v>
      </c>
    </row>
    <row r="645" spans="1:19" x14ac:dyDescent="0.25">
      <c r="A645" s="16">
        <v>52</v>
      </c>
      <c r="B645" s="16">
        <v>438049.10856199998</v>
      </c>
      <c r="C645" s="16">
        <v>5688869.3324180003</v>
      </c>
      <c r="D645" s="31">
        <v>8</v>
      </c>
      <c r="E645" s="31" t="s">
        <v>61</v>
      </c>
      <c r="F645" s="31">
        <v>2011</v>
      </c>
      <c r="G645" s="16">
        <v>0.2069</v>
      </c>
      <c r="H645" s="16">
        <v>6.207E-2</v>
      </c>
      <c r="I645" s="16">
        <v>0.28070000000000001</v>
      </c>
      <c r="J645" s="16">
        <v>8.9824000000000001E-2</v>
      </c>
      <c r="K645" s="16">
        <v>3.8700000000000005E-2</v>
      </c>
      <c r="L645" s="16">
        <v>9.6750000000000013E-3</v>
      </c>
      <c r="M645" s="16">
        <v>5.2394999999999997E-2</v>
      </c>
      <c r="N645" s="16">
        <v>6.2299999999999994E-2</v>
      </c>
      <c r="O645" s="16">
        <v>2.3673999999999997E-2</v>
      </c>
      <c r="P645" s="95"/>
    </row>
    <row r="646" spans="1:19" x14ac:dyDescent="0.25">
      <c r="A646" s="16">
        <v>53</v>
      </c>
      <c r="B646" s="16">
        <v>438287.10856199998</v>
      </c>
      <c r="C646" s="16">
        <v>5688869.3324180003</v>
      </c>
      <c r="D646" s="31">
        <v>8</v>
      </c>
      <c r="E646" s="31" t="s">
        <v>61</v>
      </c>
      <c r="F646" s="31">
        <v>2011</v>
      </c>
      <c r="G646" s="16">
        <v>1.06E-2</v>
      </c>
      <c r="H646" s="16">
        <v>3.1800000000000001E-3</v>
      </c>
      <c r="I646" s="16">
        <v>0</v>
      </c>
      <c r="J646" s="16">
        <v>0</v>
      </c>
      <c r="K646" s="16">
        <v>7.0199999999999999E-2</v>
      </c>
      <c r="L646" s="16">
        <v>1.755E-2</v>
      </c>
      <c r="M646" s="16">
        <v>-1.4369999999999999E-2</v>
      </c>
      <c r="N646" s="16">
        <v>0</v>
      </c>
      <c r="O646" s="16">
        <v>0</v>
      </c>
      <c r="P646" s="95"/>
    </row>
    <row r="647" spans="1:19" x14ac:dyDescent="0.25">
      <c r="A647" s="16">
        <v>54</v>
      </c>
      <c r="B647" s="16">
        <v>437454.10856199998</v>
      </c>
      <c r="C647" s="16">
        <v>5688988.3324180003</v>
      </c>
      <c r="D647" s="31">
        <v>8</v>
      </c>
      <c r="E647" s="31" t="s">
        <v>61</v>
      </c>
      <c r="F647" s="31">
        <v>2011</v>
      </c>
      <c r="G647" s="16">
        <v>6.6400000000000001E-2</v>
      </c>
      <c r="H647" s="16">
        <v>1.992E-2</v>
      </c>
      <c r="I647" s="16">
        <v>3.4700000000000002E-2</v>
      </c>
      <c r="J647" s="16">
        <v>1.1104000000000001E-2</v>
      </c>
      <c r="K647" s="16">
        <v>2.47E-2</v>
      </c>
      <c r="L647" s="16">
        <v>6.1749999999999999E-3</v>
      </c>
      <c r="M647" s="16">
        <v>1.3745E-2</v>
      </c>
      <c r="N647" s="16">
        <v>1.2999999999999999E-2</v>
      </c>
      <c r="O647" s="16">
        <v>4.9399999999999999E-3</v>
      </c>
      <c r="P647" s="95"/>
    </row>
    <row r="648" spans="1:19" x14ac:dyDescent="0.25">
      <c r="A648" s="16">
        <v>55</v>
      </c>
      <c r="B648" s="16">
        <v>438049.10856199998</v>
      </c>
      <c r="C648" s="16">
        <v>5688988.3324180003</v>
      </c>
      <c r="D648" s="31">
        <v>8</v>
      </c>
      <c r="E648" s="31" t="s">
        <v>61</v>
      </c>
      <c r="F648" s="31">
        <v>2011</v>
      </c>
      <c r="G648" s="16">
        <v>6.7599999999999993E-2</v>
      </c>
      <c r="H648" s="16">
        <v>2.0279999999999996E-2</v>
      </c>
      <c r="I648" s="16">
        <v>0</v>
      </c>
      <c r="J648" s="16">
        <v>0</v>
      </c>
      <c r="K648" s="16">
        <v>2.52E-2</v>
      </c>
      <c r="L648" s="16">
        <v>6.3E-3</v>
      </c>
      <c r="M648" s="16">
        <v>1.3979999999999996E-2</v>
      </c>
      <c r="N648" s="16">
        <v>0</v>
      </c>
      <c r="O648" s="16">
        <v>0</v>
      </c>
      <c r="P648" s="95"/>
    </row>
    <row r="649" spans="1:19" x14ac:dyDescent="0.25">
      <c r="A649" s="16">
        <v>56</v>
      </c>
      <c r="B649" s="16">
        <v>438168.10856199998</v>
      </c>
      <c r="C649" s="16">
        <v>5688988.3324180003</v>
      </c>
      <c r="D649" s="31">
        <v>8</v>
      </c>
      <c r="E649" s="31" t="s">
        <v>61</v>
      </c>
      <c r="F649" s="31">
        <v>2011</v>
      </c>
      <c r="G649" s="31" t="s">
        <v>18</v>
      </c>
      <c r="H649" s="31" t="s">
        <v>18</v>
      </c>
      <c r="I649" s="31" t="s">
        <v>18</v>
      </c>
      <c r="J649" s="31" t="s">
        <v>18</v>
      </c>
      <c r="K649" s="16">
        <v>0.17100000000000001</v>
      </c>
      <c r="L649" s="16">
        <v>4.2750000000000003E-2</v>
      </c>
      <c r="M649" s="31" t="s">
        <v>18</v>
      </c>
      <c r="N649" s="31" t="s">
        <v>18</v>
      </c>
      <c r="O649" s="31" t="s">
        <v>18</v>
      </c>
      <c r="P649" s="95" t="s">
        <v>190</v>
      </c>
    </row>
    <row r="650" spans="1:19" x14ac:dyDescent="0.25">
      <c r="A650" s="36">
        <v>57</v>
      </c>
      <c r="B650" s="36">
        <v>438146</v>
      </c>
      <c r="C650" s="36">
        <v>5688977</v>
      </c>
      <c r="D650" s="99">
        <v>8</v>
      </c>
      <c r="E650" s="99" t="s">
        <v>61</v>
      </c>
      <c r="F650" s="99">
        <v>2011</v>
      </c>
      <c r="G650" s="36">
        <v>0.49980000000000002</v>
      </c>
      <c r="H650" s="36">
        <v>0.14993999999999999</v>
      </c>
      <c r="I650" s="36">
        <v>1.4E-3</v>
      </c>
      <c r="J650" s="36">
        <v>4.4799999999999999E-4</v>
      </c>
      <c r="K650" s="36">
        <v>3.7700000000000004E-2</v>
      </c>
      <c r="L650" s="36">
        <v>9.4250000000000011E-3</v>
      </c>
      <c r="M650" s="36">
        <v>0.140515</v>
      </c>
      <c r="N650" s="36">
        <v>0</v>
      </c>
      <c r="O650" s="36">
        <v>0</v>
      </c>
      <c r="P650" s="100"/>
    </row>
    <row r="651" spans="1:19" x14ac:dyDescent="0.25">
      <c r="A651" s="36">
        <v>58</v>
      </c>
      <c r="B651" s="36">
        <v>438126</v>
      </c>
      <c r="C651" s="36">
        <v>5688998</v>
      </c>
      <c r="D651" s="99">
        <v>8</v>
      </c>
      <c r="E651" s="99" t="s">
        <v>61</v>
      </c>
      <c r="F651" s="99">
        <v>2011</v>
      </c>
      <c r="G651" s="36">
        <v>0.64529999999999998</v>
      </c>
      <c r="H651" s="36">
        <v>0.19358999999999998</v>
      </c>
      <c r="I651" s="36">
        <v>2.8E-3</v>
      </c>
      <c r="J651" s="36">
        <v>8.9599999999999999E-4</v>
      </c>
      <c r="K651" s="36">
        <v>2.9399999999999999E-2</v>
      </c>
      <c r="L651" s="36">
        <v>7.3499999999999998E-3</v>
      </c>
      <c r="M651" s="36">
        <v>0.18623999999999999</v>
      </c>
      <c r="N651" s="36">
        <v>0</v>
      </c>
      <c r="O651" s="36">
        <v>0</v>
      </c>
      <c r="P651" s="100"/>
    </row>
    <row r="652" spans="1:19" x14ac:dyDescent="0.25">
      <c r="A652" s="36">
        <v>59</v>
      </c>
      <c r="B652" s="36">
        <v>438089</v>
      </c>
      <c r="C652" s="36">
        <v>5688713</v>
      </c>
      <c r="D652" s="99">
        <v>8</v>
      </c>
      <c r="E652" s="99" t="s">
        <v>61</v>
      </c>
      <c r="F652" s="99">
        <v>2011</v>
      </c>
      <c r="G652" s="36">
        <v>0.75579999999999992</v>
      </c>
      <c r="H652" s="36">
        <v>0.22673999999999997</v>
      </c>
      <c r="I652" s="36">
        <v>0</v>
      </c>
      <c r="J652" s="36">
        <v>0</v>
      </c>
      <c r="K652" s="36">
        <v>5.0999999999999997E-2</v>
      </c>
      <c r="L652" s="36">
        <v>1.2749999999999999E-2</v>
      </c>
      <c r="M652" s="36">
        <v>0.21398999999999996</v>
      </c>
      <c r="N652" s="36">
        <v>0</v>
      </c>
      <c r="O652" s="36">
        <v>0</v>
      </c>
      <c r="P652" s="100"/>
    </row>
    <row r="653" spans="1:19" x14ac:dyDescent="0.25">
      <c r="A653" s="36">
        <v>60</v>
      </c>
      <c r="B653" s="36">
        <v>438099</v>
      </c>
      <c r="C653" s="36">
        <v>5688719</v>
      </c>
      <c r="D653" s="99">
        <v>8</v>
      </c>
      <c r="E653" s="99" t="s">
        <v>61</v>
      </c>
      <c r="F653" s="99">
        <v>2011</v>
      </c>
      <c r="G653" s="36">
        <v>0.39360000000000001</v>
      </c>
      <c r="H653" s="36">
        <v>0.11807999999999999</v>
      </c>
      <c r="I653" s="36">
        <v>4.5999999999999999E-3</v>
      </c>
      <c r="J653" s="36">
        <v>1.472E-3</v>
      </c>
      <c r="K653" s="36">
        <v>0.1406</v>
      </c>
      <c r="L653" s="36">
        <v>3.5150000000000001E-2</v>
      </c>
      <c r="M653" s="36">
        <v>8.292999999999999E-2</v>
      </c>
      <c r="N653" s="36">
        <v>0</v>
      </c>
      <c r="O653" s="36">
        <v>0</v>
      </c>
      <c r="P653" s="100"/>
    </row>
    <row r="654" spans="1:19" s="25" customFormat="1" x14ac:dyDescent="0.25">
      <c r="A654" s="29">
        <v>1</v>
      </c>
      <c r="B654" s="30">
        <v>437930.10856199998</v>
      </c>
      <c r="C654" s="30">
        <v>5688036.3324180003</v>
      </c>
      <c r="D654" s="46">
        <v>25</v>
      </c>
      <c r="E654" s="46" t="s">
        <v>64</v>
      </c>
      <c r="F654" s="46">
        <v>2012</v>
      </c>
      <c r="G654" s="16">
        <v>3.7000000000000002E-3</v>
      </c>
      <c r="H654" s="16">
        <v>1.4430000000000001E-3</v>
      </c>
      <c r="I654" s="5">
        <v>0</v>
      </c>
      <c r="J654" s="5">
        <v>0</v>
      </c>
      <c r="K654" s="5">
        <v>0</v>
      </c>
      <c r="L654" s="5">
        <v>0</v>
      </c>
      <c r="M654" s="5">
        <f>H654-L654</f>
        <v>1.4430000000000001E-3</v>
      </c>
      <c r="N654" s="16">
        <v>5.0000000000000001E-3</v>
      </c>
      <c r="O654" s="16">
        <v>2.4499999999999999E-3</v>
      </c>
      <c r="P654" s="92"/>
      <c r="R654" s="5">
        <f>AVERAGE(M654:M713)</f>
        <v>4.7232019230769237E-2</v>
      </c>
      <c r="S654" s="5">
        <f>AVERAGE(H654:H713)</f>
        <v>5.5505423076923084E-2</v>
      </c>
    </row>
    <row r="655" spans="1:19" s="25" customFormat="1" x14ac:dyDescent="0.25">
      <c r="A655" s="29">
        <v>2</v>
      </c>
      <c r="B655" s="30">
        <v>437811.10856199998</v>
      </c>
      <c r="C655" s="30">
        <v>5688155.3324180003</v>
      </c>
      <c r="D655" s="46">
        <v>25</v>
      </c>
      <c r="E655" s="46" t="s">
        <v>64</v>
      </c>
      <c r="F655" s="46">
        <v>2012</v>
      </c>
      <c r="G655" s="16">
        <v>1.2E-2</v>
      </c>
      <c r="H655" s="16">
        <v>4.6800000000000001E-3</v>
      </c>
      <c r="I655" s="16">
        <v>0</v>
      </c>
      <c r="J655" s="16">
        <v>0</v>
      </c>
      <c r="K655" s="16">
        <v>4.1000000000000003E-3</v>
      </c>
      <c r="L655" s="16">
        <v>2.1730000000000005E-3</v>
      </c>
      <c r="M655" s="5">
        <f t="shared" ref="M655:M713" si="0">H655-L655</f>
        <v>2.5069999999999997E-3</v>
      </c>
      <c r="N655" s="5">
        <v>2.58E-2</v>
      </c>
      <c r="O655" s="16">
        <v>1.2642E-2</v>
      </c>
      <c r="P655" s="92"/>
    </row>
    <row r="656" spans="1:19" s="25" customFormat="1" x14ac:dyDescent="0.25">
      <c r="A656" s="29">
        <v>3</v>
      </c>
      <c r="B656" s="30">
        <v>437930.10856199998</v>
      </c>
      <c r="C656" s="30">
        <v>5688155.3324180003</v>
      </c>
      <c r="D656" s="46">
        <v>25</v>
      </c>
      <c r="E656" s="46" t="s">
        <v>64</v>
      </c>
      <c r="F656" s="46">
        <v>2012</v>
      </c>
      <c r="G656" s="16">
        <v>4.6199999999999998E-2</v>
      </c>
      <c r="H656" s="16">
        <v>1.8017999999999999E-2</v>
      </c>
      <c r="I656" s="16">
        <v>8.1699999999999995E-2</v>
      </c>
      <c r="J656" s="16">
        <v>3.5130999999999996E-2</v>
      </c>
      <c r="K656" s="16">
        <v>1.1599999999999999E-2</v>
      </c>
      <c r="L656" s="16">
        <v>6.1479999999999998E-3</v>
      </c>
      <c r="M656" s="5">
        <f t="shared" si="0"/>
        <v>1.1869999999999999E-2</v>
      </c>
      <c r="N656" s="5">
        <v>0.1045</v>
      </c>
      <c r="O656" s="16">
        <v>5.1204999999999994E-2</v>
      </c>
      <c r="P656" s="92"/>
    </row>
    <row r="657" spans="1:16" s="25" customFormat="1" x14ac:dyDescent="0.25">
      <c r="A657" s="29">
        <v>4</v>
      </c>
      <c r="B657" s="30">
        <v>438049.10856199998</v>
      </c>
      <c r="C657" s="30">
        <v>5688155.3324180003</v>
      </c>
      <c r="D657" s="46">
        <v>25</v>
      </c>
      <c r="E657" s="46" t="s">
        <v>64</v>
      </c>
      <c r="F657" s="46">
        <v>2012</v>
      </c>
      <c r="G657" s="16">
        <v>0.89600000000000002</v>
      </c>
      <c r="H657" s="16">
        <v>0.34944000000000003</v>
      </c>
      <c r="I657" s="16">
        <v>0</v>
      </c>
      <c r="J657" s="16">
        <v>0</v>
      </c>
      <c r="K657" s="16">
        <v>1.2999999999999999E-2</v>
      </c>
      <c r="L657" s="16">
        <v>6.8900000000000003E-3</v>
      </c>
      <c r="M657" s="5">
        <f t="shared" si="0"/>
        <v>0.34255000000000002</v>
      </c>
      <c r="N657" s="5">
        <v>0</v>
      </c>
      <c r="O657" s="16">
        <v>0</v>
      </c>
      <c r="P657" s="92"/>
    </row>
    <row r="658" spans="1:16" s="25" customFormat="1" x14ac:dyDescent="0.25">
      <c r="A658" s="29">
        <v>5</v>
      </c>
      <c r="B658" s="30">
        <v>437573.10856199998</v>
      </c>
      <c r="C658" s="30">
        <v>5688274.3324180003</v>
      </c>
      <c r="D658" s="46">
        <v>25</v>
      </c>
      <c r="E658" s="46" t="s">
        <v>64</v>
      </c>
      <c r="F658" s="46">
        <v>2012</v>
      </c>
      <c r="G658" s="16">
        <v>5.1000000000000004E-3</v>
      </c>
      <c r="H658" s="16">
        <v>1.9890000000000003E-3</v>
      </c>
      <c r="I658" s="16">
        <v>0.16</v>
      </c>
      <c r="J658" s="16">
        <v>6.88E-2</v>
      </c>
      <c r="K658" s="16">
        <v>2.4E-2</v>
      </c>
      <c r="L658" s="16">
        <v>1.272E-2</v>
      </c>
      <c r="M658" s="5">
        <f t="shared" si="0"/>
        <v>-1.0731000000000001E-2</v>
      </c>
      <c r="N658" s="5">
        <v>0.15079999999999999</v>
      </c>
      <c r="O658" s="16">
        <v>7.3891999999999999E-2</v>
      </c>
      <c r="P658" s="92"/>
    </row>
    <row r="659" spans="1:16" s="25" customFormat="1" x14ac:dyDescent="0.25">
      <c r="A659" s="29">
        <v>6</v>
      </c>
      <c r="B659" s="30">
        <v>437692.10856199998</v>
      </c>
      <c r="C659" s="30">
        <v>5688274.3324180003</v>
      </c>
      <c r="D659" s="46">
        <v>25</v>
      </c>
      <c r="E659" s="46" t="s">
        <v>64</v>
      </c>
      <c r="F659" s="46">
        <v>2012</v>
      </c>
      <c r="G659" s="16">
        <v>3.3E-3</v>
      </c>
      <c r="H659" s="16">
        <v>1.2869999999999999E-3</v>
      </c>
      <c r="I659" s="16">
        <v>0.1143</v>
      </c>
      <c r="J659" s="16">
        <v>4.9148999999999998E-2</v>
      </c>
      <c r="K659" s="16">
        <v>2.3999999999999998E-3</v>
      </c>
      <c r="L659" s="16">
        <v>1.2719999999999999E-3</v>
      </c>
      <c r="M659" s="5">
        <f t="shared" si="0"/>
        <v>1.5000000000000039E-5</v>
      </c>
      <c r="N659" s="5">
        <v>0.1147</v>
      </c>
      <c r="O659" s="16">
        <v>5.6202999999999996E-2</v>
      </c>
      <c r="P659" s="92"/>
    </row>
    <row r="660" spans="1:16" s="25" customFormat="1" x14ac:dyDescent="0.25">
      <c r="A660" s="29">
        <v>7</v>
      </c>
      <c r="B660" s="30">
        <v>437811.10856199998</v>
      </c>
      <c r="C660" s="30">
        <v>5688274.3324180003</v>
      </c>
      <c r="D660" s="46">
        <v>25</v>
      </c>
      <c r="E660" s="46" t="s">
        <v>64</v>
      </c>
      <c r="F660" s="46">
        <v>2012</v>
      </c>
      <c r="G660" s="16">
        <v>3.8999999999999998E-3</v>
      </c>
      <c r="H660" s="16">
        <v>1.521E-3</v>
      </c>
      <c r="I660" s="16">
        <v>0.38619999999999999</v>
      </c>
      <c r="J660" s="16">
        <v>0.16606599999999999</v>
      </c>
      <c r="K660" s="16">
        <v>0.13600000000000001</v>
      </c>
      <c r="L660" s="16">
        <v>7.2080000000000005E-2</v>
      </c>
      <c r="M660" s="5">
        <f t="shared" si="0"/>
        <v>-7.0559000000000011E-2</v>
      </c>
      <c r="N660" s="5">
        <v>4.8099999999999997E-2</v>
      </c>
      <c r="O660" s="16">
        <v>2.3569E-2</v>
      </c>
      <c r="P660" s="92"/>
    </row>
    <row r="661" spans="1:16" s="25" customFormat="1" x14ac:dyDescent="0.25">
      <c r="A661" s="29">
        <v>8</v>
      </c>
      <c r="B661" s="30">
        <v>437930.10856199998</v>
      </c>
      <c r="C661" s="30">
        <v>5688274.3324180003</v>
      </c>
      <c r="D661" s="46">
        <v>25</v>
      </c>
      <c r="E661" s="46" t="s">
        <v>64</v>
      </c>
      <c r="F661" s="46">
        <v>2012</v>
      </c>
      <c r="G661" s="16">
        <v>0.255</v>
      </c>
      <c r="H661" s="16">
        <v>9.9450000000000011E-2</v>
      </c>
      <c r="I661" s="16">
        <v>0</v>
      </c>
      <c r="J661" s="16">
        <v>0</v>
      </c>
      <c r="K661" s="16">
        <v>9.7999999999999997E-3</v>
      </c>
      <c r="L661" s="16">
        <v>5.1939999999999998E-3</v>
      </c>
      <c r="M661" s="5">
        <f t="shared" si="0"/>
        <v>9.4256000000000006E-2</v>
      </c>
      <c r="N661" s="5">
        <v>0</v>
      </c>
      <c r="O661" s="16">
        <v>0</v>
      </c>
      <c r="P661" s="92"/>
    </row>
    <row r="662" spans="1:16" s="25" customFormat="1" x14ac:dyDescent="0.25">
      <c r="A662" s="29">
        <v>9</v>
      </c>
      <c r="B662" s="30">
        <v>438287.10856199998</v>
      </c>
      <c r="C662" s="30">
        <v>5688274.3324180003</v>
      </c>
      <c r="D662" s="46">
        <v>25</v>
      </c>
      <c r="E662" s="46" t="s">
        <v>64</v>
      </c>
      <c r="F662" s="46">
        <v>2012</v>
      </c>
      <c r="G662" s="46" t="s">
        <v>18</v>
      </c>
      <c r="H662" s="31" t="s">
        <v>18</v>
      </c>
      <c r="I662" s="31" t="s">
        <v>18</v>
      </c>
      <c r="J662" s="31" t="s">
        <v>18</v>
      </c>
      <c r="K662" s="16">
        <v>4.6100000000000002E-2</v>
      </c>
      <c r="L662" s="16">
        <v>2.4433000000000003E-2</v>
      </c>
      <c r="M662" s="46" t="s">
        <v>18</v>
      </c>
      <c r="N662" s="5">
        <v>0</v>
      </c>
      <c r="O662" s="16">
        <v>0</v>
      </c>
      <c r="P662" s="92" t="s">
        <v>93</v>
      </c>
    </row>
    <row r="663" spans="1:16" s="25" customFormat="1" x14ac:dyDescent="0.25">
      <c r="A663" s="29">
        <v>10</v>
      </c>
      <c r="B663" s="30">
        <v>438406.10856199998</v>
      </c>
      <c r="C663" s="30">
        <v>5688274.3324180003</v>
      </c>
      <c r="D663" s="46">
        <v>25</v>
      </c>
      <c r="E663" s="46" t="s">
        <v>64</v>
      </c>
      <c r="F663" s="46">
        <v>2012</v>
      </c>
      <c r="G663" s="16">
        <v>0.1065</v>
      </c>
      <c r="H663" s="16">
        <v>4.1535000000000002E-2</v>
      </c>
      <c r="I663" s="16">
        <v>0</v>
      </c>
      <c r="J663" s="16">
        <v>0</v>
      </c>
      <c r="K663" s="16">
        <v>2.1299999999999999E-2</v>
      </c>
      <c r="L663" s="16">
        <v>1.1289E-2</v>
      </c>
      <c r="M663" s="5">
        <f t="shared" si="0"/>
        <v>3.0246000000000002E-2</v>
      </c>
      <c r="N663" s="5">
        <v>0</v>
      </c>
      <c r="O663" s="16">
        <v>0</v>
      </c>
      <c r="P663" s="92"/>
    </row>
    <row r="664" spans="1:16" s="25" customFormat="1" x14ac:dyDescent="0.25">
      <c r="A664" s="29">
        <v>11</v>
      </c>
      <c r="B664" s="30">
        <v>437454.10856199998</v>
      </c>
      <c r="C664" s="30">
        <v>5688393.3324180003</v>
      </c>
      <c r="D664" s="46">
        <v>25</v>
      </c>
      <c r="E664" s="46" t="s">
        <v>64</v>
      </c>
      <c r="F664" s="46">
        <v>2012</v>
      </c>
      <c r="G664" s="16">
        <v>4.0300000000000002E-2</v>
      </c>
      <c r="H664" s="16">
        <v>1.5717000000000002E-2</v>
      </c>
      <c r="I664" s="16">
        <v>0</v>
      </c>
      <c r="J664" s="16">
        <v>0</v>
      </c>
      <c r="K664" s="16">
        <v>2.3900000000000001E-2</v>
      </c>
      <c r="L664" s="16">
        <v>1.2667000000000001E-2</v>
      </c>
      <c r="M664" s="5">
        <f t="shared" si="0"/>
        <v>3.0500000000000006E-3</v>
      </c>
      <c r="N664" s="5">
        <v>2.0899999999999998E-2</v>
      </c>
      <c r="O664" s="16">
        <v>1.0240999999999998E-2</v>
      </c>
      <c r="P664" s="92"/>
    </row>
    <row r="665" spans="1:16" s="25" customFormat="1" x14ac:dyDescent="0.25">
      <c r="A665" s="29">
        <v>12</v>
      </c>
      <c r="B665" s="30">
        <v>437573.10856199998</v>
      </c>
      <c r="C665" s="30">
        <v>5688393.3324180003</v>
      </c>
      <c r="D665" s="46">
        <v>25</v>
      </c>
      <c r="E665" s="46" t="s">
        <v>64</v>
      </c>
      <c r="F665" s="46">
        <v>2012</v>
      </c>
      <c r="G665" s="16">
        <v>1.6799999999999999E-2</v>
      </c>
      <c r="H665" s="16">
        <v>6.5519999999999997E-3</v>
      </c>
      <c r="I665" s="16">
        <v>0.1951</v>
      </c>
      <c r="J665" s="16">
        <v>8.3892999999999995E-2</v>
      </c>
      <c r="K665" s="16">
        <v>1.0500000000000001E-2</v>
      </c>
      <c r="L665" s="16">
        <v>5.5650000000000005E-3</v>
      </c>
      <c r="M665" s="5">
        <f t="shared" si="0"/>
        <v>9.8699999999999916E-4</v>
      </c>
      <c r="N665" s="5">
        <v>1.04E-2</v>
      </c>
      <c r="O665" s="16">
        <v>5.0959999999999998E-3</v>
      </c>
      <c r="P665" s="92"/>
    </row>
    <row r="666" spans="1:16" s="25" customFormat="1" x14ac:dyDescent="0.25">
      <c r="A666" s="29">
        <v>13</v>
      </c>
      <c r="B666" s="30">
        <v>437692.10856199998</v>
      </c>
      <c r="C666" s="30">
        <v>5688393.3324180003</v>
      </c>
      <c r="D666" s="46">
        <v>25</v>
      </c>
      <c r="E666" s="46" t="s">
        <v>64</v>
      </c>
      <c r="F666" s="46">
        <v>2012</v>
      </c>
      <c r="G666" s="16">
        <v>5.1299999999999998E-2</v>
      </c>
      <c r="H666" s="16">
        <v>2.0007E-2</v>
      </c>
      <c r="I666" s="16">
        <v>0.2944</v>
      </c>
      <c r="J666" s="16">
        <v>0.12659199999999998</v>
      </c>
      <c r="K666" s="16">
        <v>5.7299999999999997E-2</v>
      </c>
      <c r="L666" s="16">
        <v>3.0369E-2</v>
      </c>
      <c r="M666" s="5">
        <f t="shared" si="0"/>
        <v>-1.0362E-2</v>
      </c>
      <c r="N666" s="5">
        <v>0.13919999999999999</v>
      </c>
      <c r="O666" s="16">
        <v>6.8207999999999991E-2</v>
      </c>
      <c r="P666" s="92"/>
    </row>
    <row r="667" spans="1:16" s="25" customFormat="1" x14ac:dyDescent="0.25">
      <c r="A667" s="38">
        <v>14</v>
      </c>
      <c r="B667" s="39">
        <v>437811.10856199998</v>
      </c>
      <c r="C667" s="39">
        <v>5688393.3324180003</v>
      </c>
      <c r="D667" s="96">
        <v>25</v>
      </c>
      <c r="E667" s="96" t="s">
        <v>64</v>
      </c>
      <c r="F667" s="96">
        <v>2012</v>
      </c>
      <c r="G667" s="96" t="s">
        <v>18</v>
      </c>
      <c r="H667" s="96" t="s">
        <v>18</v>
      </c>
      <c r="I667" s="96" t="s">
        <v>18</v>
      </c>
      <c r="J667" s="96" t="s">
        <v>18</v>
      </c>
      <c r="K667" s="96" t="s">
        <v>18</v>
      </c>
      <c r="L667" s="96" t="s">
        <v>18</v>
      </c>
      <c r="M667" s="96" t="s">
        <v>18</v>
      </c>
      <c r="N667" s="96" t="s">
        <v>18</v>
      </c>
      <c r="O667" s="96" t="s">
        <v>18</v>
      </c>
      <c r="P667" s="94" t="s">
        <v>89</v>
      </c>
    </row>
    <row r="668" spans="1:16" s="25" customFormat="1" x14ac:dyDescent="0.25">
      <c r="A668" s="29">
        <v>15</v>
      </c>
      <c r="B668" s="30">
        <v>437930.10856199998</v>
      </c>
      <c r="C668" s="30">
        <v>5688393.3324180003</v>
      </c>
      <c r="D668" s="46">
        <v>25</v>
      </c>
      <c r="E668" s="46" t="s">
        <v>64</v>
      </c>
      <c r="F668" s="46">
        <v>2012</v>
      </c>
      <c r="G668" s="16">
        <v>5.4100000000000002E-2</v>
      </c>
      <c r="H668" s="16">
        <v>2.1099000000000003E-2</v>
      </c>
      <c r="I668" s="16">
        <v>0</v>
      </c>
      <c r="J668" s="16">
        <v>0</v>
      </c>
      <c r="K668" s="16">
        <v>2.6200000000000001E-2</v>
      </c>
      <c r="L668" s="16">
        <v>1.3886000000000001E-2</v>
      </c>
      <c r="M668" s="5">
        <f t="shared" si="0"/>
        <v>7.2130000000000024E-3</v>
      </c>
      <c r="N668" s="5">
        <v>0.20330000000000001</v>
      </c>
      <c r="O668" s="16">
        <v>9.9616999999999997E-2</v>
      </c>
      <c r="P668" s="92"/>
    </row>
    <row r="669" spans="1:16" s="25" customFormat="1" x14ac:dyDescent="0.25">
      <c r="A669" s="29">
        <v>16</v>
      </c>
      <c r="B669" s="30">
        <v>438049.10856199998</v>
      </c>
      <c r="C669" s="30">
        <v>5688393.3324180003</v>
      </c>
      <c r="D669" s="46">
        <v>25</v>
      </c>
      <c r="E669" s="46" t="s">
        <v>64</v>
      </c>
      <c r="F669" s="46">
        <v>2012</v>
      </c>
      <c r="G669" s="31" t="s">
        <v>18</v>
      </c>
      <c r="H669" s="31" t="s">
        <v>18</v>
      </c>
      <c r="I669" s="31" t="s">
        <v>18</v>
      </c>
      <c r="J669" s="31" t="s">
        <v>18</v>
      </c>
      <c r="K669" s="16">
        <v>1.66E-2</v>
      </c>
      <c r="L669" s="16">
        <v>8.7980000000000003E-3</v>
      </c>
      <c r="M669" s="46" t="s">
        <v>18</v>
      </c>
      <c r="N669" s="5">
        <v>0.15920000000000001</v>
      </c>
      <c r="O669" s="16">
        <v>7.8008000000000008E-2</v>
      </c>
      <c r="P669" s="92" t="s">
        <v>93</v>
      </c>
    </row>
    <row r="670" spans="1:16" s="25" customFormat="1" x14ac:dyDescent="0.25">
      <c r="A670" s="29">
        <v>17</v>
      </c>
      <c r="B670" s="30">
        <v>438168.10856199998</v>
      </c>
      <c r="C670" s="30">
        <v>5688393.3324180003</v>
      </c>
      <c r="D670" s="46">
        <v>25</v>
      </c>
      <c r="E670" s="46" t="s">
        <v>64</v>
      </c>
      <c r="F670" s="46">
        <v>2012</v>
      </c>
      <c r="G670" s="16">
        <v>0</v>
      </c>
      <c r="H670" s="16">
        <v>0</v>
      </c>
      <c r="I670" s="16">
        <v>4.4900000000000002E-2</v>
      </c>
      <c r="J670" s="16">
        <v>1.9307000000000001E-2</v>
      </c>
      <c r="K670" s="16">
        <v>3.3E-3</v>
      </c>
      <c r="L670" s="16">
        <v>1.7490000000000001E-3</v>
      </c>
      <c r="M670" s="5">
        <f t="shared" si="0"/>
        <v>-1.7490000000000001E-3</v>
      </c>
      <c r="N670" s="5">
        <v>0</v>
      </c>
      <c r="O670" s="16">
        <v>0</v>
      </c>
      <c r="P670" s="92"/>
    </row>
    <row r="671" spans="1:16" s="25" customFormat="1" x14ac:dyDescent="0.25">
      <c r="A671" s="29">
        <v>18</v>
      </c>
      <c r="B671" s="30">
        <v>438287.10856199998</v>
      </c>
      <c r="C671" s="30">
        <v>5688393.3324180003</v>
      </c>
      <c r="D671" s="46">
        <v>25</v>
      </c>
      <c r="E671" s="46" t="s">
        <v>64</v>
      </c>
      <c r="F671" s="46">
        <v>2012</v>
      </c>
      <c r="G671" s="16">
        <v>0.1041</v>
      </c>
      <c r="H671" s="16">
        <v>4.0599000000000003E-2</v>
      </c>
      <c r="I671" s="16">
        <v>0</v>
      </c>
      <c r="J671" s="16">
        <v>0</v>
      </c>
      <c r="K671" s="16">
        <v>2.06E-2</v>
      </c>
      <c r="L671" s="16">
        <v>1.0918000000000001E-2</v>
      </c>
      <c r="M671" s="5">
        <f t="shared" si="0"/>
        <v>2.9681000000000003E-2</v>
      </c>
      <c r="N671" s="5">
        <v>0</v>
      </c>
      <c r="O671" s="16">
        <v>0</v>
      </c>
      <c r="P671" s="92"/>
    </row>
    <row r="672" spans="1:16" s="25" customFormat="1" x14ac:dyDescent="0.25">
      <c r="A672" s="29">
        <v>19</v>
      </c>
      <c r="B672" s="30">
        <v>438406.10856199998</v>
      </c>
      <c r="C672" s="30">
        <v>5688393.3324180003</v>
      </c>
      <c r="D672" s="46">
        <v>25</v>
      </c>
      <c r="E672" s="46" t="s">
        <v>64</v>
      </c>
      <c r="F672" s="46">
        <v>2012</v>
      </c>
      <c r="G672" s="16">
        <v>7.1099999999999997E-2</v>
      </c>
      <c r="H672" s="16">
        <v>2.7729E-2</v>
      </c>
      <c r="I672" s="16">
        <v>0</v>
      </c>
      <c r="J672" s="16">
        <v>0</v>
      </c>
      <c r="K672" s="16">
        <v>1.37E-2</v>
      </c>
      <c r="L672" s="16">
        <v>7.261000000000001E-3</v>
      </c>
      <c r="M672" s="5">
        <f t="shared" si="0"/>
        <v>2.0468E-2</v>
      </c>
      <c r="N672" s="5">
        <v>0</v>
      </c>
      <c r="O672" s="16">
        <v>0</v>
      </c>
      <c r="P672" s="92"/>
    </row>
    <row r="673" spans="1:16" s="25" customFormat="1" x14ac:dyDescent="0.25">
      <c r="A673" s="29">
        <v>20</v>
      </c>
      <c r="B673" s="30">
        <v>437335.10856199998</v>
      </c>
      <c r="C673" s="30">
        <v>5688512.3324180003</v>
      </c>
      <c r="D673" s="46">
        <v>25</v>
      </c>
      <c r="E673" s="46" t="s">
        <v>64</v>
      </c>
      <c r="F673" s="46">
        <v>2012</v>
      </c>
      <c r="G673" s="16">
        <v>1.6400000000000001E-2</v>
      </c>
      <c r="H673" s="16">
        <v>6.3960000000000006E-3</v>
      </c>
      <c r="I673" s="16">
        <v>9.4299999999999995E-2</v>
      </c>
      <c r="J673" s="16">
        <v>4.0548999999999995E-2</v>
      </c>
      <c r="K673" s="16">
        <v>9.4999999999999998E-3</v>
      </c>
      <c r="L673" s="16">
        <v>5.0350000000000004E-3</v>
      </c>
      <c r="M673" s="5">
        <f t="shared" si="0"/>
        <v>1.3610000000000002E-3</v>
      </c>
      <c r="N673" s="5">
        <v>4.4499999999999998E-2</v>
      </c>
      <c r="O673" s="16">
        <v>2.1804999999999998E-2</v>
      </c>
      <c r="P673" s="92"/>
    </row>
    <row r="674" spans="1:16" s="25" customFormat="1" x14ac:dyDescent="0.25">
      <c r="A674" s="29">
        <v>21</v>
      </c>
      <c r="B674" s="30">
        <v>437454.10856199998</v>
      </c>
      <c r="C674" s="30">
        <v>5688512.3324180003</v>
      </c>
      <c r="D674" s="46">
        <v>25</v>
      </c>
      <c r="E674" s="46" t="s">
        <v>64</v>
      </c>
      <c r="F674" s="46">
        <v>2012</v>
      </c>
      <c r="G674" s="16">
        <v>8.0999999999999996E-3</v>
      </c>
      <c r="H674" s="16">
        <v>3.1589999999999999E-3</v>
      </c>
      <c r="I674" s="16">
        <v>5.1999999999999998E-3</v>
      </c>
      <c r="J674" s="16">
        <v>2.2359999999999997E-3</v>
      </c>
      <c r="K674" s="16">
        <v>7.9000000000000008E-3</v>
      </c>
      <c r="L674" s="16">
        <v>4.1870000000000006E-3</v>
      </c>
      <c r="M674" s="5">
        <f t="shared" si="0"/>
        <v>-1.0280000000000007E-3</v>
      </c>
      <c r="N674" s="5">
        <v>9.7999999999999997E-3</v>
      </c>
      <c r="O674" s="16">
        <v>4.8019999999999998E-3</v>
      </c>
      <c r="P674" s="92"/>
    </row>
    <row r="675" spans="1:16" s="25" customFormat="1" x14ac:dyDescent="0.25">
      <c r="A675" s="29">
        <v>22</v>
      </c>
      <c r="B675" s="30">
        <v>437573.10856199998</v>
      </c>
      <c r="C675" s="30">
        <v>5688512.3324180003</v>
      </c>
      <c r="D675" s="46">
        <v>25</v>
      </c>
      <c r="E675" s="46" t="s">
        <v>64</v>
      </c>
      <c r="F675" s="46">
        <v>2012</v>
      </c>
      <c r="G675" s="16">
        <v>6.2300000000000001E-2</v>
      </c>
      <c r="H675" s="16">
        <v>2.4297000000000003E-2</v>
      </c>
      <c r="I675" s="16">
        <v>0.24740000000000001</v>
      </c>
      <c r="J675" s="16">
        <v>0.106382</v>
      </c>
      <c r="K675" s="16">
        <v>2.81E-2</v>
      </c>
      <c r="L675" s="16">
        <v>1.4893E-2</v>
      </c>
      <c r="M675" s="5">
        <f t="shared" si="0"/>
        <v>9.4040000000000026E-3</v>
      </c>
      <c r="N675" s="5">
        <v>0.1036</v>
      </c>
      <c r="O675" s="16">
        <v>5.0763999999999997E-2</v>
      </c>
      <c r="P675" s="92"/>
    </row>
    <row r="676" spans="1:16" s="25" customFormat="1" x14ac:dyDescent="0.25">
      <c r="A676" s="29">
        <v>23</v>
      </c>
      <c r="B676" s="30">
        <v>437692.10856199998</v>
      </c>
      <c r="C676" s="30">
        <v>5688512.3324180003</v>
      </c>
      <c r="D676" s="46">
        <v>25</v>
      </c>
      <c r="E676" s="46" t="s">
        <v>64</v>
      </c>
      <c r="F676" s="46">
        <v>2012</v>
      </c>
      <c r="G676" s="16">
        <v>5.0599999999999999E-2</v>
      </c>
      <c r="H676" s="16">
        <v>1.9734000000000002E-2</v>
      </c>
      <c r="I676" s="16">
        <v>0.1462</v>
      </c>
      <c r="J676" s="16">
        <v>6.2865999999999991E-2</v>
      </c>
      <c r="K676" s="16">
        <v>1.1599999999999999E-2</v>
      </c>
      <c r="L676" s="16">
        <v>6.1479999999999998E-3</v>
      </c>
      <c r="M676" s="5">
        <f t="shared" si="0"/>
        <v>1.3586000000000001E-2</v>
      </c>
      <c r="N676" s="5">
        <v>0</v>
      </c>
      <c r="O676" s="16">
        <v>0</v>
      </c>
      <c r="P676" s="92"/>
    </row>
    <row r="677" spans="1:16" s="25" customFormat="1" x14ac:dyDescent="0.25">
      <c r="A677" s="29">
        <v>24</v>
      </c>
      <c r="B677" s="30">
        <v>437811.10856199998</v>
      </c>
      <c r="C677" s="30">
        <v>5688512.3324180003</v>
      </c>
      <c r="D677" s="46">
        <v>25</v>
      </c>
      <c r="E677" s="46" t="s">
        <v>64</v>
      </c>
      <c r="F677" s="46">
        <v>2012</v>
      </c>
      <c r="G677" s="16">
        <v>0.2049</v>
      </c>
      <c r="H677" s="16">
        <v>7.9910999999999996E-2</v>
      </c>
      <c r="I677" s="16">
        <v>0</v>
      </c>
      <c r="J677" s="16">
        <v>0</v>
      </c>
      <c r="K677" s="16">
        <v>9.7999999999999997E-3</v>
      </c>
      <c r="L677" s="16">
        <v>5.1939999999999998E-3</v>
      </c>
      <c r="M677" s="5">
        <f t="shared" si="0"/>
        <v>7.4716999999999992E-2</v>
      </c>
      <c r="N677" s="5">
        <v>0</v>
      </c>
      <c r="O677" s="16">
        <v>0</v>
      </c>
      <c r="P677" s="92"/>
    </row>
    <row r="678" spans="1:16" customFormat="1" ht="14.4" x14ac:dyDescent="0.3">
      <c r="A678" s="29">
        <v>25</v>
      </c>
      <c r="B678" s="31">
        <v>437995</v>
      </c>
      <c r="C678" s="31">
        <v>5688493</v>
      </c>
      <c r="D678" s="46">
        <v>25</v>
      </c>
      <c r="E678" s="46" t="s">
        <v>64</v>
      </c>
      <c r="F678" s="46">
        <v>2012</v>
      </c>
      <c r="G678" s="16">
        <v>2.0799999999999999E-2</v>
      </c>
      <c r="H678" s="16">
        <v>8.1119999999999994E-3</v>
      </c>
      <c r="I678" s="16">
        <v>0</v>
      </c>
      <c r="J678" s="16">
        <v>0</v>
      </c>
      <c r="K678" s="16">
        <v>7.1999999999999998E-3</v>
      </c>
      <c r="L678" s="16">
        <v>3.8159999999999999E-3</v>
      </c>
      <c r="M678" s="5">
        <f t="shared" si="0"/>
        <v>4.2959999999999995E-3</v>
      </c>
      <c r="N678" s="5">
        <v>0</v>
      </c>
      <c r="O678" s="16">
        <v>0</v>
      </c>
      <c r="P678" s="92"/>
    </row>
    <row r="679" spans="1:16" customFormat="1" ht="14.4" x14ac:dyDescent="0.3">
      <c r="A679" s="29">
        <v>26</v>
      </c>
      <c r="B679" s="31">
        <v>438112</v>
      </c>
      <c r="C679" s="31">
        <v>5688567</v>
      </c>
      <c r="D679" s="46">
        <v>24</v>
      </c>
      <c r="E679" s="46" t="s">
        <v>64</v>
      </c>
      <c r="F679" s="46">
        <v>2012</v>
      </c>
      <c r="G679" s="16">
        <v>0.1779</v>
      </c>
      <c r="H679" s="16">
        <v>6.0486000000000005E-2</v>
      </c>
      <c r="I679" s="16">
        <v>0</v>
      </c>
      <c r="J679" s="16">
        <v>0</v>
      </c>
      <c r="K679" s="16">
        <v>1.77E-2</v>
      </c>
      <c r="L679" s="16">
        <v>7.4339999999999996E-3</v>
      </c>
      <c r="M679" s="5">
        <f t="shared" si="0"/>
        <v>5.3052000000000002E-2</v>
      </c>
      <c r="N679" s="16">
        <v>2.3E-3</v>
      </c>
      <c r="O679" s="5">
        <v>8.9999999999999998E-4</v>
      </c>
      <c r="P679" s="92"/>
    </row>
    <row r="680" spans="1:16" s="25" customFormat="1" x14ac:dyDescent="0.25">
      <c r="A680" s="38">
        <v>27</v>
      </c>
      <c r="B680" s="39">
        <v>438168.10856199998</v>
      </c>
      <c r="C680" s="39">
        <v>5688512.3324180003</v>
      </c>
      <c r="D680" s="96">
        <v>25</v>
      </c>
      <c r="E680" s="96" t="s">
        <v>64</v>
      </c>
      <c r="F680" s="96">
        <v>2012</v>
      </c>
      <c r="G680" s="96" t="s">
        <v>18</v>
      </c>
      <c r="H680" s="96" t="s">
        <v>18</v>
      </c>
      <c r="I680" s="96" t="s">
        <v>18</v>
      </c>
      <c r="J680" s="96" t="s">
        <v>18</v>
      </c>
      <c r="K680" s="96" t="s">
        <v>18</v>
      </c>
      <c r="L680" s="96" t="s">
        <v>18</v>
      </c>
      <c r="M680" s="96" t="s">
        <v>18</v>
      </c>
      <c r="N680" s="96" t="s">
        <v>18</v>
      </c>
      <c r="O680" s="96" t="s">
        <v>18</v>
      </c>
      <c r="P680" s="94" t="s">
        <v>89</v>
      </c>
    </row>
    <row r="681" spans="1:16" s="25" customFormat="1" x14ac:dyDescent="0.25">
      <c r="A681" s="38">
        <v>28</v>
      </c>
      <c r="B681" s="39">
        <v>438287.10856199998</v>
      </c>
      <c r="C681" s="39">
        <v>5688512.3324180003</v>
      </c>
      <c r="D681" s="96">
        <v>25</v>
      </c>
      <c r="E681" s="96" t="s">
        <v>64</v>
      </c>
      <c r="F681" s="96">
        <v>2012</v>
      </c>
      <c r="G681" s="96" t="s">
        <v>18</v>
      </c>
      <c r="H681" s="96" t="s">
        <v>18</v>
      </c>
      <c r="I681" s="96" t="s">
        <v>18</v>
      </c>
      <c r="J681" s="96" t="s">
        <v>18</v>
      </c>
      <c r="K681" s="96" t="s">
        <v>18</v>
      </c>
      <c r="L681" s="96" t="s">
        <v>18</v>
      </c>
      <c r="M681" s="96" t="s">
        <v>18</v>
      </c>
      <c r="N681" s="96" t="s">
        <v>18</v>
      </c>
      <c r="O681" s="96" t="s">
        <v>18</v>
      </c>
      <c r="P681" s="94" t="s">
        <v>89</v>
      </c>
    </row>
    <row r="682" spans="1:16" s="25" customFormat="1" x14ac:dyDescent="0.25">
      <c r="A682" s="29">
        <v>29</v>
      </c>
      <c r="B682" s="30">
        <v>438381</v>
      </c>
      <c r="C682" s="30">
        <v>5688526</v>
      </c>
      <c r="D682" s="46">
        <v>24</v>
      </c>
      <c r="E682" s="46" t="s">
        <v>64</v>
      </c>
      <c r="F682" s="46">
        <v>2012</v>
      </c>
      <c r="G682" s="16">
        <v>0.129</v>
      </c>
      <c r="H682" s="16">
        <v>4.3860000000000003E-2</v>
      </c>
      <c r="I682" s="16">
        <v>0</v>
      </c>
      <c r="J682" s="16">
        <v>0</v>
      </c>
      <c r="K682" s="16">
        <v>1.67E-2</v>
      </c>
      <c r="L682" s="16">
        <v>7.0139999999999994E-3</v>
      </c>
      <c r="M682" s="5">
        <f t="shared" si="0"/>
        <v>3.6846000000000004E-2</v>
      </c>
      <c r="N682" s="5">
        <v>0</v>
      </c>
      <c r="O682" s="5">
        <v>0</v>
      </c>
      <c r="P682" s="92"/>
    </row>
    <row r="683" spans="1:16" s="25" customFormat="1" x14ac:dyDescent="0.25">
      <c r="A683" s="29">
        <v>30</v>
      </c>
      <c r="B683" s="30">
        <v>438525.10856199998</v>
      </c>
      <c r="C683" s="30">
        <v>5688512.3324180003</v>
      </c>
      <c r="D683" s="46">
        <v>24</v>
      </c>
      <c r="E683" s="46" t="s">
        <v>64</v>
      </c>
      <c r="F683" s="46">
        <v>2012</v>
      </c>
      <c r="G683" s="16">
        <v>0.10979999999999999</v>
      </c>
      <c r="H683" s="16">
        <v>3.7332000000000004E-2</v>
      </c>
      <c r="I683" s="16">
        <v>6.9999999999999999E-4</v>
      </c>
      <c r="J683" s="16">
        <v>2.0000000000000001E-4</v>
      </c>
      <c r="K683" s="16">
        <v>8.8000000000000005E-3</v>
      </c>
      <c r="L683" s="16">
        <v>3.6960000000000001E-3</v>
      </c>
      <c r="M683" s="5">
        <f t="shared" si="0"/>
        <v>3.3636000000000006E-2</v>
      </c>
      <c r="N683" s="5">
        <v>0</v>
      </c>
      <c r="O683" s="5">
        <v>0</v>
      </c>
      <c r="P683" s="92"/>
    </row>
    <row r="684" spans="1:16" s="25" customFormat="1" x14ac:dyDescent="0.25">
      <c r="A684" s="29">
        <v>31</v>
      </c>
      <c r="B684" s="30">
        <v>437335.10856199998</v>
      </c>
      <c r="C684" s="30">
        <v>5688631.3324180003</v>
      </c>
      <c r="D684" s="46">
        <v>25</v>
      </c>
      <c r="E684" s="46" t="s">
        <v>64</v>
      </c>
      <c r="F684" s="46">
        <v>2012</v>
      </c>
      <c r="G684" s="16">
        <v>5.8999999999999999E-3</v>
      </c>
      <c r="H684" s="16">
        <v>2.3010000000000001E-3</v>
      </c>
      <c r="I684" s="16">
        <v>0</v>
      </c>
      <c r="J684" s="16">
        <v>0</v>
      </c>
      <c r="K684" s="16">
        <v>2.2000000000000001E-3</v>
      </c>
      <c r="L684" s="16">
        <v>1.1660000000000002E-3</v>
      </c>
      <c r="M684" s="5">
        <f t="shared" si="0"/>
        <v>1.1349999999999999E-3</v>
      </c>
      <c r="N684" s="5">
        <v>0</v>
      </c>
      <c r="O684" s="5">
        <v>0</v>
      </c>
      <c r="P684" s="92"/>
    </row>
    <row r="685" spans="1:16" s="25" customFormat="1" x14ac:dyDescent="0.25">
      <c r="A685" s="29">
        <v>32</v>
      </c>
      <c r="B685" s="30">
        <v>437454.10856199998</v>
      </c>
      <c r="C685" s="30">
        <v>5688631.3324180003</v>
      </c>
      <c r="D685" s="46">
        <v>25</v>
      </c>
      <c r="E685" s="46" t="s">
        <v>64</v>
      </c>
      <c r="F685" s="46">
        <v>2012</v>
      </c>
      <c r="G685" s="16">
        <v>4.0000000000000001E-3</v>
      </c>
      <c r="H685" s="16">
        <v>1.5600000000000002E-3</v>
      </c>
      <c r="I685" s="16">
        <v>0</v>
      </c>
      <c r="J685" s="16">
        <v>0</v>
      </c>
      <c r="K685" s="16">
        <v>1.5E-3</v>
      </c>
      <c r="L685" s="16">
        <v>7.9500000000000003E-4</v>
      </c>
      <c r="M685" s="5">
        <f t="shared" si="0"/>
        <v>7.6500000000000016E-4</v>
      </c>
      <c r="N685" s="5">
        <v>0</v>
      </c>
      <c r="O685" s="5">
        <v>0</v>
      </c>
      <c r="P685" s="92"/>
    </row>
    <row r="686" spans="1:16" s="25" customFormat="1" x14ac:dyDescent="0.25">
      <c r="A686" s="29">
        <v>33</v>
      </c>
      <c r="B686" s="30">
        <v>437573.10856199998</v>
      </c>
      <c r="C686" s="30">
        <v>5688631.3324180003</v>
      </c>
      <c r="D686" s="46">
        <v>25</v>
      </c>
      <c r="E686" s="46" t="s">
        <v>64</v>
      </c>
      <c r="F686" s="46">
        <v>2012</v>
      </c>
      <c r="G686" s="16">
        <v>1.4E-2</v>
      </c>
      <c r="H686" s="16">
        <v>5.4600000000000004E-3</v>
      </c>
      <c r="I686" s="16">
        <v>0</v>
      </c>
      <c r="J686" s="16">
        <v>0</v>
      </c>
      <c r="K686" s="16">
        <v>3.5999999999999999E-3</v>
      </c>
      <c r="L686" s="16">
        <v>1.908E-3</v>
      </c>
      <c r="M686" s="5">
        <f t="shared" si="0"/>
        <v>3.5520000000000005E-3</v>
      </c>
      <c r="N686" s="5">
        <v>0</v>
      </c>
      <c r="O686" s="5">
        <v>0</v>
      </c>
      <c r="P686" s="92"/>
    </row>
    <row r="687" spans="1:16" s="25" customFormat="1" x14ac:dyDescent="0.25">
      <c r="A687" s="29">
        <v>34</v>
      </c>
      <c r="B687" s="30">
        <v>437692.10856199998</v>
      </c>
      <c r="C687" s="30">
        <v>5688631.3324180003</v>
      </c>
      <c r="D687" s="46">
        <v>25</v>
      </c>
      <c r="E687" s="46" t="s">
        <v>64</v>
      </c>
      <c r="F687" s="46">
        <v>2012</v>
      </c>
      <c r="G687" s="16">
        <v>0.2157</v>
      </c>
      <c r="H687" s="16">
        <v>8.4123000000000003E-2</v>
      </c>
      <c r="I687" s="16">
        <v>0.1167</v>
      </c>
      <c r="J687" s="16">
        <v>5.0180999999999996E-2</v>
      </c>
      <c r="K687" s="5">
        <v>2.47E-2</v>
      </c>
      <c r="L687" s="16">
        <v>1.3091E-2</v>
      </c>
      <c r="M687" s="5">
        <f t="shared" si="0"/>
        <v>7.1031999999999998E-2</v>
      </c>
      <c r="N687" s="5">
        <v>0</v>
      </c>
      <c r="O687" s="5">
        <v>0</v>
      </c>
      <c r="P687" s="92"/>
    </row>
    <row r="688" spans="1:16" s="25" customFormat="1" x14ac:dyDescent="0.25">
      <c r="A688" s="29">
        <v>35</v>
      </c>
      <c r="B688" s="30">
        <v>437893</v>
      </c>
      <c r="C688" s="30">
        <v>5688620</v>
      </c>
      <c r="D688" s="46">
        <v>25</v>
      </c>
      <c r="E688" s="46" t="s">
        <v>64</v>
      </c>
      <c r="F688" s="46">
        <v>2012</v>
      </c>
      <c r="G688" s="16">
        <v>0.14149999999999999</v>
      </c>
      <c r="H688" s="16">
        <v>5.5184999999999998E-2</v>
      </c>
      <c r="I688" s="16">
        <v>0</v>
      </c>
      <c r="J688" s="16">
        <v>0</v>
      </c>
      <c r="K688" s="16">
        <v>5.7999999999999996E-3</v>
      </c>
      <c r="L688" s="16">
        <v>3.0739999999999999E-3</v>
      </c>
      <c r="M688" s="5">
        <f t="shared" si="0"/>
        <v>5.2110999999999998E-2</v>
      </c>
      <c r="N688" s="5">
        <v>0</v>
      </c>
      <c r="O688" s="5">
        <v>0</v>
      </c>
      <c r="P688" s="92"/>
    </row>
    <row r="689" spans="1:16" s="25" customFormat="1" x14ac:dyDescent="0.25">
      <c r="A689" s="29">
        <v>36</v>
      </c>
      <c r="B689" s="30">
        <v>437930.10856199998</v>
      </c>
      <c r="C689" s="30">
        <v>5688631.3324180003</v>
      </c>
      <c r="D689" s="46">
        <v>25</v>
      </c>
      <c r="E689" s="46" t="s">
        <v>64</v>
      </c>
      <c r="F689" s="46">
        <v>2012</v>
      </c>
      <c r="G689" s="16">
        <v>5.3699999999999998E-2</v>
      </c>
      <c r="H689" s="16">
        <v>2.0943E-2</v>
      </c>
      <c r="I689" s="16">
        <v>0</v>
      </c>
      <c r="J689" s="16">
        <v>0</v>
      </c>
      <c r="K689" s="16">
        <v>9.4000000000000004E-3</v>
      </c>
      <c r="L689" s="16">
        <v>4.9820000000000003E-3</v>
      </c>
      <c r="M689" s="5">
        <f t="shared" si="0"/>
        <v>1.5960999999999999E-2</v>
      </c>
      <c r="N689" s="5">
        <v>0</v>
      </c>
      <c r="O689" s="5">
        <v>0</v>
      </c>
      <c r="P689" s="92"/>
    </row>
    <row r="690" spans="1:16" s="25" customFormat="1" x14ac:dyDescent="0.25">
      <c r="A690" s="38">
        <v>37</v>
      </c>
      <c r="B690" s="39">
        <v>438049.10856199998</v>
      </c>
      <c r="C690" s="39">
        <v>5688631.3324180003</v>
      </c>
      <c r="D690" s="96">
        <v>25</v>
      </c>
      <c r="E690" s="96" t="s">
        <v>64</v>
      </c>
      <c r="F690" s="96">
        <v>2012</v>
      </c>
      <c r="G690" s="96" t="s">
        <v>18</v>
      </c>
      <c r="H690" s="96" t="s">
        <v>18</v>
      </c>
      <c r="I690" s="96" t="s">
        <v>18</v>
      </c>
      <c r="J690" s="96" t="s">
        <v>18</v>
      </c>
      <c r="K690" s="96" t="s">
        <v>18</v>
      </c>
      <c r="L690" s="96" t="s">
        <v>18</v>
      </c>
      <c r="M690" s="96" t="s">
        <v>18</v>
      </c>
      <c r="N690" s="96" t="s">
        <v>18</v>
      </c>
      <c r="O690" s="96" t="s">
        <v>18</v>
      </c>
      <c r="P690" s="94" t="s">
        <v>89</v>
      </c>
    </row>
    <row r="691" spans="1:16" s="25" customFormat="1" x14ac:dyDescent="0.25">
      <c r="A691" s="29">
        <v>38</v>
      </c>
      <c r="B691" s="30">
        <v>438067</v>
      </c>
      <c r="C691" s="30">
        <v>5688710</v>
      </c>
      <c r="D691" s="46">
        <v>25</v>
      </c>
      <c r="E691" s="46" t="s">
        <v>64</v>
      </c>
      <c r="F691" s="46">
        <v>2012</v>
      </c>
      <c r="G691" s="16">
        <v>0.53180000000000005</v>
      </c>
      <c r="H691" s="16">
        <v>0.20740200000000003</v>
      </c>
      <c r="I691" s="16">
        <v>0</v>
      </c>
      <c r="J691" s="16">
        <v>0</v>
      </c>
      <c r="K691" s="16">
        <v>8.8000000000000005E-3</v>
      </c>
      <c r="L691" s="16">
        <v>4.6640000000000006E-3</v>
      </c>
      <c r="M691" s="5">
        <f t="shared" si="0"/>
        <v>0.20273800000000003</v>
      </c>
      <c r="N691" s="5">
        <v>0</v>
      </c>
      <c r="O691" s="5">
        <v>0</v>
      </c>
      <c r="P691" s="92"/>
    </row>
    <row r="692" spans="1:16" s="25" customFormat="1" x14ac:dyDescent="0.25">
      <c r="A692" s="38">
        <v>39</v>
      </c>
      <c r="B692" s="39">
        <v>438287.10856199998</v>
      </c>
      <c r="C692" s="39">
        <v>5688631.3324180003</v>
      </c>
      <c r="D692" s="96">
        <v>25</v>
      </c>
      <c r="E692" s="96" t="s">
        <v>64</v>
      </c>
      <c r="F692" s="96">
        <v>2012</v>
      </c>
      <c r="G692" s="96" t="s">
        <v>18</v>
      </c>
      <c r="H692" s="96" t="s">
        <v>18</v>
      </c>
      <c r="I692" s="96" t="s">
        <v>18</v>
      </c>
      <c r="J692" s="96" t="s">
        <v>18</v>
      </c>
      <c r="K692" s="96" t="s">
        <v>18</v>
      </c>
      <c r="L692" s="96" t="s">
        <v>18</v>
      </c>
      <c r="M692" s="96" t="s">
        <v>18</v>
      </c>
      <c r="N692" s="96" t="s">
        <v>18</v>
      </c>
      <c r="O692" s="96" t="s">
        <v>18</v>
      </c>
      <c r="P692" s="94" t="s">
        <v>22</v>
      </c>
    </row>
    <row r="693" spans="1:16" s="25" customFormat="1" x14ac:dyDescent="0.25">
      <c r="A693" s="29">
        <v>40</v>
      </c>
      <c r="B693" s="30">
        <v>438406.10856199998</v>
      </c>
      <c r="C693" s="30">
        <v>5688631.3324180003</v>
      </c>
      <c r="D693" s="46">
        <v>24</v>
      </c>
      <c r="E693" s="46" t="s">
        <v>64</v>
      </c>
      <c r="F693" s="46">
        <v>2012</v>
      </c>
      <c r="G693" s="16">
        <v>0.1057</v>
      </c>
      <c r="H693" s="16">
        <v>4.1223000000000003E-2</v>
      </c>
      <c r="I693" s="16">
        <v>0</v>
      </c>
      <c r="J693" s="16">
        <v>0</v>
      </c>
      <c r="K693" s="16">
        <v>1.34E-2</v>
      </c>
      <c r="L693" s="16">
        <v>7.1020000000000007E-3</v>
      </c>
      <c r="M693" s="5">
        <f t="shared" si="0"/>
        <v>3.4120999999999999E-2</v>
      </c>
      <c r="N693" s="5">
        <v>7.1400000000000005E-2</v>
      </c>
      <c r="O693" s="5">
        <v>3.4986000000000003E-2</v>
      </c>
      <c r="P693" s="92"/>
    </row>
    <row r="694" spans="1:16" s="25" customFormat="1" x14ac:dyDescent="0.25">
      <c r="A694" s="29">
        <v>41</v>
      </c>
      <c r="B694" s="30">
        <v>437310</v>
      </c>
      <c r="C694" s="30">
        <v>5688729</v>
      </c>
      <c r="D694" s="46">
        <v>25</v>
      </c>
      <c r="E694" s="46" t="s">
        <v>64</v>
      </c>
      <c r="F694" s="46">
        <v>2012</v>
      </c>
      <c r="G694" s="16">
        <v>1.29E-2</v>
      </c>
      <c r="H694" s="16">
        <v>5.0309999999999999E-3</v>
      </c>
      <c r="I694" s="16">
        <v>2.6100000000000002E-2</v>
      </c>
      <c r="J694" s="16">
        <v>1.1223E-2</v>
      </c>
      <c r="K694" s="16">
        <v>2E-3</v>
      </c>
      <c r="L694" s="16">
        <v>1.0600000000000002E-3</v>
      </c>
      <c r="M694" s="5">
        <f t="shared" si="0"/>
        <v>3.9709999999999997E-3</v>
      </c>
      <c r="N694" s="5">
        <v>0</v>
      </c>
      <c r="O694" s="5">
        <v>0</v>
      </c>
      <c r="P694" s="92"/>
    </row>
    <row r="695" spans="1:16" s="25" customFormat="1" x14ac:dyDescent="0.25">
      <c r="A695" s="29">
        <v>42</v>
      </c>
      <c r="B695" s="30">
        <v>437454.10856199998</v>
      </c>
      <c r="C695" s="30">
        <v>5688750.3324180003</v>
      </c>
      <c r="D695" s="46">
        <v>25</v>
      </c>
      <c r="E695" s="46" t="s">
        <v>64</v>
      </c>
      <c r="F695" s="46">
        <v>2012</v>
      </c>
      <c r="G695" s="16">
        <v>3.6499999999999998E-2</v>
      </c>
      <c r="H695" s="16">
        <v>1.4234999999999999E-2</v>
      </c>
      <c r="I695" s="16">
        <v>6.5299999999999997E-2</v>
      </c>
      <c r="J695" s="16">
        <v>2.8079E-2</v>
      </c>
      <c r="K695" s="16">
        <v>1.5900000000000001E-2</v>
      </c>
      <c r="L695" s="16">
        <v>8.4270000000000005E-3</v>
      </c>
      <c r="M695" s="5">
        <f t="shared" si="0"/>
        <v>5.8079999999999989E-3</v>
      </c>
      <c r="N695" s="5">
        <v>7.7299999999999994E-2</v>
      </c>
      <c r="O695" s="5">
        <v>3.7876999999999994E-2</v>
      </c>
      <c r="P695" s="92"/>
    </row>
    <row r="696" spans="1:16" s="25" customFormat="1" x14ac:dyDescent="0.25">
      <c r="A696" s="29">
        <v>43</v>
      </c>
      <c r="B696" s="30">
        <v>437573.10856199998</v>
      </c>
      <c r="C696" s="30">
        <v>5688750.3324180003</v>
      </c>
      <c r="D696" s="46">
        <v>25</v>
      </c>
      <c r="E696" s="46" t="s">
        <v>64</v>
      </c>
      <c r="F696" s="46">
        <v>2012</v>
      </c>
      <c r="G696" s="16">
        <v>0.14230000000000001</v>
      </c>
      <c r="H696" s="16">
        <v>5.5497000000000005E-2</v>
      </c>
      <c r="I696" s="16">
        <v>1.38E-2</v>
      </c>
      <c r="J696" s="16">
        <v>5.934E-3</v>
      </c>
      <c r="K696" s="16">
        <v>5.6000000000000001E-2</v>
      </c>
      <c r="L696" s="16">
        <v>2.9680000000000002E-2</v>
      </c>
      <c r="M696" s="5">
        <f t="shared" si="0"/>
        <v>2.5817000000000003E-2</v>
      </c>
      <c r="N696" s="5">
        <v>0</v>
      </c>
      <c r="O696" s="5">
        <v>0</v>
      </c>
      <c r="P696" s="92"/>
    </row>
    <row r="697" spans="1:16" s="25" customFormat="1" x14ac:dyDescent="0.25">
      <c r="A697" s="29">
        <v>44</v>
      </c>
      <c r="B697" s="30">
        <v>437692.10856199998</v>
      </c>
      <c r="C697" s="30">
        <v>5688750.3324180003</v>
      </c>
      <c r="D697" s="46">
        <v>25</v>
      </c>
      <c r="E697" s="46" t="s">
        <v>64</v>
      </c>
      <c r="F697" s="46">
        <v>2012</v>
      </c>
      <c r="G697" s="16">
        <v>0.2276</v>
      </c>
      <c r="H697" s="16">
        <v>8.8763999999999996E-2</v>
      </c>
      <c r="I697" s="16">
        <v>0</v>
      </c>
      <c r="J697" s="16">
        <v>0</v>
      </c>
      <c r="K697" s="16">
        <v>1.55E-2</v>
      </c>
      <c r="L697" s="16">
        <v>8.2150000000000001E-3</v>
      </c>
      <c r="M697" s="5">
        <f t="shared" si="0"/>
        <v>8.0548999999999996E-2</v>
      </c>
      <c r="N697" s="5">
        <v>0</v>
      </c>
      <c r="O697" s="5">
        <v>0</v>
      </c>
      <c r="P697" s="92"/>
    </row>
    <row r="698" spans="1:16" s="25" customFormat="1" x14ac:dyDescent="0.25">
      <c r="A698" s="29">
        <v>45</v>
      </c>
      <c r="B698" s="30">
        <v>437811.10856199998</v>
      </c>
      <c r="C698" s="30">
        <v>5688750.3324180003</v>
      </c>
      <c r="D698" s="46">
        <v>25</v>
      </c>
      <c r="E698" s="46" t="s">
        <v>64</v>
      </c>
      <c r="F698" s="46">
        <v>2012</v>
      </c>
      <c r="G698" s="16">
        <v>0.1545</v>
      </c>
      <c r="H698" s="16">
        <v>6.0255000000000003E-2</v>
      </c>
      <c r="I698" s="16">
        <v>0</v>
      </c>
      <c r="J698" s="16">
        <v>0</v>
      </c>
      <c r="K698" s="16">
        <v>1.6299999999999999E-2</v>
      </c>
      <c r="L698" s="16">
        <v>8.6389999999999991E-3</v>
      </c>
      <c r="M698" s="5">
        <f t="shared" si="0"/>
        <v>5.1616000000000002E-2</v>
      </c>
      <c r="N698" s="5">
        <v>0</v>
      </c>
      <c r="O698" s="5">
        <v>0</v>
      </c>
      <c r="P698" s="92"/>
    </row>
    <row r="699" spans="1:16" s="25" customFormat="1" x14ac:dyDescent="0.25">
      <c r="A699" s="29">
        <v>46</v>
      </c>
      <c r="B699" s="30">
        <v>437930.10856199998</v>
      </c>
      <c r="C699" s="30">
        <v>5688750.3324180003</v>
      </c>
      <c r="D699" s="46">
        <v>24</v>
      </c>
      <c r="E699" s="46" t="s">
        <v>64</v>
      </c>
      <c r="F699" s="46">
        <v>2012</v>
      </c>
      <c r="G699" s="16">
        <v>0.189</v>
      </c>
      <c r="H699" s="16">
        <v>6.4260000000000012E-2</v>
      </c>
      <c r="I699" s="16">
        <v>0.1527</v>
      </c>
      <c r="J699" s="5">
        <v>6.3E-2</v>
      </c>
      <c r="K699" s="16">
        <v>1.49E-2</v>
      </c>
      <c r="L699" s="16">
        <v>6.2579999999999997E-3</v>
      </c>
      <c r="M699" s="5">
        <f t="shared" si="0"/>
        <v>5.8002000000000012E-2</v>
      </c>
      <c r="N699" s="5">
        <v>2.8E-3</v>
      </c>
      <c r="O699" s="5">
        <v>1.1999999999999999E-3</v>
      </c>
      <c r="P699" s="92"/>
    </row>
    <row r="700" spans="1:16" s="25" customFormat="1" x14ac:dyDescent="0.25">
      <c r="A700" s="29">
        <v>47</v>
      </c>
      <c r="B700" s="30">
        <v>438061</v>
      </c>
      <c r="C700" s="30">
        <v>5688779</v>
      </c>
      <c r="D700" s="46">
        <v>25</v>
      </c>
      <c r="E700" s="46" t="s">
        <v>64</v>
      </c>
      <c r="F700" s="46">
        <v>2012</v>
      </c>
      <c r="G700" s="16">
        <v>0.2213</v>
      </c>
      <c r="H700" s="16">
        <v>8.6306999999999995E-2</v>
      </c>
      <c r="I700" s="16">
        <v>0.20680000000000001</v>
      </c>
      <c r="J700" s="16">
        <v>8.8924000000000003E-2</v>
      </c>
      <c r="K700" s="16">
        <v>1.9300000000000001E-2</v>
      </c>
      <c r="L700" s="16">
        <v>1.0229000000000002E-2</v>
      </c>
      <c r="M700" s="5">
        <f t="shared" si="0"/>
        <v>7.6077999999999993E-2</v>
      </c>
      <c r="N700" s="5">
        <v>0.96099999999999997</v>
      </c>
      <c r="O700" s="5">
        <v>0.47088999999999998</v>
      </c>
      <c r="P700" s="92"/>
    </row>
    <row r="701" spans="1:16" s="25" customFormat="1" x14ac:dyDescent="0.25">
      <c r="A701" s="38">
        <v>48</v>
      </c>
      <c r="B701" s="39">
        <v>438168.10856199998</v>
      </c>
      <c r="C701" s="39">
        <v>5688750.3324180003</v>
      </c>
      <c r="D701" s="96">
        <v>25</v>
      </c>
      <c r="E701" s="96" t="s">
        <v>64</v>
      </c>
      <c r="F701" s="96">
        <v>2012</v>
      </c>
      <c r="G701" s="96" t="s">
        <v>18</v>
      </c>
      <c r="H701" s="96" t="s">
        <v>18</v>
      </c>
      <c r="I701" s="96" t="s">
        <v>18</v>
      </c>
      <c r="J701" s="96" t="s">
        <v>18</v>
      </c>
      <c r="K701" s="96" t="s">
        <v>18</v>
      </c>
      <c r="L701" s="96" t="s">
        <v>18</v>
      </c>
      <c r="M701" s="96" t="s">
        <v>18</v>
      </c>
      <c r="N701" s="96" t="s">
        <v>18</v>
      </c>
      <c r="O701" s="96" t="s">
        <v>18</v>
      </c>
      <c r="P701" s="94" t="s">
        <v>89</v>
      </c>
    </row>
    <row r="702" spans="1:16" s="25" customFormat="1" x14ac:dyDescent="0.25">
      <c r="A702" s="29">
        <v>49</v>
      </c>
      <c r="B702" s="30">
        <v>437454.10856199998</v>
      </c>
      <c r="C702" s="30">
        <v>5688869.3324180003</v>
      </c>
      <c r="D702" s="46">
        <v>25</v>
      </c>
      <c r="E702" s="46" t="s">
        <v>64</v>
      </c>
      <c r="F702" s="46">
        <v>2012</v>
      </c>
      <c r="G702" s="16">
        <v>0.2157</v>
      </c>
      <c r="H702" s="16">
        <v>8.4123000000000003E-2</v>
      </c>
      <c r="I702" s="16">
        <v>5.4999999999999997E-3</v>
      </c>
      <c r="J702" s="16">
        <v>2.3649999999999999E-3</v>
      </c>
      <c r="K702" s="16">
        <v>1.43E-2</v>
      </c>
      <c r="L702" s="16">
        <v>7.5790000000000007E-3</v>
      </c>
      <c r="M702" s="5">
        <f t="shared" si="0"/>
        <v>7.6544000000000001E-2</v>
      </c>
      <c r="N702" s="5">
        <v>5.7500000000000002E-2</v>
      </c>
      <c r="O702" s="5">
        <v>2.8175000000000002E-2</v>
      </c>
      <c r="P702" s="92"/>
    </row>
    <row r="703" spans="1:16" s="25" customFormat="1" x14ac:dyDescent="0.25">
      <c r="A703" s="29">
        <v>50</v>
      </c>
      <c r="B703" s="30">
        <v>437811.10856199998</v>
      </c>
      <c r="C703" s="30">
        <v>5688869.3324180003</v>
      </c>
      <c r="D703" s="46">
        <v>25</v>
      </c>
      <c r="E703" s="46" t="s">
        <v>64</v>
      </c>
      <c r="F703" s="46">
        <v>2012</v>
      </c>
      <c r="G703" s="16">
        <v>0.51749999999999996</v>
      </c>
      <c r="H703" s="16">
        <v>0.201825</v>
      </c>
      <c r="I703" s="16">
        <v>8.0000000000000004E-4</v>
      </c>
      <c r="J703" s="16">
        <v>3.4400000000000001E-4</v>
      </c>
      <c r="K703" s="16">
        <v>1.72E-2</v>
      </c>
      <c r="L703" s="16">
        <v>9.1160000000000008E-3</v>
      </c>
      <c r="M703" s="5">
        <f t="shared" si="0"/>
        <v>0.19270899999999999</v>
      </c>
      <c r="N703" s="5">
        <v>0</v>
      </c>
      <c r="O703" s="5">
        <v>0</v>
      </c>
      <c r="P703" s="92"/>
    </row>
    <row r="704" spans="1:16" s="25" customFormat="1" x14ac:dyDescent="0.25">
      <c r="A704" s="29">
        <v>51</v>
      </c>
      <c r="B704" s="30">
        <v>437930.10856199998</v>
      </c>
      <c r="C704" s="30">
        <v>5688869.3324180003</v>
      </c>
      <c r="D704" s="46">
        <v>25</v>
      </c>
      <c r="E704" s="46" t="s">
        <v>64</v>
      </c>
      <c r="F704" s="46">
        <v>2012</v>
      </c>
      <c r="G704" s="16">
        <v>0.92300000000000004</v>
      </c>
      <c r="H704" s="16">
        <v>0.35997000000000001</v>
      </c>
      <c r="I704" s="16">
        <v>0</v>
      </c>
      <c r="J704" s="16">
        <v>0</v>
      </c>
      <c r="K704" s="16">
        <v>2.1700000000000001E-2</v>
      </c>
      <c r="L704" s="16">
        <v>1.1501000000000001E-2</v>
      </c>
      <c r="M704" s="5">
        <f t="shared" si="0"/>
        <v>0.34846900000000003</v>
      </c>
      <c r="N704" s="5">
        <v>0</v>
      </c>
      <c r="O704" s="5">
        <v>0</v>
      </c>
      <c r="P704" s="92"/>
    </row>
    <row r="705" spans="1:19" s="25" customFormat="1" x14ac:dyDescent="0.25">
      <c r="A705" s="29">
        <v>52</v>
      </c>
      <c r="B705" s="30">
        <v>438049.10856199998</v>
      </c>
      <c r="C705" s="30">
        <v>5688869.3324180003</v>
      </c>
      <c r="D705" s="46">
        <v>25</v>
      </c>
      <c r="E705" s="46" t="s">
        <v>64</v>
      </c>
      <c r="F705" s="46">
        <v>2012</v>
      </c>
      <c r="G705" s="16">
        <v>2.9600000000000001E-2</v>
      </c>
      <c r="H705" s="16">
        <v>1.1544E-2</v>
      </c>
      <c r="I705" s="16">
        <v>0.69299999999999995</v>
      </c>
      <c r="J705" s="16">
        <v>0.29798999999999998</v>
      </c>
      <c r="K705" s="16">
        <v>7.9000000000000008E-3</v>
      </c>
      <c r="L705" s="16">
        <v>4.1870000000000006E-3</v>
      </c>
      <c r="M705" s="5">
        <f t="shared" si="0"/>
        <v>7.3569999999999998E-3</v>
      </c>
      <c r="N705" s="5">
        <v>6.8500000000000005E-2</v>
      </c>
      <c r="O705" s="5">
        <v>3.3565000000000005E-2</v>
      </c>
      <c r="P705" s="92"/>
    </row>
    <row r="706" spans="1:19" s="25" customFormat="1" x14ac:dyDescent="0.25">
      <c r="A706" s="29">
        <v>53</v>
      </c>
      <c r="B706" s="30">
        <v>438287.10856199998</v>
      </c>
      <c r="C706" s="30">
        <v>5688869.3324180003</v>
      </c>
      <c r="D706" s="46">
        <v>24</v>
      </c>
      <c r="E706" s="46" t="s">
        <v>64</v>
      </c>
      <c r="F706" s="46">
        <v>2012</v>
      </c>
      <c r="G706" s="16">
        <v>2.6700000000000002E-2</v>
      </c>
      <c r="H706" s="16">
        <v>9.078000000000001E-3</v>
      </c>
      <c r="I706" s="16">
        <v>1.18E-2</v>
      </c>
      <c r="J706" s="16">
        <v>4.1000000000000003E-3</v>
      </c>
      <c r="K706" s="16">
        <v>6.7999999999999996E-3</v>
      </c>
      <c r="L706" s="16">
        <v>2.8559999999999996E-3</v>
      </c>
      <c r="M706" s="5">
        <f t="shared" si="0"/>
        <v>6.2220000000000018E-3</v>
      </c>
      <c r="N706" s="5">
        <v>0</v>
      </c>
      <c r="O706" s="5">
        <v>0</v>
      </c>
      <c r="P706" s="92"/>
    </row>
    <row r="707" spans="1:19" s="25" customFormat="1" x14ac:dyDescent="0.25">
      <c r="A707" s="29">
        <v>54</v>
      </c>
      <c r="B707" s="30">
        <v>437454.10856199998</v>
      </c>
      <c r="C707" s="30">
        <v>5688988.3324180003</v>
      </c>
      <c r="D707" s="46">
        <v>25</v>
      </c>
      <c r="E707" s="46" t="s">
        <v>64</v>
      </c>
      <c r="F707" s="46">
        <v>2012</v>
      </c>
      <c r="G707" s="16">
        <v>8.3999999999999995E-3</v>
      </c>
      <c r="H707" s="16">
        <v>3.2759999999999998E-3</v>
      </c>
      <c r="I707" s="16">
        <v>0</v>
      </c>
      <c r="J707" s="16">
        <v>0</v>
      </c>
      <c r="K707" s="16">
        <v>3.7000000000000002E-3</v>
      </c>
      <c r="L707" s="16">
        <v>1.9610000000000001E-3</v>
      </c>
      <c r="M707" s="5">
        <f t="shared" si="0"/>
        <v>1.3149999999999998E-3</v>
      </c>
      <c r="N707" s="5">
        <v>1.6199999999999999E-2</v>
      </c>
      <c r="O707" s="5">
        <v>7.9379999999999989E-3</v>
      </c>
      <c r="P707" s="92"/>
    </row>
    <row r="708" spans="1:19" s="25" customFormat="1" x14ac:dyDescent="0.25">
      <c r="A708" s="29">
        <v>55</v>
      </c>
      <c r="B708" s="30">
        <v>438049.10856199998</v>
      </c>
      <c r="C708" s="30">
        <v>5688988.3324180003</v>
      </c>
      <c r="D708" s="46">
        <v>25</v>
      </c>
      <c r="E708" s="46" t="s">
        <v>64</v>
      </c>
      <c r="F708" s="46">
        <v>2012</v>
      </c>
      <c r="G708" s="16">
        <v>0.63670000000000004</v>
      </c>
      <c r="H708" s="16">
        <v>0.24831300000000003</v>
      </c>
      <c r="I708" s="16">
        <v>0</v>
      </c>
      <c r="J708" s="16">
        <v>0</v>
      </c>
      <c r="K708" s="16">
        <v>3.3999999999999998E-3</v>
      </c>
      <c r="L708" s="16">
        <v>1.802E-3</v>
      </c>
      <c r="M708" s="5">
        <f t="shared" si="0"/>
        <v>0.24651100000000004</v>
      </c>
      <c r="N708" s="5">
        <v>0</v>
      </c>
      <c r="O708" s="5">
        <v>0</v>
      </c>
      <c r="P708" s="92"/>
    </row>
    <row r="709" spans="1:19" s="25" customFormat="1" x14ac:dyDescent="0.25">
      <c r="A709" s="29">
        <v>56</v>
      </c>
      <c r="B709" s="30">
        <v>438168.10856199998</v>
      </c>
      <c r="C709" s="30">
        <v>5688988.3324180003</v>
      </c>
      <c r="D709" s="46">
        <v>25</v>
      </c>
      <c r="E709" s="46" t="s">
        <v>64</v>
      </c>
      <c r="F709" s="46">
        <v>2012</v>
      </c>
      <c r="G709" s="16">
        <v>6.2399999999999997E-2</v>
      </c>
      <c r="H709" s="16">
        <v>2.4336E-2</v>
      </c>
      <c r="I709" s="16">
        <v>0</v>
      </c>
      <c r="J709" s="16">
        <v>0</v>
      </c>
      <c r="K709" s="16">
        <v>6.7000000000000002E-3</v>
      </c>
      <c r="L709" s="16">
        <v>3.5510000000000003E-3</v>
      </c>
      <c r="M709" s="5">
        <f t="shared" si="0"/>
        <v>2.0784999999999998E-2</v>
      </c>
      <c r="N709" s="5">
        <v>0</v>
      </c>
      <c r="O709" s="5">
        <v>0</v>
      </c>
      <c r="P709" s="92"/>
    </row>
    <row r="710" spans="1:19" s="25" customFormat="1" x14ac:dyDescent="0.25">
      <c r="A710" s="40">
        <v>57</v>
      </c>
      <c r="B710" s="41">
        <v>438146</v>
      </c>
      <c r="C710" s="41">
        <v>5688977</v>
      </c>
      <c r="D710" s="50">
        <v>25</v>
      </c>
      <c r="E710" s="50" t="s">
        <v>64</v>
      </c>
      <c r="F710" s="50">
        <v>2012</v>
      </c>
      <c r="G710" s="36">
        <v>9.3700000000000006E-2</v>
      </c>
      <c r="H710" s="36">
        <v>3.6543000000000006E-2</v>
      </c>
      <c r="I710" s="36">
        <v>0</v>
      </c>
      <c r="J710" s="36">
        <v>0</v>
      </c>
      <c r="K710" s="36">
        <v>5.8999999999999999E-3</v>
      </c>
      <c r="L710" s="36">
        <v>3.127E-3</v>
      </c>
      <c r="M710" s="37">
        <f t="shared" si="0"/>
        <v>3.3416000000000008E-2</v>
      </c>
      <c r="N710" s="37">
        <v>0</v>
      </c>
      <c r="O710" s="37">
        <v>0</v>
      </c>
      <c r="P710" s="101"/>
    </row>
    <row r="711" spans="1:19" s="25" customFormat="1" x14ac:dyDescent="0.25">
      <c r="A711" s="40">
        <v>58</v>
      </c>
      <c r="B711" s="41">
        <v>438126</v>
      </c>
      <c r="C711" s="41">
        <v>5688998</v>
      </c>
      <c r="D711" s="50">
        <v>25</v>
      </c>
      <c r="E711" s="50" t="s">
        <v>64</v>
      </c>
      <c r="F711" s="50">
        <v>2012</v>
      </c>
      <c r="G711" s="36">
        <v>9.1800000000000007E-2</v>
      </c>
      <c r="H711" s="36">
        <v>3.5802E-2</v>
      </c>
      <c r="I711" s="36">
        <v>0</v>
      </c>
      <c r="J711" s="36">
        <v>0</v>
      </c>
      <c r="K711" s="36">
        <v>1.2500000000000001E-2</v>
      </c>
      <c r="L711" s="36">
        <v>6.6250000000000007E-3</v>
      </c>
      <c r="M711" s="37">
        <f t="shared" si="0"/>
        <v>2.9177000000000002E-2</v>
      </c>
      <c r="N711" s="37">
        <v>0</v>
      </c>
      <c r="O711" s="37">
        <v>0</v>
      </c>
      <c r="P711" s="101"/>
    </row>
    <row r="712" spans="1:19" s="25" customFormat="1" x14ac:dyDescent="0.25">
      <c r="A712" s="40">
        <v>59</v>
      </c>
      <c r="B712" s="41">
        <v>438089</v>
      </c>
      <c r="C712" s="41">
        <v>5688713</v>
      </c>
      <c r="D712" s="50">
        <v>25</v>
      </c>
      <c r="E712" s="50" t="s">
        <v>64</v>
      </c>
      <c r="F712" s="50">
        <v>2012</v>
      </c>
      <c r="G712" s="36">
        <v>0.26629999999999998</v>
      </c>
      <c r="H712" s="36">
        <v>0.10385699999999999</v>
      </c>
      <c r="I712" s="36">
        <v>0</v>
      </c>
      <c r="J712" s="36">
        <v>0</v>
      </c>
      <c r="K712" s="36">
        <v>7.1000000000000004E-3</v>
      </c>
      <c r="L712" s="36">
        <v>3.7630000000000003E-3</v>
      </c>
      <c r="M712" s="37">
        <f t="shared" si="0"/>
        <v>0.10009399999999999</v>
      </c>
      <c r="N712" s="37">
        <v>0</v>
      </c>
      <c r="O712" s="37">
        <v>0</v>
      </c>
      <c r="P712" s="101"/>
    </row>
    <row r="713" spans="1:19" s="25" customFormat="1" x14ac:dyDescent="0.25">
      <c r="A713" s="40">
        <v>60</v>
      </c>
      <c r="B713" s="41">
        <v>438099</v>
      </c>
      <c r="C713" s="41">
        <v>5688719</v>
      </c>
      <c r="D713" s="50">
        <v>25</v>
      </c>
      <c r="E713" s="50" t="s">
        <v>64</v>
      </c>
      <c r="F713" s="50">
        <v>2012</v>
      </c>
      <c r="G713" s="36">
        <v>0.10440000000000001</v>
      </c>
      <c r="H713" s="36">
        <v>4.0716000000000002E-2</v>
      </c>
      <c r="I713" s="36">
        <v>0</v>
      </c>
      <c r="J713" s="36">
        <v>0</v>
      </c>
      <c r="K713" s="36">
        <v>1.37E-2</v>
      </c>
      <c r="L713" s="36">
        <v>7.261000000000001E-3</v>
      </c>
      <c r="M713" s="37">
        <f t="shared" si="0"/>
        <v>3.3454999999999999E-2</v>
      </c>
      <c r="N713" s="37">
        <v>0</v>
      </c>
      <c r="O713" s="37">
        <v>0</v>
      </c>
      <c r="P713" s="101"/>
    </row>
    <row r="714" spans="1:19" x14ac:dyDescent="0.25">
      <c r="A714" s="16">
        <v>1</v>
      </c>
      <c r="B714" s="16">
        <v>437930.10856199998</v>
      </c>
      <c r="C714" s="16">
        <v>5688036.3324180003</v>
      </c>
      <c r="D714" s="31">
        <v>25</v>
      </c>
      <c r="E714" s="31" t="s">
        <v>24</v>
      </c>
      <c r="F714" s="31">
        <v>2012</v>
      </c>
      <c r="G714" s="16">
        <v>3.3000000000000002E-2</v>
      </c>
      <c r="H714" s="16">
        <v>9.5700000000000004E-3</v>
      </c>
      <c r="I714" s="16">
        <v>0</v>
      </c>
      <c r="J714" s="16">
        <v>0</v>
      </c>
      <c r="K714" s="16">
        <v>3.0000000000000001E-3</v>
      </c>
      <c r="L714" s="16">
        <v>1.0499999999999999E-3</v>
      </c>
      <c r="M714" s="16">
        <v>8.5199999999999998E-3</v>
      </c>
      <c r="N714" s="16">
        <v>2.1999999999999999E-2</v>
      </c>
      <c r="O714" s="16">
        <v>1.0999999999999999E-2</v>
      </c>
      <c r="P714" s="95"/>
      <c r="R714" s="5">
        <f>AVERAGE(M714:M773)</f>
        <v>1.4476481481481481E-2</v>
      </c>
      <c r="S714" s="5">
        <f>AVERAGE(H714:H773)</f>
        <v>2.3990925925925926E-2</v>
      </c>
    </row>
    <row r="715" spans="1:19" x14ac:dyDescent="0.25">
      <c r="A715" s="16">
        <v>2</v>
      </c>
      <c r="B715" s="16">
        <v>437811.10856199998</v>
      </c>
      <c r="C715" s="16">
        <v>5688155.3324180003</v>
      </c>
      <c r="D715" s="31">
        <v>25</v>
      </c>
      <c r="E715" s="31" t="s">
        <v>24</v>
      </c>
      <c r="F715" s="31">
        <v>2012</v>
      </c>
      <c r="G715" s="16">
        <v>4.7E-2</v>
      </c>
      <c r="H715" s="16">
        <v>1.363E-2</v>
      </c>
      <c r="I715" s="16">
        <v>1.7999999999999999E-2</v>
      </c>
      <c r="J715" s="16">
        <v>8.4599999999999988E-3</v>
      </c>
      <c r="K715" s="16">
        <v>5.6000000000000001E-2</v>
      </c>
      <c r="L715" s="16">
        <v>1.9599999999999999E-2</v>
      </c>
      <c r="M715" s="16">
        <v>-5.9699999999999996E-3</v>
      </c>
      <c r="N715" s="16">
        <v>2.3E-2</v>
      </c>
      <c r="O715" s="16">
        <v>1.15E-2</v>
      </c>
      <c r="P715" s="95"/>
    </row>
    <row r="716" spans="1:19" x14ac:dyDescent="0.25">
      <c r="A716" s="16">
        <v>3</v>
      </c>
      <c r="B716" s="16">
        <v>437930.10856199998</v>
      </c>
      <c r="C716" s="16">
        <v>5688155.3324180003</v>
      </c>
      <c r="D716" s="31">
        <v>25</v>
      </c>
      <c r="E716" s="31" t="s">
        <v>24</v>
      </c>
      <c r="F716" s="31">
        <v>2012</v>
      </c>
      <c r="G716" s="16">
        <v>3.5000000000000003E-2</v>
      </c>
      <c r="H716" s="16">
        <v>1.0150000000000001E-2</v>
      </c>
      <c r="I716" s="16">
        <v>0.153</v>
      </c>
      <c r="J716" s="16">
        <v>7.1909999999999988E-2</v>
      </c>
      <c r="K716" s="16">
        <v>1.4E-2</v>
      </c>
      <c r="L716" s="16">
        <v>4.8999999999999998E-3</v>
      </c>
      <c r="M716" s="16">
        <v>5.2500000000000012E-3</v>
      </c>
      <c r="N716" s="16">
        <v>5.7000000000000002E-2</v>
      </c>
      <c r="O716" s="16">
        <v>2.8500000000000001E-2</v>
      </c>
      <c r="P716" s="95"/>
    </row>
    <row r="717" spans="1:19" x14ac:dyDescent="0.25">
      <c r="A717" s="16">
        <v>4</v>
      </c>
      <c r="B717" s="16">
        <v>438049.10856199998</v>
      </c>
      <c r="C717" s="16">
        <v>5688155.3324180003</v>
      </c>
      <c r="D717" s="31">
        <v>25</v>
      </c>
      <c r="E717" s="31" t="s">
        <v>24</v>
      </c>
      <c r="F717" s="31">
        <v>2012</v>
      </c>
      <c r="G717" s="16">
        <v>2.1000000000000001E-2</v>
      </c>
      <c r="H717" s="16">
        <v>6.0899999999999999E-3</v>
      </c>
      <c r="I717" s="16">
        <v>0</v>
      </c>
      <c r="J717" s="16">
        <v>0</v>
      </c>
      <c r="K717" s="16">
        <v>0.22</v>
      </c>
      <c r="L717" s="16">
        <v>7.6999999999999999E-2</v>
      </c>
      <c r="M717" s="16">
        <v>-7.0910000000000001E-2</v>
      </c>
      <c r="N717" s="16">
        <v>0</v>
      </c>
      <c r="O717" s="16">
        <v>0</v>
      </c>
      <c r="P717" s="95"/>
    </row>
    <row r="718" spans="1:19" x14ac:dyDescent="0.25">
      <c r="A718" s="16">
        <v>5</v>
      </c>
      <c r="B718" s="16">
        <v>437573.10856199998</v>
      </c>
      <c r="C718" s="16">
        <v>5688274.3324180003</v>
      </c>
      <c r="D718" s="31">
        <v>25</v>
      </c>
      <c r="E718" s="31" t="s">
        <v>24</v>
      </c>
      <c r="F718" s="31">
        <v>2012</v>
      </c>
      <c r="G718" s="16">
        <v>9.2999999999999999E-2</v>
      </c>
      <c r="H718" s="16">
        <v>2.6969999999999997E-2</v>
      </c>
      <c r="I718" s="16">
        <v>2.1999999999999999E-2</v>
      </c>
      <c r="J718" s="16">
        <v>1.0339999999999998E-2</v>
      </c>
      <c r="K718" s="16">
        <v>1.7999999999999999E-2</v>
      </c>
      <c r="L718" s="16">
        <v>6.2999999999999992E-3</v>
      </c>
      <c r="M718" s="16">
        <v>2.0669999999999997E-2</v>
      </c>
      <c r="N718" s="16">
        <v>3.0000000000000001E-3</v>
      </c>
      <c r="O718" s="16">
        <v>1.5E-3</v>
      </c>
      <c r="P718" s="95"/>
    </row>
    <row r="719" spans="1:19" x14ac:dyDescent="0.25">
      <c r="A719" s="16">
        <v>6</v>
      </c>
      <c r="B719" s="16">
        <v>437692.10856199998</v>
      </c>
      <c r="C719" s="16">
        <v>5688274.3324180003</v>
      </c>
      <c r="D719" s="31">
        <v>25</v>
      </c>
      <c r="E719" s="31" t="s">
        <v>24</v>
      </c>
      <c r="F719" s="31">
        <v>2012</v>
      </c>
      <c r="G719" s="16">
        <v>0.05</v>
      </c>
      <c r="H719" s="16">
        <v>1.4499999999999999E-2</v>
      </c>
      <c r="I719" s="16">
        <v>5.2999999999999999E-2</v>
      </c>
      <c r="J719" s="16">
        <v>2.4909999999999998E-2</v>
      </c>
      <c r="K719" s="16">
        <v>6.0000000000000001E-3</v>
      </c>
      <c r="L719" s="16">
        <v>2.0999999999999999E-3</v>
      </c>
      <c r="M719" s="16">
        <v>1.24E-2</v>
      </c>
      <c r="N719" s="16">
        <v>4.5999999999999999E-2</v>
      </c>
      <c r="O719" s="16">
        <v>2.3E-2</v>
      </c>
      <c r="P719" s="95"/>
    </row>
    <row r="720" spans="1:19" x14ac:dyDescent="0.25">
      <c r="A720" s="16">
        <v>7</v>
      </c>
      <c r="B720" s="16">
        <v>437811.10856199998</v>
      </c>
      <c r="C720" s="16">
        <v>5688274.3324180003</v>
      </c>
      <c r="D720" s="31">
        <v>25</v>
      </c>
      <c r="E720" s="31" t="s">
        <v>24</v>
      </c>
      <c r="F720" s="31">
        <v>2012</v>
      </c>
      <c r="G720" s="16">
        <v>8.9999999999999993E-3</v>
      </c>
      <c r="H720" s="16">
        <v>2.6099999999999995E-3</v>
      </c>
      <c r="I720" s="16">
        <v>6.5000000000000002E-2</v>
      </c>
      <c r="J720" s="16">
        <v>3.0550000000000001E-2</v>
      </c>
      <c r="K720" s="16">
        <v>2E-3</v>
      </c>
      <c r="L720" s="16">
        <v>6.9999999999999999E-4</v>
      </c>
      <c r="M720" s="16">
        <v>1.9099999999999994E-3</v>
      </c>
      <c r="N720" s="16">
        <v>8.9999999999999993E-3</v>
      </c>
      <c r="O720" s="16">
        <v>4.4999999999999997E-3</v>
      </c>
      <c r="P720" s="95"/>
    </row>
    <row r="721" spans="1:16" x14ac:dyDescent="0.25">
      <c r="A721" s="16">
        <v>8</v>
      </c>
      <c r="B721" s="16">
        <v>437930.10856199998</v>
      </c>
      <c r="C721" s="16">
        <v>5688274.3324180003</v>
      </c>
      <c r="D721" s="31">
        <v>25</v>
      </c>
      <c r="E721" s="31" t="s">
        <v>24</v>
      </c>
      <c r="F721" s="31">
        <v>2012</v>
      </c>
      <c r="G721" s="16">
        <v>7.6999999999999999E-2</v>
      </c>
      <c r="H721" s="16">
        <v>2.2329999999999999E-2</v>
      </c>
      <c r="I721" s="16">
        <v>0</v>
      </c>
      <c r="J721" s="16">
        <v>0</v>
      </c>
      <c r="K721" s="16">
        <v>6.3E-2</v>
      </c>
      <c r="L721" s="16">
        <v>2.205E-2</v>
      </c>
      <c r="M721" s="16">
        <v>2.79999999999999E-4</v>
      </c>
      <c r="N721" s="16">
        <v>4.0000000000000001E-3</v>
      </c>
      <c r="O721" s="16">
        <v>2E-3</v>
      </c>
      <c r="P721" s="95"/>
    </row>
    <row r="722" spans="1:16" x14ac:dyDescent="0.25">
      <c r="A722" s="16">
        <v>9</v>
      </c>
      <c r="B722" s="16">
        <v>438287.10856199998</v>
      </c>
      <c r="C722" s="16">
        <v>5688274.3324180003</v>
      </c>
      <c r="D722" s="31">
        <v>25</v>
      </c>
      <c r="E722" s="31" t="s">
        <v>24</v>
      </c>
      <c r="F722" s="31">
        <v>2012</v>
      </c>
      <c r="G722" s="16">
        <v>3.5999999999999997E-2</v>
      </c>
      <c r="H722" s="16">
        <v>1.0439999999999998E-2</v>
      </c>
      <c r="I722" s="16">
        <v>0</v>
      </c>
      <c r="J722" s="16">
        <v>0</v>
      </c>
      <c r="K722" s="16">
        <v>3.0000000000000001E-3</v>
      </c>
      <c r="L722" s="16">
        <v>1.0499999999999999E-3</v>
      </c>
      <c r="M722" s="16">
        <v>9.3899999999999973E-3</v>
      </c>
      <c r="N722" s="16">
        <v>0</v>
      </c>
      <c r="O722" s="16">
        <v>0</v>
      </c>
      <c r="P722" s="95"/>
    </row>
    <row r="723" spans="1:16" x14ac:dyDescent="0.25">
      <c r="A723" s="16">
        <v>10</v>
      </c>
      <c r="B723" s="16">
        <v>438406.10856199998</v>
      </c>
      <c r="C723" s="16">
        <v>5688274.3324180003</v>
      </c>
      <c r="D723" s="31">
        <v>25</v>
      </c>
      <c r="E723" s="31" t="s">
        <v>24</v>
      </c>
      <c r="F723" s="31">
        <v>2012</v>
      </c>
      <c r="G723" s="16">
        <v>0.108</v>
      </c>
      <c r="H723" s="16">
        <v>3.1320000000000001E-2</v>
      </c>
      <c r="I723" s="16">
        <v>0</v>
      </c>
      <c r="J723" s="16">
        <v>0</v>
      </c>
      <c r="K723" s="16">
        <v>1.6E-2</v>
      </c>
      <c r="L723" s="16">
        <v>5.5999999999999999E-3</v>
      </c>
      <c r="M723" s="16">
        <v>2.572E-2</v>
      </c>
      <c r="N723" s="16">
        <v>0</v>
      </c>
      <c r="O723" s="16">
        <v>0</v>
      </c>
      <c r="P723" s="95"/>
    </row>
    <row r="724" spans="1:16" x14ac:dyDescent="0.25">
      <c r="A724" s="16">
        <v>11</v>
      </c>
      <c r="B724" s="16">
        <v>437454.10856199998</v>
      </c>
      <c r="C724" s="16">
        <v>5688393.3324180003</v>
      </c>
      <c r="D724" s="31">
        <v>25</v>
      </c>
      <c r="E724" s="31" t="s">
        <v>24</v>
      </c>
      <c r="F724" s="31">
        <v>2012</v>
      </c>
      <c r="G724" s="16">
        <v>0.159</v>
      </c>
      <c r="H724" s="16">
        <v>4.6109999999999998E-2</v>
      </c>
      <c r="I724" s="16">
        <v>2.9000000000000001E-2</v>
      </c>
      <c r="J724" s="16">
        <v>1.363E-2</v>
      </c>
      <c r="K724" s="16">
        <v>6.3E-2</v>
      </c>
      <c r="L724" s="16">
        <v>2.205E-2</v>
      </c>
      <c r="M724" s="16">
        <v>2.4059999999999998E-2</v>
      </c>
      <c r="N724" s="16">
        <v>4.0000000000000001E-3</v>
      </c>
      <c r="O724" s="16">
        <v>2E-3</v>
      </c>
      <c r="P724" s="95"/>
    </row>
    <row r="725" spans="1:16" x14ac:dyDescent="0.25">
      <c r="A725" s="16">
        <v>12</v>
      </c>
      <c r="B725" s="16">
        <v>437573.10856199998</v>
      </c>
      <c r="C725" s="16">
        <v>5688393.3324180003</v>
      </c>
      <c r="D725" s="31">
        <v>25</v>
      </c>
      <c r="E725" s="31" t="s">
        <v>24</v>
      </c>
      <c r="F725" s="31">
        <v>2012</v>
      </c>
      <c r="G725" s="16">
        <v>5.3999999999999999E-2</v>
      </c>
      <c r="H725" s="16">
        <v>1.566E-2</v>
      </c>
      <c r="I725" s="16">
        <v>2.5999999999999999E-2</v>
      </c>
      <c r="J725" s="16">
        <v>1.2219999999999998E-2</v>
      </c>
      <c r="K725" s="16">
        <v>6.0000000000000001E-3</v>
      </c>
      <c r="L725" s="16">
        <v>2.0999999999999999E-3</v>
      </c>
      <c r="M725" s="16">
        <v>1.3560000000000001E-2</v>
      </c>
      <c r="N725" s="16">
        <v>2.1000000000000001E-2</v>
      </c>
      <c r="O725" s="16">
        <v>1.0500000000000001E-2</v>
      </c>
      <c r="P725" s="95"/>
    </row>
    <row r="726" spans="1:16" x14ac:dyDescent="0.25">
      <c r="A726" s="16">
        <v>13</v>
      </c>
      <c r="B726" s="16">
        <v>437692.10856199998</v>
      </c>
      <c r="C726" s="16">
        <v>5688393.3324180003</v>
      </c>
      <c r="D726" s="31">
        <v>25</v>
      </c>
      <c r="E726" s="31" t="s">
        <v>24</v>
      </c>
      <c r="F726" s="31">
        <v>2012</v>
      </c>
      <c r="G726" s="16">
        <v>0.107</v>
      </c>
      <c r="H726" s="16">
        <v>3.1029999999999999E-2</v>
      </c>
      <c r="I726" s="16">
        <v>7.1999999999999995E-2</v>
      </c>
      <c r="J726" s="16">
        <v>3.3839999999999995E-2</v>
      </c>
      <c r="K726" s="16">
        <v>2.5999999999999999E-2</v>
      </c>
      <c r="L726" s="16">
        <v>9.0999999999999987E-3</v>
      </c>
      <c r="M726" s="16">
        <v>2.1929999999999998E-2</v>
      </c>
      <c r="N726" s="16">
        <v>3.5999999999999997E-2</v>
      </c>
      <c r="O726" s="16">
        <v>1.7999999999999999E-2</v>
      </c>
      <c r="P726" s="95"/>
    </row>
    <row r="727" spans="1:16" x14ac:dyDescent="0.25">
      <c r="A727" s="35">
        <v>14</v>
      </c>
      <c r="B727" s="35">
        <v>437811.10856199998</v>
      </c>
      <c r="C727" s="35">
        <v>5688393.3324180003</v>
      </c>
      <c r="D727" s="96">
        <v>25</v>
      </c>
      <c r="E727" s="96" t="s">
        <v>24</v>
      </c>
      <c r="F727" s="96">
        <v>2012</v>
      </c>
      <c r="G727" s="96" t="s">
        <v>18</v>
      </c>
      <c r="H727" s="96" t="s">
        <v>18</v>
      </c>
      <c r="I727" s="96" t="s">
        <v>18</v>
      </c>
      <c r="J727" s="96" t="s">
        <v>18</v>
      </c>
      <c r="K727" s="96" t="s">
        <v>18</v>
      </c>
      <c r="L727" s="96" t="s">
        <v>18</v>
      </c>
      <c r="M727" s="96" t="s">
        <v>18</v>
      </c>
      <c r="N727" s="96" t="s">
        <v>18</v>
      </c>
      <c r="O727" s="96" t="s">
        <v>18</v>
      </c>
      <c r="P727" s="94" t="s">
        <v>21</v>
      </c>
    </row>
    <row r="728" spans="1:16" x14ac:dyDescent="0.25">
      <c r="A728" s="16">
        <v>15</v>
      </c>
      <c r="B728" s="16">
        <v>437930.10856199998</v>
      </c>
      <c r="C728" s="16">
        <v>5688393.3324180003</v>
      </c>
      <c r="D728" s="31">
        <v>25</v>
      </c>
      <c r="E728" s="31" t="s">
        <v>24</v>
      </c>
      <c r="F728" s="31">
        <v>2012</v>
      </c>
      <c r="G728" s="16">
        <v>0.12</v>
      </c>
      <c r="H728" s="16">
        <v>3.4799999999999998E-2</v>
      </c>
      <c r="I728" s="16">
        <v>2.5999999999999999E-2</v>
      </c>
      <c r="J728" s="16">
        <v>1.2219999999999998E-2</v>
      </c>
      <c r="K728" s="16">
        <v>3.4000000000000002E-2</v>
      </c>
      <c r="L728" s="16">
        <v>1.1900000000000001E-2</v>
      </c>
      <c r="M728" s="16">
        <v>2.2899999999999997E-2</v>
      </c>
      <c r="N728" s="16">
        <v>2.1000000000000001E-2</v>
      </c>
      <c r="O728" s="16">
        <v>1.0500000000000001E-2</v>
      </c>
      <c r="P728" s="95"/>
    </row>
    <row r="729" spans="1:16" x14ac:dyDescent="0.25">
      <c r="A729" s="16">
        <v>16</v>
      </c>
      <c r="B729" s="16">
        <v>438049.10856199998</v>
      </c>
      <c r="C729" s="16">
        <v>5688393.3324180003</v>
      </c>
      <c r="D729" s="31">
        <v>25</v>
      </c>
      <c r="E729" s="31" t="s">
        <v>24</v>
      </c>
      <c r="F729" s="31">
        <v>2012</v>
      </c>
      <c r="G729" s="16">
        <v>9.6000000000000002E-2</v>
      </c>
      <c r="H729" s="16">
        <v>2.784E-2</v>
      </c>
      <c r="I729" s="16">
        <v>0.12</v>
      </c>
      <c r="J729" s="16">
        <v>5.6399999999999992E-2</v>
      </c>
      <c r="K729" s="16">
        <v>2.1000000000000001E-2</v>
      </c>
      <c r="L729" s="16">
        <v>7.3499999999999998E-3</v>
      </c>
      <c r="M729" s="16">
        <v>2.0490000000000001E-2</v>
      </c>
      <c r="N729" s="16">
        <v>6.0999999999999999E-2</v>
      </c>
      <c r="O729" s="16">
        <v>3.0499999999999999E-2</v>
      </c>
      <c r="P729" s="95"/>
    </row>
    <row r="730" spans="1:16" x14ac:dyDescent="0.25">
      <c r="A730" s="16">
        <v>17</v>
      </c>
      <c r="B730" s="16">
        <v>438168.10856199998</v>
      </c>
      <c r="C730" s="16">
        <v>5688393.3324180003</v>
      </c>
      <c r="D730" s="31">
        <v>25</v>
      </c>
      <c r="E730" s="31" t="s">
        <v>24</v>
      </c>
      <c r="F730" s="31">
        <v>2012</v>
      </c>
      <c r="G730" s="16">
        <v>4.5999999999999999E-2</v>
      </c>
      <c r="H730" s="16">
        <v>1.3339999999999999E-2</v>
      </c>
      <c r="I730" s="16">
        <v>0</v>
      </c>
      <c r="J730" s="16">
        <v>0</v>
      </c>
      <c r="K730" s="16">
        <v>8.9999999999999993E-3</v>
      </c>
      <c r="L730" s="16">
        <v>3.1499999999999996E-3</v>
      </c>
      <c r="M730" s="16">
        <v>1.0189999999999999E-2</v>
      </c>
      <c r="N730" s="16">
        <v>0</v>
      </c>
      <c r="O730" s="16">
        <v>0</v>
      </c>
      <c r="P730" s="95"/>
    </row>
    <row r="731" spans="1:16" x14ac:dyDescent="0.25">
      <c r="A731" s="16">
        <v>18</v>
      </c>
      <c r="B731" s="16">
        <v>438287.10856199998</v>
      </c>
      <c r="C731" s="16">
        <v>5688393.3324180003</v>
      </c>
      <c r="D731" s="31">
        <v>25</v>
      </c>
      <c r="E731" s="31" t="s">
        <v>24</v>
      </c>
      <c r="F731" s="31">
        <v>2012</v>
      </c>
      <c r="G731" s="16">
        <v>8.4000000000000005E-2</v>
      </c>
      <c r="H731" s="16">
        <v>2.436E-2</v>
      </c>
      <c r="I731" s="16">
        <v>0</v>
      </c>
      <c r="J731" s="16">
        <v>0</v>
      </c>
      <c r="K731" s="16">
        <v>3.9E-2</v>
      </c>
      <c r="L731" s="16">
        <v>1.3649999999999999E-2</v>
      </c>
      <c r="M731" s="16">
        <v>1.0710000000000001E-2</v>
      </c>
      <c r="N731" s="16">
        <v>0</v>
      </c>
      <c r="O731" s="16">
        <v>0</v>
      </c>
      <c r="P731" s="95"/>
    </row>
    <row r="732" spans="1:16" x14ac:dyDescent="0.25">
      <c r="A732" s="16">
        <v>19</v>
      </c>
      <c r="B732" s="16">
        <v>438406.10856199998</v>
      </c>
      <c r="C732" s="16">
        <v>5688393.3324180003</v>
      </c>
      <c r="D732" s="31">
        <v>25</v>
      </c>
      <c r="E732" s="31" t="s">
        <v>24</v>
      </c>
      <c r="F732" s="31">
        <v>2012</v>
      </c>
      <c r="G732" s="16">
        <v>6.7000000000000004E-2</v>
      </c>
      <c r="H732" s="16">
        <v>1.9429999999999999E-2</v>
      </c>
      <c r="I732" s="16">
        <v>0</v>
      </c>
      <c r="J732" s="16">
        <v>0</v>
      </c>
      <c r="K732" s="16">
        <v>0.02</v>
      </c>
      <c r="L732" s="16">
        <v>6.9999999999999993E-3</v>
      </c>
      <c r="M732" s="16">
        <v>1.243E-2</v>
      </c>
      <c r="N732" s="16">
        <v>0</v>
      </c>
      <c r="O732" s="16">
        <v>0</v>
      </c>
      <c r="P732" s="95"/>
    </row>
    <row r="733" spans="1:16" x14ac:dyDescent="0.25">
      <c r="A733" s="16">
        <v>20</v>
      </c>
      <c r="B733" s="16">
        <v>437335.10856199998</v>
      </c>
      <c r="C733" s="16">
        <v>5688512.3324180003</v>
      </c>
      <c r="D733" s="31">
        <v>25</v>
      </c>
      <c r="E733" s="31" t="s">
        <v>24</v>
      </c>
      <c r="F733" s="31">
        <v>2012</v>
      </c>
      <c r="G733" s="16">
        <v>4.1000000000000002E-2</v>
      </c>
      <c r="H733" s="16">
        <v>1.189E-2</v>
      </c>
      <c r="I733" s="16">
        <v>4.3999999999999997E-2</v>
      </c>
      <c r="J733" s="16">
        <v>2.0679999999999997E-2</v>
      </c>
      <c r="K733" s="16">
        <v>6.0000000000000001E-3</v>
      </c>
      <c r="L733" s="16">
        <v>2.0999999999999999E-3</v>
      </c>
      <c r="M733" s="16">
        <v>9.7900000000000001E-3</v>
      </c>
      <c r="N733" s="16">
        <v>0</v>
      </c>
      <c r="O733" s="16">
        <v>0</v>
      </c>
      <c r="P733" s="95"/>
    </row>
    <row r="734" spans="1:16" x14ac:dyDescent="0.25">
      <c r="A734" s="16">
        <v>21</v>
      </c>
      <c r="B734" s="16">
        <v>437454.10856199998</v>
      </c>
      <c r="C734" s="16">
        <v>5688512.3324180003</v>
      </c>
      <c r="D734" s="31">
        <v>25</v>
      </c>
      <c r="E734" s="31" t="s">
        <v>24</v>
      </c>
      <c r="F734" s="31">
        <v>2012</v>
      </c>
      <c r="G734" s="16">
        <v>8.9999999999999993E-3</v>
      </c>
      <c r="H734" s="16">
        <v>2.6099999999999995E-3</v>
      </c>
      <c r="I734" s="16">
        <v>1E-3</v>
      </c>
      <c r="J734" s="16">
        <v>4.6999999999999999E-4</v>
      </c>
      <c r="K734" s="16">
        <v>2E-3</v>
      </c>
      <c r="L734" s="16">
        <v>6.9999999999999999E-4</v>
      </c>
      <c r="M734" s="16">
        <v>1.9099999999999994E-3</v>
      </c>
      <c r="N734" s="16">
        <v>0</v>
      </c>
      <c r="O734" s="16">
        <v>0</v>
      </c>
      <c r="P734" s="95"/>
    </row>
    <row r="735" spans="1:16" x14ac:dyDescent="0.25">
      <c r="A735" s="16">
        <v>22</v>
      </c>
      <c r="B735" s="16">
        <v>437573.10856199998</v>
      </c>
      <c r="C735" s="16">
        <v>5688512.3324180003</v>
      </c>
      <c r="D735" s="31">
        <v>26</v>
      </c>
      <c r="E735" s="31" t="s">
        <v>24</v>
      </c>
      <c r="F735" s="31">
        <v>2012</v>
      </c>
      <c r="G735" s="16">
        <v>2.7E-2</v>
      </c>
      <c r="H735" s="16">
        <v>8.6400000000000001E-3</v>
      </c>
      <c r="I735" s="16">
        <v>0.183</v>
      </c>
      <c r="J735" s="16">
        <v>0.11162999999999999</v>
      </c>
      <c r="K735" s="16">
        <v>8.9999999999999993E-3</v>
      </c>
      <c r="L735" s="16">
        <v>3.4199999999999999E-3</v>
      </c>
      <c r="M735" s="16">
        <v>5.2200000000000007E-3</v>
      </c>
      <c r="N735" s="16">
        <v>8.1000000000000003E-2</v>
      </c>
      <c r="O735" s="16">
        <v>4.6980000000000001E-2</v>
      </c>
      <c r="P735" s="95"/>
    </row>
    <row r="736" spans="1:16" x14ac:dyDescent="0.25">
      <c r="A736" s="16">
        <v>23</v>
      </c>
      <c r="B736" s="16">
        <v>437692.10856199998</v>
      </c>
      <c r="C736" s="16">
        <v>5688512.3324180003</v>
      </c>
      <c r="D736" s="31">
        <v>26</v>
      </c>
      <c r="E736" s="31" t="s">
        <v>24</v>
      </c>
      <c r="F736" s="31">
        <v>2012</v>
      </c>
      <c r="G736" s="16">
        <v>1.9E-2</v>
      </c>
      <c r="H736" s="16">
        <v>6.0800000000000003E-3</v>
      </c>
      <c r="I736" s="16">
        <v>0</v>
      </c>
      <c r="J736" s="16">
        <v>0</v>
      </c>
      <c r="K736" s="16">
        <v>1.0999999999999999E-2</v>
      </c>
      <c r="L736" s="16">
        <v>4.1799999999999997E-3</v>
      </c>
      <c r="M736" s="16">
        <v>1.9000000000000006E-3</v>
      </c>
      <c r="N736" s="16">
        <v>0</v>
      </c>
      <c r="O736" s="16">
        <v>0</v>
      </c>
      <c r="P736" s="95"/>
    </row>
    <row r="737" spans="1:16" x14ac:dyDescent="0.25">
      <c r="A737" s="16">
        <v>24</v>
      </c>
      <c r="B737" s="16">
        <v>437811.10856199998</v>
      </c>
      <c r="C737" s="16">
        <v>5688512.3324180003</v>
      </c>
      <c r="D737" s="31">
        <v>26</v>
      </c>
      <c r="E737" s="31" t="s">
        <v>24</v>
      </c>
      <c r="F737" s="31">
        <v>2012</v>
      </c>
      <c r="G737" s="16">
        <v>2.5999999999999999E-2</v>
      </c>
      <c r="H737" s="16">
        <v>8.3199999999999993E-3</v>
      </c>
      <c r="I737" s="16">
        <v>0</v>
      </c>
      <c r="J737" s="16">
        <v>0</v>
      </c>
      <c r="K737" s="16">
        <v>1.7000000000000001E-2</v>
      </c>
      <c r="L737" s="16">
        <v>6.4600000000000005E-3</v>
      </c>
      <c r="M737" s="16">
        <v>1.8599999999999988E-3</v>
      </c>
      <c r="N737" s="16">
        <v>0</v>
      </c>
      <c r="O737" s="16">
        <v>0</v>
      </c>
      <c r="P737" s="95"/>
    </row>
    <row r="738" spans="1:16" x14ac:dyDescent="0.25">
      <c r="A738" s="16">
        <v>25</v>
      </c>
      <c r="B738" s="16">
        <v>437995</v>
      </c>
      <c r="C738" s="16">
        <v>5688493</v>
      </c>
      <c r="D738" s="31">
        <v>26</v>
      </c>
      <c r="E738" s="31" t="s">
        <v>24</v>
      </c>
      <c r="F738" s="31">
        <v>2012</v>
      </c>
      <c r="G738" s="16">
        <v>4.2999999999999997E-2</v>
      </c>
      <c r="H738" s="16">
        <v>1.376E-2</v>
      </c>
      <c r="I738" s="16">
        <v>0</v>
      </c>
      <c r="J738" s="16">
        <v>0</v>
      </c>
      <c r="K738" s="16">
        <v>1.0999999999999999E-2</v>
      </c>
      <c r="L738" s="16">
        <v>4.1799999999999997E-3</v>
      </c>
      <c r="M738" s="16">
        <v>9.58E-3</v>
      </c>
      <c r="N738" s="16">
        <v>0</v>
      </c>
      <c r="O738" s="16">
        <v>0</v>
      </c>
      <c r="P738" s="95"/>
    </row>
    <row r="739" spans="1:16" x14ac:dyDescent="0.25">
      <c r="A739" s="16">
        <v>26</v>
      </c>
      <c r="B739" s="16">
        <v>438112</v>
      </c>
      <c r="C739" s="16">
        <v>5688567</v>
      </c>
      <c r="D739" s="31">
        <v>26</v>
      </c>
      <c r="E739" s="31" t="s">
        <v>24</v>
      </c>
      <c r="F739" s="31">
        <v>2012</v>
      </c>
      <c r="G739" s="16">
        <v>8.3000000000000004E-2</v>
      </c>
      <c r="H739" s="16">
        <v>2.656E-2</v>
      </c>
      <c r="I739" s="16">
        <v>0</v>
      </c>
      <c r="J739" s="16">
        <v>0</v>
      </c>
      <c r="K739" s="16">
        <v>5.8000000000000003E-2</v>
      </c>
      <c r="L739" s="16">
        <v>2.2040000000000001E-2</v>
      </c>
      <c r="M739" s="16">
        <v>4.5199999999999997E-3</v>
      </c>
      <c r="N739" s="16">
        <v>0</v>
      </c>
      <c r="O739" s="16">
        <v>0</v>
      </c>
      <c r="P739" s="95"/>
    </row>
    <row r="740" spans="1:16" x14ac:dyDescent="0.25">
      <c r="A740" s="35">
        <v>27</v>
      </c>
      <c r="B740" s="35">
        <v>438168.10856199998</v>
      </c>
      <c r="C740" s="35">
        <v>5688512.3324180003</v>
      </c>
      <c r="D740" s="96">
        <v>25</v>
      </c>
      <c r="E740" s="96" t="s">
        <v>24</v>
      </c>
      <c r="F740" s="96">
        <v>2012</v>
      </c>
      <c r="G740" s="96" t="s">
        <v>18</v>
      </c>
      <c r="H740" s="96" t="s">
        <v>18</v>
      </c>
      <c r="I740" s="96" t="s">
        <v>18</v>
      </c>
      <c r="J740" s="96" t="s">
        <v>18</v>
      </c>
      <c r="K740" s="96" t="s">
        <v>18</v>
      </c>
      <c r="L740" s="96" t="s">
        <v>18</v>
      </c>
      <c r="M740" s="96" t="s">
        <v>18</v>
      </c>
      <c r="N740" s="96" t="s">
        <v>18</v>
      </c>
      <c r="O740" s="96" t="s">
        <v>18</v>
      </c>
      <c r="P740" s="94" t="s">
        <v>21</v>
      </c>
    </row>
    <row r="741" spans="1:16" x14ac:dyDescent="0.25">
      <c r="A741" s="35">
        <v>28</v>
      </c>
      <c r="B741" s="35">
        <v>438287.10856199998</v>
      </c>
      <c r="C741" s="35">
        <v>5688512.3324180003</v>
      </c>
      <c r="D741" s="96">
        <v>25</v>
      </c>
      <c r="E741" s="96" t="s">
        <v>24</v>
      </c>
      <c r="F741" s="96">
        <v>2012</v>
      </c>
      <c r="G741" s="96" t="s">
        <v>18</v>
      </c>
      <c r="H741" s="96" t="s">
        <v>18</v>
      </c>
      <c r="I741" s="96" t="s">
        <v>18</v>
      </c>
      <c r="J741" s="96" t="s">
        <v>18</v>
      </c>
      <c r="K741" s="96" t="s">
        <v>18</v>
      </c>
      <c r="L741" s="96" t="s">
        <v>18</v>
      </c>
      <c r="M741" s="96" t="s">
        <v>18</v>
      </c>
      <c r="N741" s="96" t="s">
        <v>18</v>
      </c>
      <c r="O741" s="96" t="s">
        <v>18</v>
      </c>
      <c r="P741" s="94" t="s">
        <v>21</v>
      </c>
    </row>
    <row r="742" spans="1:16" x14ac:dyDescent="0.25">
      <c r="A742" s="16">
        <v>29</v>
      </c>
      <c r="B742" s="16">
        <v>438381</v>
      </c>
      <c r="C742" s="16">
        <v>5688526</v>
      </c>
      <c r="D742" s="31">
        <v>26</v>
      </c>
      <c r="E742" s="31" t="s">
        <v>24</v>
      </c>
      <c r="F742" s="31">
        <v>2012</v>
      </c>
      <c r="G742" s="16">
        <v>5.1999999999999998E-2</v>
      </c>
      <c r="H742" s="16">
        <v>1.6639999999999999E-2</v>
      </c>
      <c r="I742" s="16">
        <v>0</v>
      </c>
      <c r="J742" s="16">
        <v>0</v>
      </c>
      <c r="K742" s="16">
        <v>2.3E-2</v>
      </c>
      <c r="L742" s="16">
        <v>8.7399999999999995E-3</v>
      </c>
      <c r="M742" s="16">
        <v>7.899999999999999E-3</v>
      </c>
      <c r="N742" s="16">
        <v>0</v>
      </c>
      <c r="O742" s="16">
        <v>0</v>
      </c>
      <c r="P742" s="95"/>
    </row>
    <row r="743" spans="1:16" x14ac:dyDescent="0.25">
      <c r="A743" s="16">
        <v>30</v>
      </c>
      <c r="B743" s="16">
        <v>438525.10856199998</v>
      </c>
      <c r="C743" s="16">
        <v>5688512.3324180003</v>
      </c>
      <c r="D743" s="31">
        <v>26</v>
      </c>
      <c r="E743" s="31" t="s">
        <v>24</v>
      </c>
      <c r="F743" s="31">
        <v>2012</v>
      </c>
      <c r="G743" s="16">
        <v>4.2000000000000003E-2</v>
      </c>
      <c r="H743" s="16">
        <v>1.3440000000000001E-2</v>
      </c>
      <c r="I743" s="16">
        <v>0</v>
      </c>
      <c r="J743" s="16">
        <v>0</v>
      </c>
      <c r="K743" s="16">
        <v>2.4E-2</v>
      </c>
      <c r="L743" s="16">
        <v>9.1199999999999996E-3</v>
      </c>
      <c r="M743" s="16">
        <v>4.3200000000000009E-3</v>
      </c>
      <c r="N743" s="16">
        <v>0</v>
      </c>
      <c r="O743" s="16">
        <v>0</v>
      </c>
      <c r="P743" s="95"/>
    </row>
    <row r="744" spans="1:16" x14ac:dyDescent="0.25">
      <c r="A744" s="16">
        <v>31</v>
      </c>
      <c r="B744" s="16">
        <v>437335.10856199998</v>
      </c>
      <c r="C744" s="16">
        <v>5688631.3324180003</v>
      </c>
      <c r="D744" s="31">
        <v>26</v>
      </c>
      <c r="E744" s="31" t="s">
        <v>24</v>
      </c>
      <c r="F744" s="31">
        <v>2012</v>
      </c>
      <c r="G744" s="16">
        <v>5.0999999999999997E-2</v>
      </c>
      <c r="H744" s="16">
        <v>1.6319999999999998E-2</v>
      </c>
      <c r="I744" s="16">
        <v>0</v>
      </c>
      <c r="J744" s="16">
        <v>0</v>
      </c>
      <c r="K744" s="16">
        <v>5.0000000000000001E-3</v>
      </c>
      <c r="L744" s="16">
        <v>1.9E-3</v>
      </c>
      <c r="M744" s="16">
        <v>1.4419999999999997E-2</v>
      </c>
      <c r="N744" s="16">
        <v>0</v>
      </c>
      <c r="O744" s="16">
        <v>0</v>
      </c>
      <c r="P744" s="95"/>
    </row>
    <row r="745" spans="1:16" x14ac:dyDescent="0.25">
      <c r="A745" s="16">
        <v>32</v>
      </c>
      <c r="B745" s="16">
        <v>437454.10856199998</v>
      </c>
      <c r="C745" s="16">
        <v>5688631.3324180003</v>
      </c>
      <c r="D745" s="31">
        <v>26</v>
      </c>
      <c r="E745" s="31" t="s">
        <v>24</v>
      </c>
      <c r="F745" s="31">
        <v>2012</v>
      </c>
      <c r="G745" s="16">
        <v>4.9000000000000002E-2</v>
      </c>
      <c r="H745" s="16">
        <v>1.5679999999999999E-2</v>
      </c>
      <c r="I745" s="16">
        <v>0</v>
      </c>
      <c r="J745" s="16">
        <v>0</v>
      </c>
      <c r="K745" s="16">
        <v>1.0999999999999999E-2</v>
      </c>
      <c r="L745" s="16">
        <v>4.1799999999999997E-3</v>
      </c>
      <c r="M745" s="16">
        <v>1.15E-2</v>
      </c>
      <c r="N745" s="16">
        <v>0</v>
      </c>
      <c r="O745" s="16">
        <v>0</v>
      </c>
      <c r="P745" s="95"/>
    </row>
    <row r="746" spans="1:16" x14ac:dyDescent="0.25">
      <c r="A746" s="16">
        <v>33</v>
      </c>
      <c r="B746" s="16">
        <v>437573.10856199998</v>
      </c>
      <c r="C746" s="16">
        <v>5688631.3324180003</v>
      </c>
      <c r="D746" s="31">
        <v>26</v>
      </c>
      <c r="E746" s="31" t="s">
        <v>24</v>
      </c>
      <c r="F746" s="31">
        <v>2012</v>
      </c>
      <c r="G746" s="16">
        <v>4.4999999999999998E-2</v>
      </c>
      <c r="H746" s="16">
        <v>1.44E-2</v>
      </c>
      <c r="I746" s="16">
        <v>0</v>
      </c>
      <c r="J746" s="16">
        <v>0</v>
      </c>
      <c r="K746" s="16">
        <v>3.3000000000000002E-2</v>
      </c>
      <c r="L746" s="16">
        <v>1.2540000000000001E-2</v>
      </c>
      <c r="M746" s="16">
        <v>1.8599999999999988E-3</v>
      </c>
      <c r="N746" s="16">
        <v>0</v>
      </c>
      <c r="O746" s="16">
        <v>0</v>
      </c>
      <c r="P746" s="95"/>
    </row>
    <row r="747" spans="1:16" x14ac:dyDescent="0.25">
      <c r="A747" s="16">
        <v>34</v>
      </c>
      <c r="B747" s="16">
        <v>437692.10856199998</v>
      </c>
      <c r="C747" s="16">
        <v>5688631.3324180003</v>
      </c>
      <c r="D747" s="31">
        <v>26</v>
      </c>
      <c r="E747" s="31" t="s">
        <v>24</v>
      </c>
      <c r="F747" s="31">
        <v>2012</v>
      </c>
      <c r="G747" s="16">
        <v>0.114</v>
      </c>
      <c r="H747" s="16">
        <v>3.6480000000000005E-2</v>
      </c>
      <c r="I747" s="16">
        <v>0</v>
      </c>
      <c r="J747" s="16">
        <v>0</v>
      </c>
      <c r="K747" s="16">
        <v>8.1000000000000003E-2</v>
      </c>
      <c r="L747" s="16">
        <v>3.0780000000000002E-2</v>
      </c>
      <c r="M747" s="16">
        <v>5.7000000000000037E-3</v>
      </c>
      <c r="N747" s="16">
        <v>0</v>
      </c>
      <c r="O747" s="16">
        <v>0</v>
      </c>
      <c r="P747" s="95"/>
    </row>
    <row r="748" spans="1:16" x14ac:dyDescent="0.25">
      <c r="A748" s="16">
        <v>35</v>
      </c>
      <c r="B748" s="16">
        <v>437893</v>
      </c>
      <c r="C748" s="16">
        <v>5688620</v>
      </c>
      <c r="D748" s="31">
        <v>26</v>
      </c>
      <c r="E748" s="31" t="s">
        <v>24</v>
      </c>
      <c r="F748" s="31">
        <v>2012</v>
      </c>
      <c r="G748" s="16">
        <v>3.6999999999999998E-2</v>
      </c>
      <c r="H748" s="16">
        <v>1.184E-2</v>
      </c>
      <c r="I748" s="16">
        <v>0</v>
      </c>
      <c r="J748" s="16">
        <v>0</v>
      </c>
      <c r="K748" s="16">
        <v>1.2999999999999999E-2</v>
      </c>
      <c r="L748" s="16">
        <v>4.9399999999999999E-3</v>
      </c>
      <c r="M748" s="16">
        <v>6.8999999999999999E-3</v>
      </c>
      <c r="N748" s="16">
        <v>0</v>
      </c>
      <c r="O748" s="16">
        <v>0</v>
      </c>
      <c r="P748" s="95"/>
    </row>
    <row r="749" spans="1:16" x14ac:dyDescent="0.25">
      <c r="A749" s="16">
        <v>36</v>
      </c>
      <c r="B749" s="16">
        <v>437930.10856199998</v>
      </c>
      <c r="C749" s="16">
        <v>5688631.3324180003</v>
      </c>
      <c r="D749" s="31">
        <v>26</v>
      </c>
      <c r="E749" s="31" t="s">
        <v>24</v>
      </c>
      <c r="F749" s="31">
        <v>2012</v>
      </c>
      <c r="G749" s="16">
        <v>4.2999999999999997E-2</v>
      </c>
      <c r="H749" s="16">
        <v>1.376E-2</v>
      </c>
      <c r="I749" s="16">
        <v>0</v>
      </c>
      <c r="J749" s="16">
        <v>0</v>
      </c>
      <c r="K749" s="16">
        <v>2.4E-2</v>
      </c>
      <c r="L749" s="16">
        <v>9.1199999999999996E-3</v>
      </c>
      <c r="M749" s="16">
        <v>4.64E-3</v>
      </c>
      <c r="N749" s="16">
        <v>0</v>
      </c>
      <c r="O749" s="16">
        <v>0</v>
      </c>
      <c r="P749" s="95"/>
    </row>
    <row r="750" spans="1:16" x14ac:dyDescent="0.25">
      <c r="A750" s="35">
        <v>37</v>
      </c>
      <c r="B750" s="35">
        <v>438049.10856199998</v>
      </c>
      <c r="C750" s="35">
        <v>5688631.3324180003</v>
      </c>
      <c r="D750" s="96">
        <v>25</v>
      </c>
      <c r="E750" s="96" t="s">
        <v>24</v>
      </c>
      <c r="F750" s="96">
        <v>2012</v>
      </c>
      <c r="G750" s="96" t="s">
        <v>18</v>
      </c>
      <c r="H750" s="96" t="s">
        <v>18</v>
      </c>
      <c r="I750" s="96" t="s">
        <v>18</v>
      </c>
      <c r="J750" s="96" t="s">
        <v>18</v>
      </c>
      <c r="K750" s="96" t="s">
        <v>18</v>
      </c>
      <c r="L750" s="96" t="s">
        <v>18</v>
      </c>
      <c r="M750" s="96" t="s">
        <v>18</v>
      </c>
      <c r="N750" s="96" t="s">
        <v>18</v>
      </c>
      <c r="O750" s="96" t="s">
        <v>18</v>
      </c>
      <c r="P750" s="94" t="s">
        <v>21</v>
      </c>
    </row>
    <row r="751" spans="1:16" x14ac:dyDescent="0.25">
      <c r="A751" s="16">
        <v>38</v>
      </c>
      <c r="B751" s="16">
        <v>438067</v>
      </c>
      <c r="C751" s="16">
        <v>5688710</v>
      </c>
      <c r="D751" s="31">
        <v>26</v>
      </c>
      <c r="E751" s="31" t="s">
        <v>24</v>
      </c>
      <c r="F751" s="31">
        <v>2012</v>
      </c>
      <c r="G751" s="16">
        <v>0.24099999999999999</v>
      </c>
      <c r="H751" s="16">
        <v>7.7119999999999994E-2</v>
      </c>
      <c r="I751" s="16">
        <v>0</v>
      </c>
      <c r="J751" s="16">
        <v>0</v>
      </c>
      <c r="K751" s="16">
        <v>1.2E-2</v>
      </c>
      <c r="L751" s="16">
        <v>4.5599999999999998E-3</v>
      </c>
      <c r="M751" s="16">
        <v>7.2559999999999999E-2</v>
      </c>
      <c r="N751" s="16">
        <v>0</v>
      </c>
      <c r="O751" s="16">
        <v>0</v>
      </c>
      <c r="P751" s="95"/>
    </row>
    <row r="752" spans="1:16" x14ac:dyDescent="0.25">
      <c r="A752" s="35">
        <v>39</v>
      </c>
      <c r="B752" s="35">
        <v>438287.10856199998</v>
      </c>
      <c r="C752" s="35">
        <v>5688631.3324180003</v>
      </c>
      <c r="D752" s="96">
        <v>25</v>
      </c>
      <c r="E752" s="96" t="s">
        <v>24</v>
      </c>
      <c r="F752" s="96">
        <v>2012</v>
      </c>
      <c r="G752" s="96" t="s">
        <v>18</v>
      </c>
      <c r="H752" s="96" t="s">
        <v>18</v>
      </c>
      <c r="I752" s="96" t="s">
        <v>18</v>
      </c>
      <c r="J752" s="96" t="s">
        <v>18</v>
      </c>
      <c r="K752" s="96" t="s">
        <v>18</v>
      </c>
      <c r="L752" s="96" t="s">
        <v>18</v>
      </c>
      <c r="M752" s="96" t="s">
        <v>18</v>
      </c>
      <c r="N752" s="96" t="s">
        <v>18</v>
      </c>
      <c r="O752" s="96" t="s">
        <v>18</v>
      </c>
      <c r="P752" s="94" t="s">
        <v>22</v>
      </c>
    </row>
    <row r="753" spans="1:16" x14ac:dyDescent="0.25">
      <c r="A753" s="16">
        <v>40</v>
      </c>
      <c r="B753" s="16">
        <v>438406.10856199998</v>
      </c>
      <c r="C753" s="16">
        <v>5688631.3324180003</v>
      </c>
      <c r="D753" s="31">
        <v>26</v>
      </c>
      <c r="E753" s="31" t="s">
        <v>24</v>
      </c>
      <c r="F753" s="31">
        <v>2012</v>
      </c>
      <c r="G753" s="16">
        <v>0.23599999999999999</v>
      </c>
      <c r="H753" s="16">
        <v>7.5520000000000004E-2</v>
      </c>
      <c r="I753" s="16">
        <v>0</v>
      </c>
      <c r="J753" s="16">
        <v>0</v>
      </c>
      <c r="K753" s="16">
        <v>9.0999999999999998E-2</v>
      </c>
      <c r="L753" s="16">
        <v>3.458E-2</v>
      </c>
      <c r="M753" s="16">
        <v>4.0940000000000004E-2</v>
      </c>
      <c r="N753" s="16">
        <v>0</v>
      </c>
      <c r="O753" s="16">
        <v>0</v>
      </c>
      <c r="P753" s="95"/>
    </row>
    <row r="754" spans="1:16" x14ac:dyDescent="0.25">
      <c r="A754" s="16">
        <v>41</v>
      </c>
      <c r="B754" s="16">
        <v>437310</v>
      </c>
      <c r="C754" s="16">
        <v>5688729</v>
      </c>
      <c r="D754" s="31">
        <v>26</v>
      </c>
      <c r="E754" s="31" t="s">
        <v>24</v>
      </c>
      <c r="F754" s="31">
        <v>2012</v>
      </c>
      <c r="G754" s="16">
        <v>7.0999999999999994E-2</v>
      </c>
      <c r="H754" s="16">
        <v>2.2719999999999997E-2</v>
      </c>
      <c r="I754" s="16">
        <v>0</v>
      </c>
      <c r="J754" s="16">
        <v>0</v>
      </c>
      <c r="K754" s="16">
        <v>1.0999999999999999E-2</v>
      </c>
      <c r="L754" s="16">
        <v>4.1799999999999997E-3</v>
      </c>
      <c r="M754" s="16">
        <v>1.8539999999999997E-2</v>
      </c>
      <c r="N754" s="16">
        <v>0</v>
      </c>
      <c r="O754" s="16">
        <v>0</v>
      </c>
      <c r="P754" s="95"/>
    </row>
    <row r="755" spans="1:16" x14ac:dyDescent="0.25">
      <c r="A755" s="16">
        <v>42</v>
      </c>
      <c r="B755" s="16">
        <v>437454.10856199998</v>
      </c>
      <c r="C755" s="16">
        <v>5688750.3324180003</v>
      </c>
      <c r="D755" s="31">
        <v>26</v>
      </c>
      <c r="E755" s="31" t="s">
        <v>24</v>
      </c>
      <c r="F755" s="31">
        <v>2012</v>
      </c>
      <c r="G755" s="16">
        <v>3.5000000000000003E-2</v>
      </c>
      <c r="H755" s="16">
        <v>1.1200000000000002E-2</v>
      </c>
      <c r="I755" s="16">
        <v>8.9999999999999993E-3</v>
      </c>
      <c r="J755" s="16">
        <v>5.4899999999999992E-3</v>
      </c>
      <c r="K755" s="16">
        <v>3.6999999999999998E-2</v>
      </c>
      <c r="L755" s="16">
        <v>1.406E-2</v>
      </c>
      <c r="M755" s="16">
        <v>-2.859999999999998E-3</v>
      </c>
      <c r="N755" s="16">
        <v>2.1000000000000001E-2</v>
      </c>
      <c r="O755" s="16">
        <v>1.218E-2</v>
      </c>
      <c r="P755" s="95"/>
    </row>
    <row r="756" spans="1:16" x14ac:dyDescent="0.25">
      <c r="A756" s="16">
        <v>43</v>
      </c>
      <c r="B756" s="16">
        <v>437573.10856199998</v>
      </c>
      <c r="C756" s="16">
        <v>5688750.3324180003</v>
      </c>
      <c r="D756" s="31">
        <v>26</v>
      </c>
      <c r="E756" s="31" t="s">
        <v>24</v>
      </c>
      <c r="F756" s="31">
        <v>2012</v>
      </c>
      <c r="G756" s="16">
        <v>6.2E-2</v>
      </c>
      <c r="H756" s="16">
        <v>1.984E-2</v>
      </c>
      <c r="I756" s="16">
        <v>3.6999999999999998E-2</v>
      </c>
      <c r="J756" s="16">
        <v>2.257E-2</v>
      </c>
      <c r="K756" s="16">
        <v>2.7E-2</v>
      </c>
      <c r="L756" s="16">
        <v>1.026E-2</v>
      </c>
      <c r="M756" s="16">
        <v>9.58E-3</v>
      </c>
      <c r="N756" s="16">
        <v>0</v>
      </c>
      <c r="O756" s="16">
        <v>0</v>
      </c>
      <c r="P756" s="95"/>
    </row>
    <row r="757" spans="1:16" x14ac:dyDescent="0.25">
      <c r="A757" s="16">
        <v>44</v>
      </c>
      <c r="B757" s="16">
        <v>437692.10856199998</v>
      </c>
      <c r="C757" s="16">
        <v>5688750.3324180003</v>
      </c>
      <c r="D757" s="31">
        <v>26</v>
      </c>
      <c r="E757" s="31" t="s">
        <v>24</v>
      </c>
      <c r="F757" s="31">
        <v>2012</v>
      </c>
      <c r="G757" s="16">
        <v>4.3999999999999997E-2</v>
      </c>
      <c r="H757" s="16">
        <v>1.4079999999999999E-2</v>
      </c>
      <c r="I757" s="16">
        <v>0</v>
      </c>
      <c r="J757" s="16">
        <v>0</v>
      </c>
      <c r="K757" s="16">
        <v>1.2999999999999999E-2</v>
      </c>
      <c r="L757" s="16">
        <v>4.9399999999999999E-3</v>
      </c>
      <c r="M757" s="16">
        <v>9.1399999999999988E-3</v>
      </c>
      <c r="N757" s="16">
        <v>0</v>
      </c>
      <c r="O757" s="16">
        <v>0</v>
      </c>
      <c r="P757" s="95"/>
    </row>
    <row r="758" spans="1:16" x14ac:dyDescent="0.25">
      <c r="A758" s="16">
        <v>45</v>
      </c>
      <c r="B758" s="16">
        <v>437811.10856199998</v>
      </c>
      <c r="C758" s="16">
        <v>5688750.3324180003</v>
      </c>
      <c r="D758" s="31">
        <v>26</v>
      </c>
      <c r="E758" s="31" t="s">
        <v>24</v>
      </c>
      <c r="F758" s="31">
        <v>2012</v>
      </c>
      <c r="G758" s="16">
        <v>4.2999999999999997E-2</v>
      </c>
      <c r="H758" s="16">
        <v>1.376E-2</v>
      </c>
      <c r="I758" s="16">
        <v>0</v>
      </c>
      <c r="J758" s="16">
        <v>0</v>
      </c>
      <c r="K758" s="16">
        <v>1.2E-2</v>
      </c>
      <c r="L758" s="16">
        <v>4.5599999999999998E-3</v>
      </c>
      <c r="M758" s="16">
        <v>9.1999999999999998E-3</v>
      </c>
      <c r="N758" s="16">
        <v>0</v>
      </c>
      <c r="O758" s="16">
        <v>0</v>
      </c>
      <c r="P758" s="95"/>
    </row>
    <row r="759" spans="1:16" x14ac:dyDescent="0.25">
      <c r="A759" s="16">
        <v>46</v>
      </c>
      <c r="B759" s="16">
        <v>437930.10856199998</v>
      </c>
      <c r="C759" s="16">
        <v>5688750.3324180003</v>
      </c>
      <c r="D759" s="31">
        <v>26</v>
      </c>
      <c r="E759" s="31" t="s">
        <v>24</v>
      </c>
      <c r="F759" s="31">
        <v>2012</v>
      </c>
      <c r="G759" s="16">
        <v>4.7E-2</v>
      </c>
      <c r="H759" s="16">
        <v>1.504E-2</v>
      </c>
      <c r="I759" s="16">
        <v>1.6E-2</v>
      </c>
      <c r="J759" s="16">
        <v>9.7599999999999996E-3</v>
      </c>
      <c r="K759" s="16">
        <v>2.1000000000000001E-2</v>
      </c>
      <c r="L759" s="16">
        <v>7.980000000000001E-3</v>
      </c>
      <c r="M759" s="16">
        <v>7.0599999999999986E-3</v>
      </c>
      <c r="N759" s="16">
        <v>1.4999999999999999E-2</v>
      </c>
      <c r="O759" s="16">
        <v>8.6999999999999994E-3</v>
      </c>
      <c r="P759" s="95"/>
    </row>
    <row r="760" spans="1:16" x14ac:dyDescent="0.25">
      <c r="A760" s="16">
        <v>47</v>
      </c>
      <c r="B760" s="16">
        <v>438061</v>
      </c>
      <c r="C760" s="16">
        <v>5688779</v>
      </c>
      <c r="D760" s="31">
        <v>26</v>
      </c>
      <c r="E760" s="31" t="s">
        <v>24</v>
      </c>
      <c r="F760" s="31">
        <v>2012</v>
      </c>
      <c r="G760" s="16">
        <v>0.108</v>
      </c>
      <c r="H760" s="16">
        <v>3.456E-2</v>
      </c>
      <c r="I760" s="16">
        <v>0.188</v>
      </c>
      <c r="J760" s="16">
        <v>0.11468</v>
      </c>
      <c r="K760" s="16">
        <v>5.8999999999999997E-2</v>
      </c>
      <c r="L760" s="16">
        <v>2.2419999999999999E-2</v>
      </c>
      <c r="M760" s="16">
        <v>1.2140000000000001E-2</v>
      </c>
      <c r="N760" s="16">
        <v>3.0000000000000001E-3</v>
      </c>
      <c r="O760" s="16">
        <v>1.74E-3</v>
      </c>
      <c r="P760" s="95"/>
    </row>
    <row r="761" spans="1:16" x14ac:dyDescent="0.25">
      <c r="A761" s="35">
        <v>48</v>
      </c>
      <c r="B761" s="35">
        <v>438168.10856199998</v>
      </c>
      <c r="C761" s="35">
        <v>5688750.3324180003</v>
      </c>
      <c r="D761" s="96">
        <v>25</v>
      </c>
      <c r="E761" s="96" t="s">
        <v>24</v>
      </c>
      <c r="F761" s="96">
        <v>2012</v>
      </c>
      <c r="G761" s="96" t="s">
        <v>18</v>
      </c>
      <c r="H761" s="96" t="s">
        <v>18</v>
      </c>
      <c r="I761" s="96" t="s">
        <v>18</v>
      </c>
      <c r="J761" s="96" t="s">
        <v>18</v>
      </c>
      <c r="K761" s="96" t="s">
        <v>18</v>
      </c>
      <c r="L761" s="96" t="s">
        <v>18</v>
      </c>
      <c r="M761" s="96" t="s">
        <v>18</v>
      </c>
      <c r="N761" s="96" t="s">
        <v>18</v>
      </c>
      <c r="O761" s="96" t="s">
        <v>18</v>
      </c>
      <c r="P761" s="94" t="s">
        <v>21</v>
      </c>
    </row>
    <row r="762" spans="1:16" x14ac:dyDescent="0.25">
      <c r="A762" s="16">
        <v>49</v>
      </c>
      <c r="B762" s="16">
        <v>437454.10856199998</v>
      </c>
      <c r="C762" s="16">
        <v>5688869.3324180003</v>
      </c>
      <c r="D762" s="31">
        <v>24</v>
      </c>
      <c r="E762" s="31" t="s">
        <v>24</v>
      </c>
      <c r="F762" s="31">
        <v>2012</v>
      </c>
      <c r="G762" s="16">
        <v>0.20100000000000001</v>
      </c>
      <c r="H762" s="16">
        <v>4.2209999999999998E-2</v>
      </c>
      <c r="I762" s="16">
        <v>6.0000000000000001E-3</v>
      </c>
      <c r="J762" s="16">
        <v>3.0000000000000001E-3</v>
      </c>
      <c r="K762" s="16">
        <v>4.7E-2</v>
      </c>
      <c r="L762" s="16">
        <v>1.175E-2</v>
      </c>
      <c r="M762" s="16">
        <v>3.0459999999999997E-2</v>
      </c>
      <c r="N762" s="16">
        <v>2E-3</v>
      </c>
      <c r="O762" s="16">
        <v>1E-3</v>
      </c>
      <c r="P762" s="95"/>
    </row>
    <row r="763" spans="1:16" x14ac:dyDescent="0.25">
      <c r="A763" s="16">
        <v>50</v>
      </c>
      <c r="B763" s="16">
        <v>437811.10856199998</v>
      </c>
      <c r="C763" s="16">
        <v>5688869.3324180003</v>
      </c>
      <c r="D763" s="31">
        <v>24</v>
      </c>
      <c r="E763" s="31" t="s">
        <v>24</v>
      </c>
      <c r="F763" s="31">
        <v>2012</v>
      </c>
      <c r="G763" s="16">
        <v>5.3999999999999999E-2</v>
      </c>
      <c r="H763" s="16">
        <v>1.1339999999999999E-2</v>
      </c>
      <c r="I763" s="16">
        <v>0</v>
      </c>
      <c r="J763" s="16">
        <v>0</v>
      </c>
      <c r="K763" s="16">
        <v>2.3E-2</v>
      </c>
      <c r="L763" s="16">
        <v>5.7499999999999999E-3</v>
      </c>
      <c r="M763" s="16">
        <v>5.5899999999999995E-3</v>
      </c>
      <c r="N763" s="16">
        <v>0</v>
      </c>
      <c r="O763" s="16">
        <v>0</v>
      </c>
      <c r="P763" s="95"/>
    </row>
    <row r="764" spans="1:16" x14ac:dyDescent="0.25">
      <c r="A764" s="16">
        <v>51</v>
      </c>
      <c r="B764" s="16">
        <v>437930.10856199998</v>
      </c>
      <c r="C764" s="16">
        <v>5688869.3324180003</v>
      </c>
      <c r="D764" s="31">
        <v>24</v>
      </c>
      <c r="E764" s="31" t="s">
        <v>24</v>
      </c>
      <c r="F764" s="31">
        <v>2012</v>
      </c>
      <c r="G764" s="16">
        <v>0.27400000000000002</v>
      </c>
      <c r="H764" s="16">
        <v>5.7540000000000001E-2</v>
      </c>
      <c r="I764" s="16">
        <v>0</v>
      </c>
      <c r="J764" s="16">
        <v>0</v>
      </c>
      <c r="K764" s="16">
        <v>2.1000000000000001E-2</v>
      </c>
      <c r="L764" s="16">
        <v>5.2500000000000003E-3</v>
      </c>
      <c r="M764" s="16">
        <v>5.2290000000000003E-2</v>
      </c>
      <c r="N764" s="16">
        <v>0</v>
      </c>
      <c r="O764" s="16">
        <v>0</v>
      </c>
      <c r="P764" s="95"/>
    </row>
    <row r="765" spans="1:16" x14ac:dyDescent="0.25">
      <c r="A765" s="16">
        <v>52</v>
      </c>
      <c r="B765" s="16">
        <v>438049.10856199998</v>
      </c>
      <c r="C765" s="16">
        <v>5688869.3324180003</v>
      </c>
      <c r="D765" s="31">
        <v>25</v>
      </c>
      <c r="E765" s="31" t="s">
        <v>24</v>
      </c>
      <c r="F765" s="31">
        <v>2012</v>
      </c>
      <c r="G765" s="16">
        <v>0.10199999999999999</v>
      </c>
      <c r="H765" s="16">
        <v>2.9579999999999995E-2</v>
      </c>
      <c r="I765" s="16">
        <v>7.4999999999999997E-2</v>
      </c>
      <c r="J765" s="16">
        <v>3.5249999999999997E-2</v>
      </c>
      <c r="K765" s="16">
        <v>1.4999999999999999E-2</v>
      </c>
      <c r="L765" s="16">
        <v>5.2499999999999995E-3</v>
      </c>
      <c r="M765" s="16">
        <v>2.4329999999999997E-2</v>
      </c>
      <c r="N765" s="16">
        <v>3.7999999999999999E-2</v>
      </c>
      <c r="O765" s="16">
        <v>1.9E-2</v>
      </c>
      <c r="P765" s="95"/>
    </row>
    <row r="766" spans="1:16" x14ac:dyDescent="0.25">
      <c r="A766" s="16">
        <v>53</v>
      </c>
      <c r="B766" s="16">
        <v>438287.10856199998</v>
      </c>
      <c r="C766" s="16">
        <v>5688869.3324180003</v>
      </c>
      <c r="D766" s="31">
        <v>26</v>
      </c>
      <c r="E766" s="31" t="s">
        <v>24</v>
      </c>
      <c r="F766" s="31">
        <v>2012</v>
      </c>
      <c r="G766" s="16">
        <v>3.3000000000000002E-2</v>
      </c>
      <c r="H766" s="16">
        <v>1.056E-2</v>
      </c>
      <c r="I766" s="16">
        <v>0</v>
      </c>
      <c r="J766" s="16">
        <v>0</v>
      </c>
      <c r="K766" s="16">
        <v>7.0000000000000001E-3</v>
      </c>
      <c r="L766" s="16">
        <v>2.66E-3</v>
      </c>
      <c r="M766" s="16">
        <v>7.9000000000000008E-3</v>
      </c>
      <c r="N766" s="16">
        <v>8.0000000000000002E-3</v>
      </c>
      <c r="O766" s="16">
        <v>4.64E-3</v>
      </c>
      <c r="P766" s="95"/>
    </row>
    <row r="767" spans="1:16" x14ac:dyDescent="0.25">
      <c r="A767" s="16">
        <v>54</v>
      </c>
      <c r="B767" s="16">
        <v>437454.10856199998</v>
      </c>
      <c r="C767" s="16">
        <v>5688988.3324180003</v>
      </c>
      <c r="D767" s="31">
        <v>24</v>
      </c>
      <c r="E767" s="31" t="s">
        <v>24</v>
      </c>
      <c r="F767" s="31">
        <v>2012</v>
      </c>
      <c r="G767" s="16">
        <v>0</v>
      </c>
      <c r="H767" s="16">
        <v>0</v>
      </c>
      <c r="I767" s="16">
        <v>0</v>
      </c>
      <c r="J767" s="16">
        <v>0</v>
      </c>
      <c r="K767" s="16">
        <v>1.4999999999999999E-2</v>
      </c>
      <c r="L767" s="16">
        <v>3.7499999999999999E-3</v>
      </c>
      <c r="M767" s="16">
        <v>-3.7499999999999999E-3</v>
      </c>
      <c r="N767" s="16">
        <v>2.1999999999999999E-2</v>
      </c>
      <c r="O767" s="16">
        <v>1E-3</v>
      </c>
      <c r="P767" s="95"/>
    </row>
    <row r="768" spans="1:16" x14ac:dyDescent="0.25">
      <c r="A768" s="16">
        <v>55</v>
      </c>
      <c r="B768" s="16">
        <v>438049.10856199998</v>
      </c>
      <c r="C768" s="16">
        <v>5688988.3324180003</v>
      </c>
      <c r="D768" s="31">
        <v>26</v>
      </c>
      <c r="E768" s="31" t="s">
        <v>24</v>
      </c>
      <c r="F768" s="31">
        <v>2012</v>
      </c>
      <c r="G768" s="16">
        <v>0.316</v>
      </c>
      <c r="H768" s="16">
        <v>0.10112</v>
      </c>
      <c r="I768" s="16">
        <v>0</v>
      </c>
      <c r="J768" s="16">
        <v>0</v>
      </c>
      <c r="K768" s="16">
        <v>1.4E-2</v>
      </c>
      <c r="L768" s="16">
        <v>5.3200000000000001E-3</v>
      </c>
      <c r="M768" s="16">
        <v>9.5799999999999996E-2</v>
      </c>
      <c r="N768" s="16">
        <v>0</v>
      </c>
      <c r="O768" s="16">
        <v>0</v>
      </c>
      <c r="P768" s="95"/>
    </row>
    <row r="769" spans="1:19" x14ac:dyDescent="0.25">
      <c r="A769" s="16">
        <v>56</v>
      </c>
      <c r="B769" s="16">
        <v>438168.10856199998</v>
      </c>
      <c r="C769" s="16">
        <v>5688988.3324180003</v>
      </c>
      <c r="D769" s="31">
        <v>26</v>
      </c>
      <c r="E769" s="31" t="s">
        <v>24</v>
      </c>
      <c r="F769" s="31">
        <v>2012</v>
      </c>
      <c r="G769" s="16">
        <v>1.7999999999999999E-2</v>
      </c>
      <c r="H769" s="16">
        <v>5.7599999999999995E-3</v>
      </c>
      <c r="I769" s="16">
        <v>0</v>
      </c>
      <c r="J769" s="16">
        <v>0</v>
      </c>
      <c r="K769" s="16">
        <v>6.0000000000000001E-3</v>
      </c>
      <c r="L769" s="16">
        <v>2.2799999999999999E-3</v>
      </c>
      <c r="M769" s="16">
        <v>3.4799999999999996E-3</v>
      </c>
      <c r="N769" s="16">
        <v>0</v>
      </c>
      <c r="O769" s="16">
        <v>0</v>
      </c>
      <c r="P769" s="95"/>
    </row>
    <row r="770" spans="1:19" x14ac:dyDescent="0.25">
      <c r="A770" s="36">
        <v>57</v>
      </c>
      <c r="B770" s="36">
        <v>438146</v>
      </c>
      <c r="C770" s="36">
        <v>5688977</v>
      </c>
      <c r="D770" s="99">
        <v>26</v>
      </c>
      <c r="E770" s="99" t="s">
        <v>24</v>
      </c>
      <c r="F770" s="99">
        <v>2012</v>
      </c>
      <c r="G770" s="36">
        <v>0.13500000000000001</v>
      </c>
      <c r="H770" s="36">
        <v>4.3200000000000002E-2</v>
      </c>
      <c r="I770" s="36">
        <v>0</v>
      </c>
      <c r="J770" s="36">
        <v>0</v>
      </c>
      <c r="K770" s="36">
        <v>8.9999999999999993E-3</v>
      </c>
      <c r="L770" s="36">
        <v>3.4199999999999999E-3</v>
      </c>
      <c r="M770" s="36">
        <v>3.9780000000000003E-2</v>
      </c>
      <c r="N770" s="36">
        <v>0</v>
      </c>
      <c r="O770" s="36">
        <v>0</v>
      </c>
      <c r="P770" s="100"/>
    </row>
    <row r="771" spans="1:19" x14ac:dyDescent="0.25">
      <c r="A771" s="36">
        <v>58</v>
      </c>
      <c r="B771" s="36">
        <v>438126</v>
      </c>
      <c r="C771" s="36">
        <v>5688998</v>
      </c>
      <c r="D771" s="99">
        <v>26</v>
      </c>
      <c r="E771" s="99" t="s">
        <v>24</v>
      </c>
      <c r="F771" s="99">
        <v>2012</v>
      </c>
      <c r="G771" s="36">
        <v>0.112</v>
      </c>
      <c r="H771" s="36">
        <v>3.5840000000000004E-2</v>
      </c>
      <c r="I771" s="36">
        <v>0</v>
      </c>
      <c r="J771" s="36">
        <v>0</v>
      </c>
      <c r="K771" s="36">
        <v>7.0000000000000001E-3</v>
      </c>
      <c r="L771" s="36">
        <v>2.66E-3</v>
      </c>
      <c r="M771" s="36">
        <v>3.3180000000000001E-2</v>
      </c>
      <c r="N771" s="36">
        <v>0</v>
      </c>
      <c r="O771" s="36">
        <v>0</v>
      </c>
      <c r="P771" s="100"/>
    </row>
    <row r="772" spans="1:19" x14ac:dyDescent="0.25">
      <c r="A772" s="36">
        <v>59</v>
      </c>
      <c r="B772" s="36">
        <v>438089</v>
      </c>
      <c r="C772" s="36">
        <v>5688713</v>
      </c>
      <c r="D772" s="99">
        <v>26</v>
      </c>
      <c r="E772" s="99" t="s">
        <v>24</v>
      </c>
      <c r="F772" s="99">
        <v>2012</v>
      </c>
      <c r="G772" s="36">
        <v>0.21099999999999999</v>
      </c>
      <c r="H772" s="36">
        <v>6.7519999999999997E-2</v>
      </c>
      <c r="I772" s="36">
        <v>0</v>
      </c>
      <c r="J772" s="36">
        <v>0</v>
      </c>
      <c r="K772" s="36">
        <v>2.9000000000000001E-2</v>
      </c>
      <c r="L772" s="36">
        <v>1.102E-2</v>
      </c>
      <c r="M772" s="36">
        <v>5.6499999999999995E-2</v>
      </c>
      <c r="N772" s="36">
        <v>0</v>
      </c>
      <c r="O772" s="36">
        <v>0</v>
      </c>
      <c r="P772" s="100"/>
    </row>
    <row r="773" spans="1:19" x14ac:dyDescent="0.25">
      <c r="A773" s="36">
        <v>60</v>
      </c>
      <c r="B773" s="36">
        <v>438099</v>
      </c>
      <c r="C773" s="36">
        <v>5688719</v>
      </c>
      <c r="D773" s="99">
        <v>26</v>
      </c>
      <c r="E773" s="99" t="s">
        <v>24</v>
      </c>
      <c r="F773" s="99">
        <v>2012</v>
      </c>
      <c r="G773" s="36">
        <v>9.5000000000000001E-2</v>
      </c>
      <c r="H773" s="36">
        <v>3.04E-2</v>
      </c>
      <c r="I773" s="36">
        <v>0</v>
      </c>
      <c r="J773" s="36">
        <v>0</v>
      </c>
      <c r="K773" s="36">
        <v>1.6E-2</v>
      </c>
      <c r="L773" s="36">
        <v>6.0800000000000003E-3</v>
      </c>
      <c r="M773" s="36">
        <v>2.4320000000000001E-2</v>
      </c>
      <c r="N773" s="36">
        <v>0</v>
      </c>
      <c r="O773" s="36">
        <v>0</v>
      </c>
      <c r="P773" s="100"/>
    </row>
    <row r="774" spans="1:19" x14ac:dyDescent="0.25">
      <c r="A774" s="16">
        <v>1</v>
      </c>
      <c r="B774" s="16">
        <v>437930.10856199998</v>
      </c>
      <c r="C774" s="16">
        <v>5688036.3324180003</v>
      </c>
      <c r="D774" s="31">
        <v>25</v>
      </c>
      <c r="E774" s="31" t="s">
        <v>33</v>
      </c>
      <c r="F774" s="31">
        <v>2012</v>
      </c>
      <c r="G774" s="16">
        <v>1.4E-2</v>
      </c>
      <c r="H774" s="16">
        <v>4.0343584645174861E-3</v>
      </c>
      <c r="I774" s="16">
        <v>0</v>
      </c>
      <c r="J774" s="16">
        <v>0</v>
      </c>
      <c r="K774" s="16">
        <v>6.9000000000000008E-3</v>
      </c>
      <c r="L774" s="16">
        <v>2.6538477645949494E-3</v>
      </c>
      <c r="M774" s="16">
        <v>1.3805106999225368E-3</v>
      </c>
      <c r="N774" s="16">
        <v>0</v>
      </c>
      <c r="O774" s="16">
        <v>0</v>
      </c>
      <c r="P774" s="95"/>
      <c r="R774" s="5">
        <f>AVERAGE(M774:M833)</f>
        <v>9.2849061956703123E-3</v>
      </c>
      <c r="S774" s="5">
        <f>AVERAGE(H774:H833)</f>
        <v>1.6991221784663876E-2</v>
      </c>
    </row>
    <row r="775" spans="1:19" x14ac:dyDescent="0.25">
      <c r="A775" s="16">
        <v>2</v>
      </c>
      <c r="B775" s="16">
        <v>437811.10856199998</v>
      </c>
      <c r="C775" s="16">
        <v>5688155.3324180003</v>
      </c>
      <c r="D775" s="31">
        <v>25</v>
      </c>
      <c r="E775" s="31" t="s">
        <v>33</v>
      </c>
      <c r="F775" s="31">
        <v>2012</v>
      </c>
      <c r="G775" s="16">
        <v>6.3700000000000007E-2</v>
      </c>
      <c r="H775" s="16">
        <v>1.8356331013554564E-2</v>
      </c>
      <c r="I775" s="16">
        <v>0</v>
      </c>
      <c r="J775" s="16">
        <v>0</v>
      </c>
      <c r="K775" s="16">
        <v>1.24E-2</v>
      </c>
      <c r="L775" s="16">
        <v>4.7692336639097634E-3</v>
      </c>
      <c r="M775" s="16">
        <v>1.35870973496448E-2</v>
      </c>
      <c r="N775" s="16">
        <v>2.3699999999999999E-2</v>
      </c>
      <c r="O775" s="16">
        <v>1.1549862335407932E-2</v>
      </c>
      <c r="P775" s="95"/>
    </row>
    <row r="776" spans="1:19" x14ac:dyDescent="0.25">
      <c r="A776" s="16">
        <v>3</v>
      </c>
      <c r="B776" s="16">
        <v>437930.10856199998</v>
      </c>
      <c r="C776" s="16">
        <v>5688155.3324180003</v>
      </c>
      <c r="D776" s="31">
        <v>25</v>
      </c>
      <c r="E776" s="31" t="s">
        <v>33</v>
      </c>
      <c r="F776" s="31">
        <v>2012</v>
      </c>
      <c r="G776" s="16">
        <v>5.0900000000000001E-2</v>
      </c>
      <c r="H776" s="16">
        <v>1.4667774703138575E-2</v>
      </c>
      <c r="I776" s="16">
        <v>7.6499999999999999E-2</v>
      </c>
      <c r="J776" s="16">
        <v>3.8457427934457319E-2</v>
      </c>
      <c r="K776" s="16">
        <v>1.9899999999999998E-2</v>
      </c>
      <c r="L776" s="16">
        <v>7.6538507993390553E-3</v>
      </c>
      <c r="M776" s="16">
        <v>7.0139239037995196E-3</v>
      </c>
      <c r="N776" s="16">
        <v>0.1002</v>
      </c>
      <c r="O776" s="16">
        <v>4.8831063544636066E-2</v>
      </c>
      <c r="P776" s="95"/>
    </row>
    <row r="777" spans="1:19" x14ac:dyDescent="0.25">
      <c r="A777" s="16">
        <v>4</v>
      </c>
      <c r="B777" s="16">
        <v>438049.10856199998</v>
      </c>
      <c r="C777" s="16">
        <v>5688155.3324180003</v>
      </c>
      <c r="D777" s="31">
        <v>25</v>
      </c>
      <c r="E777" s="31" t="s">
        <v>33</v>
      </c>
      <c r="F777" s="31">
        <v>2012</v>
      </c>
      <c r="G777" s="16">
        <v>1.6399999999999998E-2</v>
      </c>
      <c r="H777" s="16">
        <v>4.7259627727204833E-3</v>
      </c>
      <c r="I777" s="16">
        <v>0</v>
      </c>
      <c r="J777" s="16">
        <v>0</v>
      </c>
      <c r="K777" s="16">
        <v>2.2800000000000001E-2</v>
      </c>
      <c r="L777" s="16">
        <v>8.7692360917050495E-3</v>
      </c>
      <c r="M777" s="16">
        <v>-4.0432733189845662E-3</v>
      </c>
      <c r="N777" s="16">
        <v>0</v>
      </c>
      <c r="O777" s="16">
        <v>0</v>
      </c>
      <c r="P777" s="95"/>
    </row>
    <row r="778" spans="1:19" x14ac:dyDescent="0.25">
      <c r="A778" s="16">
        <v>5</v>
      </c>
      <c r="B778" s="16">
        <v>437573.10856199998</v>
      </c>
      <c r="C778" s="16">
        <v>5688274.3324180003</v>
      </c>
      <c r="D778" s="31">
        <v>25</v>
      </c>
      <c r="E778" s="31" t="s">
        <v>33</v>
      </c>
      <c r="F778" s="31">
        <v>2012</v>
      </c>
      <c r="G778" s="16">
        <v>1.8200000000000001E-2</v>
      </c>
      <c r="H778" s="16">
        <v>5.2446660038727323E-3</v>
      </c>
      <c r="I778" s="16">
        <v>2.8E-3</v>
      </c>
      <c r="J778" s="16">
        <v>1.4075921335487648E-3</v>
      </c>
      <c r="K778" s="16">
        <v>3.8999999999999998E-3</v>
      </c>
      <c r="L778" s="16">
        <v>1.5000009104232321E-3</v>
      </c>
      <c r="M778" s="16">
        <v>3.7446650934495002E-3</v>
      </c>
      <c r="N778" s="16">
        <v>4.4999999999999998E-2</v>
      </c>
      <c r="O778" s="16">
        <v>2.1930118358369489E-2</v>
      </c>
      <c r="P778" s="95"/>
    </row>
    <row r="779" spans="1:19" x14ac:dyDescent="0.25">
      <c r="A779" s="16">
        <v>6</v>
      </c>
      <c r="B779" s="16">
        <v>437692.10856199998</v>
      </c>
      <c r="C779" s="16">
        <v>5688274.3324180003</v>
      </c>
      <c r="D779" s="31">
        <v>25</v>
      </c>
      <c r="E779" s="31" t="s">
        <v>33</v>
      </c>
      <c r="F779" s="31">
        <v>2012</v>
      </c>
      <c r="G779" s="16">
        <v>5.2299999999999999E-2</v>
      </c>
      <c r="H779" s="16">
        <v>1.5071210549590323E-2</v>
      </c>
      <c r="I779" s="16">
        <v>5.8299999999999998E-2</v>
      </c>
      <c r="J779" s="16">
        <v>2.9308079066390349E-2</v>
      </c>
      <c r="K779" s="16">
        <v>1.7899999999999999E-2</v>
      </c>
      <c r="L779" s="16">
        <v>6.8846195632245779E-3</v>
      </c>
      <c r="M779" s="16">
        <v>8.1865909863657448E-3</v>
      </c>
      <c r="N779" s="16">
        <v>0</v>
      </c>
      <c r="O779" s="16">
        <v>0</v>
      </c>
      <c r="P779" s="95"/>
    </row>
    <row r="780" spans="1:19" x14ac:dyDescent="0.25">
      <c r="A780" s="16">
        <v>7</v>
      </c>
      <c r="B780" s="16">
        <v>437811.10856199998</v>
      </c>
      <c r="C780" s="16">
        <v>5688274.3324180003</v>
      </c>
      <c r="D780" s="31">
        <v>25</v>
      </c>
      <c r="E780" s="31" t="s">
        <v>33</v>
      </c>
      <c r="F780" s="31">
        <v>2012</v>
      </c>
      <c r="G780" s="16">
        <v>2.0500000000000001E-2</v>
      </c>
      <c r="H780" s="16">
        <v>5.9074534659006046E-3</v>
      </c>
      <c r="I780" s="16">
        <v>4.4999999999999998E-2</v>
      </c>
      <c r="J780" s="16">
        <v>2.2622016432033716E-2</v>
      </c>
      <c r="K780" s="16">
        <v>9.9000000000000008E-3</v>
      </c>
      <c r="L780" s="16">
        <v>3.8076946187666663E-3</v>
      </c>
      <c r="M780" s="16">
        <v>2.0997588471339383E-3</v>
      </c>
      <c r="N780" s="16">
        <v>1.6000000000000001E-3</v>
      </c>
      <c r="O780" s="16">
        <v>7.7973754163091521E-4</v>
      </c>
      <c r="P780" s="95"/>
    </row>
    <row r="781" spans="1:19" x14ac:dyDescent="0.25">
      <c r="A781" s="16">
        <v>8</v>
      </c>
      <c r="B781" s="16">
        <v>437930.10856199998</v>
      </c>
      <c r="C781" s="16">
        <v>5688274.3324180003</v>
      </c>
      <c r="D781" s="31">
        <v>25</v>
      </c>
      <c r="E781" s="31" t="s">
        <v>33</v>
      </c>
      <c r="F781" s="31">
        <v>2012</v>
      </c>
      <c r="G781" s="16">
        <v>8.3799999999999999E-2</v>
      </c>
      <c r="H781" s="16">
        <v>2.4148517094754667E-2</v>
      </c>
      <c r="I781" s="16">
        <v>0</v>
      </c>
      <c r="J781" s="16">
        <v>0</v>
      </c>
      <c r="K781" s="16">
        <v>5.5100000000000003E-2</v>
      </c>
      <c r="L781" s="16">
        <v>2.1192320554953868E-2</v>
      </c>
      <c r="M781" s="16">
        <v>2.956196539800799E-3</v>
      </c>
      <c r="N781" s="16">
        <v>0</v>
      </c>
      <c r="O781" s="16">
        <v>0</v>
      </c>
      <c r="P781" s="95"/>
    </row>
    <row r="782" spans="1:19" x14ac:dyDescent="0.25">
      <c r="A782" s="16">
        <v>9</v>
      </c>
      <c r="B782" s="16">
        <v>438287.10856199998</v>
      </c>
      <c r="C782" s="16">
        <v>5688274.3324180003</v>
      </c>
      <c r="D782" s="31">
        <v>25</v>
      </c>
      <c r="E782" s="31" t="s">
        <v>33</v>
      </c>
      <c r="F782" s="31">
        <v>2012</v>
      </c>
      <c r="G782" s="16">
        <v>5.6899999999999999E-2</v>
      </c>
      <c r="H782" s="16">
        <v>1.6396785473646067E-2</v>
      </c>
      <c r="I782" s="16">
        <v>0</v>
      </c>
      <c r="J782" s="16">
        <v>0</v>
      </c>
      <c r="K782" s="16">
        <v>7.4999999999999997E-3</v>
      </c>
      <c r="L782" s="16">
        <v>2.8846171354292923E-3</v>
      </c>
      <c r="M782" s="16">
        <v>1.3512168338216776E-2</v>
      </c>
      <c r="N782" s="16">
        <v>0</v>
      </c>
      <c r="O782" s="16">
        <v>0</v>
      </c>
      <c r="P782" s="95"/>
    </row>
    <row r="783" spans="1:19" x14ac:dyDescent="0.25">
      <c r="A783" s="16">
        <v>10</v>
      </c>
      <c r="B783" s="16">
        <v>438406.10856199998</v>
      </c>
      <c r="C783" s="16">
        <v>5688274.3324180003</v>
      </c>
      <c r="D783" s="31">
        <v>25</v>
      </c>
      <c r="E783" s="31" t="s">
        <v>33</v>
      </c>
      <c r="F783" s="31">
        <v>2012</v>
      </c>
      <c r="G783" s="16">
        <v>4.4499999999999998E-2</v>
      </c>
      <c r="H783" s="16">
        <v>1.282349654793058E-2</v>
      </c>
      <c r="I783" s="16">
        <v>0</v>
      </c>
      <c r="J783" s="16">
        <v>0</v>
      </c>
      <c r="K783" s="16">
        <v>1.0999999999999999E-2</v>
      </c>
      <c r="L783" s="16">
        <v>4.2307717986296289E-3</v>
      </c>
      <c r="M783" s="16">
        <v>8.5927247493009506E-3</v>
      </c>
      <c r="N783" s="16">
        <v>0</v>
      </c>
      <c r="O783" s="16">
        <v>0</v>
      </c>
      <c r="P783" s="95"/>
    </row>
    <row r="784" spans="1:19" x14ac:dyDescent="0.25">
      <c r="A784" s="16">
        <v>11</v>
      </c>
      <c r="B784" s="16">
        <v>437454.10856199998</v>
      </c>
      <c r="C784" s="16">
        <v>5688393.3324180003</v>
      </c>
      <c r="D784" s="31">
        <v>25</v>
      </c>
      <c r="E784" s="31" t="s">
        <v>33</v>
      </c>
      <c r="F784" s="31">
        <v>2012</v>
      </c>
      <c r="G784" s="16">
        <v>1.49E-2</v>
      </c>
      <c r="H784" s="16">
        <v>4.2937100800936098E-3</v>
      </c>
      <c r="I784" s="16">
        <v>1.5099999999999999E-2</v>
      </c>
      <c r="J784" s="16">
        <v>7.5909432916379804E-3</v>
      </c>
      <c r="K784" s="16">
        <v>2.3699999999999999E-2</v>
      </c>
      <c r="L784" s="16">
        <v>9.1153901479565629E-3</v>
      </c>
      <c r="M784" s="16">
        <v>-4.8216800678629532E-3</v>
      </c>
      <c r="N784" s="16">
        <v>0</v>
      </c>
      <c r="O784" s="16">
        <v>0</v>
      </c>
      <c r="P784" s="95"/>
    </row>
    <row r="785" spans="1:16" x14ac:dyDescent="0.25">
      <c r="A785" s="16">
        <v>12</v>
      </c>
      <c r="B785" s="16">
        <v>437573.10856199998</v>
      </c>
      <c r="C785" s="16">
        <v>5688393.3324180003</v>
      </c>
      <c r="D785" s="31">
        <v>25</v>
      </c>
      <c r="E785" s="31" t="s">
        <v>33</v>
      </c>
      <c r="F785" s="31">
        <v>2012</v>
      </c>
      <c r="G785" s="16">
        <v>6.720000000000001E-2</v>
      </c>
      <c r="H785" s="16">
        <v>1.9364920629683934E-2</v>
      </c>
      <c r="I785" s="16">
        <v>3.3100000000000004E-2</v>
      </c>
      <c r="J785" s="16">
        <v>1.6639749864451471E-2</v>
      </c>
      <c r="K785" s="16">
        <v>1.12E-2</v>
      </c>
      <c r="L785" s="16">
        <v>4.3076949222410768E-3</v>
      </c>
      <c r="M785" s="16">
        <v>1.5057225707442858E-2</v>
      </c>
      <c r="N785" s="16">
        <v>2.0500000000000001E-2</v>
      </c>
      <c r="O785" s="16">
        <v>9.9903872521461025E-3</v>
      </c>
      <c r="P785" s="95"/>
    </row>
    <row r="786" spans="1:16" x14ac:dyDescent="0.25">
      <c r="A786" s="16">
        <v>13</v>
      </c>
      <c r="B786" s="16">
        <v>437692.10856199998</v>
      </c>
      <c r="C786" s="16">
        <v>5688393.3324180003</v>
      </c>
      <c r="D786" s="31">
        <v>25</v>
      </c>
      <c r="E786" s="31" t="s">
        <v>33</v>
      </c>
      <c r="F786" s="31">
        <v>2012</v>
      </c>
      <c r="G786" s="16">
        <v>0.10390000000000001</v>
      </c>
      <c r="H786" s="16">
        <v>2.9940703175954771E-2</v>
      </c>
      <c r="I786" s="16">
        <v>0.1406</v>
      </c>
      <c r="J786" s="16">
        <v>7.0681233563198692E-2</v>
      </c>
      <c r="K786" s="16">
        <v>2.1399999999999999E-2</v>
      </c>
      <c r="L786" s="16">
        <v>8.2307742264249133E-3</v>
      </c>
      <c r="M786" s="16">
        <v>2.1709928949529857E-2</v>
      </c>
      <c r="N786" s="16">
        <v>3.2299999999999995E-2</v>
      </c>
      <c r="O786" s="16">
        <v>1.5740951621674097E-2</v>
      </c>
      <c r="P786" s="95"/>
    </row>
    <row r="787" spans="1:16" x14ac:dyDescent="0.25">
      <c r="A787" s="35">
        <v>14</v>
      </c>
      <c r="B787" s="35">
        <v>437811.10856199998</v>
      </c>
      <c r="C787" s="35">
        <v>5688393.3324180003</v>
      </c>
      <c r="D787" s="96">
        <v>25</v>
      </c>
      <c r="E787" s="96" t="s">
        <v>33</v>
      </c>
      <c r="F787" s="96">
        <v>2012</v>
      </c>
      <c r="G787" s="96" t="s">
        <v>18</v>
      </c>
      <c r="H787" s="96" t="s">
        <v>18</v>
      </c>
      <c r="I787" s="96" t="s">
        <v>18</v>
      </c>
      <c r="J787" s="96" t="s">
        <v>18</v>
      </c>
      <c r="K787" s="96" t="s">
        <v>18</v>
      </c>
      <c r="L787" s="96" t="s">
        <v>18</v>
      </c>
      <c r="M787" s="96" t="s">
        <v>18</v>
      </c>
      <c r="N787" s="96" t="s">
        <v>18</v>
      </c>
      <c r="O787" s="96" t="s">
        <v>18</v>
      </c>
      <c r="P787" s="94" t="s">
        <v>21</v>
      </c>
    </row>
    <row r="788" spans="1:16" x14ac:dyDescent="0.25">
      <c r="A788" s="16">
        <v>15</v>
      </c>
      <c r="B788" s="16">
        <v>437930.10856199998</v>
      </c>
      <c r="C788" s="16">
        <v>5688393.3324180003</v>
      </c>
      <c r="D788" s="31">
        <v>25</v>
      </c>
      <c r="E788" s="31" t="s">
        <v>33</v>
      </c>
      <c r="F788" s="31">
        <v>2012</v>
      </c>
      <c r="G788" s="16">
        <v>0.13730000000000001</v>
      </c>
      <c r="H788" s="16">
        <v>3.9565529798446492E-2</v>
      </c>
      <c r="I788" s="16">
        <v>3.2600000000000004E-2</v>
      </c>
      <c r="J788" s="16">
        <v>1.6388394126317762E-2</v>
      </c>
      <c r="K788" s="16">
        <v>1.9100000000000002E-2</v>
      </c>
      <c r="L788" s="16">
        <v>7.3461583048932654E-3</v>
      </c>
      <c r="M788" s="16">
        <v>3.2219371493553223E-2</v>
      </c>
      <c r="N788" s="16">
        <v>5.6600000000000004E-2</v>
      </c>
      <c r="O788" s="16">
        <v>2.7583215535193627E-2</v>
      </c>
      <c r="P788" s="95"/>
    </row>
    <row r="789" spans="1:16" x14ac:dyDescent="0.25">
      <c r="A789" s="16">
        <v>16</v>
      </c>
      <c r="B789" s="16">
        <v>438049.10856199998</v>
      </c>
      <c r="C789" s="16">
        <v>5688393.3324180003</v>
      </c>
      <c r="D789" s="31">
        <v>25</v>
      </c>
      <c r="E789" s="31" t="s">
        <v>33</v>
      </c>
      <c r="F789" s="31">
        <v>2012</v>
      </c>
      <c r="G789" s="16">
        <v>0.1613</v>
      </c>
      <c r="H789" s="16">
        <v>4.6481572880476461E-2</v>
      </c>
      <c r="I789" s="16">
        <v>5.3E-3</v>
      </c>
      <c r="J789" s="16">
        <v>2.6643708242173048E-3</v>
      </c>
      <c r="K789" s="16">
        <v>6.7299999999999999E-2</v>
      </c>
      <c r="L789" s="16">
        <v>2.5884631095252183E-2</v>
      </c>
      <c r="M789" s="16">
        <v>2.0596941785224279E-2</v>
      </c>
      <c r="N789" s="16">
        <v>9.300000000000001E-3</v>
      </c>
      <c r="O789" s="16">
        <v>4.5322244607296953E-3</v>
      </c>
      <c r="P789" s="95"/>
    </row>
    <row r="790" spans="1:16" x14ac:dyDescent="0.25">
      <c r="A790" s="16">
        <v>17</v>
      </c>
      <c r="B790" s="16">
        <v>438168.10856199998</v>
      </c>
      <c r="C790" s="16">
        <v>5688393.3324180003</v>
      </c>
      <c r="D790" s="31">
        <v>25</v>
      </c>
      <c r="E790" s="31" t="s">
        <v>33</v>
      </c>
      <c r="F790" s="31">
        <v>2012</v>
      </c>
      <c r="G790" s="16">
        <v>2.2600000000000002E-2</v>
      </c>
      <c r="H790" s="16">
        <v>6.5126072355782281E-3</v>
      </c>
      <c r="I790" s="16">
        <v>0</v>
      </c>
      <c r="J790" s="16">
        <v>0</v>
      </c>
      <c r="K790" s="16">
        <v>2E-3</v>
      </c>
      <c r="L790" s="16">
        <v>7.6923123611447801E-4</v>
      </c>
      <c r="M790" s="16">
        <v>5.7433759994637498E-3</v>
      </c>
      <c r="N790" s="16">
        <v>0</v>
      </c>
      <c r="O790" s="16">
        <v>0</v>
      </c>
      <c r="P790" s="95"/>
    </row>
    <row r="791" spans="1:16" x14ac:dyDescent="0.25">
      <c r="A791" s="16">
        <v>18</v>
      </c>
      <c r="B791" s="16">
        <v>438287.10856199998</v>
      </c>
      <c r="C791" s="16">
        <v>5688393.3324180003</v>
      </c>
      <c r="D791" s="31">
        <v>25</v>
      </c>
      <c r="E791" s="31" t="s">
        <v>33</v>
      </c>
      <c r="F791" s="31">
        <v>2012</v>
      </c>
      <c r="G791" s="16">
        <v>4.2700000000000002E-2</v>
      </c>
      <c r="H791" s="16">
        <v>1.2304793316778332E-2</v>
      </c>
      <c r="I791" s="16">
        <v>0</v>
      </c>
      <c r="J791" s="16">
        <v>0</v>
      </c>
      <c r="K791" s="16">
        <v>4.4000000000000003E-3</v>
      </c>
      <c r="L791" s="16">
        <v>1.6923087194518516E-3</v>
      </c>
      <c r="M791" s="16">
        <v>1.061248459732648E-2</v>
      </c>
      <c r="N791" s="16">
        <v>0</v>
      </c>
      <c r="O791" s="16">
        <v>0</v>
      </c>
      <c r="P791" s="95"/>
    </row>
    <row r="792" spans="1:16" x14ac:dyDescent="0.25">
      <c r="A792" s="16">
        <v>19</v>
      </c>
      <c r="B792" s="16">
        <v>438406.10856199998</v>
      </c>
      <c r="C792" s="16">
        <v>5688393.3324180003</v>
      </c>
      <c r="D792" s="31">
        <v>25</v>
      </c>
      <c r="E792" s="31" t="s">
        <v>33</v>
      </c>
      <c r="F792" s="31">
        <v>2012</v>
      </c>
      <c r="G792" s="16">
        <v>2.5000000000000001E-2</v>
      </c>
      <c r="H792" s="16">
        <v>7.2042115437812252E-3</v>
      </c>
      <c r="I792" s="16">
        <v>0</v>
      </c>
      <c r="J792" s="16">
        <v>0</v>
      </c>
      <c r="K792" s="16">
        <v>1.3900000000000001E-2</v>
      </c>
      <c r="L792" s="16">
        <v>5.3461570909956223E-3</v>
      </c>
      <c r="M792" s="16">
        <v>1.8580544527856029E-3</v>
      </c>
      <c r="N792" s="16">
        <v>0</v>
      </c>
      <c r="O792" s="16">
        <v>0</v>
      </c>
      <c r="P792" s="95"/>
    </row>
    <row r="793" spans="1:16" x14ac:dyDescent="0.25">
      <c r="A793" s="16">
        <v>20</v>
      </c>
      <c r="B793" s="16">
        <v>437335.10856199998</v>
      </c>
      <c r="C793" s="16">
        <v>5688512.3324180003</v>
      </c>
      <c r="D793" s="31">
        <v>25</v>
      </c>
      <c r="E793" s="31" t="s">
        <v>33</v>
      </c>
      <c r="F793" s="31">
        <v>2012</v>
      </c>
      <c r="G793" s="16">
        <v>1.1800000000000001E-2</v>
      </c>
      <c r="H793" s="16">
        <v>3.4003878486647387E-3</v>
      </c>
      <c r="I793" s="16">
        <v>0</v>
      </c>
      <c r="J793" s="16">
        <v>0</v>
      </c>
      <c r="K793" s="16">
        <v>5.4999999999999997E-3</v>
      </c>
      <c r="L793" s="16">
        <v>2.1153858993148145E-3</v>
      </c>
      <c r="M793" s="16">
        <v>1.2850019493499242E-3</v>
      </c>
      <c r="N793" s="16">
        <v>0</v>
      </c>
      <c r="O793" s="16">
        <v>0</v>
      </c>
      <c r="P793" s="95"/>
    </row>
    <row r="794" spans="1:16" x14ac:dyDescent="0.25">
      <c r="A794" s="16">
        <v>21</v>
      </c>
      <c r="B794" s="16">
        <v>437454.10856199998</v>
      </c>
      <c r="C794" s="16">
        <v>5688512.3324180003</v>
      </c>
      <c r="D794" s="31">
        <v>25</v>
      </c>
      <c r="E794" s="31" t="s">
        <v>33</v>
      </c>
      <c r="F794" s="31">
        <v>2012</v>
      </c>
      <c r="G794" s="16">
        <v>1.09E-2</v>
      </c>
      <c r="H794" s="16">
        <v>3.1410362330886142E-3</v>
      </c>
      <c r="I794" s="16">
        <v>0</v>
      </c>
      <c r="J794" s="16">
        <v>0</v>
      </c>
      <c r="K794" s="16">
        <v>1.15E-2</v>
      </c>
      <c r="L794" s="16">
        <v>4.4230796076582483E-3</v>
      </c>
      <c r="M794" s="16">
        <v>-1.2820433745696341E-3</v>
      </c>
      <c r="N794" s="16">
        <v>0</v>
      </c>
      <c r="O794" s="16">
        <v>0</v>
      </c>
      <c r="P794" s="95"/>
    </row>
    <row r="795" spans="1:16" x14ac:dyDescent="0.25">
      <c r="A795" s="16">
        <v>22</v>
      </c>
      <c r="B795" s="16">
        <v>437573.10856199998</v>
      </c>
      <c r="C795" s="16">
        <v>5688512.3324180003</v>
      </c>
      <c r="D795" s="31">
        <v>25</v>
      </c>
      <c r="E795" s="31" t="s">
        <v>33</v>
      </c>
      <c r="F795" s="31">
        <v>2012</v>
      </c>
      <c r="G795" s="16">
        <v>2.69E-2</v>
      </c>
      <c r="H795" s="16">
        <v>7.7517316211085981E-3</v>
      </c>
      <c r="I795" s="16">
        <v>0.17909999999999998</v>
      </c>
      <c r="J795" s="16">
        <v>9.0035625399494196E-2</v>
      </c>
      <c r="K795" s="16">
        <v>8.4500000000000006E-2</v>
      </c>
      <c r="L795" s="16">
        <v>3.2500019725836694E-2</v>
      </c>
      <c r="M795" s="16">
        <v>-2.4748288104728094E-2</v>
      </c>
      <c r="N795" s="16">
        <v>4.3200000000000002E-2</v>
      </c>
      <c r="O795" s="16">
        <v>2.1052913624034712E-2</v>
      </c>
      <c r="P795" s="95"/>
    </row>
    <row r="796" spans="1:16" x14ac:dyDescent="0.25">
      <c r="A796" s="16">
        <v>23</v>
      </c>
      <c r="B796" s="16">
        <v>437692.10856199998</v>
      </c>
      <c r="C796" s="16">
        <v>5688512.3324180003</v>
      </c>
      <c r="D796" s="31">
        <v>25</v>
      </c>
      <c r="E796" s="31" t="s">
        <v>33</v>
      </c>
      <c r="F796" s="31">
        <v>2012</v>
      </c>
      <c r="G796" s="16">
        <v>1.2800000000000001E-2</v>
      </c>
      <c r="H796" s="16">
        <v>3.6885563104159871E-3</v>
      </c>
      <c r="I796" s="16">
        <v>0</v>
      </c>
      <c r="J796" s="16">
        <v>0</v>
      </c>
      <c r="K796" s="16">
        <v>9.4999999999999998E-3</v>
      </c>
      <c r="L796" s="16">
        <v>3.65384837154377E-3</v>
      </c>
      <c r="M796" s="16">
        <v>3.4707938872217091E-5</v>
      </c>
      <c r="N796" s="16">
        <v>0</v>
      </c>
      <c r="O796" s="16">
        <v>0</v>
      </c>
      <c r="P796" s="95"/>
    </row>
    <row r="797" spans="1:16" x14ac:dyDescent="0.25">
      <c r="A797" s="16">
        <v>24</v>
      </c>
      <c r="B797" s="16">
        <v>437811.10856199998</v>
      </c>
      <c r="C797" s="16">
        <v>5688512.3324180003</v>
      </c>
      <c r="D797" s="31">
        <v>25</v>
      </c>
      <c r="E797" s="31" t="s">
        <v>33</v>
      </c>
      <c r="F797" s="31">
        <v>2012</v>
      </c>
      <c r="G797" s="16">
        <v>6.6700000000000009E-2</v>
      </c>
      <c r="H797" s="16">
        <v>1.9220836398808311E-2</v>
      </c>
      <c r="I797" s="16">
        <v>0</v>
      </c>
      <c r="J797" s="16">
        <v>0</v>
      </c>
      <c r="K797" s="16">
        <v>7.1999999999999998E-3</v>
      </c>
      <c r="L797" s="16">
        <v>2.7692324500121204E-3</v>
      </c>
      <c r="M797" s="16">
        <v>1.645160394879619E-2</v>
      </c>
      <c r="N797" s="16">
        <v>0</v>
      </c>
      <c r="O797" s="16">
        <v>0</v>
      </c>
      <c r="P797" s="95"/>
    </row>
    <row r="798" spans="1:16" x14ac:dyDescent="0.25">
      <c r="A798" s="16">
        <v>25</v>
      </c>
      <c r="B798" s="16">
        <v>437995</v>
      </c>
      <c r="C798" s="16">
        <v>5688493</v>
      </c>
      <c r="D798" s="31">
        <v>25</v>
      </c>
      <c r="E798" s="31" t="s">
        <v>33</v>
      </c>
      <c r="F798" s="31">
        <v>2012</v>
      </c>
      <c r="G798" s="16">
        <v>2.46E-2</v>
      </c>
      <c r="H798" s="16">
        <v>7.088944159080725E-3</v>
      </c>
      <c r="I798" s="16">
        <v>8.6699999999999999E-2</v>
      </c>
      <c r="J798" s="16">
        <v>4.3585084992384962E-2</v>
      </c>
      <c r="K798" s="16">
        <v>3.2899999999999999E-2</v>
      </c>
      <c r="L798" s="16">
        <v>1.2653853834083162E-2</v>
      </c>
      <c r="M798" s="16">
        <v>-5.5649096750024366E-3</v>
      </c>
      <c r="N798" s="16">
        <v>0</v>
      </c>
      <c r="O798" s="16">
        <v>0</v>
      </c>
      <c r="P798" s="95"/>
    </row>
    <row r="799" spans="1:16" x14ac:dyDescent="0.25">
      <c r="A799" s="16">
        <v>26</v>
      </c>
      <c r="B799" s="16">
        <v>438112</v>
      </c>
      <c r="C799" s="16">
        <v>5688567</v>
      </c>
      <c r="D799" s="31">
        <v>25</v>
      </c>
      <c r="E799" s="31" t="s">
        <v>33</v>
      </c>
      <c r="F799" s="31">
        <v>2012</v>
      </c>
      <c r="G799" s="16">
        <v>8.4099999999999994E-2</v>
      </c>
      <c r="H799" s="16">
        <v>2.4234967633280039E-2</v>
      </c>
      <c r="I799" s="16">
        <v>0</v>
      </c>
      <c r="J799" s="16">
        <v>0</v>
      </c>
      <c r="K799" s="16">
        <v>3.3600000000000005E-2</v>
      </c>
      <c r="L799" s="16">
        <v>1.2923084766723231E-2</v>
      </c>
      <c r="M799" s="16">
        <v>1.1311882866556808E-2</v>
      </c>
      <c r="N799" s="16">
        <v>0</v>
      </c>
      <c r="O799" s="16">
        <v>0</v>
      </c>
      <c r="P799" s="95"/>
    </row>
    <row r="800" spans="1:16" x14ac:dyDescent="0.25">
      <c r="A800" s="35">
        <v>27</v>
      </c>
      <c r="B800" s="35">
        <v>438168.10856199998</v>
      </c>
      <c r="C800" s="35">
        <v>5688512.3324180003</v>
      </c>
      <c r="D800" s="96">
        <v>25</v>
      </c>
      <c r="E800" s="96" t="s">
        <v>33</v>
      </c>
      <c r="F800" s="96">
        <v>2012</v>
      </c>
      <c r="G800" s="96" t="s">
        <v>18</v>
      </c>
      <c r="H800" s="96" t="s">
        <v>18</v>
      </c>
      <c r="I800" s="96" t="s">
        <v>18</v>
      </c>
      <c r="J800" s="96" t="s">
        <v>18</v>
      </c>
      <c r="K800" s="96" t="s">
        <v>18</v>
      </c>
      <c r="L800" s="96" t="s">
        <v>18</v>
      </c>
      <c r="M800" s="96" t="s">
        <v>18</v>
      </c>
      <c r="N800" s="96" t="s">
        <v>18</v>
      </c>
      <c r="O800" s="96" t="s">
        <v>18</v>
      </c>
      <c r="P800" s="94" t="s">
        <v>21</v>
      </c>
    </row>
    <row r="801" spans="1:16" x14ac:dyDescent="0.25">
      <c r="A801" s="35">
        <v>28</v>
      </c>
      <c r="B801" s="35">
        <v>438287.10856199998</v>
      </c>
      <c r="C801" s="35">
        <v>5688512.3324180003</v>
      </c>
      <c r="D801" s="96">
        <v>25</v>
      </c>
      <c r="E801" s="96" t="s">
        <v>33</v>
      </c>
      <c r="F801" s="96">
        <v>2012</v>
      </c>
      <c r="G801" s="96" t="s">
        <v>18</v>
      </c>
      <c r="H801" s="96" t="s">
        <v>18</v>
      </c>
      <c r="I801" s="96" t="s">
        <v>18</v>
      </c>
      <c r="J801" s="96" t="s">
        <v>18</v>
      </c>
      <c r="K801" s="96" t="s">
        <v>18</v>
      </c>
      <c r="L801" s="96" t="s">
        <v>18</v>
      </c>
      <c r="M801" s="96" t="s">
        <v>18</v>
      </c>
      <c r="N801" s="96" t="s">
        <v>18</v>
      </c>
      <c r="O801" s="96" t="s">
        <v>18</v>
      </c>
      <c r="P801" s="94" t="s">
        <v>21</v>
      </c>
    </row>
    <row r="802" spans="1:16" x14ac:dyDescent="0.25">
      <c r="A802" s="16">
        <v>29</v>
      </c>
      <c r="B802" s="16">
        <v>438381</v>
      </c>
      <c r="C802" s="16">
        <v>5688526</v>
      </c>
      <c r="D802" s="31">
        <v>25</v>
      </c>
      <c r="E802" s="31" t="s">
        <v>33</v>
      </c>
      <c r="F802" s="31">
        <v>2012</v>
      </c>
      <c r="G802" s="16">
        <v>0.1205</v>
      </c>
      <c r="H802" s="16">
        <v>3.4724299641025504E-2</v>
      </c>
      <c r="I802" s="16">
        <v>5.96E-2</v>
      </c>
      <c r="J802" s="16">
        <v>2.9961603985537991E-2</v>
      </c>
      <c r="K802" s="16">
        <v>4.2500000000000003E-2</v>
      </c>
      <c r="L802" s="16">
        <v>1.6346163767432659E-2</v>
      </c>
      <c r="M802" s="16">
        <v>1.8378135873592844E-2</v>
      </c>
      <c r="N802" s="16">
        <v>0</v>
      </c>
      <c r="O802" s="16">
        <v>0</v>
      </c>
      <c r="P802" s="95"/>
    </row>
    <row r="803" spans="1:16" x14ac:dyDescent="0.25">
      <c r="A803" s="16">
        <v>30</v>
      </c>
      <c r="B803" s="16">
        <v>438525.10856199998</v>
      </c>
      <c r="C803" s="16">
        <v>5688512.3324180003</v>
      </c>
      <c r="D803" s="31">
        <v>25</v>
      </c>
      <c r="E803" s="31" t="s">
        <v>33</v>
      </c>
      <c r="F803" s="31">
        <v>2012</v>
      </c>
      <c r="G803" s="16">
        <v>2.1399999999999999E-2</v>
      </c>
      <c r="H803" s="16">
        <v>6.1668050814767282E-3</v>
      </c>
      <c r="I803" s="16">
        <v>0</v>
      </c>
      <c r="J803" s="16">
        <v>0</v>
      </c>
      <c r="K803" s="16">
        <v>2.5700000000000001E-2</v>
      </c>
      <c r="L803" s="16">
        <v>9.884621384071042E-3</v>
      </c>
      <c r="M803" s="16">
        <v>-3.7178163025943138E-3</v>
      </c>
      <c r="N803" s="16">
        <v>0</v>
      </c>
      <c r="O803" s="16">
        <v>0</v>
      </c>
      <c r="P803" s="95"/>
    </row>
    <row r="804" spans="1:16" x14ac:dyDescent="0.25">
      <c r="A804" s="16">
        <v>31</v>
      </c>
      <c r="B804" s="16">
        <v>437335.10856199998</v>
      </c>
      <c r="C804" s="16">
        <v>5688631.3324180003</v>
      </c>
      <c r="D804" s="31">
        <v>25</v>
      </c>
      <c r="E804" s="31" t="s">
        <v>33</v>
      </c>
      <c r="F804" s="31">
        <v>2012</v>
      </c>
      <c r="G804" s="16">
        <v>4.2500000000000003E-2</v>
      </c>
      <c r="H804" s="16">
        <v>1.2247159624428083E-2</v>
      </c>
      <c r="I804" s="16">
        <v>0</v>
      </c>
      <c r="J804" s="16">
        <v>0</v>
      </c>
      <c r="K804" s="16">
        <v>2.3E-3</v>
      </c>
      <c r="L804" s="16">
        <v>8.8461592153164965E-4</v>
      </c>
      <c r="M804" s="16">
        <v>1.1362543702896433E-2</v>
      </c>
      <c r="N804" s="16">
        <v>0</v>
      </c>
      <c r="O804" s="16">
        <v>0</v>
      </c>
      <c r="P804" s="95"/>
    </row>
    <row r="805" spans="1:16" x14ac:dyDescent="0.25">
      <c r="A805" s="16">
        <v>32</v>
      </c>
      <c r="B805" s="16">
        <v>437454.10856199998</v>
      </c>
      <c r="C805" s="16">
        <v>5688631.3324180003</v>
      </c>
      <c r="D805" s="31">
        <v>25</v>
      </c>
      <c r="E805" s="31" t="s">
        <v>33</v>
      </c>
      <c r="F805" s="31">
        <v>2012</v>
      </c>
      <c r="G805" s="16">
        <v>1.6899999999999998E-2</v>
      </c>
      <c r="H805" s="16">
        <v>4.8700470035961075E-3</v>
      </c>
      <c r="I805" s="16">
        <v>0</v>
      </c>
      <c r="J805" s="16">
        <v>0</v>
      </c>
      <c r="K805" s="16">
        <v>8.6999999999999994E-3</v>
      </c>
      <c r="L805" s="16">
        <v>3.3461558770979788E-3</v>
      </c>
      <c r="M805" s="16">
        <v>1.5238911264981287E-3</v>
      </c>
      <c r="N805" s="16">
        <v>0</v>
      </c>
      <c r="O805" s="16">
        <v>0</v>
      </c>
      <c r="P805" s="95"/>
    </row>
    <row r="806" spans="1:16" x14ac:dyDescent="0.25">
      <c r="A806" s="16">
        <v>33</v>
      </c>
      <c r="B806" s="16">
        <v>437573.10856199998</v>
      </c>
      <c r="C806" s="16">
        <v>5688631.3324180003</v>
      </c>
      <c r="D806" s="31">
        <v>25</v>
      </c>
      <c r="E806" s="31" t="s">
        <v>33</v>
      </c>
      <c r="F806" s="31">
        <v>2012</v>
      </c>
      <c r="G806" s="16">
        <v>1.43E-2</v>
      </c>
      <c r="H806" s="16">
        <v>4.1208090030428607E-3</v>
      </c>
      <c r="I806" s="16">
        <v>0</v>
      </c>
      <c r="J806" s="16">
        <v>0</v>
      </c>
      <c r="K806" s="16">
        <v>2.3E-3</v>
      </c>
      <c r="L806" s="16">
        <v>8.8461592153164965E-4</v>
      </c>
      <c r="M806" s="16">
        <v>3.236193081511211E-3</v>
      </c>
      <c r="N806" s="16">
        <v>0</v>
      </c>
      <c r="O806" s="16">
        <v>0</v>
      </c>
      <c r="P806" s="95"/>
    </row>
    <row r="807" spans="1:16" x14ac:dyDescent="0.25">
      <c r="A807" s="16">
        <v>34</v>
      </c>
      <c r="B807" s="16">
        <v>437692.10856199998</v>
      </c>
      <c r="C807" s="16">
        <v>5688631.3324180003</v>
      </c>
      <c r="D807" s="31">
        <v>25</v>
      </c>
      <c r="E807" s="31" t="s">
        <v>33</v>
      </c>
      <c r="F807" s="31">
        <v>2012</v>
      </c>
      <c r="G807" s="16">
        <v>3.0899999999999997E-2</v>
      </c>
      <c r="H807" s="16">
        <v>8.9044054681135937E-3</v>
      </c>
      <c r="I807" s="16">
        <v>0</v>
      </c>
      <c r="J807" s="16">
        <v>0</v>
      </c>
      <c r="K807" s="16">
        <v>2.1100000000000001E-2</v>
      </c>
      <c r="L807" s="16">
        <v>8.1153895410077427E-3</v>
      </c>
      <c r="M807" s="16">
        <v>7.8901592710585097E-4</v>
      </c>
      <c r="N807" s="16">
        <v>0</v>
      </c>
      <c r="O807" s="16">
        <v>0</v>
      </c>
      <c r="P807" s="95"/>
    </row>
    <row r="808" spans="1:16" x14ac:dyDescent="0.25">
      <c r="A808" s="16">
        <v>35</v>
      </c>
      <c r="B808" s="16">
        <v>437893</v>
      </c>
      <c r="C808" s="16">
        <v>5688620</v>
      </c>
      <c r="D808" s="31">
        <v>25</v>
      </c>
      <c r="E808" s="31" t="s">
        <v>33</v>
      </c>
      <c r="F808" s="31">
        <v>2012</v>
      </c>
      <c r="G808" s="16">
        <v>9.1000000000000004E-3</v>
      </c>
      <c r="H808" s="16">
        <v>2.6223330019363661E-3</v>
      </c>
      <c r="I808" s="16">
        <v>0</v>
      </c>
      <c r="J808" s="16">
        <v>0</v>
      </c>
      <c r="K808" s="16">
        <v>2.2000000000000001E-3</v>
      </c>
      <c r="L808" s="16">
        <v>8.4615435972592581E-4</v>
      </c>
      <c r="M808" s="16">
        <v>1.7761786422104404E-3</v>
      </c>
      <c r="N808" s="16">
        <v>0</v>
      </c>
      <c r="O808" s="16">
        <v>0</v>
      </c>
      <c r="P808" s="95"/>
    </row>
    <row r="809" spans="1:16" x14ac:dyDescent="0.25">
      <c r="A809" s="16">
        <v>36</v>
      </c>
      <c r="B809" s="16">
        <v>437930.10856199998</v>
      </c>
      <c r="C809" s="16">
        <v>5688631.3324180003</v>
      </c>
      <c r="D809" s="31">
        <v>25</v>
      </c>
      <c r="E809" s="31" t="s">
        <v>33</v>
      </c>
      <c r="F809" s="31">
        <v>2012</v>
      </c>
      <c r="G809" s="16">
        <v>2.1100000000000001E-2</v>
      </c>
      <c r="H809" s="16">
        <v>6.0803545429513536E-3</v>
      </c>
      <c r="I809" s="16">
        <v>0</v>
      </c>
      <c r="J809" s="16">
        <v>0</v>
      </c>
      <c r="K809" s="16">
        <v>1.7500000000000002E-2</v>
      </c>
      <c r="L809" s="16">
        <v>6.7307733160016829E-3</v>
      </c>
      <c r="M809" s="16">
        <v>-6.5041877305032931E-4</v>
      </c>
      <c r="N809" s="16">
        <v>0</v>
      </c>
      <c r="O809" s="16">
        <v>0</v>
      </c>
      <c r="P809" s="95"/>
    </row>
    <row r="810" spans="1:16" x14ac:dyDescent="0.25">
      <c r="A810" s="35">
        <v>37</v>
      </c>
      <c r="B810" s="35">
        <v>438049.10856199998</v>
      </c>
      <c r="C810" s="35">
        <v>5688631.3324180003</v>
      </c>
      <c r="D810" s="96">
        <v>25</v>
      </c>
      <c r="E810" s="96" t="s">
        <v>33</v>
      </c>
      <c r="F810" s="96">
        <v>2012</v>
      </c>
      <c r="G810" s="96" t="s">
        <v>18</v>
      </c>
      <c r="H810" s="96" t="s">
        <v>18</v>
      </c>
      <c r="I810" s="96" t="s">
        <v>18</v>
      </c>
      <c r="J810" s="96" t="s">
        <v>18</v>
      </c>
      <c r="K810" s="96" t="s">
        <v>18</v>
      </c>
      <c r="L810" s="96" t="s">
        <v>18</v>
      </c>
      <c r="M810" s="96" t="s">
        <v>18</v>
      </c>
      <c r="N810" s="96" t="s">
        <v>18</v>
      </c>
      <c r="O810" s="96" t="s">
        <v>18</v>
      </c>
      <c r="P810" s="94" t="s">
        <v>21</v>
      </c>
    </row>
    <row r="811" spans="1:16" x14ac:dyDescent="0.25">
      <c r="A811" s="16">
        <v>38</v>
      </c>
      <c r="B811" s="31">
        <v>438067</v>
      </c>
      <c r="C811" s="31">
        <v>5688710</v>
      </c>
      <c r="D811" s="31">
        <v>25</v>
      </c>
      <c r="E811" s="31" t="s">
        <v>33</v>
      </c>
      <c r="F811" s="31">
        <v>2012</v>
      </c>
      <c r="G811" s="31" t="s">
        <v>18</v>
      </c>
      <c r="H811" s="31" t="s">
        <v>18</v>
      </c>
      <c r="I811" s="31" t="s">
        <v>18</v>
      </c>
      <c r="J811" s="31" t="s">
        <v>18</v>
      </c>
      <c r="K811" s="31" t="s">
        <v>18</v>
      </c>
      <c r="L811" s="31" t="s">
        <v>18</v>
      </c>
      <c r="M811" s="31" t="s">
        <v>18</v>
      </c>
      <c r="N811" s="31" t="s">
        <v>18</v>
      </c>
      <c r="O811" s="31" t="s">
        <v>18</v>
      </c>
      <c r="P811" s="95" t="s">
        <v>192</v>
      </c>
    </row>
    <row r="812" spans="1:16" x14ac:dyDescent="0.25">
      <c r="A812" s="35">
        <v>39</v>
      </c>
      <c r="B812" s="35">
        <v>438287.10856199998</v>
      </c>
      <c r="C812" s="35">
        <v>5688631.3324180003</v>
      </c>
      <c r="D812" s="96">
        <v>25</v>
      </c>
      <c r="E812" s="96" t="s">
        <v>33</v>
      </c>
      <c r="F812" s="96">
        <v>2012</v>
      </c>
      <c r="G812" s="96" t="s">
        <v>18</v>
      </c>
      <c r="H812" s="96" t="s">
        <v>18</v>
      </c>
      <c r="I812" s="96" t="s">
        <v>18</v>
      </c>
      <c r="J812" s="96" t="s">
        <v>18</v>
      </c>
      <c r="K812" s="96" t="s">
        <v>18</v>
      </c>
      <c r="L812" s="96" t="s">
        <v>18</v>
      </c>
      <c r="M812" s="96" t="s">
        <v>18</v>
      </c>
      <c r="N812" s="96" t="s">
        <v>18</v>
      </c>
      <c r="O812" s="96" t="s">
        <v>18</v>
      </c>
      <c r="P812" s="94" t="s">
        <v>22</v>
      </c>
    </row>
    <row r="813" spans="1:16" x14ac:dyDescent="0.25">
      <c r="A813" s="16">
        <v>40</v>
      </c>
      <c r="B813" s="16">
        <v>438406.10856199998</v>
      </c>
      <c r="C813" s="16">
        <v>5688631.3324180003</v>
      </c>
      <c r="D813" s="31">
        <v>25</v>
      </c>
      <c r="E813" s="31" t="s">
        <v>33</v>
      </c>
      <c r="F813" s="31">
        <v>2012</v>
      </c>
      <c r="G813" s="16">
        <v>2.4799999999999999E-2</v>
      </c>
      <c r="H813" s="16">
        <v>7.1465778514309746E-3</v>
      </c>
      <c r="I813" s="16">
        <v>0</v>
      </c>
      <c r="J813" s="16">
        <v>0</v>
      </c>
      <c r="K813" s="16">
        <v>1.23E-2</v>
      </c>
      <c r="L813" s="16">
        <v>4.7307721021040399E-3</v>
      </c>
      <c r="M813" s="16">
        <v>2.4158057493269347E-3</v>
      </c>
      <c r="N813" s="16">
        <v>0</v>
      </c>
      <c r="O813" s="16">
        <v>0</v>
      </c>
      <c r="P813" s="95"/>
    </row>
    <row r="814" spans="1:16" x14ac:dyDescent="0.25">
      <c r="A814" s="16">
        <v>41</v>
      </c>
      <c r="B814" s="16">
        <v>437310</v>
      </c>
      <c r="C814" s="16">
        <v>5688729</v>
      </c>
      <c r="D814" s="31">
        <v>25</v>
      </c>
      <c r="E814" s="31" t="s">
        <v>33</v>
      </c>
      <c r="F814" s="31">
        <v>2012</v>
      </c>
      <c r="G814" s="16">
        <v>3.2399999999999998E-2</v>
      </c>
      <c r="H814" s="16">
        <v>9.3366581607404672E-3</v>
      </c>
      <c r="I814" s="16">
        <v>5.4999999999999997E-3</v>
      </c>
      <c r="J814" s="16">
        <v>2.7649131194707878E-3</v>
      </c>
      <c r="K814" s="16">
        <v>1.43E-2</v>
      </c>
      <c r="L814" s="16">
        <v>5.5000033382185173E-3</v>
      </c>
      <c r="M814" s="16">
        <v>3.83665482252195E-3</v>
      </c>
      <c r="N814" s="16">
        <v>0</v>
      </c>
      <c r="O814" s="16">
        <v>0</v>
      </c>
      <c r="P814" s="95"/>
    </row>
    <row r="815" spans="1:16" x14ac:dyDescent="0.25">
      <c r="A815" s="16">
        <v>42</v>
      </c>
      <c r="B815" s="16">
        <v>437454.10856199998</v>
      </c>
      <c r="C815" s="16">
        <v>5688750.3324180003</v>
      </c>
      <c r="D815" s="31">
        <v>25</v>
      </c>
      <c r="E815" s="31" t="s">
        <v>33</v>
      </c>
      <c r="F815" s="31">
        <v>2012</v>
      </c>
      <c r="G815" s="16">
        <v>0.14319999999999999</v>
      </c>
      <c r="H815" s="16">
        <v>4.1265723722778855E-2</v>
      </c>
      <c r="I815" s="16">
        <v>6.4599999999999991E-2</v>
      </c>
      <c r="J815" s="16">
        <v>3.2475161366875067E-2</v>
      </c>
      <c r="K815" s="16">
        <v>5.1200000000000002E-2</v>
      </c>
      <c r="L815" s="16">
        <v>1.9692319644530637E-2</v>
      </c>
      <c r="M815" s="16">
        <v>2.1573404078248218E-2</v>
      </c>
      <c r="N815" s="16">
        <v>6.1200000000000004E-2</v>
      </c>
      <c r="O815" s="16">
        <v>2.9824960967382508E-2</v>
      </c>
      <c r="P815" s="95"/>
    </row>
    <row r="816" spans="1:16" x14ac:dyDescent="0.25">
      <c r="A816" s="16">
        <v>43</v>
      </c>
      <c r="B816" s="16">
        <v>437573.10856199998</v>
      </c>
      <c r="C816" s="16">
        <v>5688750.3324180003</v>
      </c>
      <c r="D816" s="31">
        <v>25</v>
      </c>
      <c r="E816" s="31" t="s">
        <v>33</v>
      </c>
      <c r="F816" s="31">
        <v>2012</v>
      </c>
      <c r="G816" s="16">
        <v>3.6899999999999995E-2</v>
      </c>
      <c r="H816" s="16">
        <v>1.0633416238621086E-2</v>
      </c>
      <c r="I816" s="16">
        <v>0</v>
      </c>
      <c r="J816" s="16">
        <v>0</v>
      </c>
      <c r="K816" s="16">
        <v>6.3E-3</v>
      </c>
      <c r="L816" s="16">
        <v>2.4230783937606057E-3</v>
      </c>
      <c r="M816" s="16">
        <v>8.21033784486048E-3</v>
      </c>
      <c r="N816" s="16">
        <v>0</v>
      </c>
      <c r="O816" s="16">
        <v>0</v>
      </c>
      <c r="P816" s="95"/>
    </row>
    <row r="817" spans="1:16" x14ac:dyDescent="0.25">
      <c r="A817" s="16">
        <v>44</v>
      </c>
      <c r="B817" s="16">
        <v>437692.10856199998</v>
      </c>
      <c r="C817" s="16">
        <v>5688750.3324180003</v>
      </c>
      <c r="D817" s="31">
        <v>25</v>
      </c>
      <c r="E817" s="31" t="s">
        <v>33</v>
      </c>
      <c r="F817" s="31">
        <v>2012</v>
      </c>
      <c r="G817" s="16">
        <v>4.6700000000000005E-2</v>
      </c>
      <c r="H817" s="16">
        <v>1.345746716378333E-2</v>
      </c>
      <c r="I817" s="16">
        <v>0</v>
      </c>
      <c r="J817" s="16">
        <v>0</v>
      </c>
      <c r="K817" s="16">
        <v>4.4000000000000003E-3</v>
      </c>
      <c r="L817" s="16">
        <v>1.6923087194518516E-3</v>
      </c>
      <c r="M817" s="16">
        <v>1.1765158444331477E-2</v>
      </c>
      <c r="N817" s="16">
        <v>0</v>
      </c>
      <c r="O817" s="16">
        <v>0</v>
      </c>
      <c r="P817" s="95"/>
    </row>
    <row r="818" spans="1:16" x14ac:dyDescent="0.25">
      <c r="A818" s="16">
        <v>45</v>
      </c>
      <c r="B818" s="16">
        <v>437811.10856199998</v>
      </c>
      <c r="C818" s="16">
        <v>5688750.3324180003</v>
      </c>
      <c r="D818" s="31">
        <v>25</v>
      </c>
      <c r="E818" s="31" t="s">
        <v>33</v>
      </c>
      <c r="F818" s="31">
        <v>2012</v>
      </c>
      <c r="G818" s="16">
        <v>9.6999999999999986E-3</v>
      </c>
      <c r="H818" s="16">
        <v>2.7952340789871148E-3</v>
      </c>
      <c r="I818" s="16">
        <v>0</v>
      </c>
      <c r="J818" s="16">
        <v>0</v>
      </c>
      <c r="K818" s="16">
        <v>1.4E-2</v>
      </c>
      <c r="L818" s="16">
        <v>5.3846186528013458E-3</v>
      </c>
      <c r="M818" s="16">
        <v>-2.5893845738142311E-3</v>
      </c>
      <c r="N818" s="16">
        <v>0</v>
      </c>
      <c r="O818" s="16">
        <v>0</v>
      </c>
      <c r="P818" s="95"/>
    </row>
    <row r="819" spans="1:16" x14ac:dyDescent="0.25">
      <c r="A819" s="16">
        <v>46</v>
      </c>
      <c r="B819" s="16">
        <v>437930.10856199998</v>
      </c>
      <c r="C819" s="16">
        <v>5688750.3324180003</v>
      </c>
      <c r="D819" s="31">
        <v>24</v>
      </c>
      <c r="E819" s="31" t="s">
        <v>33</v>
      </c>
      <c r="F819" s="31">
        <v>2012</v>
      </c>
      <c r="G819" s="16">
        <v>7.6100000000000001E-2</v>
      </c>
      <c r="H819" s="16">
        <v>1.916703840173219E-2</v>
      </c>
      <c r="I819" s="16">
        <v>6.2200000000000005E-2</v>
      </c>
      <c r="J819" s="16">
        <v>2.8684632515064541E-2</v>
      </c>
      <c r="K819" s="16">
        <v>1.6899999999999998E-2</v>
      </c>
      <c r="L819" s="16">
        <v>6.4702533712364908E-3</v>
      </c>
      <c r="M819" s="16">
        <v>1.2696785030495698E-2</v>
      </c>
      <c r="N819" s="16">
        <v>1.21E-2</v>
      </c>
      <c r="O819" s="16">
        <v>7.7410109657645079E-3</v>
      </c>
      <c r="P819" s="95"/>
    </row>
    <row r="820" spans="1:16" x14ac:dyDescent="0.25">
      <c r="A820" s="16">
        <v>47</v>
      </c>
      <c r="B820" s="16">
        <v>438061</v>
      </c>
      <c r="C820" s="16">
        <v>5688779</v>
      </c>
      <c r="D820" s="31">
        <v>24</v>
      </c>
      <c r="E820" s="31" t="s">
        <v>33</v>
      </c>
      <c r="F820" s="31">
        <v>2012</v>
      </c>
      <c r="G820" s="16">
        <v>0.1825</v>
      </c>
      <c r="H820" s="16">
        <v>4.596563085829336E-2</v>
      </c>
      <c r="I820" s="16">
        <v>0.121</v>
      </c>
      <c r="J820" s="16">
        <v>5.5801294764032297E-2</v>
      </c>
      <c r="K820" s="16">
        <v>5.2499999999999998E-2</v>
      </c>
      <c r="L820" s="16">
        <v>2.0099899526030519E-2</v>
      </c>
      <c r="M820" s="16">
        <v>2.5865731332262842E-2</v>
      </c>
      <c r="N820" s="16">
        <v>4.7E-2</v>
      </c>
      <c r="O820" s="16">
        <v>3.0068389701729908E-2</v>
      </c>
      <c r="P820" s="95"/>
    </row>
    <row r="821" spans="1:16" x14ac:dyDescent="0.25">
      <c r="A821" s="35">
        <v>48</v>
      </c>
      <c r="B821" s="35">
        <v>438168.10856199998</v>
      </c>
      <c r="C821" s="35">
        <v>5688750.3324180003</v>
      </c>
      <c r="D821" s="96">
        <v>25</v>
      </c>
      <c r="E821" s="96" t="s">
        <v>33</v>
      </c>
      <c r="F821" s="96">
        <v>2012</v>
      </c>
      <c r="G821" s="96" t="s">
        <v>18</v>
      </c>
      <c r="H821" s="96" t="s">
        <v>18</v>
      </c>
      <c r="I821" s="96" t="s">
        <v>18</v>
      </c>
      <c r="J821" s="96" t="s">
        <v>18</v>
      </c>
      <c r="K821" s="96" t="s">
        <v>18</v>
      </c>
      <c r="L821" s="96" t="s">
        <v>18</v>
      </c>
      <c r="M821" s="96" t="s">
        <v>18</v>
      </c>
      <c r="N821" s="96" t="s">
        <v>18</v>
      </c>
      <c r="O821" s="96" t="s">
        <v>18</v>
      </c>
      <c r="P821" s="94" t="s">
        <v>21</v>
      </c>
    </row>
    <row r="822" spans="1:16" x14ac:dyDescent="0.25">
      <c r="A822" s="16">
        <v>49</v>
      </c>
      <c r="B822" s="16">
        <v>437454.10856199998</v>
      </c>
      <c r="C822" s="16">
        <v>5688869.3324180003</v>
      </c>
      <c r="D822" s="31">
        <v>24</v>
      </c>
      <c r="E822" s="31" t="s">
        <v>33</v>
      </c>
      <c r="F822" s="31">
        <v>2012</v>
      </c>
      <c r="G822" s="16">
        <v>9.9099999999999994E-2</v>
      </c>
      <c r="H822" s="16">
        <v>2.4959967222229436E-2</v>
      </c>
      <c r="I822" s="16">
        <v>5.8700000000000002E-2</v>
      </c>
      <c r="J822" s="16">
        <v>2.7070545476435504E-2</v>
      </c>
      <c r="K822" s="16">
        <v>1.8800000000000001E-2</v>
      </c>
      <c r="L822" s="16">
        <v>7.1976783064642627E-3</v>
      </c>
      <c r="M822" s="16">
        <v>1.7762288915765173E-2</v>
      </c>
      <c r="N822" s="16">
        <v>2.1000000000000003E-3</v>
      </c>
      <c r="O822" s="16">
        <v>1.3434812419921875E-3</v>
      </c>
      <c r="P822" s="95"/>
    </row>
    <row r="823" spans="1:16" x14ac:dyDescent="0.25">
      <c r="A823" s="16">
        <v>50</v>
      </c>
      <c r="B823" s="16">
        <v>437811.10856199998</v>
      </c>
      <c r="C823" s="16">
        <v>5688869.3324180003</v>
      </c>
      <c r="D823" s="31">
        <v>24</v>
      </c>
      <c r="E823" s="31" t="s">
        <v>33</v>
      </c>
      <c r="F823" s="31">
        <v>2012</v>
      </c>
      <c r="G823" s="16">
        <v>1.0199999999999999E-2</v>
      </c>
      <c r="H823" s="16">
        <v>2.5690379986553001E-3</v>
      </c>
      <c r="I823" s="16">
        <v>0</v>
      </c>
      <c r="J823" s="16">
        <v>0</v>
      </c>
      <c r="K823" s="16">
        <v>8.0999999999999996E-3</v>
      </c>
      <c r="L823" s="16">
        <v>3.1011273554447088E-3</v>
      </c>
      <c r="M823" s="16">
        <v>-5.3208935678940869E-4</v>
      </c>
      <c r="N823" s="16">
        <v>0</v>
      </c>
      <c r="O823" s="16">
        <v>0</v>
      </c>
      <c r="P823" s="95"/>
    </row>
    <row r="824" spans="1:16" x14ac:dyDescent="0.25">
      <c r="A824" s="16">
        <v>51</v>
      </c>
      <c r="B824" s="16">
        <v>437930.10856199998</v>
      </c>
      <c r="C824" s="16">
        <v>5688869.3324180003</v>
      </c>
      <c r="D824" s="31">
        <v>24</v>
      </c>
      <c r="E824" s="31" t="s">
        <v>33</v>
      </c>
      <c r="F824" s="31">
        <v>2012</v>
      </c>
      <c r="G824" s="16">
        <v>0.2079</v>
      </c>
      <c r="H824" s="16">
        <v>5.2363039207885972E-2</v>
      </c>
      <c r="I824" s="16">
        <v>0</v>
      </c>
      <c r="J824" s="16">
        <v>0</v>
      </c>
      <c r="K824" s="16">
        <v>2.7399999999999997E-2</v>
      </c>
      <c r="L824" s="16">
        <v>1.0490233276442594E-2</v>
      </c>
      <c r="M824" s="16">
        <v>4.187280593144338E-2</v>
      </c>
      <c r="N824" s="16">
        <v>0</v>
      </c>
      <c r="O824" s="16">
        <v>0</v>
      </c>
      <c r="P824" s="95"/>
    </row>
    <row r="825" spans="1:16" x14ac:dyDescent="0.25">
      <c r="A825" s="16">
        <v>52</v>
      </c>
      <c r="B825" s="16">
        <v>438049.10856199998</v>
      </c>
      <c r="C825" s="16">
        <v>5688869.3324180003</v>
      </c>
      <c r="D825" s="31">
        <v>24</v>
      </c>
      <c r="E825" s="31" t="s">
        <v>33</v>
      </c>
      <c r="F825" s="31">
        <v>2012</v>
      </c>
      <c r="G825" s="16">
        <v>6.3299999999999995E-2</v>
      </c>
      <c r="H825" s="16">
        <v>1.5943147579890245E-2</v>
      </c>
      <c r="I825" s="16">
        <v>0</v>
      </c>
      <c r="J825" s="16">
        <v>0</v>
      </c>
      <c r="K825" s="16">
        <v>5.1299999999999998E-2</v>
      </c>
      <c r="L825" s="16">
        <v>1.9640473251149822E-2</v>
      </c>
      <c r="M825" s="16">
        <v>-3.697325671259577E-3</v>
      </c>
      <c r="N825" s="16">
        <v>6.9000000000000006E-2</v>
      </c>
      <c r="O825" s="16">
        <v>4.4142955094029018E-2</v>
      </c>
      <c r="P825" s="95"/>
    </row>
    <row r="826" spans="1:16" x14ac:dyDescent="0.25">
      <c r="A826" s="16">
        <v>53</v>
      </c>
      <c r="B826" s="16">
        <v>438287.10856199998</v>
      </c>
      <c r="C826" s="16">
        <v>5688869.3324180003</v>
      </c>
      <c r="D826" s="31">
        <v>25</v>
      </c>
      <c r="E826" s="31" t="s">
        <v>33</v>
      </c>
      <c r="F826" s="31">
        <v>2012</v>
      </c>
      <c r="G826" s="16">
        <v>2.4199999999999999E-2</v>
      </c>
      <c r="H826" s="16">
        <v>6.9736767743802256E-3</v>
      </c>
      <c r="I826" s="16">
        <v>0</v>
      </c>
      <c r="J826" s="16">
        <v>0</v>
      </c>
      <c r="K826" s="16">
        <v>2.41E-2</v>
      </c>
      <c r="L826" s="16">
        <v>9.2692363951794587E-3</v>
      </c>
      <c r="M826" s="16">
        <v>-2.2955596207992332E-3</v>
      </c>
      <c r="N826" s="16">
        <v>0</v>
      </c>
      <c r="O826" s="16">
        <v>0</v>
      </c>
      <c r="P826" s="95"/>
    </row>
    <row r="827" spans="1:16" x14ac:dyDescent="0.25">
      <c r="A827" s="16">
        <v>54</v>
      </c>
      <c r="B827" s="16">
        <v>437454.10856199998</v>
      </c>
      <c r="C827" s="16">
        <v>5688988.3324180003</v>
      </c>
      <c r="D827" s="31">
        <v>24</v>
      </c>
      <c r="E827" s="31" t="s">
        <v>33</v>
      </c>
      <c r="F827" s="31">
        <v>2012</v>
      </c>
      <c r="G827" s="16">
        <v>3.3100000000000004E-2</v>
      </c>
      <c r="H827" s="16">
        <v>8.3367801721069071E-3</v>
      </c>
      <c r="I827" s="16">
        <v>1.3300000000000001E-2</v>
      </c>
      <c r="J827" s="16">
        <v>6.1335307467903274E-3</v>
      </c>
      <c r="K827" s="16">
        <v>1.3599999999999999E-2</v>
      </c>
      <c r="L827" s="16">
        <v>5.2068311153145724E-3</v>
      </c>
      <c r="M827" s="16">
        <v>3.1299490567923346E-3</v>
      </c>
      <c r="N827" s="16">
        <v>1.54E-2</v>
      </c>
      <c r="O827" s="16">
        <v>9.8521957746093743E-3</v>
      </c>
      <c r="P827" s="95"/>
    </row>
    <row r="828" spans="1:16" x14ac:dyDescent="0.25">
      <c r="A828" s="16">
        <v>55</v>
      </c>
      <c r="B828" s="16">
        <v>438049.10856199998</v>
      </c>
      <c r="C828" s="16">
        <v>5688988.3324180003</v>
      </c>
      <c r="D828" s="31">
        <v>24</v>
      </c>
      <c r="E828" s="31" t="s">
        <v>33</v>
      </c>
      <c r="F828" s="31">
        <v>2012</v>
      </c>
      <c r="G828" s="16">
        <v>0.12229999999999999</v>
      </c>
      <c r="H828" s="16">
        <v>3.080326933681796E-2</v>
      </c>
      <c r="I828" s="16">
        <v>0</v>
      </c>
      <c r="J828" s="16">
        <v>0</v>
      </c>
      <c r="K828" s="16">
        <v>2.92E-2</v>
      </c>
      <c r="L828" s="16">
        <v>1.1179372688763642E-2</v>
      </c>
      <c r="M828" s="16">
        <v>1.962389664805432E-2</v>
      </c>
      <c r="N828" s="16">
        <v>0</v>
      </c>
      <c r="O828" s="16">
        <v>0</v>
      </c>
      <c r="P828" s="95"/>
    </row>
    <row r="829" spans="1:16" x14ac:dyDescent="0.25">
      <c r="A829" s="16">
        <v>56</v>
      </c>
      <c r="B829" s="16">
        <v>438168.10856199998</v>
      </c>
      <c r="C829" s="16">
        <v>5688988.3324180003</v>
      </c>
      <c r="D829" s="31">
        <v>24</v>
      </c>
      <c r="E829" s="31" t="s">
        <v>33</v>
      </c>
      <c r="F829" s="31">
        <v>2012</v>
      </c>
      <c r="G829" s="16">
        <v>1.3599999999999999E-2</v>
      </c>
      <c r="H829" s="16">
        <v>3.4253839982070666E-3</v>
      </c>
      <c r="I829" s="16">
        <v>0</v>
      </c>
      <c r="J829" s="16">
        <v>0</v>
      </c>
      <c r="K829" s="16">
        <v>3.8999999999999998E-3</v>
      </c>
      <c r="L829" s="16">
        <v>1.4931353933622671E-3</v>
      </c>
      <c r="M829" s="16">
        <v>1.9322486048447996E-3</v>
      </c>
      <c r="N829" s="16">
        <v>0</v>
      </c>
      <c r="O829" s="16">
        <v>0</v>
      </c>
      <c r="P829" s="95"/>
    </row>
    <row r="830" spans="1:16" x14ac:dyDescent="0.25">
      <c r="A830" s="36">
        <v>57</v>
      </c>
      <c r="B830" s="36">
        <v>438146</v>
      </c>
      <c r="C830" s="36">
        <v>5688977</v>
      </c>
      <c r="D830" s="99">
        <v>24</v>
      </c>
      <c r="E830" s="99" t="s">
        <v>33</v>
      </c>
      <c r="F830" s="99">
        <v>2012</v>
      </c>
      <c r="G830" s="36">
        <v>9.5599999999999991E-2</v>
      </c>
      <c r="H830" s="36">
        <v>2.4078434575632027E-2</v>
      </c>
      <c r="I830" s="36">
        <v>0</v>
      </c>
      <c r="J830" s="36">
        <v>0</v>
      </c>
      <c r="K830" s="36">
        <v>3.7899999999999996E-2</v>
      </c>
      <c r="L830" s="36">
        <v>1.4510213181648697E-2</v>
      </c>
      <c r="M830" s="36">
        <v>9.5682213939833304E-3</v>
      </c>
      <c r="N830" s="36">
        <v>0</v>
      </c>
      <c r="O830" s="36">
        <v>0</v>
      </c>
      <c r="P830" s="100"/>
    </row>
    <row r="831" spans="1:16" x14ac:dyDescent="0.25">
      <c r="A831" s="36">
        <v>58</v>
      </c>
      <c r="B831" s="36">
        <v>438131</v>
      </c>
      <c r="C831" s="36">
        <v>5688972</v>
      </c>
      <c r="D831" s="99">
        <v>24</v>
      </c>
      <c r="E831" s="99" t="s">
        <v>33</v>
      </c>
      <c r="F831" s="99">
        <v>2012</v>
      </c>
      <c r="G831" s="36">
        <v>0.12440000000000001</v>
      </c>
      <c r="H831" s="36">
        <v>3.1332188924776412E-2</v>
      </c>
      <c r="I831" s="36">
        <v>0</v>
      </c>
      <c r="J831" s="36">
        <v>0</v>
      </c>
      <c r="K831" s="36">
        <v>1.44E-2</v>
      </c>
      <c r="L831" s="36">
        <v>5.5131152985683713E-3</v>
      </c>
      <c r="M831" s="36">
        <v>2.5819073626208042E-2</v>
      </c>
      <c r="N831" s="36">
        <v>0</v>
      </c>
      <c r="O831" s="36">
        <v>0</v>
      </c>
      <c r="P831" s="100"/>
    </row>
    <row r="832" spans="1:16" x14ac:dyDescent="0.25">
      <c r="A832" s="36">
        <v>59</v>
      </c>
      <c r="B832" s="36">
        <v>438089</v>
      </c>
      <c r="C832" s="36">
        <v>5688713</v>
      </c>
      <c r="D832" s="99">
        <v>24</v>
      </c>
      <c r="E832" s="99" t="s">
        <v>33</v>
      </c>
      <c r="F832" s="99">
        <v>2012</v>
      </c>
      <c r="G832" s="36">
        <v>0.40410000000000001</v>
      </c>
      <c r="H832" s="36">
        <v>0.10177924071143205</v>
      </c>
      <c r="I832" s="36">
        <v>0</v>
      </c>
      <c r="J832" s="36">
        <v>0</v>
      </c>
      <c r="K832" s="36">
        <v>2.01E-2</v>
      </c>
      <c r="L832" s="36">
        <v>7.6953901042516844E-3</v>
      </c>
      <c r="M832" s="36">
        <v>9.4083850607180358E-2</v>
      </c>
      <c r="N832" s="36">
        <v>0</v>
      </c>
      <c r="O832" s="36">
        <v>0</v>
      </c>
      <c r="P832" s="100"/>
    </row>
    <row r="833" spans="1:19" x14ac:dyDescent="0.25">
      <c r="A833" s="36">
        <v>60</v>
      </c>
      <c r="B833" s="36">
        <v>438099</v>
      </c>
      <c r="C833" s="36">
        <v>5688719</v>
      </c>
      <c r="D833" s="99">
        <v>24</v>
      </c>
      <c r="E833" s="99" t="s">
        <v>33</v>
      </c>
      <c r="F833" s="99">
        <v>2012</v>
      </c>
      <c r="G833" s="36">
        <v>5.1200000000000002E-2</v>
      </c>
      <c r="H833" s="36">
        <v>1.2895563287367783E-2</v>
      </c>
      <c r="I833" s="36">
        <v>0</v>
      </c>
      <c r="J833" s="36">
        <v>0</v>
      </c>
      <c r="K833" s="36">
        <v>5.3E-3</v>
      </c>
      <c r="L833" s="36">
        <v>2.0291327140564146E-3</v>
      </c>
      <c r="M833" s="36">
        <v>1.0866430573311369E-2</v>
      </c>
      <c r="N833" s="36">
        <v>0</v>
      </c>
      <c r="O833" s="36">
        <v>0</v>
      </c>
      <c r="P833" s="100"/>
    </row>
    <row r="834" spans="1:19" x14ac:dyDescent="0.25">
      <c r="A834" s="16">
        <v>1</v>
      </c>
      <c r="B834" s="16">
        <v>437930.10856199998</v>
      </c>
      <c r="C834" s="16">
        <v>5688036.3324180003</v>
      </c>
      <c r="D834" s="31">
        <v>8</v>
      </c>
      <c r="E834" s="31" t="s">
        <v>61</v>
      </c>
      <c r="F834" s="31">
        <v>2012</v>
      </c>
      <c r="G834" s="16">
        <v>3.0800000000000001E-2</v>
      </c>
      <c r="H834" s="16">
        <v>8.2629719344535137E-3</v>
      </c>
      <c r="I834" s="16">
        <v>0</v>
      </c>
      <c r="J834" s="16">
        <v>0</v>
      </c>
      <c r="K834" s="16">
        <v>1.8100000000000002E-2</v>
      </c>
      <c r="L834" s="16">
        <v>5.392108606027339E-3</v>
      </c>
      <c r="M834" s="16">
        <v>2.8708633284261747E-3</v>
      </c>
      <c r="N834" s="16">
        <v>0</v>
      </c>
      <c r="O834" s="16">
        <v>0</v>
      </c>
      <c r="P834" s="95"/>
      <c r="R834" s="5">
        <f>AVERAGE(M834:M893)</f>
        <v>2.09179347505235E-2</v>
      </c>
      <c r="S834" s="5">
        <f>AVERAGE(H834:H893)</f>
        <v>2.7224486016789232E-2</v>
      </c>
    </row>
    <row r="835" spans="1:19" x14ac:dyDescent="0.25">
      <c r="A835" s="16">
        <v>2</v>
      </c>
      <c r="B835" s="16">
        <v>437811.10856199998</v>
      </c>
      <c r="C835" s="16">
        <v>5688155.3324180003</v>
      </c>
      <c r="D835" s="31">
        <v>8</v>
      </c>
      <c r="E835" s="31" t="s">
        <v>61</v>
      </c>
      <c r="F835" s="31">
        <v>2012</v>
      </c>
      <c r="G835" s="16">
        <v>0.12990000000000002</v>
      </c>
      <c r="H835" s="16">
        <v>3.4849352411867256E-2</v>
      </c>
      <c r="I835" s="16">
        <v>0</v>
      </c>
      <c r="J835" s="16">
        <v>0</v>
      </c>
      <c r="K835" s="16">
        <v>1.8800000000000001E-2</v>
      </c>
      <c r="L835" s="16">
        <v>5.6006431930007722E-3</v>
      </c>
      <c r="M835" s="16">
        <v>2.9248709218866485E-2</v>
      </c>
      <c r="N835" s="16">
        <v>0</v>
      </c>
      <c r="O835" s="16">
        <v>0</v>
      </c>
      <c r="P835" s="95"/>
    </row>
    <row r="836" spans="1:19" x14ac:dyDescent="0.25">
      <c r="A836" s="16">
        <v>3</v>
      </c>
      <c r="B836" s="16">
        <v>437930.10856199998</v>
      </c>
      <c r="C836" s="16">
        <v>5688155.3324180003</v>
      </c>
      <c r="D836" s="31">
        <v>8</v>
      </c>
      <c r="E836" s="31" t="s">
        <v>61</v>
      </c>
      <c r="F836" s="31">
        <v>2012</v>
      </c>
      <c r="G836" s="16">
        <v>0.1055</v>
      </c>
      <c r="H836" s="16">
        <v>2.8303361658598883E-2</v>
      </c>
      <c r="I836" s="16">
        <v>1.24E-2</v>
      </c>
      <c r="J836" s="16">
        <v>3.876082479431664E-3</v>
      </c>
      <c r="K836" s="16">
        <v>2.0500000000000001E-2</v>
      </c>
      <c r="L836" s="16">
        <v>6.1070843327933949E-3</v>
      </c>
      <c r="M836" s="16">
        <v>2.2196277325805487E-2</v>
      </c>
      <c r="N836" s="16">
        <v>3.1399999999999997E-2</v>
      </c>
      <c r="O836" s="16">
        <v>1.3199219853102592E-2</v>
      </c>
      <c r="P836" s="95"/>
    </row>
    <row r="837" spans="1:19" x14ac:dyDescent="0.25">
      <c r="A837" s="16">
        <v>4</v>
      </c>
      <c r="B837" s="16">
        <v>438049.10856199998</v>
      </c>
      <c r="C837" s="16">
        <v>5688155.3324180003</v>
      </c>
      <c r="D837" s="31">
        <v>8</v>
      </c>
      <c r="E837" s="31" t="s">
        <v>61</v>
      </c>
      <c r="F837" s="31">
        <v>2012</v>
      </c>
      <c r="G837" s="16">
        <v>7.6E-3</v>
      </c>
      <c r="H837" s="16">
        <v>2.0389151526573604E-3</v>
      </c>
      <c r="I837" s="16">
        <v>0</v>
      </c>
      <c r="J837" s="16">
        <v>0</v>
      </c>
      <c r="K837" s="16">
        <v>1.9E-3</v>
      </c>
      <c r="L837" s="16">
        <v>5.6602245035646101E-4</v>
      </c>
      <c r="M837" s="16">
        <v>1.4728927023008992E-3</v>
      </c>
      <c r="N837" s="16">
        <v>0</v>
      </c>
      <c r="O837" s="16">
        <v>0</v>
      </c>
      <c r="P837" s="95"/>
    </row>
    <row r="838" spans="1:19" x14ac:dyDescent="0.25">
      <c r="A838" s="16">
        <v>5</v>
      </c>
      <c r="B838" s="16">
        <v>437573.10856199998</v>
      </c>
      <c r="C838" s="16">
        <v>5688274.3324180003</v>
      </c>
      <c r="D838" s="31">
        <v>8</v>
      </c>
      <c r="E838" s="31" t="s">
        <v>61</v>
      </c>
      <c r="F838" s="31">
        <v>2012</v>
      </c>
      <c r="G838" s="16">
        <v>9.4500000000000001E-2</v>
      </c>
      <c r="H838" s="16">
        <v>2.5352300253436915E-2</v>
      </c>
      <c r="I838" s="16">
        <v>0.17100000000000001</v>
      </c>
      <c r="J838" s="16">
        <v>5.3452427740549563E-2</v>
      </c>
      <c r="K838" s="16">
        <v>3.9100000000000003E-2</v>
      </c>
      <c r="L838" s="16">
        <v>1.164814621523033E-2</v>
      </c>
      <c r="M838" s="16">
        <v>1.3704154038206585E-2</v>
      </c>
      <c r="N838" s="16">
        <v>8.5000000000000006E-3</v>
      </c>
      <c r="O838" s="16">
        <v>3.5730372213812756E-3</v>
      </c>
      <c r="P838" s="95"/>
    </row>
    <row r="839" spans="1:19" x14ac:dyDescent="0.25">
      <c r="A839" s="16">
        <v>6</v>
      </c>
      <c r="B839" s="16">
        <v>437692.10856199998</v>
      </c>
      <c r="C839" s="16">
        <v>5688274.3324180003</v>
      </c>
      <c r="D839" s="31">
        <v>8</v>
      </c>
      <c r="E839" s="31" t="s">
        <v>61</v>
      </c>
      <c r="F839" s="31">
        <v>2012</v>
      </c>
      <c r="G839" s="16">
        <v>2.1700000000000001E-2</v>
      </c>
      <c r="H839" s="16">
        <v>5.8216393174558845E-3</v>
      </c>
      <c r="I839" s="16">
        <v>6.1399999999999996E-2</v>
      </c>
      <c r="J839" s="16">
        <v>1.9192860019121304E-2</v>
      </c>
      <c r="K839" s="16">
        <v>0</v>
      </c>
      <c r="L839" s="16">
        <v>0</v>
      </c>
      <c r="M839" s="16">
        <v>5.8216393174558845E-3</v>
      </c>
      <c r="N839" s="16">
        <v>1.0999999999999999E-2</v>
      </c>
      <c r="O839" s="16">
        <v>4.6239305217875325E-3</v>
      </c>
      <c r="P839" s="95"/>
    </row>
    <row r="840" spans="1:19" x14ac:dyDescent="0.25">
      <c r="A840" s="16">
        <v>7</v>
      </c>
      <c r="B840" s="16">
        <v>437811.10856199998</v>
      </c>
      <c r="C840" s="16">
        <v>5688274.3324180003</v>
      </c>
      <c r="D840" s="31">
        <v>8</v>
      </c>
      <c r="E840" s="31" t="s">
        <v>61</v>
      </c>
      <c r="F840" s="31">
        <v>2012</v>
      </c>
      <c r="G840" s="16">
        <v>1.43E-2</v>
      </c>
      <c r="H840" s="16">
        <v>3.8363798267105598E-3</v>
      </c>
      <c r="I840" s="16">
        <v>0.2898</v>
      </c>
      <c r="J840" s="16">
        <v>9.0587798591878724E-2</v>
      </c>
      <c r="K840" s="16">
        <v>7.7999999999999996E-3</v>
      </c>
      <c r="L840" s="16">
        <v>2.3236711119896817E-3</v>
      </c>
      <c r="M840" s="16">
        <v>1.5127087147208782E-3</v>
      </c>
      <c r="N840" s="16">
        <v>2.5100000000000001E-2</v>
      </c>
      <c r="O840" s="16">
        <v>1.0550968736078825E-2</v>
      </c>
      <c r="P840" s="95"/>
    </row>
    <row r="841" spans="1:19" x14ac:dyDescent="0.25">
      <c r="A841" s="16">
        <v>8</v>
      </c>
      <c r="B841" s="16">
        <v>437930.10856199998</v>
      </c>
      <c r="C841" s="16">
        <v>5688274.3324180003</v>
      </c>
      <c r="D841" s="31">
        <v>8</v>
      </c>
      <c r="E841" s="31" t="s">
        <v>61</v>
      </c>
      <c r="F841" s="31">
        <v>2012</v>
      </c>
      <c r="G841" s="16">
        <v>5.9299999999999999E-2</v>
      </c>
      <c r="H841" s="16">
        <v>1.5908903756918613E-2</v>
      </c>
      <c r="I841" s="16">
        <v>0</v>
      </c>
      <c r="J841" s="16">
        <v>0</v>
      </c>
      <c r="K841" s="16">
        <v>3.0699999999999998E-2</v>
      </c>
      <c r="L841" s="16">
        <v>9.1457311715491315E-3</v>
      </c>
      <c r="M841" s="16">
        <v>6.7631725853694816E-3</v>
      </c>
      <c r="N841" s="16">
        <v>0</v>
      </c>
      <c r="O841" s="16">
        <v>0</v>
      </c>
      <c r="P841" s="95"/>
    </row>
    <row r="842" spans="1:19" x14ac:dyDescent="0.25">
      <c r="A842" s="16">
        <v>9</v>
      </c>
      <c r="B842" s="16">
        <v>438287.10856199998</v>
      </c>
      <c r="C842" s="16">
        <v>5688274.3324180003</v>
      </c>
      <c r="D842" s="31">
        <v>8</v>
      </c>
      <c r="E842" s="31" t="s">
        <v>61</v>
      </c>
      <c r="F842" s="31">
        <v>2012</v>
      </c>
      <c r="G842" s="16">
        <v>0.1067</v>
      </c>
      <c r="H842" s="16">
        <v>2.8625295630071101E-2</v>
      </c>
      <c r="I842" s="16">
        <v>0</v>
      </c>
      <c r="J842" s="16">
        <v>0</v>
      </c>
      <c r="K842" s="16">
        <v>2.8000000000000001E-2</v>
      </c>
      <c r="L842" s="16">
        <v>8.3413834789373194E-3</v>
      </c>
      <c r="M842" s="16">
        <v>2.028391215113378E-2</v>
      </c>
      <c r="N842" s="16">
        <v>0</v>
      </c>
      <c r="O842" s="16">
        <v>0</v>
      </c>
      <c r="P842" s="95"/>
    </row>
    <row r="843" spans="1:19" x14ac:dyDescent="0.25">
      <c r="A843" s="16">
        <v>10</v>
      </c>
      <c r="B843" s="16">
        <v>438406.10856199998</v>
      </c>
      <c r="C843" s="16">
        <v>5688274.3324180003</v>
      </c>
      <c r="D843" s="31">
        <v>8</v>
      </c>
      <c r="E843" s="31" t="s">
        <v>61</v>
      </c>
      <c r="F843" s="31">
        <v>2012</v>
      </c>
      <c r="G843" s="16">
        <v>0.11020000000000001</v>
      </c>
      <c r="H843" s="16">
        <v>2.9564269713531727E-2</v>
      </c>
      <c r="I843" s="16">
        <v>0</v>
      </c>
      <c r="J843" s="16">
        <v>0</v>
      </c>
      <c r="K843" s="16">
        <v>1.15E-2</v>
      </c>
      <c r="L843" s="16">
        <v>3.4259253574206849E-3</v>
      </c>
      <c r="M843" s="16">
        <v>2.6138344356111044E-2</v>
      </c>
      <c r="N843" s="16">
        <v>0</v>
      </c>
      <c r="O843" s="16">
        <v>0</v>
      </c>
      <c r="P843" s="95"/>
    </row>
    <row r="844" spans="1:19" x14ac:dyDescent="0.25">
      <c r="A844" s="16">
        <v>11</v>
      </c>
      <c r="B844" s="16">
        <v>437454.10856199998</v>
      </c>
      <c r="C844" s="16">
        <v>5688393.3324180003</v>
      </c>
      <c r="D844" s="31">
        <v>8</v>
      </c>
      <c r="E844" s="31" t="s">
        <v>61</v>
      </c>
      <c r="F844" s="31">
        <v>2012</v>
      </c>
      <c r="G844" s="16">
        <v>0.13190000000000002</v>
      </c>
      <c r="H844" s="16">
        <v>3.5385909030987615E-2</v>
      </c>
      <c r="I844" s="16">
        <v>0.1668</v>
      </c>
      <c r="J844" s="16">
        <v>5.2139561094290451E-2</v>
      </c>
      <c r="K844" s="16">
        <v>5.5200000000000006E-2</v>
      </c>
      <c r="L844" s="16">
        <v>1.644444171561929E-2</v>
      </c>
      <c r="M844" s="16">
        <v>1.8941467315368325E-2</v>
      </c>
      <c r="N844" s="16">
        <v>1.55E-2</v>
      </c>
      <c r="O844" s="16">
        <v>6.5155384625187962E-3</v>
      </c>
      <c r="P844" s="95"/>
    </row>
    <row r="845" spans="1:19" x14ac:dyDescent="0.25">
      <c r="A845" s="16">
        <v>12</v>
      </c>
      <c r="B845" s="16">
        <v>437573.10856199998</v>
      </c>
      <c r="C845" s="16">
        <v>5688393.3324180003</v>
      </c>
      <c r="D845" s="31">
        <v>8</v>
      </c>
      <c r="E845" s="31" t="s">
        <v>61</v>
      </c>
      <c r="F845" s="31">
        <v>2012</v>
      </c>
      <c r="G845" s="16">
        <v>0.15319999999999998</v>
      </c>
      <c r="H845" s="16">
        <v>4.1100237024619415E-2</v>
      </c>
      <c r="I845" s="16">
        <v>8.1299999999999997E-2</v>
      </c>
      <c r="J845" s="16">
        <v>2.5413347224015666E-2</v>
      </c>
      <c r="K845" s="16">
        <v>7.0999999999999995E-3</v>
      </c>
      <c r="L845" s="16">
        <v>2.1151365250162489E-3</v>
      </c>
      <c r="M845" s="16">
        <v>3.8985100499603166E-2</v>
      </c>
      <c r="N845" s="16">
        <v>0.01</v>
      </c>
      <c r="O845" s="16">
        <v>4.2035732016250304E-3</v>
      </c>
      <c r="P845" s="95"/>
    </row>
    <row r="846" spans="1:19" x14ac:dyDescent="0.25">
      <c r="A846" s="16">
        <v>13</v>
      </c>
      <c r="B846" s="16">
        <v>437692.10856199998</v>
      </c>
      <c r="C846" s="16">
        <v>5688393.3324180003</v>
      </c>
      <c r="D846" s="31">
        <v>8</v>
      </c>
      <c r="E846" s="31" t="s">
        <v>61</v>
      </c>
      <c r="F846" s="31">
        <v>2012</v>
      </c>
      <c r="G846" s="16">
        <v>7.2599999999999998E-2</v>
      </c>
      <c r="H846" s="16">
        <v>1.9477005274068995E-2</v>
      </c>
      <c r="I846" s="16">
        <v>0.14980000000000002</v>
      </c>
      <c r="J846" s="16">
        <v>4.6825577049908335E-2</v>
      </c>
      <c r="K846" s="16">
        <v>7.4999999999999997E-3</v>
      </c>
      <c r="L846" s="16">
        <v>2.234299146143925E-3</v>
      </c>
      <c r="M846" s="16">
        <v>1.724270612792507E-2</v>
      </c>
      <c r="N846" s="16">
        <v>4.58E-2</v>
      </c>
      <c r="O846" s="16">
        <v>1.9252365263442636E-2</v>
      </c>
      <c r="P846" s="95"/>
    </row>
    <row r="847" spans="1:19" x14ac:dyDescent="0.25">
      <c r="A847" s="35">
        <v>14</v>
      </c>
      <c r="B847" s="35">
        <v>437811.10856199998</v>
      </c>
      <c r="C847" s="35">
        <v>5688393.3324180003</v>
      </c>
      <c r="D847" s="96">
        <v>8</v>
      </c>
      <c r="E847" s="96" t="s">
        <v>61</v>
      </c>
      <c r="F847" s="96">
        <v>2012</v>
      </c>
      <c r="G847" s="96" t="s">
        <v>18</v>
      </c>
      <c r="H847" s="96" t="s">
        <v>18</v>
      </c>
      <c r="I847" s="96" t="s">
        <v>18</v>
      </c>
      <c r="J847" s="96" t="s">
        <v>18</v>
      </c>
      <c r="K847" s="96" t="s">
        <v>18</v>
      </c>
      <c r="L847" s="96" t="s">
        <v>18</v>
      </c>
      <c r="M847" s="96" t="s">
        <v>18</v>
      </c>
      <c r="N847" s="96" t="s">
        <v>18</v>
      </c>
      <c r="O847" s="96" t="s">
        <v>18</v>
      </c>
      <c r="P847" s="94" t="s">
        <v>21</v>
      </c>
    </row>
    <row r="848" spans="1:19" x14ac:dyDescent="0.25">
      <c r="A848" s="16">
        <v>15</v>
      </c>
      <c r="B848" s="16">
        <v>437930.10856199998</v>
      </c>
      <c r="C848" s="16">
        <v>5688393.3324180003</v>
      </c>
      <c r="D848" s="31">
        <v>8</v>
      </c>
      <c r="E848" s="31" t="s">
        <v>61</v>
      </c>
      <c r="F848" s="31">
        <v>2012</v>
      </c>
      <c r="G848" s="16">
        <v>0.2361</v>
      </c>
      <c r="H848" s="16">
        <v>6.3340508887158267E-2</v>
      </c>
      <c r="I848" s="16">
        <v>5.6500000000000002E-2</v>
      </c>
      <c r="J848" s="16">
        <v>1.7661182265152342E-2</v>
      </c>
      <c r="K848" s="16">
        <v>1.8499999999999999E-2</v>
      </c>
      <c r="L848" s="16">
        <v>5.5112712271550143E-3</v>
      </c>
      <c r="M848" s="16">
        <v>5.7829237660003252E-2</v>
      </c>
      <c r="N848" s="16">
        <v>4.9000000000000007E-3</v>
      </c>
      <c r="O848" s="16">
        <v>2.0597508687962649E-3</v>
      </c>
      <c r="P848" s="95"/>
    </row>
    <row r="849" spans="1:16" x14ac:dyDescent="0.25">
      <c r="A849" s="16">
        <v>16</v>
      </c>
      <c r="B849" s="16">
        <v>438049.10856199998</v>
      </c>
      <c r="C849" s="16">
        <v>5688393.3324180003</v>
      </c>
      <c r="D849" s="31">
        <v>8</v>
      </c>
      <c r="E849" s="31" t="s">
        <v>61</v>
      </c>
      <c r="F849" s="31">
        <v>2012</v>
      </c>
      <c r="G849" s="16">
        <v>2.69E-2</v>
      </c>
      <c r="H849" s="16">
        <v>7.2166865271688155E-3</v>
      </c>
      <c r="I849" s="16">
        <v>4.4000000000000003E-3</v>
      </c>
      <c r="J849" s="16">
        <v>1.3753841056047841E-3</v>
      </c>
      <c r="K849" s="16">
        <v>8.0000000000000002E-3</v>
      </c>
      <c r="L849" s="16">
        <v>2.3832524225535197E-3</v>
      </c>
      <c r="M849" s="16">
        <v>4.8334341046152958E-3</v>
      </c>
      <c r="N849" s="16">
        <v>5.8299999999999998E-2</v>
      </c>
      <c r="O849" s="16">
        <v>2.4506831765473924E-2</v>
      </c>
      <c r="P849" s="95"/>
    </row>
    <row r="850" spans="1:16" x14ac:dyDescent="0.25">
      <c r="A850" s="16">
        <v>17</v>
      </c>
      <c r="B850" s="16">
        <v>438168.10856199998</v>
      </c>
      <c r="C850" s="16">
        <v>5688393.3324180003</v>
      </c>
      <c r="D850" s="31">
        <v>8</v>
      </c>
      <c r="E850" s="31" t="s">
        <v>61</v>
      </c>
      <c r="F850" s="31">
        <v>2012</v>
      </c>
      <c r="G850" s="16">
        <v>0.18009999999999998</v>
      </c>
      <c r="H850" s="16">
        <v>4.8316923551788238E-2</v>
      </c>
      <c r="I850" s="16">
        <v>0.15140000000000001</v>
      </c>
      <c r="J850" s="16">
        <v>4.7325716724673707E-2</v>
      </c>
      <c r="K850" s="16">
        <v>3.9E-2</v>
      </c>
      <c r="L850" s="16">
        <v>1.1618355559948409E-2</v>
      </c>
      <c r="M850" s="16">
        <v>3.6698567991839827E-2</v>
      </c>
      <c r="N850" s="16">
        <v>3.5000000000000001E-3</v>
      </c>
      <c r="O850" s="16">
        <v>1.4712506205687606E-3</v>
      </c>
      <c r="P850" s="95"/>
    </row>
    <row r="851" spans="1:16" x14ac:dyDescent="0.25">
      <c r="A851" s="16">
        <v>18</v>
      </c>
      <c r="B851" s="16">
        <v>438287.10856199998</v>
      </c>
      <c r="C851" s="16">
        <v>5688393.3324180003</v>
      </c>
      <c r="D851" s="31">
        <v>8</v>
      </c>
      <c r="E851" s="31" t="s">
        <v>61</v>
      </c>
      <c r="F851" s="31">
        <v>2012</v>
      </c>
      <c r="G851" s="16">
        <v>0.1012</v>
      </c>
      <c r="H851" s="16">
        <v>2.7149764927490116E-2</v>
      </c>
      <c r="I851" s="16">
        <v>0</v>
      </c>
      <c r="J851" s="16">
        <v>0</v>
      </c>
      <c r="K851" s="16">
        <v>2.4300000000000002E-2</v>
      </c>
      <c r="L851" s="16">
        <v>7.2391292335063171E-3</v>
      </c>
      <c r="M851" s="16">
        <v>1.9910635693983797E-2</v>
      </c>
      <c r="N851" s="16">
        <v>0</v>
      </c>
      <c r="O851" s="16">
        <v>0</v>
      </c>
      <c r="P851" s="95"/>
    </row>
    <row r="852" spans="1:16" x14ac:dyDescent="0.25">
      <c r="A852" s="16">
        <v>19</v>
      </c>
      <c r="B852" s="16">
        <v>438406.10856199998</v>
      </c>
      <c r="C852" s="16">
        <v>5688393.3324180003</v>
      </c>
      <c r="D852" s="31">
        <v>8</v>
      </c>
      <c r="E852" s="31" t="s">
        <v>61</v>
      </c>
      <c r="F852" s="31">
        <v>2012</v>
      </c>
      <c r="G852" s="16">
        <v>9.5400000000000013E-2</v>
      </c>
      <c r="H852" s="16">
        <v>2.5593750732041079E-2</v>
      </c>
      <c r="I852" s="16">
        <v>0</v>
      </c>
      <c r="J852" s="16">
        <v>0</v>
      </c>
      <c r="K852" s="16">
        <v>2.0300000000000002E-2</v>
      </c>
      <c r="L852" s="16">
        <v>6.0475030222295577E-3</v>
      </c>
      <c r="M852" s="16">
        <v>1.9546247709811521E-2</v>
      </c>
      <c r="N852" s="16">
        <v>0</v>
      </c>
      <c r="O852" s="16">
        <v>0</v>
      </c>
      <c r="P852" s="95"/>
    </row>
    <row r="853" spans="1:16" x14ac:dyDescent="0.25">
      <c r="A853" s="16">
        <v>20</v>
      </c>
      <c r="B853" s="16">
        <v>437335.10856199998</v>
      </c>
      <c r="C853" s="16">
        <v>5688512.3324180003</v>
      </c>
      <c r="D853" s="31">
        <v>8</v>
      </c>
      <c r="E853" s="31" t="s">
        <v>61</v>
      </c>
      <c r="F853" s="31">
        <v>2012</v>
      </c>
      <c r="G853" s="31" t="s">
        <v>18</v>
      </c>
      <c r="H853" s="31" t="s">
        <v>18</v>
      </c>
      <c r="I853" s="31" t="s">
        <v>18</v>
      </c>
      <c r="J853" s="31" t="s">
        <v>18</v>
      </c>
      <c r="K853" s="16">
        <v>1.77E-2</v>
      </c>
      <c r="L853" s="16">
        <v>5.2729459848996629E-3</v>
      </c>
      <c r="M853" s="31" t="s">
        <v>18</v>
      </c>
      <c r="N853" s="16">
        <v>3.32E-2</v>
      </c>
      <c r="O853" s="16">
        <v>1.39558630293951E-2</v>
      </c>
      <c r="P853" s="95" t="s">
        <v>93</v>
      </c>
    </row>
    <row r="854" spans="1:16" x14ac:dyDescent="0.25">
      <c r="A854" s="16">
        <v>21</v>
      </c>
      <c r="B854" s="16">
        <v>437454.10856199998</v>
      </c>
      <c r="C854" s="16">
        <v>5688512.3324180003</v>
      </c>
      <c r="D854" s="31">
        <v>8</v>
      </c>
      <c r="E854" s="31" t="s">
        <v>61</v>
      </c>
      <c r="F854" s="31">
        <v>2012</v>
      </c>
      <c r="G854" s="16">
        <v>2.46E-2</v>
      </c>
      <c r="H854" s="16">
        <v>6.5996464151804038E-3</v>
      </c>
      <c r="I854" s="16">
        <v>0</v>
      </c>
      <c r="J854" s="16">
        <v>0</v>
      </c>
      <c r="K854" s="16">
        <v>1.9399999999999997E-2</v>
      </c>
      <c r="L854" s="16">
        <v>5.7793871246922847E-3</v>
      </c>
      <c r="M854" s="16">
        <v>8.2025929048811907E-4</v>
      </c>
      <c r="N854" s="16">
        <v>0</v>
      </c>
      <c r="O854" s="16">
        <v>0</v>
      </c>
      <c r="P854" s="95"/>
    </row>
    <row r="855" spans="1:16" x14ac:dyDescent="0.25">
      <c r="A855" s="16">
        <v>22</v>
      </c>
      <c r="B855" s="16">
        <v>437573.10856199998</v>
      </c>
      <c r="C855" s="16">
        <v>5688512.3324180003</v>
      </c>
      <c r="D855" s="31">
        <v>8</v>
      </c>
      <c r="E855" s="31" t="s">
        <v>61</v>
      </c>
      <c r="F855" s="31">
        <v>2012</v>
      </c>
      <c r="G855" s="16">
        <v>0.22469999999999998</v>
      </c>
      <c r="H855" s="16">
        <v>6.0282136158172218E-2</v>
      </c>
      <c r="I855" s="16">
        <v>0.38939999999999997</v>
      </c>
      <c r="J855" s="16">
        <v>0.12172149334602338</v>
      </c>
      <c r="K855" s="16">
        <v>5.0999999999999997E-2</v>
      </c>
      <c r="L855" s="16">
        <v>1.5193234193778687E-2</v>
      </c>
      <c r="M855" s="16">
        <v>4.5088901964393531E-2</v>
      </c>
      <c r="N855" s="16">
        <v>2.1399999999999999E-2</v>
      </c>
      <c r="O855" s="16">
        <v>8.9956466514775641E-3</v>
      </c>
      <c r="P855" s="95"/>
    </row>
    <row r="856" spans="1:16" x14ac:dyDescent="0.25">
      <c r="A856" s="16">
        <v>23</v>
      </c>
      <c r="B856" s="16">
        <v>437692.10856199998</v>
      </c>
      <c r="C856" s="16">
        <v>5688512.3324180003</v>
      </c>
      <c r="D856" s="31">
        <v>8</v>
      </c>
      <c r="E856" s="31" t="s">
        <v>61</v>
      </c>
      <c r="F856" s="31">
        <v>2012</v>
      </c>
      <c r="G856" s="16">
        <v>3.0600000000000002E-2</v>
      </c>
      <c r="H856" s="16">
        <v>8.2093162725414785E-3</v>
      </c>
      <c r="I856" s="16">
        <v>0.12190000000000001</v>
      </c>
      <c r="J856" s="16">
        <v>3.8104391471187084E-2</v>
      </c>
      <c r="K856" s="16">
        <v>1.5099999999999999E-2</v>
      </c>
      <c r="L856" s="16">
        <v>4.4983889475697682E-3</v>
      </c>
      <c r="M856" s="16">
        <v>3.7109273249717103E-3</v>
      </c>
      <c r="N856" s="16">
        <v>7.1999999999999998E-3</v>
      </c>
      <c r="O856" s="16">
        <v>3.0265727051700213E-3</v>
      </c>
      <c r="P856" s="95"/>
    </row>
    <row r="857" spans="1:16" x14ac:dyDescent="0.25">
      <c r="A857" s="16">
        <v>24</v>
      </c>
      <c r="B857" s="16">
        <v>437811.10856199998</v>
      </c>
      <c r="C857" s="16">
        <v>5688512.3324180003</v>
      </c>
      <c r="D857" s="31">
        <v>8</v>
      </c>
      <c r="E857" s="31" t="s">
        <v>61</v>
      </c>
      <c r="F857" s="31">
        <v>2012</v>
      </c>
      <c r="G857" s="16">
        <v>7.5299999999999992E-2</v>
      </c>
      <c r="H857" s="16">
        <v>2.0201356709881477E-2</v>
      </c>
      <c r="I857" s="16">
        <v>0</v>
      </c>
      <c r="J857" s="16">
        <v>0</v>
      </c>
      <c r="K857" s="16">
        <v>2.6600000000000002E-2</v>
      </c>
      <c r="L857" s="16">
        <v>7.9243143049904548E-3</v>
      </c>
      <c r="M857" s="16">
        <v>1.2277042404891022E-2</v>
      </c>
      <c r="N857" s="16">
        <v>0</v>
      </c>
      <c r="O857" s="16">
        <v>0</v>
      </c>
      <c r="P857" s="95"/>
    </row>
    <row r="858" spans="1:16" x14ac:dyDescent="0.25">
      <c r="A858" s="16">
        <v>25</v>
      </c>
      <c r="B858" s="16">
        <v>437995</v>
      </c>
      <c r="C858" s="16">
        <v>5688493</v>
      </c>
      <c r="D858" s="31">
        <v>8</v>
      </c>
      <c r="E858" s="31" t="s">
        <v>61</v>
      </c>
      <c r="F858" s="31">
        <v>2012</v>
      </c>
      <c r="G858" s="16">
        <v>9.64E-2</v>
      </c>
      <c r="H858" s="16">
        <v>2.5862029041601255E-2</v>
      </c>
      <c r="I858" s="16">
        <v>0</v>
      </c>
      <c r="J858" s="16">
        <v>0</v>
      </c>
      <c r="K858" s="16">
        <v>2.5399999999999999E-2</v>
      </c>
      <c r="L858" s="16">
        <v>7.5668264416074256E-3</v>
      </c>
      <c r="M858" s="16">
        <v>1.8295202599993829E-2</v>
      </c>
      <c r="N858" s="16">
        <v>2.75E-2</v>
      </c>
      <c r="O858" s="16">
        <v>1.1559826304468833E-2</v>
      </c>
      <c r="P858" s="95"/>
    </row>
    <row r="859" spans="1:16" x14ac:dyDescent="0.25">
      <c r="A859" s="16">
        <v>26</v>
      </c>
      <c r="B859" s="16">
        <v>438112</v>
      </c>
      <c r="C859" s="16">
        <v>5688567</v>
      </c>
      <c r="D859" s="31">
        <v>8</v>
      </c>
      <c r="E859" s="31" t="s">
        <v>61</v>
      </c>
      <c r="F859" s="31">
        <v>2012</v>
      </c>
      <c r="G859" s="16">
        <v>0.1171</v>
      </c>
      <c r="H859" s="16">
        <v>3.1415390049496963E-2</v>
      </c>
      <c r="I859" s="16">
        <v>0</v>
      </c>
      <c r="J859" s="16">
        <v>0</v>
      </c>
      <c r="K859" s="16">
        <v>3.49E-2</v>
      </c>
      <c r="L859" s="16">
        <v>1.0396938693389731E-2</v>
      </c>
      <c r="M859" s="16">
        <v>2.1018451356107234E-2</v>
      </c>
      <c r="N859" s="16">
        <v>0</v>
      </c>
      <c r="O859" s="16">
        <v>0</v>
      </c>
      <c r="P859" s="95"/>
    </row>
    <row r="860" spans="1:16" x14ac:dyDescent="0.25">
      <c r="A860" s="35">
        <v>27</v>
      </c>
      <c r="B860" s="35">
        <v>438168.10856199998</v>
      </c>
      <c r="C860" s="35">
        <v>5688512.3324180003</v>
      </c>
      <c r="D860" s="96">
        <v>8</v>
      </c>
      <c r="E860" s="96" t="s">
        <v>61</v>
      </c>
      <c r="F860" s="96">
        <v>2012</v>
      </c>
      <c r="G860" s="96" t="s">
        <v>18</v>
      </c>
      <c r="H860" s="96" t="s">
        <v>18</v>
      </c>
      <c r="I860" s="96" t="s">
        <v>18</v>
      </c>
      <c r="J860" s="96" t="s">
        <v>18</v>
      </c>
      <c r="K860" s="96" t="s">
        <v>18</v>
      </c>
      <c r="L860" s="96" t="s">
        <v>18</v>
      </c>
      <c r="M860" s="96" t="s">
        <v>18</v>
      </c>
      <c r="N860" s="96" t="s">
        <v>18</v>
      </c>
      <c r="O860" s="96" t="s">
        <v>18</v>
      </c>
      <c r="P860" s="94" t="s">
        <v>21</v>
      </c>
    </row>
    <row r="861" spans="1:16" x14ac:dyDescent="0.25">
      <c r="A861" s="35">
        <v>28</v>
      </c>
      <c r="B861" s="35">
        <v>438287.10856199998</v>
      </c>
      <c r="C861" s="35">
        <v>5688512.3324180003</v>
      </c>
      <c r="D861" s="96">
        <v>8</v>
      </c>
      <c r="E861" s="96" t="s">
        <v>61</v>
      </c>
      <c r="F861" s="96">
        <v>2012</v>
      </c>
      <c r="G861" s="96" t="s">
        <v>18</v>
      </c>
      <c r="H861" s="96" t="s">
        <v>18</v>
      </c>
      <c r="I861" s="96" t="s">
        <v>18</v>
      </c>
      <c r="J861" s="96" t="s">
        <v>18</v>
      </c>
      <c r="K861" s="96" t="s">
        <v>18</v>
      </c>
      <c r="L861" s="96" t="s">
        <v>18</v>
      </c>
      <c r="M861" s="96" t="s">
        <v>18</v>
      </c>
      <c r="N861" s="96" t="s">
        <v>18</v>
      </c>
      <c r="O861" s="96" t="s">
        <v>18</v>
      </c>
      <c r="P861" s="94" t="s">
        <v>21</v>
      </c>
    </row>
    <row r="862" spans="1:16" x14ac:dyDescent="0.25">
      <c r="A862" s="16">
        <v>29</v>
      </c>
      <c r="B862" s="16">
        <v>438381</v>
      </c>
      <c r="C862" s="16">
        <v>5688526</v>
      </c>
      <c r="D862" s="31">
        <v>7</v>
      </c>
      <c r="E862" s="31" t="s">
        <v>61</v>
      </c>
      <c r="F862" s="31">
        <v>2012</v>
      </c>
      <c r="G862" s="16">
        <v>0.20280000000000001</v>
      </c>
      <c r="H862" s="16">
        <v>4.1968236135543728E-2</v>
      </c>
      <c r="I862" s="16">
        <v>0</v>
      </c>
      <c r="J862" s="16">
        <v>0</v>
      </c>
      <c r="K862" s="16">
        <v>0.1103</v>
      </c>
      <c r="L862" s="16">
        <v>3.0087223673822949E-2</v>
      </c>
      <c r="M862" s="16">
        <v>1.1881012461720779E-2</v>
      </c>
      <c r="N862" s="16">
        <v>0</v>
      </c>
      <c r="O862" s="16">
        <v>0</v>
      </c>
      <c r="P862" s="95"/>
    </row>
    <row r="863" spans="1:16" x14ac:dyDescent="0.25">
      <c r="A863" s="16">
        <v>30</v>
      </c>
      <c r="B863" s="16">
        <v>438525.10856199998</v>
      </c>
      <c r="C863" s="16">
        <v>5688512.3324180003</v>
      </c>
      <c r="D863" s="31">
        <v>7</v>
      </c>
      <c r="E863" s="31" t="s">
        <v>61</v>
      </c>
      <c r="F863" s="31">
        <v>2012</v>
      </c>
      <c r="G863" s="16">
        <v>3.5999999999999997E-2</v>
      </c>
      <c r="H863" s="16">
        <v>7.4499827459545073E-3</v>
      </c>
      <c r="I863" s="16">
        <v>0</v>
      </c>
      <c r="J863" s="16">
        <v>0</v>
      </c>
      <c r="K863" s="16">
        <v>2.41E-2</v>
      </c>
      <c r="L863" s="16">
        <v>6.5739083457763657E-3</v>
      </c>
      <c r="M863" s="16">
        <v>8.7607440017814162E-4</v>
      </c>
      <c r="N863" s="16">
        <v>0</v>
      </c>
      <c r="O863" s="16">
        <v>0</v>
      </c>
      <c r="P863" s="95"/>
    </row>
    <row r="864" spans="1:16" x14ac:dyDescent="0.25">
      <c r="A864" s="16">
        <v>31</v>
      </c>
      <c r="B864" s="16">
        <v>437335.10856199998</v>
      </c>
      <c r="C864" s="16">
        <v>5688631.3324180003</v>
      </c>
      <c r="D864" s="31">
        <v>8</v>
      </c>
      <c r="E864" s="31" t="s">
        <v>61</v>
      </c>
      <c r="F864" s="31">
        <v>2012</v>
      </c>
      <c r="G864" s="16">
        <v>8.3400000000000002E-2</v>
      </c>
      <c r="H864" s="16">
        <v>2.2374411017318931E-2</v>
      </c>
      <c r="I864" s="16">
        <v>0</v>
      </c>
      <c r="J864" s="16">
        <v>0</v>
      </c>
      <c r="K864" s="16">
        <v>1.01E-2</v>
      </c>
      <c r="L864" s="16">
        <v>3.0088561834738189E-3</v>
      </c>
      <c r="M864" s="16">
        <v>1.9365554833845111E-2</v>
      </c>
      <c r="N864" s="16">
        <v>0</v>
      </c>
      <c r="O864" s="16">
        <v>0</v>
      </c>
      <c r="P864" s="95"/>
    </row>
    <row r="865" spans="1:16" x14ac:dyDescent="0.25">
      <c r="A865" s="16">
        <v>32</v>
      </c>
      <c r="B865" s="16">
        <v>437454.10856199998</v>
      </c>
      <c r="C865" s="16">
        <v>5688631.3324180003</v>
      </c>
      <c r="D865" s="31">
        <v>8</v>
      </c>
      <c r="E865" s="31" t="s">
        <v>61</v>
      </c>
      <c r="F865" s="31">
        <v>2012</v>
      </c>
      <c r="G865" s="16">
        <v>9.74E-2</v>
      </c>
      <c r="H865" s="16">
        <v>2.6130307351161435E-2</v>
      </c>
      <c r="I865" s="16">
        <v>0</v>
      </c>
      <c r="J865" s="16">
        <v>0</v>
      </c>
      <c r="K865" s="16">
        <v>1.3599999999999999E-2</v>
      </c>
      <c r="L865" s="16">
        <v>4.0515291183409836E-3</v>
      </c>
      <c r="M865" s="16">
        <v>2.2078778232820451E-2</v>
      </c>
      <c r="N865" s="16">
        <v>0</v>
      </c>
      <c r="O865" s="16">
        <v>0</v>
      </c>
      <c r="P865" s="95"/>
    </row>
    <row r="866" spans="1:16" x14ac:dyDescent="0.25">
      <c r="A866" s="16">
        <v>33</v>
      </c>
      <c r="B866" s="16">
        <v>437573.10856199998</v>
      </c>
      <c r="C866" s="16">
        <v>5688631.3324180003</v>
      </c>
      <c r="D866" s="31">
        <v>8</v>
      </c>
      <c r="E866" s="31" t="s">
        <v>61</v>
      </c>
      <c r="F866" s="31">
        <v>2012</v>
      </c>
      <c r="G866" s="16">
        <v>5.8299999999999998E-2</v>
      </c>
      <c r="H866" s="16">
        <v>1.5640625447358437E-2</v>
      </c>
      <c r="I866" s="16">
        <v>0</v>
      </c>
      <c r="J866" s="16">
        <v>0</v>
      </c>
      <c r="K866" s="16">
        <v>2.8999999999999998E-3</v>
      </c>
      <c r="L866" s="16">
        <v>8.6392900317565087E-4</v>
      </c>
      <c r="M866" s="16">
        <v>1.4776696444182787E-2</v>
      </c>
      <c r="N866" s="16">
        <v>0</v>
      </c>
      <c r="O866" s="16">
        <v>0</v>
      </c>
      <c r="P866" s="95"/>
    </row>
    <row r="867" spans="1:16" x14ac:dyDescent="0.25">
      <c r="A867" s="16">
        <v>34</v>
      </c>
      <c r="B867" s="16">
        <v>437692.10856199998</v>
      </c>
      <c r="C867" s="16">
        <v>5688631.3324180003</v>
      </c>
      <c r="D867" s="31">
        <v>8</v>
      </c>
      <c r="E867" s="31" t="s">
        <v>61</v>
      </c>
      <c r="F867" s="31">
        <v>2012</v>
      </c>
      <c r="G867" s="16">
        <v>0.1308</v>
      </c>
      <c r="H867" s="16">
        <v>3.5090802890471416E-2</v>
      </c>
      <c r="I867" s="16">
        <v>0</v>
      </c>
      <c r="J867" s="16">
        <v>0</v>
      </c>
      <c r="K867" s="16">
        <v>3.7899999999999996E-2</v>
      </c>
      <c r="L867" s="16">
        <v>1.12906583518473E-2</v>
      </c>
      <c r="M867" s="16">
        <v>2.3800144538624116E-2</v>
      </c>
      <c r="N867" s="16">
        <v>0</v>
      </c>
      <c r="O867" s="16">
        <v>0</v>
      </c>
      <c r="P867" s="95"/>
    </row>
    <row r="868" spans="1:16" x14ac:dyDescent="0.25">
      <c r="A868" s="16">
        <v>35</v>
      </c>
      <c r="B868" s="16">
        <v>437893</v>
      </c>
      <c r="C868" s="16">
        <v>5688620</v>
      </c>
      <c r="D868" s="31">
        <v>8</v>
      </c>
      <c r="E868" s="31" t="s">
        <v>61</v>
      </c>
      <c r="F868" s="31">
        <v>2012</v>
      </c>
      <c r="G868" s="16">
        <v>3.9399999999999998E-2</v>
      </c>
      <c r="H868" s="16">
        <v>1.0570165396671053E-2</v>
      </c>
      <c r="I868" s="16">
        <v>0</v>
      </c>
      <c r="J868" s="16">
        <v>0</v>
      </c>
      <c r="K868" s="16">
        <v>7.1999999999999998E-3</v>
      </c>
      <c r="L868" s="16">
        <v>2.1449271802981679E-3</v>
      </c>
      <c r="M868" s="16">
        <v>8.4252382163728847E-3</v>
      </c>
      <c r="N868" s="16">
        <v>0</v>
      </c>
      <c r="O868" s="16">
        <v>0</v>
      </c>
      <c r="P868" s="95"/>
    </row>
    <row r="869" spans="1:16" x14ac:dyDescent="0.25">
      <c r="A869" s="16">
        <v>36</v>
      </c>
      <c r="B869" s="16">
        <v>437930.10856199998</v>
      </c>
      <c r="C869" s="16">
        <v>5688631.3324180003</v>
      </c>
      <c r="D869" s="31">
        <v>8</v>
      </c>
      <c r="E869" s="31" t="s">
        <v>61</v>
      </c>
      <c r="F869" s="31">
        <v>2012</v>
      </c>
      <c r="G869" s="16">
        <v>6.2899999999999998E-2</v>
      </c>
      <c r="H869" s="16">
        <v>1.6874705671335258E-2</v>
      </c>
      <c r="I869" s="16">
        <v>0</v>
      </c>
      <c r="J869" s="16">
        <v>0</v>
      </c>
      <c r="K869" s="16">
        <v>2.7699999999999999E-2</v>
      </c>
      <c r="L869" s="16">
        <v>8.2520115130915624E-3</v>
      </c>
      <c r="M869" s="16">
        <v>8.6226941582436961E-3</v>
      </c>
      <c r="N869" s="16">
        <v>0</v>
      </c>
      <c r="O869" s="16">
        <v>0</v>
      </c>
      <c r="P869" s="95"/>
    </row>
    <row r="870" spans="1:16" x14ac:dyDescent="0.25">
      <c r="A870" s="35">
        <v>37</v>
      </c>
      <c r="B870" s="35">
        <v>438049.10856199998</v>
      </c>
      <c r="C870" s="35">
        <v>5688631.3324180003</v>
      </c>
      <c r="D870" s="96">
        <v>8</v>
      </c>
      <c r="E870" s="96" t="s">
        <v>61</v>
      </c>
      <c r="F870" s="96">
        <v>2012</v>
      </c>
      <c r="G870" s="96" t="s">
        <v>18</v>
      </c>
      <c r="H870" s="96" t="s">
        <v>18</v>
      </c>
      <c r="I870" s="96" t="s">
        <v>18</v>
      </c>
      <c r="J870" s="96" t="s">
        <v>18</v>
      </c>
      <c r="K870" s="96" t="s">
        <v>18</v>
      </c>
      <c r="L870" s="96" t="s">
        <v>18</v>
      </c>
      <c r="M870" s="96" t="s">
        <v>18</v>
      </c>
      <c r="N870" s="96" t="s">
        <v>18</v>
      </c>
      <c r="O870" s="96" t="s">
        <v>18</v>
      </c>
      <c r="P870" s="94" t="s">
        <v>21</v>
      </c>
    </row>
    <row r="871" spans="1:16" x14ac:dyDescent="0.25">
      <c r="A871" s="16">
        <v>38</v>
      </c>
      <c r="B871" s="31">
        <v>438067</v>
      </c>
      <c r="C871" s="31">
        <v>5688710</v>
      </c>
      <c r="D871" s="31">
        <v>7</v>
      </c>
      <c r="E871" s="31" t="s">
        <v>61</v>
      </c>
      <c r="F871" s="31">
        <v>2012</v>
      </c>
      <c r="G871" s="16">
        <v>0.29719999999999996</v>
      </c>
      <c r="H871" s="16">
        <v>6.1503746447157767E-2</v>
      </c>
      <c r="I871" s="16">
        <v>0</v>
      </c>
      <c r="J871" s="16">
        <v>0</v>
      </c>
      <c r="K871" s="16">
        <v>1.5599999999999999E-2</v>
      </c>
      <c r="L871" s="16">
        <v>4.255309966560635E-3</v>
      </c>
      <c r="M871" s="16">
        <v>5.7248436480597131E-2</v>
      </c>
      <c r="N871" s="16">
        <v>0</v>
      </c>
      <c r="O871" s="16">
        <v>0</v>
      </c>
      <c r="P871" s="95"/>
    </row>
    <row r="872" spans="1:16" x14ac:dyDescent="0.25">
      <c r="A872" s="35">
        <v>39</v>
      </c>
      <c r="B872" s="35">
        <v>438287.10856199998</v>
      </c>
      <c r="C872" s="35">
        <v>5688631.3324180003</v>
      </c>
      <c r="D872" s="96">
        <v>8</v>
      </c>
      <c r="E872" s="96" t="s">
        <v>61</v>
      </c>
      <c r="F872" s="96">
        <v>2012</v>
      </c>
      <c r="G872" s="96" t="s">
        <v>18</v>
      </c>
      <c r="H872" s="96" t="s">
        <v>18</v>
      </c>
      <c r="I872" s="96" t="s">
        <v>18</v>
      </c>
      <c r="J872" s="96" t="s">
        <v>18</v>
      </c>
      <c r="K872" s="96" t="s">
        <v>18</v>
      </c>
      <c r="L872" s="96" t="s">
        <v>18</v>
      </c>
      <c r="M872" s="96" t="s">
        <v>18</v>
      </c>
      <c r="N872" s="96" t="s">
        <v>18</v>
      </c>
      <c r="O872" s="96" t="s">
        <v>18</v>
      </c>
      <c r="P872" s="94" t="s">
        <v>22</v>
      </c>
    </row>
    <row r="873" spans="1:16" x14ac:dyDescent="0.25">
      <c r="A873" s="16">
        <v>40</v>
      </c>
      <c r="B873" s="16">
        <v>438406.10856199998</v>
      </c>
      <c r="C873" s="16">
        <v>5688631.3324180003</v>
      </c>
      <c r="D873" s="31">
        <v>7</v>
      </c>
      <c r="E873" s="31" t="s">
        <v>61</v>
      </c>
      <c r="F873" s="31">
        <v>2012</v>
      </c>
      <c r="G873" s="16">
        <v>0.1181</v>
      </c>
      <c r="H873" s="16">
        <v>2.4440082286034094E-2</v>
      </c>
      <c r="I873" s="16">
        <v>0</v>
      </c>
      <c r="J873" s="16">
        <v>0</v>
      </c>
      <c r="K873" s="16">
        <v>1.8600000000000002E-2</v>
      </c>
      <c r="L873" s="16">
        <v>5.0736388062838349E-3</v>
      </c>
      <c r="M873" s="16">
        <v>1.9366443479750257E-2</v>
      </c>
      <c r="N873" s="16">
        <v>0</v>
      </c>
      <c r="O873" s="16">
        <v>0</v>
      </c>
      <c r="P873" s="95"/>
    </row>
    <row r="874" spans="1:16" x14ac:dyDescent="0.25">
      <c r="A874" s="16">
        <v>41</v>
      </c>
      <c r="B874" s="16">
        <v>437310</v>
      </c>
      <c r="C874" s="16">
        <v>5688729</v>
      </c>
      <c r="D874" s="31">
        <v>8</v>
      </c>
      <c r="E874" s="31" t="s">
        <v>61</v>
      </c>
      <c r="F874" s="31">
        <v>2012</v>
      </c>
      <c r="G874" s="16">
        <v>0.10440000000000001</v>
      </c>
      <c r="H874" s="16">
        <v>2.8008255518082691E-2</v>
      </c>
      <c r="I874" s="16">
        <v>0</v>
      </c>
      <c r="J874" s="16">
        <v>0</v>
      </c>
      <c r="K874" s="16">
        <v>8.3000000000000001E-3</v>
      </c>
      <c r="L874" s="16">
        <v>2.4726243883992768E-3</v>
      </c>
      <c r="M874" s="16">
        <v>2.5535631129683413E-2</v>
      </c>
      <c r="N874" s="16">
        <v>0</v>
      </c>
      <c r="O874" s="16">
        <v>0</v>
      </c>
      <c r="P874" s="95"/>
    </row>
    <row r="875" spans="1:16" x14ac:dyDescent="0.25">
      <c r="A875" s="16">
        <v>42</v>
      </c>
      <c r="B875" s="16">
        <v>437454.10856199998</v>
      </c>
      <c r="C875" s="16">
        <v>5688750.3324180003</v>
      </c>
      <c r="D875" s="31">
        <v>8</v>
      </c>
      <c r="E875" s="31" t="s">
        <v>61</v>
      </c>
      <c r="F875" s="31">
        <v>2012</v>
      </c>
      <c r="G875" s="16">
        <v>9.6200000000000008E-2</v>
      </c>
      <c r="H875" s="16">
        <v>2.5808373379689224E-2</v>
      </c>
      <c r="I875" s="16">
        <v>6.7000000000000002E-3</v>
      </c>
      <c r="J875" s="16">
        <v>2.0943348880800121E-3</v>
      </c>
      <c r="K875" s="16">
        <v>1.3099999999999999E-2</v>
      </c>
      <c r="L875" s="16">
        <v>3.9025758419313885E-3</v>
      </c>
      <c r="M875" s="16">
        <v>2.1905797537757836E-2</v>
      </c>
      <c r="N875" s="16">
        <v>8.0000000000000004E-4</v>
      </c>
      <c r="O875" s="16">
        <v>3.3628585613000242E-4</v>
      </c>
      <c r="P875" s="95"/>
    </row>
    <row r="876" spans="1:16" x14ac:dyDescent="0.25">
      <c r="A876" s="16">
        <v>43</v>
      </c>
      <c r="B876" s="16">
        <v>437573.10856199998</v>
      </c>
      <c r="C876" s="16">
        <v>5688750.3324180003</v>
      </c>
      <c r="D876" s="31">
        <v>8</v>
      </c>
      <c r="E876" s="31" t="s">
        <v>61</v>
      </c>
      <c r="F876" s="31">
        <v>2012</v>
      </c>
      <c r="G876" s="16">
        <v>4.9599999999999998E-2</v>
      </c>
      <c r="H876" s="16">
        <v>1.3306604154184878E-2</v>
      </c>
      <c r="I876" s="16">
        <v>0</v>
      </c>
      <c r="J876" s="16">
        <v>0</v>
      </c>
      <c r="K876" s="16">
        <v>7.7000000000000002E-3</v>
      </c>
      <c r="L876" s="16">
        <v>2.2938804567077631E-3</v>
      </c>
      <c r="M876" s="16">
        <v>1.1012723697477115E-2</v>
      </c>
      <c r="N876" s="16">
        <v>0</v>
      </c>
      <c r="O876" s="16">
        <v>0</v>
      </c>
      <c r="P876" s="95"/>
    </row>
    <row r="877" spans="1:16" x14ac:dyDescent="0.25">
      <c r="A877" s="16">
        <v>44</v>
      </c>
      <c r="B877" s="16">
        <v>437692.10856199998</v>
      </c>
      <c r="C877" s="16">
        <v>5688750.3324180003</v>
      </c>
      <c r="D877" s="31">
        <v>8</v>
      </c>
      <c r="E877" s="31" t="s">
        <v>61</v>
      </c>
      <c r="F877" s="31">
        <v>2012</v>
      </c>
      <c r="G877" s="16">
        <v>1.2999999999999999E-2</v>
      </c>
      <c r="H877" s="16">
        <v>3.4876180242823271E-3</v>
      </c>
      <c r="I877" s="16">
        <v>0</v>
      </c>
      <c r="J877" s="16">
        <v>0</v>
      </c>
      <c r="K877" s="16">
        <v>1.4E-2</v>
      </c>
      <c r="L877" s="16">
        <v>4.1706917394686597E-3</v>
      </c>
      <c r="M877" s="16">
        <v>-6.8307371518633265E-4</v>
      </c>
      <c r="N877" s="16">
        <v>0</v>
      </c>
      <c r="O877" s="16">
        <v>0</v>
      </c>
      <c r="P877" s="95"/>
    </row>
    <row r="878" spans="1:16" x14ac:dyDescent="0.25">
      <c r="A878" s="16">
        <v>45</v>
      </c>
      <c r="B878" s="16">
        <v>437811.10856199998</v>
      </c>
      <c r="C878" s="16">
        <v>5688750.3324180003</v>
      </c>
      <c r="D878" s="31">
        <v>8</v>
      </c>
      <c r="E878" s="31" t="s">
        <v>61</v>
      </c>
      <c r="F878" s="31">
        <v>2012</v>
      </c>
      <c r="G878" s="16">
        <v>4.4999999999999998E-2</v>
      </c>
      <c r="H878" s="16">
        <v>1.2072523930208055E-2</v>
      </c>
      <c r="I878" s="16">
        <v>0</v>
      </c>
      <c r="J878" s="16">
        <v>0</v>
      </c>
      <c r="K878" s="16">
        <v>1.3699999999999999E-2</v>
      </c>
      <c r="L878" s="16">
        <v>4.0813197736229026E-3</v>
      </c>
      <c r="M878" s="16">
        <v>7.9912041565851528E-3</v>
      </c>
      <c r="N878" s="16">
        <v>0</v>
      </c>
      <c r="O878" s="16">
        <v>0</v>
      </c>
      <c r="P878" s="95"/>
    </row>
    <row r="879" spans="1:16" x14ac:dyDescent="0.25">
      <c r="A879" s="16">
        <v>46</v>
      </c>
      <c r="B879" s="16">
        <v>437930.10856199998</v>
      </c>
      <c r="C879" s="16">
        <v>5688750.3324180003</v>
      </c>
      <c r="D879" s="31">
        <v>7</v>
      </c>
      <c r="E879" s="31" t="s">
        <v>61</v>
      </c>
      <c r="F879" s="31">
        <v>2012</v>
      </c>
      <c r="G879" s="16">
        <v>7.46E-2</v>
      </c>
      <c r="H879" s="16">
        <v>1.5438019801339064E-2</v>
      </c>
      <c r="I879" s="16">
        <v>2.3899999999999998E-2</v>
      </c>
      <c r="J879" s="16">
        <v>7.7987596228618946E-3</v>
      </c>
      <c r="K879" s="16">
        <v>1.01E-2</v>
      </c>
      <c r="L879" s="16">
        <v>2.7550404270681034E-3</v>
      </c>
      <c r="M879" s="16">
        <v>1.268297937427096E-2</v>
      </c>
      <c r="N879" s="16">
        <v>3.0999999999999999E-3</v>
      </c>
      <c r="O879" s="16">
        <v>6.7120535714285676E-4</v>
      </c>
      <c r="P879" s="95"/>
    </row>
    <row r="880" spans="1:16" x14ac:dyDescent="0.25">
      <c r="A880" s="16">
        <v>47</v>
      </c>
      <c r="B880" s="16">
        <v>438061</v>
      </c>
      <c r="C880" s="16">
        <v>5688779</v>
      </c>
      <c r="D880" s="31">
        <v>7</v>
      </c>
      <c r="E880" s="31" t="s">
        <v>61</v>
      </c>
      <c r="F880" s="31">
        <v>2012</v>
      </c>
      <c r="G880" s="16">
        <v>0.28860000000000002</v>
      </c>
      <c r="H880" s="16">
        <v>5.9724028346735313E-2</v>
      </c>
      <c r="I880" s="16">
        <v>0.14699999999999999</v>
      </c>
      <c r="J880" s="16">
        <v>4.7967266299610817E-2</v>
      </c>
      <c r="K880" s="16">
        <v>6.3899999999999998E-2</v>
      </c>
      <c r="L880" s="16">
        <v>1.743040428610414E-2</v>
      </c>
      <c r="M880" s="16">
        <v>4.2293624060631169E-2</v>
      </c>
      <c r="N880" s="16">
        <v>2.6699999999999998E-2</v>
      </c>
      <c r="O880" s="16">
        <v>5.7810267857142817E-3</v>
      </c>
      <c r="P880" s="95"/>
    </row>
    <row r="881" spans="1:19" x14ac:dyDescent="0.25">
      <c r="A881" s="35">
        <v>48</v>
      </c>
      <c r="B881" s="35">
        <v>438168.10856199998</v>
      </c>
      <c r="C881" s="35">
        <v>5688750.3324180003</v>
      </c>
      <c r="D881" s="96">
        <v>8</v>
      </c>
      <c r="E881" s="96" t="s">
        <v>61</v>
      </c>
      <c r="F881" s="96">
        <v>2012</v>
      </c>
      <c r="G881" s="96" t="s">
        <v>18</v>
      </c>
      <c r="H881" s="96" t="s">
        <v>18</v>
      </c>
      <c r="I881" s="96" t="s">
        <v>18</v>
      </c>
      <c r="J881" s="96" t="s">
        <v>18</v>
      </c>
      <c r="K881" s="96" t="s">
        <v>18</v>
      </c>
      <c r="L881" s="96" t="s">
        <v>18</v>
      </c>
      <c r="M881" s="96" t="s">
        <v>18</v>
      </c>
      <c r="N881" s="96" t="s">
        <v>18</v>
      </c>
      <c r="O881" s="96" t="s">
        <v>18</v>
      </c>
      <c r="P881" s="94" t="s">
        <v>21</v>
      </c>
    </row>
    <row r="882" spans="1:19" x14ac:dyDescent="0.25">
      <c r="A882" s="16">
        <v>49</v>
      </c>
      <c r="B882" s="16">
        <v>437454.10856199998</v>
      </c>
      <c r="C882" s="16">
        <v>5688869.3324180003</v>
      </c>
      <c r="D882" s="31">
        <v>6</v>
      </c>
      <c r="E882" s="31" t="s">
        <v>61</v>
      </c>
      <c r="F882" s="31">
        <v>2012</v>
      </c>
      <c r="G882" s="16">
        <v>0.2041</v>
      </c>
      <c r="H882" s="16">
        <v>4.2791702359978145E-2</v>
      </c>
      <c r="I882" s="16">
        <v>0</v>
      </c>
      <c r="J882" s="16">
        <v>0</v>
      </c>
      <c r="K882" s="16">
        <v>4.8399999999999999E-2</v>
      </c>
      <c r="L882" s="16">
        <v>1.3151595159515963E-2</v>
      </c>
      <c r="M882" s="16">
        <v>2.964010720046218E-2</v>
      </c>
      <c r="N882" s="16">
        <v>0</v>
      </c>
      <c r="O882" s="16">
        <v>0</v>
      </c>
      <c r="P882" s="95"/>
    </row>
    <row r="883" spans="1:19" x14ac:dyDescent="0.25">
      <c r="A883" s="16">
        <v>50</v>
      </c>
      <c r="B883" s="16">
        <v>437811.10856199998</v>
      </c>
      <c r="C883" s="16">
        <v>5688869.3324180003</v>
      </c>
      <c r="D883" s="31">
        <v>6</v>
      </c>
      <c r="E883" s="31" t="s">
        <v>61</v>
      </c>
      <c r="F883" s="31">
        <v>2012</v>
      </c>
      <c r="G883" s="16">
        <v>4.8799999999999996E-2</v>
      </c>
      <c r="H883" s="16">
        <v>1.0231431039524416E-2</v>
      </c>
      <c r="I883" s="16">
        <v>0</v>
      </c>
      <c r="J883" s="16">
        <v>0</v>
      </c>
      <c r="K883" s="16">
        <v>1.6000000000000001E-3</v>
      </c>
      <c r="L883" s="16">
        <v>4.3476347634763518E-4</v>
      </c>
      <c r="M883" s="16">
        <v>9.7966675631767815E-3</v>
      </c>
      <c r="N883" s="16">
        <v>0</v>
      </c>
      <c r="O883" s="16">
        <v>0</v>
      </c>
      <c r="P883" s="95"/>
    </row>
    <row r="884" spans="1:19" x14ac:dyDescent="0.25">
      <c r="A884" s="16">
        <v>51</v>
      </c>
      <c r="B884" s="16">
        <v>437930.10856199998</v>
      </c>
      <c r="C884" s="16">
        <v>5688869.3324180003</v>
      </c>
      <c r="D884" s="31">
        <v>6</v>
      </c>
      <c r="E884" s="31" t="s">
        <v>61</v>
      </c>
      <c r="F884" s="31">
        <v>2012</v>
      </c>
      <c r="G884" s="16">
        <v>8.4500000000000006E-2</v>
      </c>
      <c r="H884" s="16">
        <v>1.7716309894258469E-2</v>
      </c>
      <c r="I884" s="16">
        <v>0</v>
      </c>
      <c r="J884" s="16">
        <v>0</v>
      </c>
      <c r="K884" s="16">
        <v>2.3199999999999998E-2</v>
      </c>
      <c r="L884" s="16">
        <v>6.3040704070407095E-3</v>
      </c>
      <c r="M884" s="16">
        <v>1.141223948721776E-2</v>
      </c>
      <c r="N884" s="16">
        <v>0</v>
      </c>
      <c r="O884" s="16">
        <v>0</v>
      </c>
      <c r="P884" s="95"/>
    </row>
    <row r="885" spans="1:19" x14ac:dyDescent="0.25">
      <c r="A885" s="16">
        <v>52</v>
      </c>
      <c r="B885" s="16">
        <v>438049.10856199998</v>
      </c>
      <c r="C885" s="16">
        <v>5688869.3324180003</v>
      </c>
      <c r="D885" s="31">
        <v>7</v>
      </c>
      <c r="E885" s="31" t="s">
        <v>61</v>
      </c>
      <c r="F885" s="31">
        <v>2012</v>
      </c>
      <c r="G885" s="16">
        <v>0.10970000000000001</v>
      </c>
      <c r="H885" s="16">
        <v>2.2701752978644709E-2</v>
      </c>
      <c r="I885" s="16">
        <v>0.28420000000000001</v>
      </c>
      <c r="J885" s="16">
        <v>9.2736714845914267E-2</v>
      </c>
      <c r="K885" s="16">
        <v>5.0200000000000002E-2</v>
      </c>
      <c r="L885" s="16">
        <v>1.3693369251368197E-2</v>
      </c>
      <c r="M885" s="16">
        <v>9.0083837272765116E-3</v>
      </c>
      <c r="N885" s="16">
        <v>1.77E-2</v>
      </c>
      <c r="O885" s="16">
        <v>3.832366071428569E-3</v>
      </c>
      <c r="P885" s="95"/>
    </row>
    <row r="886" spans="1:19" x14ac:dyDescent="0.25">
      <c r="A886" s="16">
        <v>53</v>
      </c>
      <c r="B886" s="16">
        <v>438287.10856199998</v>
      </c>
      <c r="C886" s="16">
        <v>5688869.3324180003</v>
      </c>
      <c r="D886" s="31">
        <v>7</v>
      </c>
      <c r="E886" s="31" t="s">
        <v>61</v>
      </c>
      <c r="F886" s="31">
        <v>2012</v>
      </c>
      <c r="G886" s="16">
        <v>5.9700000000000003E-2</v>
      </c>
      <c r="H886" s="16">
        <v>1.2354554720374561E-2</v>
      </c>
      <c r="I886" s="16">
        <v>0</v>
      </c>
      <c r="J886" s="16">
        <v>0</v>
      </c>
      <c r="K886" s="16">
        <v>2.1600000000000001E-2</v>
      </c>
      <c r="L886" s="16">
        <v>5.8919676460070331E-3</v>
      </c>
      <c r="M886" s="16">
        <v>6.4625870743675274E-3</v>
      </c>
      <c r="N886" s="16">
        <v>0</v>
      </c>
      <c r="O886" s="16">
        <v>0</v>
      </c>
      <c r="P886" s="95"/>
    </row>
    <row r="887" spans="1:19" x14ac:dyDescent="0.25">
      <c r="A887" s="16">
        <v>54</v>
      </c>
      <c r="B887" s="16">
        <v>437454.10856199998</v>
      </c>
      <c r="C887" s="16">
        <v>5688988.3324180003</v>
      </c>
      <c r="D887" s="31">
        <v>6</v>
      </c>
      <c r="E887" s="31" t="s">
        <v>61</v>
      </c>
      <c r="F887" s="31">
        <v>2012</v>
      </c>
      <c r="G887" s="16">
        <v>0.1396</v>
      </c>
      <c r="H887" s="16">
        <v>2.9268601908147718E-2</v>
      </c>
      <c r="I887" s="16">
        <v>1.0699999999999999E-2</v>
      </c>
      <c r="J887" s="16">
        <v>5.3499999999999997E-3</v>
      </c>
      <c r="K887" s="16">
        <v>1.66E-2</v>
      </c>
      <c r="L887" s="16">
        <v>4.5106710671067151E-3</v>
      </c>
      <c r="M887" s="16">
        <v>2.4757930841041005E-2</v>
      </c>
      <c r="N887" s="16">
        <v>1.46E-2</v>
      </c>
      <c r="O887" s="16">
        <v>6.8340425531914937E-3</v>
      </c>
      <c r="P887" s="95"/>
    </row>
    <row r="888" spans="1:19" x14ac:dyDescent="0.25">
      <c r="A888" s="16">
        <v>55</v>
      </c>
      <c r="B888" s="16">
        <v>438049.10856199998</v>
      </c>
      <c r="C888" s="16">
        <v>5688988.3324180003</v>
      </c>
      <c r="D888" s="31">
        <v>7</v>
      </c>
      <c r="E888" s="31" t="s">
        <v>61</v>
      </c>
      <c r="F888" s="31">
        <v>2012</v>
      </c>
      <c r="G888" s="16">
        <v>0.1162</v>
      </c>
      <c r="H888" s="16">
        <v>2.4046888752219827E-2</v>
      </c>
      <c r="I888" s="16">
        <v>0</v>
      </c>
      <c r="J888" s="16">
        <v>0</v>
      </c>
      <c r="K888" s="16">
        <v>1.5300000000000001E-2</v>
      </c>
      <c r="L888" s="16">
        <v>4.1734770825883156E-3</v>
      </c>
      <c r="M888" s="16">
        <v>1.9873411669631511E-2</v>
      </c>
      <c r="N888" s="16">
        <v>0</v>
      </c>
      <c r="O888" s="16">
        <v>0</v>
      </c>
      <c r="P888" s="95"/>
    </row>
    <row r="889" spans="1:19" x14ac:dyDescent="0.25">
      <c r="A889" s="16">
        <v>56</v>
      </c>
      <c r="B889" s="16">
        <v>438168.10856199998</v>
      </c>
      <c r="C889" s="16">
        <v>5688988.3324180003</v>
      </c>
      <c r="D889" s="31">
        <v>7</v>
      </c>
      <c r="E889" s="31" t="s">
        <v>61</v>
      </c>
      <c r="F889" s="31">
        <v>2012</v>
      </c>
      <c r="G889" s="16">
        <v>9.509999999999999E-2</v>
      </c>
      <c r="H889" s="16">
        <v>1.9680371087229823E-2</v>
      </c>
      <c r="I889" s="16">
        <v>0</v>
      </c>
      <c r="J889" s="16">
        <v>0</v>
      </c>
      <c r="K889" s="16">
        <v>1E-3</v>
      </c>
      <c r="L889" s="16">
        <v>2.7277627990773302E-4</v>
      </c>
      <c r="M889" s="16">
        <v>1.9407594807322091E-2</v>
      </c>
      <c r="N889" s="16">
        <v>0</v>
      </c>
      <c r="O889" s="16">
        <v>0</v>
      </c>
      <c r="P889" s="95"/>
    </row>
    <row r="890" spans="1:19" x14ac:dyDescent="0.25">
      <c r="A890" s="36">
        <v>57</v>
      </c>
      <c r="B890" s="36">
        <v>438146</v>
      </c>
      <c r="C890" s="36">
        <v>5688977</v>
      </c>
      <c r="D890" s="99">
        <v>7</v>
      </c>
      <c r="E890" s="99" t="s">
        <v>61</v>
      </c>
      <c r="F890" s="99">
        <v>2012</v>
      </c>
      <c r="G890" s="36">
        <v>0.25880000000000003</v>
      </c>
      <c r="H890" s="36">
        <v>5.3557098184806307E-2</v>
      </c>
      <c r="I890" s="36">
        <v>0</v>
      </c>
      <c r="J890" s="36">
        <v>0</v>
      </c>
      <c r="K890" s="36">
        <v>1E-3</v>
      </c>
      <c r="L890" s="36">
        <v>2.7277627990773302E-4</v>
      </c>
      <c r="M890" s="36">
        <v>5.3284321904898575E-2</v>
      </c>
      <c r="N890" s="36">
        <v>0</v>
      </c>
      <c r="O890" s="36">
        <v>0</v>
      </c>
      <c r="P890" s="100"/>
    </row>
    <row r="891" spans="1:19" x14ac:dyDescent="0.25">
      <c r="A891" s="36">
        <v>58</v>
      </c>
      <c r="B891" s="36">
        <v>438131</v>
      </c>
      <c r="C891" s="36">
        <v>5688972</v>
      </c>
      <c r="D891" s="99">
        <v>7</v>
      </c>
      <c r="E891" s="99" t="s">
        <v>61</v>
      </c>
      <c r="F891" s="99">
        <v>2012</v>
      </c>
      <c r="G891" s="36">
        <v>0.25009999999999999</v>
      </c>
      <c r="H891" s="36">
        <v>5.1756685687867288E-2</v>
      </c>
      <c r="I891" s="36">
        <v>0</v>
      </c>
      <c r="J891" s="36">
        <v>0</v>
      </c>
      <c r="K891" s="36">
        <v>2.2499999999999999E-2</v>
      </c>
      <c r="L891" s="36">
        <v>6.1374662979239922E-3</v>
      </c>
      <c r="M891" s="36">
        <v>4.5619219389943295E-2</v>
      </c>
      <c r="N891" s="36">
        <v>0</v>
      </c>
      <c r="O891" s="36">
        <v>0</v>
      </c>
      <c r="P891" s="100"/>
    </row>
    <row r="892" spans="1:19" x14ac:dyDescent="0.25">
      <c r="A892" s="36">
        <v>59</v>
      </c>
      <c r="B892" s="36">
        <v>438089</v>
      </c>
      <c r="C892" s="36">
        <v>5688713</v>
      </c>
      <c r="D892" s="99">
        <v>7</v>
      </c>
      <c r="E892" s="99" t="s">
        <v>61</v>
      </c>
      <c r="F892" s="99">
        <v>2012</v>
      </c>
      <c r="G892" s="36">
        <v>0.50529999999999997</v>
      </c>
      <c r="H892" s="36">
        <v>0.10456878559807813</v>
      </c>
      <c r="I892" s="36">
        <v>0</v>
      </c>
      <c r="J892" s="36">
        <v>0</v>
      </c>
      <c r="K892" s="36">
        <v>2.06E-2</v>
      </c>
      <c r="L892" s="36">
        <v>5.6191913660993001E-3</v>
      </c>
      <c r="M892" s="36">
        <v>9.8949594231978827E-2</v>
      </c>
      <c r="N892" s="36">
        <v>0</v>
      </c>
      <c r="O892" s="36">
        <v>0</v>
      </c>
      <c r="P892" s="100"/>
    </row>
    <row r="893" spans="1:19" x14ac:dyDescent="0.25">
      <c r="A893" s="36">
        <v>60</v>
      </c>
      <c r="B893" s="36">
        <v>438099</v>
      </c>
      <c r="C893" s="36">
        <v>5688719</v>
      </c>
      <c r="D893" s="99">
        <v>7</v>
      </c>
      <c r="E893" s="99" t="s">
        <v>61</v>
      </c>
      <c r="F893" s="99">
        <v>2012</v>
      </c>
      <c r="G893" s="36">
        <v>0.15280000000000002</v>
      </c>
      <c r="H893" s="36">
        <v>3.1621037877273585E-2</v>
      </c>
      <c r="I893" s="36">
        <v>0</v>
      </c>
      <c r="J893" s="36">
        <v>0</v>
      </c>
      <c r="K893" s="36">
        <v>1.3099999999999999E-2</v>
      </c>
      <c r="L893" s="36">
        <v>3.573369266791302E-3</v>
      </c>
      <c r="M893" s="36">
        <v>2.8047668610482284E-2</v>
      </c>
      <c r="N893" s="36">
        <v>0</v>
      </c>
      <c r="O893" s="36">
        <v>0</v>
      </c>
      <c r="P893" s="100"/>
    </row>
    <row r="894" spans="1:19" x14ac:dyDescent="0.25">
      <c r="A894" s="16">
        <v>1</v>
      </c>
      <c r="B894" s="16">
        <v>437930.10856199998</v>
      </c>
      <c r="C894" s="16">
        <v>5688036.3324180003</v>
      </c>
      <c r="D894" s="31">
        <v>31</v>
      </c>
      <c r="E894" s="31" t="s">
        <v>40</v>
      </c>
      <c r="F894" s="31">
        <v>2013</v>
      </c>
      <c r="G894" s="31" t="s">
        <v>18</v>
      </c>
      <c r="H894" s="31" t="s">
        <v>18</v>
      </c>
      <c r="I894" s="31" t="s">
        <v>18</v>
      </c>
      <c r="J894" s="31" t="s">
        <v>18</v>
      </c>
      <c r="K894" s="16">
        <v>2.9999999999999997E-4</v>
      </c>
      <c r="L894" s="16">
        <v>1.3696519648139367E-4</v>
      </c>
      <c r="M894" s="31" t="s">
        <v>18</v>
      </c>
      <c r="N894" s="16">
        <v>6.0000000000000001E-3</v>
      </c>
      <c r="O894" s="16">
        <v>2.6450207729245018E-3</v>
      </c>
      <c r="P894" s="95" t="s">
        <v>95</v>
      </c>
      <c r="R894" s="5">
        <f>AVERAGE(M894:M953)</f>
        <v>1.0054488751609612E-2</v>
      </c>
      <c r="S894" s="5">
        <f>AVERAGE(H894:H953)</f>
        <v>1.3414673516746991E-2</v>
      </c>
    </row>
    <row r="895" spans="1:19" x14ac:dyDescent="0.25">
      <c r="A895" s="16">
        <v>2</v>
      </c>
      <c r="B895" s="16">
        <v>437811.10856199998</v>
      </c>
      <c r="C895" s="16">
        <v>5688155.3324180003</v>
      </c>
      <c r="D895" s="31">
        <v>31</v>
      </c>
      <c r="E895" s="31" t="s">
        <v>40</v>
      </c>
      <c r="F895" s="31">
        <v>2013</v>
      </c>
      <c r="G895" s="16">
        <v>2E-3</v>
      </c>
      <c r="H895" s="16">
        <v>8.2209251386613808E-4</v>
      </c>
      <c r="I895" s="16">
        <v>1.0699999999999999E-2</v>
      </c>
      <c r="J895" s="16">
        <v>5.5138601199223062E-3</v>
      </c>
      <c r="K895" s="16">
        <v>0</v>
      </c>
      <c r="L895" s="16">
        <v>0</v>
      </c>
      <c r="M895" s="16">
        <v>8.2209251386613808E-4</v>
      </c>
      <c r="N895" s="16">
        <v>5.1999999999999998E-3</v>
      </c>
      <c r="O895" s="16">
        <v>2.2923513365345682E-3</v>
      </c>
      <c r="P895" s="95"/>
    </row>
    <row r="896" spans="1:19" x14ac:dyDescent="0.25">
      <c r="A896" s="16">
        <v>3</v>
      </c>
      <c r="B896" s="16">
        <v>437930.10856199998</v>
      </c>
      <c r="C896" s="16">
        <v>5688155.3324180003</v>
      </c>
      <c r="D896" s="31">
        <v>31</v>
      </c>
      <c r="E896" s="31" t="s">
        <v>40</v>
      </c>
      <c r="F896" s="31">
        <v>2013</v>
      </c>
      <c r="G896" s="16">
        <v>3.0499999999999999E-2</v>
      </c>
      <c r="H896" s="16">
        <v>1.2536910836458604E-2</v>
      </c>
      <c r="I896" s="16">
        <v>9.5700000000000007E-2</v>
      </c>
      <c r="J896" s="16">
        <v>4.9315552661361194E-2</v>
      </c>
      <c r="K896" s="16">
        <v>3.0999999999999999E-3</v>
      </c>
      <c r="L896" s="16">
        <v>1.4153070303077348E-3</v>
      </c>
      <c r="M896" s="16">
        <v>1.1121603806150869E-2</v>
      </c>
      <c r="N896" s="16">
        <v>5.8299999999999998E-2</v>
      </c>
      <c r="O896" s="16">
        <v>2.5700785176916409E-2</v>
      </c>
      <c r="P896" s="95"/>
    </row>
    <row r="897" spans="1:16" x14ac:dyDescent="0.25">
      <c r="A897" s="16">
        <v>4</v>
      </c>
      <c r="B897" s="16">
        <v>438049.10856199998</v>
      </c>
      <c r="C897" s="16">
        <v>5688155.3324180003</v>
      </c>
      <c r="D897" s="31">
        <v>31</v>
      </c>
      <c r="E897" s="31" t="s">
        <v>40</v>
      </c>
      <c r="F897" s="31">
        <v>2013</v>
      </c>
      <c r="G897" s="16">
        <v>5.9999999999999995E-4</v>
      </c>
      <c r="H897" s="16">
        <v>2.4662775415984137E-4</v>
      </c>
      <c r="I897" s="16">
        <v>0</v>
      </c>
      <c r="J897" s="16">
        <v>0</v>
      </c>
      <c r="K897" s="16">
        <v>4.0000000000000002E-4</v>
      </c>
      <c r="L897" s="16">
        <v>1.826202619751916E-4</v>
      </c>
      <c r="M897" s="16">
        <v>6.4007492184649765E-5</v>
      </c>
      <c r="N897" s="16">
        <v>0</v>
      </c>
      <c r="O897" s="16">
        <v>0</v>
      </c>
      <c r="P897" s="95"/>
    </row>
    <row r="898" spans="1:16" x14ac:dyDescent="0.25">
      <c r="A898" s="16">
        <v>5</v>
      </c>
      <c r="B898" s="16">
        <v>437573.10856199998</v>
      </c>
      <c r="C898" s="16">
        <v>5688274.3324180003</v>
      </c>
      <c r="D898" s="31">
        <v>31</v>
      </c>
      <c r="E898" s="31" t="s">
        <v>40</v>
      </c>
      <c r="F898" s="31">
        <v>2013</v>
      </c>
      <c r="G898" s="16">
        <v>1.6399999999999998E-2</v>
      </c>
      <c r="H898" s="16">
        <v>6.7411586137023308E-3</v>
      </c>
      <c r="I898" s="16">
        <v>8.6099999999999996E-2</v>
      </c>
      <c r="J898" s="16">
        <v>4.436853797432809E-2</v>
      </c>
      <c r="K898" s="16">
        <v>4.2000000000000006E-3</v>
      </c>
      <c r="L898" s="16">
        <v>1.9175127507395119E-3</v>
      </c>
      <c r="M898" s="16">
        <v>4.8236458629628189E-3</v>
      </c>
      <c r="N898" s="16">
        <v>3.5000000000000001E-3</v>
      </c>
      <c r="O898" s="16">
        <v>1.5429287842059596E-3</v>
      </c>
      <c r="P898" s="95"/>
    </row>
    <row r="899" spans="1:16" x14ac:dyDescent="0.25">
      <c r="A899" s="16">
        <v>6</v>
      </c>
      <c r="B899" s="16">
        <v>437692.10856199998</v>
      </c>
      <c r="C899" s="16">
        <v>5688274.3324180003</v>
      </c>
      <c r="D899" s="31">
        <v>31</v>
      </c>
      <c r="E899" s="31" t="s">
        <v>40</v>
      </c>
      <c r="F899" s="31">
        <v>2013</v>
      </c>
      <c r="G899" s="16">
        <v>1.6500000000000001E-2</v>
      </c>
      <c r="H899" s="16">
        <v>6.7822632393956389E-3</v>
      </c>
      <c r="I899" s="16">
        <v>7.5299999999999992E-2</v>
      </c>
      <c r="J899" s="16">
        <v>3.8803146451415853E-2</v>
      </c>
      <c r="K899" s="16">
        <v>1E-3</v>
      </c>
      <c r="L899" s="16">
        <v>4.5655065493797897E-4</v>
      </c>
      <c r="M899" s="16">
        <v>6.32571258445766E-3</v>
      </c>
      <c r="N899" s="16">
        <v>1.7899999999999999E-2</v>
      </c>
      <c r="O899" s="16">
        <v>7.8909786392247633E-3</v>
      </c>
      <c r="P899" s="95"/>
    </row>
    <row r="900" spans="1:16" x14ac:dyDescent="0.25">
      <c r="A900" s="16">
        <v>7</v>
      </c>
      <c r="B900" s="16">
        <v>437811.10856199998</v>
      </c>
      <c r="C900" s="16">
        <v>5688274.3324180003</v>
      </c>
      <c r="D900" s="31">
        <v>31</v>
      </c>
      <c r="E900" s="31" t="s">
        <v>40</v>
      </c>
      <c r="F900" s="31">
        <v>2013</v>
      </c>
      <c r="G900" s="16">
        <v>5.9999999999999995E-4</v>
      </c>
      <c r="H900" s="16">
        <v>2.4662775415984137E-4</v>
      </c>
      <c r="I900" s="16">
        <v>4.6200000000000005E-2</v>
      </c>
      <c r="J900" s="16">
        <v>2.3807508181346783E-2</v>
      </c>
      <c r="K900" s="16">
        <v>1.2999999999999999E-3</v>
      </c>
      <c r="L900" s="16">
        <v>5.9351585141937258E-4</v>
      </c>
      <c r="M900" s="16">
        <v>-3.4688809725953122E-4</v>
      </c>
      <c r="N900" s="16">
        <v>2.6199999999999998E-2</v>
      </c>
      <c r="O900" s="16">
        <v>1.1549924041770325E-2</v>
      </c>
      <c r="P900" s="95"/>
    </row>
    <row r="901" spans="1:16" x14ac:dyDescent="0.25">
      <c r="A901" s="16">
        <v>8</v>
      </c>
      <c r="B901" s="16">
        <v>437930.10856199998</v>
      </c>
      <c r="C901" s="16">
        <v>5688274.3324180003</v>
      </c>
      <c r="D901" s="31">
        <v>31</v>
      </c>
      <c r="E901" s="31" t="s">
        <v>40</v>
      </c>
      <c r="F901" s="31">
        <v>2013</v>
      </c>
      <c r="G901" s="16">
        <v>1.46E-2</v>
      </c>
      <c r="H901" s="16">
        <v>6.0012753512228073E-3</v>
      </c>
      <c r="I901" s="16">
        <v>0</v>
      </c>
      <c r="J901" s="16">
        <v>0</v>
      </c>
      <c r="K901" s="16">
        <v>1.03E-2</v>
      </c>
      <c r="L901" s="16">
        <v>4.7024717458611833E-3</v>
      </c>
      <c r="M901" s="16">
        <v>1.298803605361624E-3</v>
      </c>
      <c r="N901" s="16">
        <v>0</v>
      </c>
      <c r="O901" s="16">
        <v>0</v>
      </c>
      <c r="P901" s="95"/>
    </row>
    <row r="902" spans="1:16" x14ac:dyDescent="0.25">
      <c r="A902" s="16">
        <v>9</v>
      </c>
      <c r="B902" s="16">
        <v>438287.10856199998</v>
      </c>
      <c r="C902" s="16">
        <v>5688274.3324180003</v>
      </c>
      <c r="D902" s="31">
        <v>31</v>
      </c>
      <c r="E902" s="31" t="s">
        <v>40</v>
      </c>
      <c r="F902" s="31">
        <v>2013</v>
      </c>
      <c r="G902" s="16">
        <v>5.9900000000000002E-2</v>
      </c>
      <c r="H902" s="16">
        <v>2.4621670790290835E-2</v>
      </c>
      <c r="I902" s="16">
        <v>0</v>
      </c>
      <c r="J902" s="16">
        <v>0</v>
      </c>
      <c r="K902" s="16">
        <v>4.5999999999999999E-3</v>
      </c>
      <c r="L902" s="16">
        <v>2.1001330127147031E-3</v>
      </c>
      <c r="M902" s="16">
        <v>2.252153777757613E-2</v>
      </c>
      <c r="N902" s="16">
        <v>6.1999999999999998E-3</v>
      </c>
      <c r="O902" s="16">
        <v>2.7331881320219855E-3</v>
      </c>
      <c r="P902" s="95"/>
    </row>
    <row r="903" spans="1:16" x14ac:dyDescent="0.25">
      <c r="A903" s="16">
        <v>10</v>
      </c>
      <c r="B903" s="16">
        <v>438406.10856199998</v>
      </c>
      <c r="C903" s="16">
        <v>5688274.3324180003</v>
      </c>
      <c r="D903" s="31">
        <v>31</v>
      </c>
      <c r="E903" s="31" t="s">
        <v>40</v>
      </c>
      <c r="F903" s="31">
        <v>2013</v>
      </c>
      <c r="G903" s="16">
        <v>3.3799999999999997E-2</v>
      </c>
      <c r="H903" s="16">
        <v>1.3893363484337732E-2</v>
      </c>
      <c r="I903" s="16">
        <v>0</v>
      </c>
      <c r="J903" s="16">
        <v>0</v>
      </c>
      <c r="K903" s="16">
        <v>1.3300000000000001E-2</v>
      </c>
      <c r="L903" s="16">
        <v>6.0721237106751208E-3</v>
      </c>
      <c r="M903" s="16">
        <v>7.8212397736626103E-3</v>
      </c>
      <c r="N903" s="16">
        <v>0</v>
      </c>
      <c r="O903" s="16">
        <v>0</v>
      </c>
      <c r="P903" s="95"/>
    </row>
    <row r="904" spans="1:16" x14ac:dyDescent="0.25">
      <c r="A904" s="16">
        <v>11</v>
      </c>
      <c r="B904" s="16">
        <v>437454.10856199998</v>
      </c>
      <c r="C904" s="16">
        <v>5688393.3324180003</v>
      </c>
      <c r="D904" s="31">
        <v>31</v>
      </c>
      <c r="E904" s="31" t="s">
        <v>40</v>
      </c>
      <c r="F904" s="31">
        <v>2013</v>
      </c>
      <c r="G904" s="16">
        <v>6.6E-3</v>
      </c>
      <c r="H904" s="16">
        <v>2.7129052957582554E-3</v>
      </c>
      <c r="I904" s="16">
        <v>0.1575</v>
      </c>
      <c r="J904" s="16">
        <v>8.1161959709136755E-2</v>
      </c>
      <c r="K904" s="16">
        <v>2.8E-3</v>
      </c>
      <c r="L904" s="16">
        <v>1.2783418338263412E-3</v>
      </c>
      <c r="M904" s="16">
        <v>1.4345634619319142E-3</v>
      </c>
      <c r="N904" s="16">
        <v>0</v>
      </c>
      <c r="O904" s="16">
        <v>0</v>
      </c>
      <c r="P904" s="95"/>
    </row>
    <row r="905" spans="1:16" x14ac:dyDescent="0.25">
      <c r="A905" s="16">
        <v>12</v>
      </c>
      <c r="B905" s="16">
        <v>437573.10856199998</v>
      </c>
      <c r="C905" s="16">
        <v>5688393.3324180003</v>
      </c>
      <c r="D905" s="31">
        <v>31</v>
      </c>
      <c r="E905" s="31" t="s">
        <v>40</v>
      </c>
      <c r="F905" s="31">
        <v>2013</v>
      </c>
      <c r="G905" s="16">
        <v>1.4500000000000001E-2</v>
      </c>
      <c r="H905" s="16">
        <v>5.9601707255295009E-3</v>
      </c>
      <c r="I905" s="16">
        <v>0</v>
      </c>
      <c r="J905" s="16">
        <v>0</v>
      </c>
      <c r="K905" s="16">
        <v>5.7999999999999996E-3</v>
      </c>
      <c r="L905" s="16">
        <v>2.647993798640278E-3</v>
      </c>
      <c r="M905" s="16">
        <v>3.3121769268892229E-3</v>
      </c>
      <c r="N905" s="16">
        <v>5.33E-2</v>
      </c>
      <c r="O905" s="16">
        <v>2.3496601199479328E-2</v>
      </c>
      <c r="P905" s="95"/>
    </row>
    <row r="906" spans="1:16" x14ac:dyDescent="0.25">
      <c r="A906" s="16">
        <v>13</v>
      </c>
      <c r="B906" s="16">
        <v>437692.10856199998</v>
      </c>
      <c r="C906" s="16">
        <v>5688393.3324180003</v>
      </c>
      <c r="D906" s="31">
        <v>31</v>
      </c>
      <c r="E906" s="31" t="s">
        <v>40</v>
      </c>
      <c r="F906" s="31">
        <v>2013</v>
      </c>
      <c r="G906" s="16">
        <v>3.3399999999999999E-2</v>
      </c>
      <c r="H906" s="16">
        <v>1.3728944981564505E-2</v>
      </c>
      <c r="I906" s="16">
        <v>0.20610000000000001</v>
      </c>
      <c r="J906" s="16">
        <v>0.10620622156224181</v>
      </c>
      <c r="K906" s="16">
        <v>4.53E-2</v>
      </c>
      <c r="L906" s="16">
        <v>2.0681744668690449E-2</v>
      </c>
      <c r="M906" s="16">
        <v>-6.9527996871259438E-3</v>
      </c>
      <c r="N906" s="16">
        <v>0.13930000000000001</v>
      </c>
      <c r="O906" s="16">
        <v>6.1408565611397188E-2</v>
      </c>
      <c r="P906" s="95"/>
    </row>
    <row r="907" spans="1:16" x14ac:dyDescent="0.25">
      <c r="A907" s="35">
        <v>14</v>
      </c>
      <c r="B907" s="35">
        <v>437811.10856199998</v>
      </c>
      <c r="C907" s="35">
        <v>5688393.3324180003</v>
      </c>
      <c r="D907" s="96">
        <v>31</v>
      </c>
      <c r="E907" s="96" t="s">
        <v>40</v>
      </c>
      <c r="F907" s="96">
        <v>2013</v>
      </c>
      <c r="G907" s="96" t="s">
        <v>18</v>
      </c>
      <c r="H907" s="96" t="s">
        <v>18</v>
      </c>
      <c r="I907" s="96" t="s">
        <v>18</v>
      </c>
      <c r="J907" s="96" t="s">
        <v>18</v>
      </c>
      <c r="K907" s="96" t="s">
        <v>18</v>
      </c>
      <c r="L907" s="96" t="s">
        <v>18</v>
      </c>
      <c r="M907" s="96" t="s">
        <v>18</v>
      </c>
      <c r="N907" s="96" t="s">
        <v>18</v>
      </c>
      <c r="O907" s="96" t="s">
        <v>18</v>
      </c>
      <c r="P907" s="94" t="s">
        <v>21</v>
      </c>
    </row>
    <row r="908" spans="1:16" x14ac:dyDescent="0.25">
      <c r="A908" s="16">
        <v>15</v>
      </c>
      <c r="B908" s="16">
        <v>437930.10856199998</v>
      </c>
      <c r="C908" s="16">
        <v>5688393.3324180003</v>
      </c>
      <c r="D908" s="31">
        <v>31</v>
      </c>
      <c r="E908" s="31" t="s">
        <v>40</v>
      </c>
      <c r="F908" s="31">
        <v>2013</v>
      </c>
      <c r="G908" s="16">
        <v>5.7700000000000001E-2</v>
      </c>
      <c r="H908" s="16">
        <v>2.3717369025038081E-2</v>
      </c>
      <c r="I908" s="16">
        <v>0.19090000000000001</v>
      </c>
      <c r="J908" s="16">
        <v>9.8373448307772754E-2</v>
      </c>
      <c r="K908" s="16">
        <v>2E-3</v>
      </c>
      <c r="L908" s="16">
        <v>9.1310130987595794E-4</v>
      </c>
      <c r="M908" s="16">
        <v>2.2804267715162124E-2</v>
      </c>
      <c r="N908" s="16">
        <v>0.109</v>
      </c>
      <c r="O908" s="16">
        <v>4.8051210708128456E-2</v>
      </c>
      <c r="P908" s="95"/>
    </row>
    <row r="909" spans="1:16" x14ac:dyDescent="0.25">
      <c r="A909" s="16">
        <v>16</v>
      </c>
      <c r="B909" s="16">
        <v>438049.10856199998</v>
      </c>
      <c r="C909" s="16">
        <v>5688393.3324180003</v>
      </c>
      <c r="D909" s="31">
        <v>31</v>
      </c>
      <c r="E909" s="31" t="s">
        <v>40</v>
      </c>
      <c r="F909" s="31">
        <v>2013</v>
      </c>
      <c r="G909" s="16">
        <v>4.7799999999999995E-2</v>
      </c>
      <c r="H909" s="16">
        <v>1.9648011081400695E-2</v>
      </c>
      <c r="I909" s="16">
        <v>0.25019999999999998</v>
      </c>
      <c r="J909" s="16">
        <v>0.1289315702808001</v>
      </c>
      <c r="K909" s="16">
        <v>9.4999999999999998E-3</v>
      </c>
      <c r="L909" s="16">
        <v>4.3372312219108001E-3</v>
      </c>
      <c r="M909" s="16">
        <v>1.5310779859489896E-2</v>
      </c>
      <c r="N909" s="16">
        <v>2.86E-2</v>
      </c>
      <c r="O909" s="16">
        <v>1.2607932350940126E-2</v>
      </c>
      <c r="P909" s="95"/>
    </row>
    <row r="910" spans="1:16" x14ac:dyDescent="0.25">
      <c r="A910" s="16">
        <v>17</v>
      </c>
      <c r="B910" s="16">
        <v>438168.10856199998</v>
      </c>
      <c r="C910" s="16">
        <v>5688393.3324180003</v>
      </c>
      <c r="D910" s="31">
        <v>31</v>
      </c>
      <c r="E910" s="31" t="s">
        <v>40</v>
      </c>
      <c r="F910" s="31">
        <v>2013</v>
      </c>
      <c r="G910" s="16">
        <v>8.6E-3</v>
      </c>
      <c r="H910" s="16">
        <v>3.5349978096243934E-3</v>
      </c>
      <c r="I910" s="16">
        <v>0</v>
      </c>
      <c r="J910" s="16">
        <v>0</v>
      </c>
      <c r="K910" s="16">
        <v>9.4000000000000004E-3</v>
      </c>
      <c r="L910" s="16">
        <v>4.2915761564170027E-3</v>
      </c>
      <c r="M910" s="16">
        <v>-7.5657834679260932E-4</v>
      </c>
      <c r="N910" s="16">
        <v>0</v>
      </c>
      <c r="O910" s="16">
        <v>0</v>
      </c>
      <c r="P910" s="95"/>
    </row>
    <row r="911" spans="1:16" x14ac:dyDescent="0.25">
      <c r="A911" s="16">
        <v>18</v>
      </c>
      <c r="B911" s="16">
        <v>438287.10856199998</v>
      </c>
      <c r="C911" s="16">
        <v>5688393.3324180003</v>
      </c>
      <c r="D911" s="31">
        <v>31</v>
      </c>
      <c r="E911" s="31" t="s">
        <v>40</v>
      </c>
      <c r="F911" s="31">
        <v>2013</v>
      </c>
      <c r="G911" s="16">
        <v>5.4799999999999995E-2</v>
      </c>
      <c r="H911" s="16">
        <v>2.252533487993218E-2</v>
      </c>
      <c r="I911" s="16">
        <v>1.4999999999999999E-2</v>
      </c>
      <c r="J911" s="16">
        <v>7.7297104484892144E-3</v>
      </c>
      <c r="K911" s="16">
        <v>4.4999999999999997E-3</v>
      </c>
      <c r="L911" s="16">
        <v>2.0544779472209053E-3</v>
      </c>
      <c r="M911" s="16">
        <v>2.0470856932711275E-2</v>
      </c>
      <c r="N911" s="16">
        <v>0</v>
      </c>
      <c r="O911" s="16">
        <v>0</v>
      </c>
      <c r="P911" s="95"/>
    </row>
    <row r="912" spans="1:16" x14ac:dyDescent="0.25">
      <c r="A912" s="16">
        <v>19</v>
      </c>
      <c r="B912" s="16">
        <v>438406.10856199998</v>
      </c>
      <c r="C912" s="16">
        <v>5688393.3324180003</v>
      </c>
      <c r="D912" s="31">
        <v>31</v>
      </c>
      <c r="E912" s="31" t="s">
        <v>40</v>
      </c>
      <c r="F912" s="31">
        <v>2013</v>
      </c>
      <c r="G912" s="16">
        <v>6.1100000000000002E-2</v>
      </c>
      <c r="H912" s="16">
        <v>2.5114926298610517E-2</v>
      </c>
      <c r="I912" s="16">
        <v>0</v>
      </c>
      <c r="J912" s="16">
        <v>0</v>
      </c>
      <c r="K912" s="16">
        <v>6.3E-3</v>
      </c>
      <c r="L912" s="16">
        <v>2.8762691261092674E-3</v>
      </c>
      <c r="M912" s="16">
        <v>2.2238657172501251E-2</v>
      </c>
      <c r="N912" s="16">
        <v>0</v>
      </c>
      <c r="O912" s="16">
        <v>0</v>
      </c>
      <c r="P912" s="95"/>
    </row>
    <row r="913" spans="1:16" x14ac:dyDescent="0.25">
      <c r="A913" s="16">
        <v>20</v>
      </c>
      <c r="B913" s="16">
        <v>437335.10856199998</v>
      </c>
      <c r="C913" s="16">
        <v>5688512.3324180003</v>
      </c>
      <c r="D913" s="31">
        <v>31</v>
      </c>
      <c r="E913" s="31" t="s">
        <v>40</v>
      </c>
      <c r="F913" s="31">
        <v>2013</v>
      </c>
      <c r="G913" s="16">
        <v>2.1999999999999999E-2</v>
      </c>
      <c r="H913" s="16">
        <v>9.0430176525275185E-3</v>
      </c>
      <c r="I913" s="16">
        <v>4.58E-2</v>
      </c>
      <c r="J913" s="16">
        <v>2.3601382569387069E-2</v>
      </c>
      <c r="K913" s="16">
        <v>2.5000000000000001E-3</v>
      </c>
      <c r="L913" s="16">
        <v>1.1413766373449474E-3</v>
      </c>
      <c r="M913" s="16">
        <v>7.9016410151825714E-3</v>
      </c>
      <c r="N913" s="16">
        <v>6.9000000000000008E-3</v>
      </c>
      <c r="O913" s="16">
        <v>3.0417738888631777E-3</v>
      </c>
      <c r="P913" s="95"/>
    </row>
    <row r="914" spans="1:16" x14ac:dyDescent="0.25">
      <c r="A914" s="16">
        <v>21</v>
      </c>
      <c r="B914" s="16">
        <v>437454.10856199998</v>
      </c>
      <c r="C914" s="16">
        <v>5688512.3324180003</v>
      </c>
      <c r="D914" s="31">
        <v>31</v>
      </c>
      <c r="E914" s="31" t="s">
        <v>40</v>
      </c>
      <c r="F914" s="31">
        <v>2013</v>
      </c>
      <c r="G914" s="16">
        <v>6.4000000000000003E-3</v>
      </c>
      <c r="H914" s="16">
        <v>2.6306960443716419E-3</v>
      </c>
      <c r="I914" s="16">
        <v>0</v>
      </c>
      <c r="J914" s="16">
        <v>0</v>
      </c>
      <c r="K914" s="16">
        <v>2E-3</v>
      </c>
      <c r="L914" s="16">
        <v>9.1310130987595794E-4</v>
      </c>
      <c r="M914" s="16">
        <v>1.7175947344956839E-3</v>
      </c>
      <c r="N914" s="16">
        <v>0</v>
      </c>
      <c r="O914" s="16">
        <v>0</v>
      </c>
      <c r="P914" s="95"/>
    </row>
    <row r="915" spans="1:16" x14ac:dyDescent="0.25">
      <c r="A915" s="16">
        <v>22</v>
      </c>
      <c r="B915" s="16">
        <v>437573.10856199998</v>
      </c>
      <c r="C915" s="16">
        <v>5688512.3324180003</v>
      </c>
      <c r="D915" s="31">
        <v>31</v>
      </c>
      <c r="E915" s="31" t="s">
        <v>40</v>
      </c>
      <c r="F915" s="31">
        <v>2013</v>
      </c>
      <c r="G915" s="16">
        <v>7.8900000000000012E-2</v>
      </c>
      <c r="H915" s="16">
        <v>3.2431549672019153E-2</v>
      </c>
      <c r="I915" s="16">
        <v>0.57979999999999998</v>
      </c>
      <c r="J915" s="16">
        <v>0.2987790745356031</v>
      </c>
      <c r="K915" s="16">
        <v>4.2000000000000006E-3</v>
      </c>
      <c r="L915" s="16">
        <v>1.9175127507395119E-3</v>
      </c>
      <c r="M915" s="16">
        <v>3.0514036921279641E-2</v>
      </c>
      <c r="N915" s="16">
        <v>4.7200000000000006E-2</v>
      </c>
      <c r="O915" s="16">
        <v>2.0807496747006084E-2</v>
      </c>
      <c r="P915" s="95"/>
    </row>
    <row r="916" spans="1:16" x14ac:dyDescent="0.25">
      <c r="A916" s="16">
        <v>23</v>
      </c>
      <c r="B916" s="16">
        <v>437692.10856199998</v>
      </c>
      <c r="C916" s="16">
        <v>5688512.3324180003</v>
      </c>
      <c r="D916" s="31">
        <v>31</v>
      </c>
      <c r="E916" s="31" t="s">
        <v>40</v>
      </c>
      <c r="F916" s="31">
        <v>2013</v>
      </c>
      <c r="G916" s="16">
        <v>1.1800000000000001E-2</v>
      </c>
      <c r="H916" s="16">
        <v>4.8503458318102152E-3</v>
      </c>
      <c r="I916" s="16">
        <v>0</v>
      </c>
      <c r="J916" s="16">
        <v>0</v>
      </c>
      <c r="K916" s="16">
        <v>8.0000000000000002E-3</v>
      </c>
      <c r="L916" s="16">
        <v>3.6524052395038318E-3</v>
      </c>
      <c r="M916" s="16">
        <v>1.1979405923063834E-3</v>
      </c>
      <c r="N916" s="16">
        <v>8.8200000000000001E-2</v>
      </c>
      <c r="O916" s="16">
        <v>3.8881805361990179E-2</v>
      </c>
      <c r="P916" s="95"/>
    </row>
    <row r="917" spans="1:16" x14ac:dyDescent="0.25">
      <c r="A917" s="16">
        <v>24</v>
      </c>
      <c r="B917" s="16">
        <v>437811.10856199998</v>
      </c>
      <c r="C917" s="16">
        <v>5688512.3324180003</v>
      </c>
      <c r="D917" s="31">
        <v>31</v>
      </c>
      <c r="E917" s="31" t="s">
        <v>40</v>
      </c>
      <c r="F917" s="31">
        <v>2013</v>
      </c>
      <c r="G917" s="16">
        <v>5.0799999999999998E-2</v>
      </c>
      <c r="H917" s="16">
        <v>2.0881149852199906E-2</v>
      </c>
      <c r="I917" s="16">
        <v>0.19340000000000002</v>
      </c>
      <c r="J917" s="16">
        <v>9.9661733382520948E-2</v>
      </c>
      <c r="K917" s="16">
        <v>3.8E-3</v>
      </c>
      <c r="L917" s="16">
        <v>1.7348924887643201E-3</v>
      </c>
      <c r="M917" s="16">
        <v>1.9146257363435587E-2</v>
      </c>
      <c r="N917" s="16">
        <v>2.8500000000000001E-2</v>
      </c>
      <c r="O917" s="16">
        <v>1.2563848671391384E-2</v>
      </c>
      <c r="P917" s="95"/>
    </row>
    <row r="918" spans="1:16" x14ac:dyDescent="0.25">
      <c r="A918" s="16">
        <v>25</v>
      </c>
      <c r="B918" s="16">
        <v>437995</v>
      </c>
      <c r="C918" s="16">
        <v>5688493</v>
      </c>
      <c r="D918" s="31">
        <v>31</v>
      </c>
      <c r="E918" s="31" t="s">
        <v>40</v>
      </c>
      <c r="F918" s="31">
        <v>2013</v>
      </c>
      <c r="G918" s="16">
        <v>1.3699999999999999E-2</v>
      </c>
      <c r="H918" s="16">
        <v>5.6313337199830451E-3</v>
      </c>
      <c r="I918" s="16">
        <v>3.85E-2</v>
      </c>
      <c r="J918" s="16">
        <v>1.9839590151122317E-2</v>
      </c>
      <c r="K918" s="16">
        <v>2E-3</v>
      </c>
      <c r="L918" s="16">
        <v>9.1310130987595794E-4</v>
      </c>
      <c r="M918" s="16">
        <v>4.7182324101070873E-3</v>
      </c>
      <c r="N918" s="16">
        <v>0</v>
      </c>
      <c r="O918" s="16">
        <v>0</v>
      </c>
      <c r="P918" s="95"/>
    </row>
    <row r="919" spans="1:16" x14ac:dyDescent="0.25">
      <c r="A919" s="16">
        <v>26</v>
      </c>
      <c r="B919" s="16">
        <v>438112</v>
      </c>
      <c r="C919" s="16">
        <v>5688567</v>
      </c>
      <c r="D919" s="31">
        <v>31</v>
      </c>
      <c r="E919" s="31" t="s">
        <v>40</v>
      </c>
      <c r="F919" s="31">
        <v>2013</v>
      </c>
      <c r="G919" s="16">
        <v>2.6699999999999998E-2</v>
      </c>
      <c r="H919" s="16">
        <v>1.0974935060112942E-2</v>
      </c>
      <c r="I919" s="16">
        <v>0</v>
      </c>
      <c r="J919" s="16">
        <v>0</v>
      </c>
      <c r="K919" s="16">
        <v>1.4800000000000001E-2</v>
      </c>
      <c r="L919" s="16">
        <v>6.7569496930820891E-3</v>
      </c>
      <c r="M919" s="16">
        <v>4.2179853670308532E-3</v>
      </c>
      <c r="N919" s="16">
        <v>0</v>
      </c>
      <c r="O919" s="16">
        <v>0</v>
      </c>
      <c r="P919" s="95"/>
    </row>
    <row r="920" spans="1:16" x14ac:dyDescent="0.25">
      <c r="A920" s="35">
        <v>27</v>
      </c>
      <c r="B920" s="35">
        <v>438168.10856199998</v>
      </c>
      <c r="C920" s="35">
        <v>5688512.3324180003</v>
      </c>
      <c r="D920" s="96">
        <v>31</v>
      </c>
      <c r="E920" s="96" t="s">
        <v>40</v>
      </c>
      <c r="F920" s="96">
        <v>2013</v>
      </c>
      <c r="G920" s="96" t="s">
        <v>18</v>
      </c>
      <c r="H920" s="96" t="s">
        <v>18</v>
      </c>
      <c r="I920" s="96" t="s">
        <v>18</v>
      </c>
      <c r="J920" s="96" t="s">
        <v>18</v>
      </c>
      <c r="K920" s="96" t="s">
        <v>18</v>
      </c>
      <c r="L920" s="96" t="s">
        <v>18</v>
      </c>
      <c r="M920" s="96" t="s">
        <v>18</v>
      </c>
      <c r="N920" s="96" t="s">
        <v>18</v>
      </c>
      <c r="O920" s="96" t="s">
        <v>18</v>
      </c>
      <c r="P920" s="94" t="s">
        <v>21</v>
      </c>
    </row>
    <row r="921" spans="1:16" x14ac:dyDescent="0.25">
      <c r="A921" s="35">
        <v>28</v>
      </c>
      <c r="B921" s="35">
        <v>438287.10856199998</v>
      </c>
      <c r="C921" s="35">
        <v>5688512.3324180003</v>
      </c>
      <c r="D921" s="96">
        <v>31</v>
      </c>
      <c r="E921" s="96" t="s">
        <v>40</v>
      </c>
      <c r="F921" s="96">
        <v>2013</v>
      </c>
      <c r="G921" s="96" t="s">
        <v>18</v>
      </c>
      <c r="H921" s="96" t="s">
        <v>18</v>
      </c>
      <c r="I921" s="96" t="s">
        <v>18</v>
      </c>
      <c r="J921" s="96" t="s">
        <v>18</v>
      </c>
      <c r="K921" s="96" t="s">
        <v>18</v>
      </c>
      <c r="L921" s="96" t="s">
        <v>18</v>
      </c>
      <c r="M921" s="96" t="s">
        <v>18</v>
      </c>
      <c r="N921" s="96" t="s">
        <v>18</v>
      </c>
      <c r="O921" s="96" t="s">
        <v>18</v>
      </c>
      <c r="P921" s="94" t="s">
        <v>21</v>
      </c>
    </row>
    <row r="922" spans="1:16" x14ac:dyDescent="0.25">
      <c r="A922" s="16">
        <v>29</v>
      </c>
      <c r="B922" s="16">
        <v>438381</v>
      </c>
      <c r="C922" s="16">
        <v>5688526</v>
      </c>
      <c r="D922" s="31">
        <v>30</v>
      </c>
      <c r="E922" s="31" t="s">
        <v>40</v>
      </c>
      <c r="F922" s="31">
        <v>2013</v>
      </c>
      <c r="G922" s="16">
        <v>6.9199999999999998E-2</v>
      </c>
      <c r="H922" s="16">
        <v>2.3332665625140477E-2</v>
      </c>
      <c r="I922" s="16">
        <v>0</v>
      </c>
      <c r="J922" s="16">
        <v>0</v>
      </c>
      <c r="K922" s="16">
        <v>1.8699999999999998E-2</v>
      </c>
      <c r="L922" s="16">
        <v>8.8592675990462021E-3</v>
      </c>
      <c r="M922" s="16">
        <v>1.4473398026094274E-2</v>
      </c>
      <c r="N922" s="16">
        <v>0</v>
      </c>
      <c r="O922" s="16">
        <v>0</v>
      </c>
      <c r="P922" s="95"/>
    </row>
    <row r="923" spans="1:16" x14ac:dyDescent="0.25">
      <c r="A923" s="16">
        <v>30</v>
      </c>
      <c r="B923" s="16">
        <v>438525.10856199998</v>
      </c>
      <c r="C923" s="16">
        <v>5688512.3324180003</v>
      </c>
      <c r="D923" s="31">
        <v>30</v>
      </c>
      <c r="E923" s="31" t="s">
        <v>40</v>
      </c>
      <c r="F923" s="31">
        <v>2013</v>
      </c>
      <c r="G923" s="16">
        <v>2.2800000000000001E-2</v>
      </c>
      <c r="H923" s="16">
        <v>7.6876412753353017E-3</v>
      </c>
      <c r="I923" s="16">
        <v>0</v>
      </c>
      <c r="J923" s="16">
        <v>0</v>
      </c>
      <c r="K923" s="16">
        <v>6.1999999999999998E-3</v>
      </c>
      <c r="L923" s="16">
        <v>2.9372972788281526E-3</v>
      </c>
      <c r="M923" s="16">
        <v>4.7503439965071491E-3</v>
      </c>
      <c r="N923" s="16">
        <v>0</v>
      </c>
      <c r="O923" s="16">
        <v>0</v>
      </c>
      <c r="P923" s="95"/>
    </row>
    <row r="924" spans="1:16" x14ac:dyDescent="0.25">
      <c r="A924" s="16">
        <v>31</v>
      </c>
      <c r="B924" s="16">
        <v>437335.10856199998</v>
      </c>
      <c r="C924" s="16">
        <v>5688631.3324180003</v>
      </c>
      <c r="D924" s="31">
        <v>31</v>
      </c>
      <c r="E924" s="31" t="s">
        <v>40</v>
      </c>
      <c r="F924" s="31">
        <v>2013</v>
      </c>
      <c r="G924" s="16">
        <v>1.2999999999999999E-3</v>
      </c>
      <c r="H924" s="16">
        <v>5.3436013401298972E-4</v>
      </c>
      <c r="I924" s="16">
        <v>0</v>
      </c>
      <c r="J924" s="16">
        <v>0</v>
      </c>
      <c r="K924" s="16">
        <v>8.9999999999999998E-4</v>
      </c>
      <c r="L924" s="16">
        <v>4.1089558944418106E-4</v>
      </c>
      <c r="M924" s="16">
        <v>1.2346454456880866E-4</v>
      </c>
      <c r="N924" s="16">
        <v>0</v>
      </c>
      <c r="O924" s="16">
        <v>0</v>
      </c>
      <c r="P924" s="95"/>
    </row>
    <row r="925" spans="1:16" x14ac:dyDescent="0.25">
      <c r="A925" s="16">
        <v>32</v>
      </c>
      <c r="B925" s="16">
        <v>437454.10856199998</v>
      </c>
      <c r="C925" s="16">
        <v>5688631.3324180003</v>
      </c>
      <c r="D925" s="31">
        <v>31</v>
      </c>
      <c r="E925" s="31" t="s">
        <v>40</v>
      </c>
      <c r="F925" s="31">
        <v>2013</v>
      </c>
      <c r="G925" s="16">
        <v>7.7999999999999996E-3</v>
      </c>
      <c r="H925" s="16">
        <v>3.2061608040779379E-3</v>
      </c>
      <c r="I925" s="16">
        <v>0</v>
      </c>
      <c r="J925" s="16">
        <v>0</v>
      </c>
      <c r="K925" s="16">
        <v>2.9999999999999997E-4</v>
      </c>
      <c r="L925" s="16">
        <v>1.3696519648139367E-4</v>
      </c>
      <c r="M925" s="16">
        <v>3.0691956075965441E-3</v>
      </c>
      <c r="N925" s="16">
        <v>0</v>
      </c>
      <c r="O925" s="16">
        <v>0</v>
      </c>
      <c r="P925" s="95"/>
    </row>
    <row r="926" spans="1:16" x14ac:dyDescent="0.25">
      <c r="A926" s="16">
        <v>33</v>
      </c>
      <c r="B926" s="16">
        <v>437573.10856199998</v>
      </c>
      <c r="C926" s="16">
        <v>5688631.3324180003</v>
      </c>
      <c r="D926" s="31">
        <v>31</v>
      </c>
      <c r="E926" s="31" t="s">
        <v>40</v>
      </c>
      <c r="F926" s="31">
        <v>2013</v>
      </c>
      <c r="G926" s="16">
        <v>6.1999999999999998E-3</v>
      </c>
      <c r="H926" s="16">
        <v>2.5484867929850279E-3</v>
      </c>
      <c r="I926" s="16">
        <v>0</v>
      </c>
      <c r="J926" s="16">
        <v>0</v>
      </c>
      <c r="K926" s="16">
        <v>3.3E-3</v>
      </c>
      <c r="L926" s="16">
        <v>1.5066171612953306E-3</v>
      </c>
      <c r="M926" s="16">
        <v>1.0418696316896972E-3</v>
      </c>
      <c r="N926" s="16">
        <v>0</v>
      </c>
      <c r="O926" s="16">
        <v>0</v>
      </c>
      <c r="P926" s="95"/>
    </row>
    <row r="927" spans="1:16" x14ac:dyDescent="0.25">
      <c r="A927" s="16">
        <v>34</v>
      </c>
      <c r="B927" s="16">
        <v>437692.10856199998</v>
      </c>
      <c r="C927" s="16">
        <v>5688631.3324180003</v>
      </c>
      <c r="D927" s="31">
        <v>31</v>
      </c>
      <c r="E927" s="31" t="s">
        <v>40</v>
      </c>
      <c r="F927" s="31">
        <v>2013</v>
      </c>
      <c r="G927" s="16">
        <v>3.1800000000000002E-2</v>
      </c>
      <c r="H927" s="16">
        <v>1.3071270970471595E-2</v>
      </c>
      <c r="I927" s="16">
        <v>0</v>
      </c>
      <c r="J927" s="16">
        <v>0</v>
      </c>
      <c r="K927" s="16">
        <v>1.2500000000000001E-2</v>
      </c>
      <c r="L927" s="16">
        <v>5.7068831867247375E-3</v>
      </c>
      <c r="M927" s="16">
        <v>7.3643877837468574E-3</v>
      </c>
      <c r="N927" s="16">
        <v>0</v>
      </c>
      <c r="O927" s="16">
        <v>0</v>
      </c>
      <c r="P927" s="95"/>
    </row>
    <row r="928" spans="1:16" x14ac:dyDescent="0.25">
      <c r="A928" s="16">
        <v>35</v>
      </c>
      <c r="B928" s="16">
        <v>437893</v>
      </c>
      <c r="C928" s="16">
        <v>5688620</v>
      </c>
      <c r="D928" s="31">
        <v>31</v>
      </c>
      <c r="E928" s="31" t="s">
        <v>40</v>
      </c>
      <c r="F928" s="31">
        <v>2013</v>
      </c>
      <c r="G928" s="16">
        <v>6.4899999999999999E-2</v>
      </c>
      <c r="H928" s="16">
        <v>2.6676902074956179E-2</v>
      </c>
      <c r="I928" s="16">
        <v>2.5999999999999999E-3</v>
      </c>
      <c r="J928" s="16">
        <v>1.3398164777381305E-3</v>
      </c>
      <c r="K928" s="16">
        <v>3.5999999999999999E-3</v>
      </c>
      <c r="L928" s="16">
        <v>1.6435823577767242E-3</v>
      </c>
      <c r="M928" s="16">
        <v>2.5033319717179453E-2</v>
      </c>
      <c r="N928" s="16">
        <v>0</v>
      </c>
      <c r="O928" s="16">
        <v>0</v>
      </c>
      <c r="P928" s="95"/>
    </row>
    <row r="929" spans="1:16" x14ac:dyDescent="0.25">
      <c r="A929" s="16">
        <v>36</v>
      </c>
      <c r="B929" s="16">
        <v>437930.10856199998</v>
      </c>
      <c r="C929" s="16">
        <v>5688631.3324180003</v>
      </c>
      <c r="D929" s="31">
        <v>31</v>
      </c>
      <c r="E929" s="31" t="s">
        <v>40</v>
      </c>
      <c r="F929" s="31">
        <v>2013</v>
      </c>
      <c r="G929" s="16">
        <v>6.6200000000000009E-2</v>
      </c>
      <c r="H929" s="16">
        <v>2.7211262208969172E-2</v>
      </c>
      <c r="I929" s="16">
        <v>0</v>
      </c>
      <c r="J929" s="16">
        <v>0</v>
      </c>
      <c r="K929" s="16">
        <v>5.4000000000000003E-3</v>
      </c>
      <c r="L929" s="16">
        <v>2.4653735366650864E-3</v>
      </c>
      <c r="M929" s="16">
        <v>2.4745888672304085E-2</v>
      </c>
      <c r="N929" s="16">
        <v>1.2999999999999999E-3</v>
      </c>
      <c r="O929" s="16">
        <v>5.7308783413364205E-4</v>
      </c>
      <c r="P929" s="95"/>
    </row>
    <row r="930" spans="1:16" x14ac:dyDescent="0.25">
      <c r="A930" s="35">
        <v>37</v>
      </c>
      <c r="B930" s="35">
        <v>438049.10856199998</v>
      </c>
      <c r="C930" s="35">
        <v>5688631.3324180003</v>
      </c>
      <c r="D930" s="96">
        <v>31</v>
      </c>
      <c r="E930" s="96" t="s">
        <v>40</v>
      </c>
      <c r="F930" s="96">
        <v>2013</v>
      </c>
      <c r="G930" s="96" t="s">
        <v>18</v>
      </c>
      <c r="H930" s="96" t="s">
        <v>18</v>
      </c>
      <c r="I930" s="96" t="s">
        <v>18</v>
      </c>
      <c r="J930" s="96" t="s">
        <v>18</v>
      </c>
      <c r="K930" s="96" t="s">
        <v>18</v>
      </c>
      <c r="L930" s="96" t="s">
        <v>18</v>
      </c>
      <c r="M930" s="96" t="s">
        <v>18</v>
      </c>
      <c r="N930" s="96" t="s">
        <v>18</v>
      </c>
      <c r="O930" s="96" t="s">
        <v>18</v>
      </c>
      <c r="P930" s="94" t="s">
        <v>21</v>
      </c>
    </row>
    <row r="931" spans="1:16" x14ac:dyDescent="0.25">
      <c r="A931" s="16">
        <v>38</v>
      </c>
      <c r="B931" s="16">
        <v>438067</v>
      </c>
      <c r="C931" s="16">
        <v>5688710</v>
      </c>
      <c r="D931" s="31">
        <v>30</v>
      </c>
      <c r="E931" s="31" t="s">
        <v>40</v>
      </c>
      <c r="F931" s="31">
        <v>2013</v>
      </c>
      <c r="G931" s="16">
        <v>7.0400000000000004E-2</v>
      </c>
      <c r="H931" s="16">
        <v>2.3737278323842335E-2</v>
      </c>
      <c r="I931" s="16">
        <v>0</v>
      </c>
      <c r="J931" s="16">
        <v>0</v>
      </c>
      <c r="K931" s="16">
        <v>4.7000000000000002E-3</v>
      </c>
      <c r="L931" s="16">
        <v>2.2266608404019868E-3</v>
      </c>
      <c r="M931" s="16">
        <f>H931-L931</f>
        <v>2.1510617483440349E-2</v>
      </c>
      <c r="N931" s="16">
        <v>0</v>
      </c>
      <c r="O931" s="16">
        <v>0</v>
      </c>
      <c r="P931" s="95"/>
    </row>
    <row r="932" spans="1:16" x14ac:dyDescent="0.25">
      <c r="A932" s="35">
        <v>39</v>
      </c>
      <c r="B932" s="35">
        <v>438287.10856199998</v>
      </c>
      <c r="C932" s="35">
        <v>5688631.3324180003</v>
      </c>
      <c r="D932" s="96">
        <v>31</v>
      </c>
      <c r="E932" s="96" t="s">
        <v>40</v>
      </c>
      <c r="F932" s="96">
        <v>2013</v>
      </c>
      <c r="G932" s="96" t="s">
        <v>18</v>
      </c>
      <c r="H932" s="96" t="s">
        <v>18</v>
      </c>
      <c r="I932" s="96" t="s">
        <v>18</v>
      </c>
      <c r="J932" s="96" t="s">
        <v>18</v>
      </c>
      <c r="K932" s="96" t="s">
        <v>18</v>
      </c>
      <c r="L932" s="96" t="s">
        <v>18</v>
      </c>
      <c r="M932" s="96" t="s">
        <v>18</v>
      </c>
      <c r="N932" s="96" t="s">
        <v>18</v>
      </c>
      <c r="O932" s="96" t="s">
        <v>18</v>
      </c>
      <c r="P932" s="94" t="s">
        <v>22</v>
      </c>
    </row>
    <row r="933" spans="1:16" x14ac:dyDescent="0.25">
      <c r="A933" s="16">
        <v>40</v>
      </c>
      <c r="B933" s="16">
        <v>438406.10856199998</v>
      </c>
      <c r="C933" s="16">
        <v>5688631.3324180003</v>
      </c>
      <c r="D933" s="31">
        <v>30</v>
      </c>
      <c r="E933" s="31" t="s">
        <v>40</v>
      </c>
      <c r="F933" s="31">
        <v>2013</v>
      </c>
      <c r="G933" s="16">
        <v>3.5099999999999999E-2</v>
      </c>
      <c r="H933" s="16">
        <v>1.1834921437029347E-2</v>
      </c>
      <c r="I933" s="16">
        <v>4.7000000000000002E-3</v>
      </c>
      <c r="J933" s="16">
        <v>1.9031479919652948E-3</v>
      </c>
      <c r="K933" s="16">
        <v>6.3E-3</v>
      </c>
      <c r="L933" s="16">
        <v>2.9846730413898973E-3</v>
      </c>
      <c r="M933" s="16">
        <v>8.8502483956394498E-3</v>
      </c>
      <c r="N933" s="16">
        <v>0</v>
      </c>
      <c r="O933" s="16">
        <v>0</v>
      </c>
      <c r="P933" s="95"/>
    </row>
    <row r="934" spans="1:16" x14ac:dyDescent="0.25">
      <c r="A934" s="16">
        <v>41</v>
      </c>
      <c r="B934" s="16">
        <v>437310</v>
      </c>
      <c r="C934" s="16">
        <v>5688729</v>
      </c>
      <c r="D934" s="31">
        <v>31</v>
      </c>
      <c r="E934" s="31" t="s">
        <v>40</v>
      </c>
      <c r="F934" s="31">
        <v>2013</v>
      </c>
      <c r="G934" s="16">
        <v>2.3699999999999999E-2</v>
      </c>
      <c r="H934" s="16">
        <v>9.7417962893137349E-3</v>
      </c>
      <c r="I934" s="16">
        <v>1.0999999999999999E-2</v>
      </c>
      <c r="J934" s="16">
        <v>5.6684543288920905E-3</v>
      </c>
      <c r="K934" s="16">
        <v>6.3E-3</v>
      </c>
      <c r="L934" s="16">
        <v>2.8762691261092674E-3</v>
      </c>
      <c r="M934" s="16">
        <v>6.865527163204467E-3</v>
      </c>
      <c r="N934" s="16">
        <v>3.3E-3</v>
      </c>
      <c r="O934" s="16">
        <v>1.4547614251084761E-3</v>
      </c>
      <c r="P934" s="95"/>
    </row>
    <row r="935" spans="1:16" x14ac:dyDescent="0.25">
      <c r="A935" s="16">
        <v>42</v>
      </c>
      <c r="B935" s="16">
        <v>437454.10856199998</v>
      </c>
      <c r="C935" s="16">
        <v>5688750.3324180003</v>
      </c>
      <c r="D935" s="31">
        <v>31</v>
      </c>
      <c r="E935" s="31" t="s">
        <v>40</v>
      </c>
      <c r="F935" s="31">
        <v>2013</v>
      </c>
      <c r="G935" s="16">
        <v>3.44E-2</v>
      </c>
      <c r="H935" s="16">
        <v>1.4139991238497573E-2</v>
      </c>
      <c r="I935" s="16">
        <v>0</v>
      </c>
      <c r="J935" s="16">
        <v>0</v>
      </c>
      <c r="K935" s="16">
        <v>6.1999999999999998E-3</v>
      </c>
      <c r="L935" s="16">
        <v>2.8306140606154696E-3</v>
      </c>
      <c r="M935" s="16">
        <v>1.1309377177882104E-2</v>
      </c>
      <c r="N935" s="16">
        <v>4.7000000000000002E-3</v>
      </c>
      <c r="O935" s="16">
        <v>2.07193293879086E-3</v>
      </c>
      <c r="P935" s="95"/>
    </row>
    <row r="936" spans="1:16" x14ac:dyDescent="0.25">
      <c r="A936" s="16">
        <v>43</v>
      </c>
      <c r="B936" s="16">
        <v>437573.10856199998</v>
      </c>
      <c r="C936" s="16">
        <v>5688750.3324180003</v>
      </c>
      <c r="D936" s="31">
        <v>31</v>
      </c>
      <c r="E936" s="31" t="s">
        <v>40</v>
      </c>
      <c r="F936" s="31">
        <v>2013</v>
      </c>
      <c r="G936" s="16">
        <v>2.1499999999999998E-2</v>
      </c>
      <c r="H936" s="16">
        <v>8.8374945240609834E-3</v>
      </c>
      <c r="I936" s="16">
        <v>4.0999999999999995E-3</v>
      </c>
      <c r="J936" s="16">
        <v>2.1127875225870518E-3</v>
      </c>
      <c r="K936" s="16">
        <v>4.2000000000000006E-3</v>
      </c>
      <c r="L936" s="16">
        <v>1.9175127507395119E-3</v>
      </c>
      <c r="M936" s="16">
        <v>6.9199817733214715E-3</v>
      </c>
      <c r="N936" s="16">
        <v>0</v>
      </c>
      <c r="O936" s="16">
        <v>0</v>
      </c>
      <c r="P936" s="95"/>
    </row>
    <row r="937" spans="1:16" x14ac:dyDescent="0.25">
      <c r="A937" s="16">
        <v>44</v>
      </c>
      <c r="B937" s="16">
        <v>437692.10856199998</v>
      </c>
      <c r="C937" s="16">
        <v>5688750.3324180003</v>
      </c>
      <c r="D937" s="31">
        <v>31</v>
      </c>
      <c r="E937" s="31" t="s">
        <v>40</v>
      </c>
      <c r="F937" s="31">
        <v>2013</v>
      </c>
      <c r="G937" s="16">
        <v>5.0299999999999997E-2</v>
      </c>
      <c r="H937" s="16">
        <v>2.0675626723733371E-2</v>
      </c>
      <c r="I937" s="16">
        <v>0</v>
      </c>
      <c r="J937" s="16">
        <v>0</v>
      </c>
      <c r="K937" s="16">
        <v>5.1999999999999998E-3</v>
      </c>
      <c r="L937" s="16">
        <v>2.3740634056774903E-3</v>
      </c>
      <c r="M937" s="16">
        <v>1.830156331805588E-2</v>
      </c>
      <c r="N937" s="16">
        <v>0</v>
      </c>
      <c r="O937" s="16">
        <v>0</v>
      </c>
      <c r="P937" s="95"/>
    </row>
    <row r="938" spans="1:16" x14ac:dyDescent="0.25">
      <c r="A938" s="16">
        <v>45</v>
      </c>
      <c r="B938" s="16">
        <v>437811.10856199998</v>
      </c>
      <c r="C938" s="16">
        <v>5688750.3324180003</v>
      </c>
      <c r="D938" s="31">
        <v>30</v>
      </c>
      <c r="E938" s="31" t="s">
        <v>40</v>
      </c>
      <c r="F938" s="31">
        <v>2013</v>
      </c>
      <c r="G938" s="16">
        <v>1.15E-2</v>
      </c>
      <c r="H938" s="16">
        <v>3.8775383625594723E-3</v>
      </c>
      <c r="I938" s="16">
        <v>0</v>
      </c>
      <c r="J938" s="16">
        <v>0</v>
      </c>
      <c r="K938" s="16">
        <v>2.5999999999999999E-3</v>
      </c>
      <c r="L938" s="16">
        <v>1.2317698266053544E-3</v>
      </c>
      <c r="M938" s="16">
        <v>2.6457685359541176E-3</v>
      </c>
      <c r="N938" s="16">
        <v>0</v>
      </c>
      <c r="O938" s="16">
        <v>0</v>
      </c>
      <c r="P938" s="95"/>
    </row>
    <row r="939" spans="1:16" x14ac:dyDescent="0.25">
      <c r="A939" s="16">
        <v>46</v>
      </c>
      <c r="B939" s="16">
        <v>437930.10856199998</v>
      </c>
      <c r="C939" s="16">
        <v>5688750.3324180003</v>
      </c>
      <c r="D939" s="31">
        <v>30</v>
      </c>
      <c r="E939" s="31" t="s">
        <v>40</v>
      </c>
      <c r="F939" s="31">
        <v>2013</v>
      </c>
      <c r="G939" s="16">
        <v>2.2699999999999998E-2</v>
      </c>
      <c r="H939" s="16">
        <v>7.6539235504434798E-3</v>
      </c>
      <c r="I939" s="16">
        <v>0</v>
      </c>
      <c r="J939" s="16">
        <v>0</v>
      </c>
      <c r="K939" s="16">
        <v>5.5999999999999999E-3</v>
      </c>
      <c r="L939" s="16">
        <v>2.6530427034576862E-3</v>
      </c>
      <c r="M939" s="16">
        <v>5.0008808469857932E-3</v>
      </c>
      <c r="N939" s="16">
        <v>8.9400000000000007E-2</v>
      </c>
      <c r="O939" s="16">
        <v>3.909804071108277E-2</v>
      </c>
      <c r="P939" s="95"/>
    </row>
    <row r="940" spans="1:16" x14ac:dyDescent="0.25">
      <c r="A940" s="16">
        <v>47</v>
      </c>
      <c r="B940" s="16">
        <v>438061</v>
      </c>
      <c r="C940" s="16">
        <v>5688779</v>
      </c>
      <c r="D940" s="31">
        <v>30</v>
      </c>
      <c r="E940" s="31" t="s">
        <v>40</v>
      </c>
      <c r="F940" s="31">
        <v>2013</v>
      </c>
      <c r="G940" s="16">
        <v>6.8599999999999994E-2</v>
      </c>
      <c r="H940" s="16">
        <v>2.3130359275789547E-2</v>
      </c>
      <c r="I940" s="16">
        <v>0</v>
      </c>
      <c r="J940" s="16">
        <v>0</v>
      </c>
      <c r="K940" s="16">
        <v>1.4800000000000001E-2</v>
      </c>
      <c r="L940" s="16">
        <v>7.0116128591381716E-3</v>
      </c>
      <c r="M940" s="16">
        <v>1.6118746416651376E-2</v>
      </c>
      <c r="N940" s="16">
        <v>3.1199999999999999E-2</v>
      </c>
      <c r="O940" s="16">
        <v>1.3644953805210093E-2</v>
      </c>
      <c r="P940" s="95"/>
    </row>
    <row r="941" spans="1:16" x14ac:dyDescent="0.25">
      <c r="A941" s="35">
        <v>48</v>
      </c>
      <c r="B941" s="35">
        <v>438168.10856199998</v>
      </c>
      <c r="C941" s="35">
        <v>5688750.3324180003</v>
      </c>
      <c r="D941" s="96">
        <v>31</v>
      </c>
      <c r="E941" s="96" t="s">
        <v>40</v>
      </c>
      <c r="F941" s="96">
        <v>2013</v>
      </c>
      <c r="G941" s="96" t="s">
        <v>18</v>
      </c>
      <c r="H941" s="96" t="s">
        <v>18</v>
      </c>
      <c r="I941" s="96" t="s">
        <v>18</v>
      </c>
      <c r="J941" s="96" t="s">
        <v>18</v>
      </c>
      <c r="K941" s="96" t="s">
        <v>18</v>
      </c>
      <c r="L941" s="96" t="s">
        <v>18</v>
      </c>
      <c r="M941" s="96" t="s">
        <v>18</v>
      </c>
      <c r="N941" s="96" t="s">
        <v>18</v>
      </c>
      <c r="O941" s="96" t="s">
        <v>18</v>
      </c>
      <c r="P941" s="94" t="s">
        <v>21</v>
      </c>
    </row>
    <row r="942" spans="1:16" x14ac:dyDescent="0.25">
      <c r="A942" s="16">
        <v>49</v>
      </c>
      <c r="B942" s="16">
        <v>437454.10856199998</v>
      </c>
      <c r="C942" s="16">
        <v>5688869.3324180003</v>
      </c>
      <c r="D942" s="31">
        <v>30</v>
      </c>
      <c r="E942" s="31" t="s">
        <v>40</v>
      </c>
      <c r="F942" s="31">
        <v>2013</v>
      </c>
      <c r="G942" s="16">
        <v>5.1200000000000002E-2</v>
      </c>
      <c r="H942" s="16">
        <v>1.7263475144612607E-2</v>
      </c>
      <c r="I942" s="16">
        <v>0</v>
      </c>
      <c r="J942" s="16">
        <v>0</v>
      </c>
      <c r="K942" s="16">
        <v>1.66E-2</v>
      </c>
      <c r="L942" s="16">
        <v>7.8643765852495703E-3</v>
      </c>
      <c r="M942" s="16">
        <v>9.3990985593630366E-3</v>
      </c>
      <c r="N942" s="16">
        <v>0</v>
      </c>
      <c r="O942" s="16">
        <v>0</v>
      </c>
      <c r="P942" s="95"/>
    </row>
    <row r="943" spans="1:16" x14ac:dyDescent="0.25">
      <c r="A943" s="16">
        <v>50</v>
      </c>
      <c r="B943" s="16">
        <v>437811.10856199998</v>
      </c>
      <c r="C943" s="16">
        <v>5688869.3324180003</v>
      </c>
      <c r="D943" s="31">
        <v>30</v>
      </c>
      <c r="E943" s="31" t="s">
        <v>40</v>
      </c>
      <c r="F943" s="31">
        <v>2013</v>
      </c>
      <c r="G943" s="16">
        <v>8.2599999999999993E-2</v>
      </c>
      <c r="H943" s="16">
        <v>2.7850840760644556E-2</v>
      </c>
      <c r="I943" s="16">
        <v>0</v>
      </c>
      <c r="J943" s="16">
        <v>0</v>
      </c>
      <c r="K943" s="16">
        <v>0</v>
      </c>
      <c r="L943" s="16">
        <v>0</v>
      </c>
      <c r="M943" s="16">
        <v>2.7850840760644556E-2</v>
      </c>
      <c r="N943" s="16">
        <v>0</v>
      </c>
      <c r="O943" s="16">
        <v>0</v>
      </c>
      <c r="P943" s="95"/>
    </row>
    <row r="944" spans="1:16" x14ac:dyDescent="0.25">
      <c r="A944" s="16">
        <v>51</v>
      </c>
      <c r="B944" s="16">
        <v>437930.10856199998</v>
      </c>
      <c r="C944" s="16">
        <v>5688869.3324180003</v>
      </c>
      <c r="D944" s="31">
        <v>30</v>
      </c>
      <c r="E944" s="31" t="s">
        <v>40</v>
      </c>
      <c r="F944" s="31">
        <v>2013</v>
      </c>
      <c r="G944" s="16">
        <v>0.189</v>
      </c>
      <c r="H944" s="16">
        <v>6.3726500045542631E-2</v>
      </c>
      <c r="I944" s="16">
        <v>2.3999999999999998E-3</v>
      </c>
      <c r="J944" s="16">
        <v>9.7182025121632072E-4</v>
      </c>
      <c r="K944" s="16">
        <v>1.55E-2</v>
      </c>
      <c r="L944" s="16">
        <v>7.3432431970703819E-3</v>
      </c>
      <c r="M944" s="16">
        <v>5.638325684847225E-2</v>
      </c>
      <c r="N944" s="16">
        <v>0</v>
      </c>
      <c r="O944" s="16">
        <v>0</v>
      </c>
      <c r="P944" s="95"/>
    </row>
    <row r="945" spans="1:19" x14ac:dyDescent="0.25">
      <c r="A945" s="16">
        <v>52</v>
      </c>
      <c r="B945" s="16">
        <v>438049.10856199998</v>
      </c>
      <c r="C945" s="16">
        <v>5688869.3324180003</v>
      </c>
      <c r="D945" s="31">
        <v>30</v>
      </c>
      <c r="E945" s="31" t="s">
        <v>40</v>
      </c>
      <c r="F945" s="31">
        <v>2013</v>
      </c>
      <c r="G945" s="16">
        <v>4.1299999999999996E-2</v>
      </c>
      <c r="H945" s="16">
        <v>1.3925420380322278E-2</v>
      </c>
      <c r="I945" s="16">
        <v>0.13739999999999999</v>
      </c>
      <c r="J945" s="16">
        <v>5.5636709382134358E-2</v>
      </c>
      <c r="K945" s="16">
        <v>1.9399999999999997E-2</v>
      </c>
      <c r="L945" s="16">
        <v>9.1908979369784115E-3</v>
      </c>
      <c r="M945" s="16">
        <v>4.7345224433438665E-3</v>
      </c>
      <c r="N945" s="16">
        <v>0.15509999999999999</v>
      </c>
      <c r="O945" s="16">
        <v>6.7831164589361712E-2</v>
      </c>
      <c r="P945" s="95"/>
    </row>
    <row r="946" spans="1:19" x14ac:dyDescent="0.25">
      <c r="A946" s="16">
        <v>53</v>
      </c>
      <c r="B946" s="16">
        <v>438287.10856199998</v>
      </c>
      <c r="C946" s="16">
        <v>5688869.3324180003</v>
      </c>
      <c r="D946" s="31">
        <v>30</v>
      </c>
      <c r="E946" s="31" t="s">
        <v>40</v>
      </c>
      <c r="F946" s="31">
        <v>2013</v>
      </c>
      <c r="G946" s="16">
        <v>1.77E-2</v>
      </c>
      <c r="H946" s="16">
        <v>5.9680373058524057E-3</v>
      </c>
      <c r="I946" s="16">
        <v>0</v>
      </c>
      <c r="J946" s="16">
        <v>0</v>
      </c>
      <c r="K946" s="16">
        <v>4.2000000000000006E-3</v>
      </c>
      <c r="L946" s="16">
        <v>1.9897820275932652E-3</v>
      </c>
      <c r="M946" s="16">
        <v>3.9782552782591405E-3</v>
      </c>
      <c r="N946" s="16">
        <v>5.4999999999999997E-3</v>
      </c>
      <c r="O946" s="16">
        <v>2.4053604464312666E-3</v>
      </c>
      <c r="P946" s="95"/>
    </row>
    <row r="947" spans="1:19" x14ac:dyDescent="0.25">
      <c r="A947" s="16">
        <v>54</v>
      </c>
      <c r="B947" s="16">
        <v>437454.10856199998</v>
      </c>
      <c r="C947" s="16">
        <v>5688988.3324180003</v>
      </c>
      <c r="D947" s="31">
        <v>30</v>
      </c>
      <c r="E947" s="31" t="s">
        <v>40</v>
      </c>
      <c r="F947" s="31">
        <v>2013</v>
      </c>
      <c r="G947" s="16">
        <v>7.4999999999999997E-3</v>
      </c>
      <c r="H947" s="16">
        <v>2.5288293668866125E-3</v>
      </c>
      <c r="I947" s="16">
        <v>2.1399999999999999E-2</v>
      </c>
      <c r="J947" s="16">
        <v>8.6653972400121924E-3</v>
      </c>
      <c r="K947" s="16">
        <v>4.5999999999999999E-3</v>
      </c>
      <c r="L947" s="16">
        <v>2.1792850778402425E-3</v>
      </c>
      <c r="M947" s="16">
        <v>3.4954428904636998E-4</v>
      </c>
      <c r="N947" s="16">
        <v>0</v>
      </c>
      <c r="O947" s="16">
        <v>0</v>
      </c>
      <c r="P947" s="95"/>
    </row>
    <row r="948" spans="1:19" x14ac:dyDescent="0.25">
      <c r="A948" s="16">
        <v>55</v>
      </c>
      <c r="B948" s="16">
        <v>438049.10856199998</v>
      </c>
      <c r="C948" s="16">
        <v>5688988.3324180003</v>
      </c>
      <c r="D948" s="31">
        <v>30</v>
      </c>
      <c r="E948" s="31" t="s">
        <v>40</v>
      </c>
      <c r="F948" s="31">
        <v>2013</v>
      </c>
      <c r="G948" s="16">
        <v>0.13240000000000002</v>
      </c>
      <c r="H948" s="16">
        <v>4.4642267756771672E-2</v>
      </c>
      <c r="I948" s="16">
        <v>0</v>
      </c>
      <c r="J948" s="16">
        <v>0</v>
      </c>
      <c r="K948" s="16">
        <v>2.8000000000000001E-2</v>
      </c>
      <c r="L948" s="16">
        <v>1.3265213517288432E-2</v>
      </c>
      <c r="M948" s="16">
        <v>3.137705423948324E-2</v>
      </c>
      <c r="N948" s="16">
        <v>0</v>
      </c>
      <c r="O948" s="16">
        <v>0</v>
      </c>
      <c r="P948" s="95"/>
    </row>
    <row r="949" spans="1:19" x14ac:dyDescent="0.25">
      <c r="A949" s="16">
        <v>56</v>
      </c>
      <c r="B949" s="16">
        <v>438168.10856199998</v>
      </c>
      <c r="C949" s="16">
        <v>5688988.3324180003</v>
      </c>
      <c r="D949" s="31">
        <v>30</v>
      </c>
      <c r="E949" s="31" t="s">
        <v>40</v>
      </c>
      <c r="F949" s="31">
        <v>2013</v>
      </c>
      <c r="G949" s="16">
        <v>1.9699999999999999E-2</v>
      </c>
      <c r="H949" s="16">
        <v>6.6423918036888352E-3</v>
      </c>
      <c r="I949" s="16">
        <v>0</v>
      </c>
      <c r="J949" s="16">
        <v>0</v>
      </c>
      <c r="K949" s="16">
        <v>1.1999999999999999E-3</v>
      </c>
      <c r="L949" s="16">
        <v>5.6850915074093279E-4</v>
      </c>
      <c r="M949" s="16">
        <v>6.0738826529479024E-3</v>
      </c>
      <c r="N949" s="16">
        <v>0</v>
      </c>
      <c r="O949" s="16">
        <v>0</v>
      </c>
      <c r="P949" s="95"/>
    </row>
    <row r="950" spans="1:19" x14ac:dyDescent="0.25">
      <c r="A950" s="36">
        <v>57</v>
      </c>
      <c r="B950" s="36">
        <v>438146</v>
      </c>
      <c r="C950" s="36">
        <v>5688977</v>
      </c>
      <c r="D950" s="99">
        <v>30</v>
      </c>
      <c r="E950" s="99" t="s">
        <v>40</v>
      </c>
      <c r="F950" s="99">
        <v>2013</v>
      </c>
      <c r="G950" s="36">
        <v>2.2000000000000001E-3</v>
      </c>
      <c r="H950" s="36">
        <v>7.4178994762007298E-4</v>
      </c>
      <c r="I950" s="36">
        <v>0</v>
      </c>
      <c r="J950" s="36">
        <v>0</v>
      </c>
      <c r="K950" s="36">
        <v>0.01</v>
      </c>
      <c r="L950" s="36">
        <v>4.7375762561744405E-3</v>
      </c>
      <c r="M950" s="36">
        <v>-3.9957863085543673E-3</v>
      </c>
      <c r="N950" s="36">
        <v>0</v>
      </c>
      <c r="O950" s="36">
        <v>0</v>
      </c>
      <c r="P950" s="100"/>
    </row>
    <row r="951" spans="1:19" x14ac:dyDescent="0.25">
      <c r="A951" s="36">
        <v>58</v>
      </c>
      <c r="B951" s="36">
        <v>438131</v>
      </c>
      <c r="C951" s="36">
        <v>5688972</v>
      </c>
      <c r="D951" s="99">
        <v>30</v>
      </c>
      <c r="E951" s="99" t="s">
        <v>40</v>
      </c>
      <c r="F951" s="99">
        <v>2013</v>
      </c>
      <c r="G951" s="36">
        <v>1.2800000000000001E-2</v>
      </c>
      <c r="H951" s="36">
        <v>4.3158687861531517E-3</v>
      </c>
      <c r="I951" s="36">
        <v>0</v>
      </c>
      <c r="J951" s="36">
        <v>0</v>
      </c>
      <c r="K951" s="36">
        <v>3.2000000000000002E-3</v>
      </c>
      <c r="L951" s="36">
        <v>1.5160244019758208E-3</v>
      </c>
      <c r="M951" s="36">
        <v>2.7998443841773307E-3</v>
      </c>
      <c r="N951" s="36">
        <v>0</v>
      </c>
      <c r="O951" s="36">
        <v>0</v>
      </c>
      <c r="P951" s="100"/>
    </row>
    <row r="952" spans="1:19" x14ac:dyDescent="0.25">
      <c r="A952" s="36">
        <v>59</v>
      </c>
      <c r="B952" s="36">
        <v>438089</v>
      </c>
      <c r="C952" s="36">
        <v>5688713</v>
      </c>
      <c r="D952" s="99">
        <v>30</v>
      </c>
      <c r="E952" s="99" t="s">
        <v>40</v>
      </c>
      <c r="F952" s="99">
        <v>2013</v>
      </c>
      <c r="G952" s="36">
        <v>3.0800000000000001E-2</v>
      </c>
      <c r="H952" s="36">
        <v>1.0385059266681021E-2</v>
      </c>
      <c r="I952" s="36">
        <v>0</v>
      </c>
      <c r="J952" s="36">
        <v>0</v>
      </c>
      <c r="K952" s="36">
        <v>9.1999999999999998E-3</v>
      </c>
      <c r="L952" s="36">
        <v>4.358570155680485E-3</v>
      </c>
      <c r="M952" s="36">
        <v>6.0264891110005363E-3</v>
      </c>
      <c r="N952" s="36">
        <v>0</v>
      </c>
      <c r="O952" s="36">
        <v>0</v>
      </c>
      <c r="P952" s="100"/>
    </row>
    <row r="953" spans="1:19" x14ac:dyDescent="0.25">
      <c r="A953" s="36">
        <v>60</v>
      </c>
      <c r="B953" s="36">
        <v>438099</v>
      </c>
      <c r="C953" s="36">
        <v>5688719</v>
      </c>
      <c r="D953" s="99">
        <v>30</v>
      </c>
      <c r="E953" s="99" t="s">
        <v>40</v>
      </c>
      <c r="F953" s="99">
        <v>2013</v>
      </c>
      <c r="G953" s="36">
        <v>2.9100000000000001E-2</v>
      </c>
      <c r="H953" s="36">
        <v>9.8118579435200557E-3</v>
      </c>
      <c r="I953" s="36">
        <v>2E-3</v>
      </c>
      <c r="J953" s="36">
        <v>8.0985020934693397E-4</v>
      </c>
      <c r="K953" s="36">
        <v>3.7000000000000002E-3</v>
      </c>
      <c r="L953" s="36">
        <v>1.7529032147845429E-3</v>
      </c>
      <c r="M953" s="36">
        <v>8.058954728735513E-3</v>
      </c>
      <c r="N953" s="36">
        <v>0</v>
      </c>
      <c r="O953" s="36">
        <v>0</v>
      </c>
      <c r="P953" s="100"/>
    </row>
    <row r="954" spans="1:19" x14ac:dyDescent="0.25">
      <c r="A954" s="16">
        <v>1</v>
      </c>
      <c r="B954" s="16">
        <v>437930.10856199998</v>
      </c>
      <c r="C954" s="16">
        <v>5688036.3324180003</v>
      </c>
      <c r="D954" s="31">
        <v>9</v>
      </c>
      <c r="E954" s="31" t="s">
        <v>96</v>
      </c>
      <c r="F954" s="31">
        <v>2013</v>
      </c>
      <c r="G954" s="16">
        <v>6.7999999999999996E-3</v>
      </c>
      <c r="H954" s="16">
        <v>2.1976993714471933E-3</v>
      </c>
      <c r="I954" s="16">
        <v>0</v>
      </c>
      <c r="J954" s="16">
        <v>0</v>
      </c>
      <c r="K954" s="16">
        <v>1E-3</v>
      </c>
      <c r="L954" s="16">
        <v>3.92091519318164E-4</v>
      </c>
      <c r="M954" s="16">
        <v>1.8056078521290293E-3</v>
      </c>
      <c r="N954" s="16">
        <v>0</v>
      </c>
      <c r="O954" s="16">
        <v>0</v>
      </c>
      <c r="P954" s="95"/>
      <c r="R954" s="5">
        <f>AVERAGE(M954:M1013)</f>
        <v>1.2399204586173667E-2</v>
      </c>
      <c r="S954" s="5">
        <f>AVERAGE(H954:H1013)</f>
        <v>1.6593061063648537E-2</v>
      </c>
    </row>
    <row r="955" spans="1:19" x14ac:dyDescent="0.25">
      <c r="A955" s="16">
        <v>2</v>
      </c>
      <c r="B955" s="16">
        <v>437811.10856199998</v>
      </c>
      <c r="C955" s="16">
        <v>5688155.3324180003</v>
      </c>
      <c r="D955" s="31">
        <v>9</v>
      </c>
      <c r="E955" s="31" t="s">
        <v>96</v>
      </c>
      <c r="F955" s="31">
        <v>2013</v>
      </c>
      <c r="G955" s="16">
        <v>1.34E-2</v>
      </c>
      <c r="H955" s="16">
        <v>4.3307605260871169E-3</v>
      </c>
      <c r="I955" s="16">
        <v>0</v>
      </c>
      <c r="J955" s="16">
        <v>0</v>
      </c>
      <c r="K955" s="16">
        <v>8.8999999999999999E-3</v>
      </c>
      <c r="L955" s="16">
        <v>3.4896145219316596E-3</v>
      </c>
      <c r="M955" s="16">
        <v>8.4114600415545731E-4</v>
      </c>
      <c r="N955" s="16">
        <v>2.2000000000000001E-3</v>
      </c>
      <c r="O955" s="16">
        <v>1.1292220109308713E-3</v>
      </c>
      <c r="P955" s="95"/>
    </row>
    <row r="956" spans="1:19" x14ac:dyDescent="0.25">
      <c r="A956" s="16">
        <v>3</v>
      </c>
      <c r="B956" s="16">
        <v>437930.10856199998</v>
      </c>
      <c r="C956" s="16">
        <v>5688155.3324180003</v>
      </c>
      <c r="D956" s="31">
        <v>9</v>
      </c>
      <c r="E956" s="31" t="s">
        <v>96</v>
      </c>
      <c r="F956" s="31">
        <v>2013</v>
      </c>
      <c r="G956" s="16">
        <v>6.3899999999999998E-2</v>
      </c>
      <c r="H956" s="16">
        <v>2.0651910269922892E-2</v>
      </c>
      <c r="I956" s="16">
        <v>2.3699999999999999E-2</v>
      </c>
      <c r="J956" s="16">
        <v>9.727891328346604E-3</v>
      </c>
      <c r="K956" s="16">
        <v>1.5099999999999999E-2</v>
      </c>
      <c r="L956" s="16">
        <v>5.9205819417042756E-3</v>
      </c>
      <c r="M956" s="16">
        <v>1.4731328328218617E-2</v>
      </c>
      <c r="N956" s="16">
        <v>4.5100000000000001E-2</v>
      </c>
      <c r="O956" s="16">
        <v>2.3149051224082857E-2</v>
      </c>
      <c r="P956" s="95"/>
    </row>
    <row r="957" spans="1:19" x14ac:dyDescent="0.25">
      <c r="A957" s="16">
        <v>4</v>
      </c>
      <c r="B957" s="16">
        <v>438049.10856199998</v>
      </c>
      <c r="C957" s="16">
        <v>5688155.3324180003</v>
      </c>
      <c r="D957" s="31">
        <v>9</v>
      </c>
      <c r="E957" s="31" t="s">
        <v>96</v>
      </c>
      <c r="F957" s="31">
        <v>2013</v>
      </c>
      <c r="G957" s="16">
        <v>4.4000000000000003E-3</v>
      </c>
      <c r="H957" s="16">
        <v>1.4220407697599488E-3</v>
      </c>
      <c r="I957" s="16">
        <v>0</v>
      </c>
      <c r="J957" s="16">
        <v>0</v>
      </c>
      <c r="K957" s="16">
        <v>0</v>
      </c>
      <c r="L957" s="16">
        <v>0</v>
      </c>
      <c r="M957" s="16">
        <v>1.4220407697599488E-3</v>
      </c>
      <c r="N957" s="16">
        <v>1.1000000000000001E-3</v>
      </c>
      <c r="O957" s="16">
        <v>5.6461100546543563E-4</v>
      </c>
      <c r="P957" s="95"/>
    </row>
    <row r="958" spans="1:19" x14ac:dyDescent="0.25">
      <c r="A958" s="16">
        <v>5</v>
      </c>
      <c r="B958" s="16">
        <v>437573.10856199998</v>
      </c>
      <c r="C958" s="16">
        <v>5688274.3324180003</v>
      </c>
      <c r="D958" s="31">
        <v>9</v>
      </c>
      <c r="E958" s="31" t="s">
        <v>96</v>
      </c>
      <c r="F958" s="31">
        <v>2013</v>
      </c>
      <c r="G958" s="16">
        <v>8.5000000000000006E-3</v>
      </c>
      <c r="H958" s="16">
        <v>2.7471242143089921E-3</v>
      </c>
      <c r="I958" s="16">
        <v>6.0399999999999995E-2</v>
      </c>
      <c r="J958" s="16">
        <v>2.4791756803043664E-2</v>
      </c>
      <c r="K958" s="16">
        <v>1.67E-2</v>
      </c>
      <c r="L958" s="16">
        <v>6.5479283726133384E-3</v>
      </c>
      <c r="M958" s="16">
        <v>-3.8008041583043463E-3</v>
      </c>
      <c r="N958" s="16">
        <v>3.7200000000000004E-2</v>
      </c>
      <c r="O958" s="16">
        <v>1.9094117639376549E-2</v>
      </c>
      <c r="P958" s="95"/>
    </row>
    <row r="959" spans="1:19" x14ac:dyDescent="0.25">
      <c r="A959" s="16">
        <v>6</v>
      </c>
      <c r="B959" s="16">
        <v>437692.10856199998</v>
      </c>
      <c r="C959" s="16">
        <v>5688274.3324180003</v>
      </c>
      <c r="D959" s="31">
        <v>9</v>
      </c>
      <c r="E959" s="31" t="s">
        <v>96</v>
      </c>
      <c r="F959" s="31">
        <v>2013</v>
      </c>
      <c r="G959" s="16">
        <v>1.3800000000000002E-2</v>
      </c>
      <c r="H959" s="16">
        <v>4.4600369597016581E-3</v>
      </c>
      <c r="I959" s="16">
        <v>0.1033</v>
      </c>
      <c r="J959" s="16">
        <v>4.240047148600018E-2</v>
      </c>
      <c r="K959" s="16">
        <v>7.9000000000000008E-3</v>
      </c>
      <c r="L959" s="16">
        <v>3.0975230026134958E-3</v>
      </c>
      <c r="M959" s="16">
        <v>1.3625139570881623E-3</v>
      </c>
      <c r="N959" s="16">
        <v>2.3199999999999998E-2</v>
      </c>
      <c r="O959" s="16">
        <v>1.1908159387998276E-2</v>
      </c>
      <c r="P959" s="95"/>
    </row>
    <row r="960" spans="1:19" x14ac:dyDescent="0.25">
      <c r="A960" s="16">
        <v>7</v>
      </c>
      <c r="B960" s="16">
        <v>437811.10856199998</v>
      </c>
      <c r="C960" s="16">
        <v>5688274.3324180003</v>
      </c>
      <c r="D960" s="31">
        <v>9</v>
      </c>
      <c r="E960" s="31" t="s">
        <v>96</v>
      </c>
      <c r="F960" s="31">
        <v>2013</v>
      </c>
      <c r="G960" s="16">
        <v>6.9999999999999999E-4</v>
      </c>
      <c r="H960" s="16">
        <v>2.2623375882544638E-4</v>
      </c>
      <c r="I960" s="16">
        <v>1.7999999999999999E-2</v>
      </c>
      <c r="J960" s="16">
        <v>7.3882718949467878E-3</v>
      </c>
      <c r="K960" s="16">
        <v>2.0000000000000001E-4</v>
      </c>
      <c r="L960" s="16">
        <v>7.8418303863632803E-5</v>
      </c>
      <c r="M960" s="16">
        <v>1.4781545496181359E-4</v>
      </c>
      <c r="N960" s="16">
        <v>5.9999999999999995E-4</v>
      </c>
      <c r="O960" s="16">
        <v>3.0796963934478301E-4</v>
      </c>
      <c r="P960" s="95"/>
    </row>
    <row r="961" spans="1:16" x14ac:dyDescent="0.25">
      <c r="A961" s="16">
        <v>8</v>
      </c>
      <c r="B961" s="16">
        <v>437930.10856199998</v>
      </c>
      <c r="C961" s="16">
        <v>5688274.3324180003</v>
      </c>
      <c r="D961" s="31">
        <v>9</v>
      </c>
      <c r="E961" s="31" t="s">
        <v>96</v>
      </c>
      <c r="F961" s="31">
        <v>2013</v>
      </c>
      <c r="G961" s="16">
        <v>9.6999999999999986E-3</v>
      </c>
      <c r="H961" s="16">
        <v>3.1349535151526139E-3</v>
      </c>
      <c r="I961" s="16">
        <v>0</v>
      </c>
      <c r="J961" s="16">
        <v>0</v>
      </c>
      <c r="K961" s="16">
        <v>4.4999999999999997E-3</v>
      </c>
      <c r="L961" s="16">
        <v>1.7644118369317379E-3</v>
      </c>
      <c r="M961" s="16">
        <v>1.370541678220876E-3</v>
      </c>
      <c r="N961" s="16">
        <v>1.7600000000000001E-2</v>
      </c>
      <c r="O961" s="16">
        <v>9.0337760874469701E-3</v>
      </c>
      <c r="P961" s="95"/>
    </row>
    <row r="962" spans="1:16" x14ac:dyDescent="0.25">
      <c r="A962" s="16">
        <v>9</v>
      </c>
      <c r="B962" s="16">
        <v>438287.10856199998</v>
      </c>
      <c r="C962" s="16">
        <v>5688274.3324180003</v>
      </c>
      <c r="D962" s="31">
        <v>9</v>
      </c>
      <c r="E962" s="31" t="s">
        <v>96</v>
      </c>
      <c r="F962" s="31">
        <v>2013</v>
      </c>
      <c r="G962" s="16">
        <v>7.0000000000000007E-2</v>
      </c>
      <c r="H962" s="16">
        <v>2.2623375882544643E-2</v>
      </c>
      <c r="I962" s="16">
        <v>2.8E-3</v>
      </c>
      <c r="J962" s="16">
        <v>1.1492867392139448E-3</v>
      </c>
      <c r="K962" s="16">
        <v>3.1600000000000003E-2</v>
      </c>
      <c r="L962" s="16">
        <v>1.2390092010453983E-2</v>
      </c>
      <c r="M962" s="16">
        <v>1.0233283872090659E-2</v>
      </c>
      <c r="N962" s="16">
        <v>8.6E-3</v>
      </c>
      <c r="O962" s="16">
        <v>4.4142314972752238E-3</v>
      </c>
      <c r="P962" s="95"/>
    </row>
    <row r="963" spans="1:16" x14ac:dyDescent="0.25">
      <c r="A963" s="16">
        <v>10</v>
      </c>
      <c r="B963" s="16">
        <v>438406.10856199998</v>
      </c>
      <c r="C963" s="16">
        <v>5688274.3324180003</v>
      </c>
      <c r="D963" s="31">
        <v>9</v>
      </c>
      <c r="E963" s="31" t="s">
        <v>96</v>
      </c>
      <c r="F963" s="31">
        <v>2013</v>
      </c>
      <c r="G963" s="16">
        <v>7.2400000000000006E-2</v>
      </c>
      <c r="H963" s="16">
        <v>2.3399034484231886E-2</v>
      </c>
      <c r="I963" s="16">
        <v>0</v>
      </c>
      <c r="J963" s="16">
        <v>0</v>
      </c>
      <c r="K963" s="16">
        <v>7.9000000000000008E-3</v>
      </c>
      <c r="L963" s="16">
        <v>3.0975230026134958E-3</v>
      </c>
      <c r="M963" s="16">
        <v>2.0301511481618392E-2</v>
      </c>
      <c r="N963" s="16">
        <v>0</v>
      </c>
      <c r="O963" s="16">
        <v>0</v>
      </c>
      <c r="P963" s="95"/>
    </row>
    <row r="964" spans="1:16" x14ac:dyDescent="0.25">
      <c r="A964" s="16">
        <v>11</v>
      </c>
      <c r="B964" s="16">
        <v>437454.10856199998</v>
      </c>
      <c r="C964" s="16">
        <v>5688393.3324180003</v>
      </c>
      <c r="D964" s="31">
        <v>9</v>
      </c>
      <c r="E964" s="31" t="s">
        <v>96</v>
      </c>
      <c r="F964" s="31">
        <v>2013</v>
      </c>
      <c r="G964" s="16">
        <v>1.95E-2</v>
      </c>
      <c r="H964" s="16">
        <v>6.302226138708864E-3</v>
      </c>
      <c r="I964" s="16">
        <v>2.2800000000000001E-2</v>
      </c>
      <c r="J964" s="16">
        <v>9.3584777335992651E-3</v>
      </c>
      <c r="K964" s="16">
        <v>1.0800000000000001E-2</v>
      </c>
      <c r="L964" s="16">
        <v>4.234588408636171E-3</v>
      </c>
      <c r="M964" s="16">
        <v>2.067637730072693E-3</v>
      </c>
      <c r="N964" s="16">
        <v>0</v>
      </c>
      <c r="O964" s="16">
        <v>0</v>
      </c>
      <c r="P964" s="95"/>
    </row>
    <row r="965" spans="1:16" x14ac:dyDescent="0.25">
      <c r="A965" s="16">
        <v>12</v>
      </c>
      <c r="B965" s="16">
        <v>437573.10856199998</v>
      </c>
      <c r="C965" s="16">
        <v>5688393.3324180003</v>
      </c>
      <c r="D965" s="31">
        <v>9</v>
      </c>
      <c r="E965" s="31" t="s">
        <v>96</v>
      </c>
      <c r="F965" s="31">
        <v>2013</v>
      </c>
      <c r="G965" s="16">
        <v>6.3E-2</v>
      </c>
      <c r="H965" s="16">
        <v>2.0361038294290177E-2</v>
      </c>
      <c r="I965" s="16">
        <v>6.9199999999999998E-2</v>
      </c>
      <c r="J965" s="16">
        <v>2.8403800840573208E-2</v>
      </c>
      <c r="K965" s="16">
        <v>3.4500000000000003E-2</v>
      </c>
      <c r="L965" s="16">
        <v>1.3527157416476658E-2</v>
      </c>
      <c r="M965" s="16">
        <v>6.8338808778135186E-3</v>
      </c>
      <c r="N965" s="16">
        <v>2.2699999999999998E-2</v>
      </c>
      <c r="O965" s="16">
        <v>1.1651518021877624E-2</v>
      </c>
      <c r="P965" s="95"/>
    </row>
    <row r="966" spans="1:16" x14ac:dyDescent="0.25">
      <c r="A966" s="16">
        <v>13</v>
      </c>
      <c r="B966" s="16">
        <v>437692.10856199998</v>
      </c>
      <c r="C966" s="16">
        <v>5688393.3324180003</v>
      </c>
      <c r="D966" s="31">
        <v>9</v>
      </c>
      <c r="E966" s="31" t="s">
        <v>96</v>
      </c>
      <c r="F966" s="31">
        <v>2013</v>
      </c>
      <c r="G966" s="16">
        <v>6.7400000000000002E-2</v>
      </c>
      <c r="H966" s="16">
        <v>2.1783079064050127E-2</v>
      </c>
      <c r="I966" s="16">
        <v>5.2899999999999996E-2</v>
      </c>
      <c r="J966" s="16">
        <v>2.1713310180149169E-2</v>
      </c>
      <c r="K966" s="16">
        <v>3.2799999999999996E-2</v>
      </c>
      <c r="L966" s="16">
        <v>1.2860601833635778E-2</v>
      </c>
      <c r="M966" s="16">
        <v>8.9224772304143489E-3</v>
      </c>
      <c r="N966" s="16">
        <v>9.6799999999999997E-2</v>
      </c>
      <c r="O966" s="16">
        <v>4.9685768480958327E-2</v>
      </c>
      <c r="P966" s="95"/>
    </row>
    <row r="967" spans="1:16" x14ac:dyDescent="0.25">
      <c r="A967" s="35">
        <v>14</v>
      </c>
      <c r="B967" s="35">
        <v>437811.10856199998</v>
      </c>
      <c r="C967" s="35">
        <v>5688393.3324180003</v>
      </c>
      <c r="D967" s="96">
        <v>9</v>
      </c>
      <c r="E967" s="96" t="s">
        <v>96</v>
      </c>
      <c r="F967" s="96">
        <v>2013</v>
      </c>
      <c r="G967" s="96" t="s">
        <v>18</v>
      </c>
      <c r="H967" s="96" t="s">
        <v>18</v>
      </c>
      <c r="I967" s="96" t="s">
        <v>18</v>
      </c>
      <c r="J967" s="96" t="s">
        <v>18</v>
      </c>
      <c r="K967" s="96" t="s">
        <v>18</v>
      </c>
      <c r="L967" s="96" t="s">
        <v>18</v>
      </c>
      <c r="M967" s="96" t="s">
        <v>18</v>
      </c>
      <c r="N967" s="96" t="s">
        <v>18</v>
      </c>
      <c r="O967" s="96" t="s">
        <v>18</v>
      </c>
      <c r="P967" s="94" t="s">
        <v>21</v>
      </c>
    </row>
    <row r="968" spans="1:16" x14ac:dyDescent="0.25">
      <c r="A968" s="16">
        <v>15</v>
      </c>
      <c r="B968" s="16">
        <v>437930.10856199998</v>
      </c>
      <c r="C968" s="16">
        <v>5688393.3324180003</v>
      </c>
      <c r="D968" s="31">
        <v>9</v>
      </c>
      <c r="E968" s="31" t="s">
        <v>96</v>
      </c>
      <c r="F968" s="31">
        <v>2013</v>
      </c>
      <c r="G968" s="16">
        <v>8.4000000000000012E-3</v>
      </c>
      <c r="H968" s="16">
        <v>2.7148051059053572E-3</v>
      </c>
      <c r="I968" s="16">
        <v>0.1042</v>
      </c>
      <c r="J968" s="16">
        <v>4.276988508074752E-2</v>
      </c>
      <c r="K968" s="16">
        <v>2.5499999999999998E-2</v>
      </c>
      <c r="L968" s="16">
        <v>9.9983337426131809E-3</v>
      </c>
      <c r="M968" s="16">
        <v>-7.2835286367078237E-3</v>
      </c>
      <c r="N968" s="16">
        <v>3.2299999999999995E-2</v>
      </c>
      <c r="O968" s="16">
        <v>1.6579032251394149E-2</v>
      </c>
      <c r="P968" s="95"/>
    </row>
    <row r="969" spans="1:16" x14ac:dyDescent="0.25">
      <c r="A969" s="16">
        <v>16</v>
      </c>
      <c r="B969" s="16">
        <v>438049.10856199998</v>
      </c>
      <c r="C969" s="16">
        <v>5688393.3324180003</v>
      </c>
      <c r="D969" s="31">
        <v>9</v>
      </c>
      <c r="E969" s="31" t="s">
        <v>96</v>
      </c>
      <c r="F969" s="31">
        <v>2013</v>
      </c>
      <c r="G969" s="16">
        <v>6.3700000000000007E-2</v>
      </c>
      <c r="H969" s="16">
        <v>2.0587272053115623E-2</v>
      </c>
      <c r="I969" s="16">
        <v>0.1201</v>
      </c>
      <c r="J969" s="16">
        <v>4.9296191921283851E-2</v>
      </c>
      <c r="K969" s="16">
        <v>2.9899999999999999E-2</v>
      </c>
      <c r="L969" s="16">
        <v>1.1723536427613103E-2</v>
      </c>
      <c r="M969" s="16">
        <v>8.8637356255025206E-3</v>
      </c>
      <c r="N969" s="16">
        <v>3.9600000000000003E-2</v>
      </c>
      <c r="O969" s="16">
        <v>2.032599619675568E-2</v>
      </c>
      <c r="P969" s="95"/>
    </row>
    <row r="970" spans="1:16" x14ac:dyDescent="0.25">
      <c r="A970" s="16">
        <v>17</v>
      </c>
      <c r="B970" s="16">
        <v>438168.10856199998</v>
      </c>
      <c r="C970" s="16">
        <v>5688393.3324180003</v>
      </c>
      <c r="D970" s="31">
        <v>9</v>
      </c>
      <c r="E970" s="31" t="s">
        <v>96</v>
      </c>
      <c r="F970" s="31">
        <v>2013</v>
      </c>
      <c r="G970" s="16">
        <v>4.41E-2</v>
      </c>
      <c r="H970" s="16">
        <v>1.4252726806003124E-2</v>
      </c>
      <c r="I970" s="16">
        <v>2.2000000000000001E-3</v>
      </c>
      <c r="J970" s="16">
        <v>9.0301100938238528E-4</v>
      </c>
      <c r="K970" s="16">
        <v>1.61E-2</v>
      </c>
      <c r="L970" s="16">
        <v>6.3126734610224403E-3</v>
      </c>
      <c r="M970" s="16">
        <v>7.9400533449806836E-3</v>
      </c>
      <c r="N970" s="16">
        <v>0</v>
      </c>
      <c r="O970" s="16">
        <v>0</v>
      </c>
      <c r="P970" s="95"/>
    </row>
    <row r="971" spans="1:16" x14ac:dyDescent="0.25">
      <c r="A971" s="16">
        <v>18</v>
      </c>
      <c r="B971" s="16">
        <v>438287.10856199998</v>
      </c>
      <c r="C971" s="16">
        <v>5688393.3324180003</v>
      </c>
      <c r="D971" s="31">
        <v>9</v>
      </c>
      <c r="E971" s="31" t="s">
        <v>96</v>
      </c>
      <c r="F971" s="31">
        <v>2013</v>
      </c>
      <c r="G971" s="16">
        <v>4.3499999999999997E-2</v>
      </c>
      <c r="H971" s="16">
        <v>1.405881215558131E-2</v>
      </c>
      <c r="I971" s="16">
        <v>0</v>
      </c>
      <c r="J971" s="16">
        <v>0</v>
      </c>
      <c r="K971" s="16">
        <v>1.4999999999999999E-2</v>
      </c>
      <c r="L971" s="16">
        <v>5.8813727897724594E-3</v>
      </c>
      <c r="M971" s="16">
        <v>8.1774393658088501E-3</v>
      </c>
      <c r="N971" s="16">
        <v>0</v>
      </c>
      <c r="O971" s="16">
        <v>0</v>
      </c>
      <c r="P971" s="95"/>
    </row>
    <row r="972" spans="1:16" x14ac:dyDescent="0.25">
      <c r="A972" s="16">
        <v>19</v>
      </c>
      <c r="B972" s="16">
        <v>438406.10856199998</v>
      </c>
      <c r="C972" s="16">
        <v>5688393.3324180003</v>
      </c>
      <c r="D972" s="31">
        <v>9</v>
      </c>
      <c r="E972" s="31" t="s">
        <v>96</v>
      </c>
      <c r="F972" s="31">
        <v>2013</v>
      </c>
      <c r="G972" s="16">
        <v>2.87E-2</v>
      </c>
      <c r="H972" s="16">
        <v>9.2755841118433019E-3</v>
      </c>
      <c r="I972" s="16">
        <v>0</v>
      </c>
      <c r="J972" s="16">
        <v>0</v>
      </c>
      <c r="K972" s="16">
        <v>1.3300000000000001E-2</v>
      </c>
      <c r="L972" s="16">
        <v>5.2148172069315813E-3</v>
      </c>
      <c r="M972" s="16">
        <v>4.0607669049117206E-3</v>
      </c>
      <c r="N972" s="16">
        <v>6.7999999999999996E-3</v>
      </c>
      <c r="O972" s="16">
        <v>3.4903225792408741E-3</v>
      </c>
      <c r="P972" s="95"/>
    </row>
    <row r="973" spans="1:16" x14ac:dyDescent="0.25">
      <c r="A973" s="16">
        <v>20</v>
      </c>
      <c r="B973" s="16">
        <v>437335.10856199998</v>
      </c>
      <c r="C973" s="16">
        <v>5688512.3324180003</v>
      </c>
      <c r="D973" s="31">
        <v>9</v>
      </c>
      <c r="E973" s="31" t="s">
        <v>96</v>
      </c>
      <c r="F973" s="31">
        <v>2013</v>
      </c>
      <c r="G973" s="16">
        <v>1.0800000000000001E-2</v>
      </c>
      <c r="H973" s="16">
        <v>3.4904637075926018E-3</v>
      </c>
      <c r="I973" s="16">
        <v>1.8600000000000002E-2</v>
      </c>
      <c r="J973" s="16">
        <v>7.6345476247783491E-3</v>
      </c>
      <c r="K973" s="16">
        <v>2.5000000000000001E-3</v>
      </c>
      <c r="L973" s="16">
        <v>9.802287982954099E-4</v>
      </c>
      <c r="M973" s="16">
        <v>2.5102349092971919E-3</v>
      </c>
      <c r="N973" s="16">
        <v>0</v>
      </c>
      <c r="O973" s="16">
        <v>0</v>
      </c>
      <c r="P973" s="95"/>
    </row>
    <row r="974" spans="1:16" x14ac:dyDescent="0.25">
      <c r="A974" s="16">
        <v>21</v>
      </c>
      <c r="B974" s="16">
        <v>437454.10856199998</v>
      </c>
      <c r="C974" s="16">
        <v>5688512.3324180003</v>
      </c>
      <c r="D974" s="31">
        <v>9</v>
      </c>
      <c r="E974" s="31" t="s">
        <v>96</v>
      </c>
      <c r="F974" s="31">
        <v>2013</v>
      </c>
      <c r="G974" s="16">
        <v>1.2199999999999999E-2</v>
      </c>
      <c r="H974" s="16">
        <v>3.9429312252434942E-3</v>
      </c>
      <c r="I974" s="16">
        <v>0</v>
      </c>
      <c r="J974" s="16">
        <v>0</v>
      </c>
      <c r="K974" s="16">
        <v>8.199999999999999E-3</v>
      </c>
      <c r="L974" s="16">
        <v>3.2151504584089444E-3</v>
      </c>
      <c r="M974" s="16">
        <v>7.2778076683454977E-4</v>
      </c>
      <c r="N974" s="16">
        <v>0</v>
      </c>
      <c r="O974" s="16">
        <v>0</v>
      </c>
      <c r="P974" s="95"/>
    </row>
    <row r="975" spans="1:16" x14ac:dyDescent="0.25">
      <c r="A975" s="16">
        <v>22</v>
      </c>
      <c r="B975" s="16">
        <v>437573.10856199998</v>
      </c>
      <c r="C975" s="16">
        <v>5688512.3324180003</v>
      </c>
      <c r="D975" s="31">
        <v>9</v>
      </c>
      <c r="E975" s="31" t="s">
        <v>96</v>
      </c>
      <c r="F975" s="31">
        <v>2013</v>
      </c>
      <c r="G975" s="16">
        <v>0.10290000000000001</v>
      </c>
      <c r="H975" s="16">
        <v>3.3256362547340622E-2</v>
      </c>
      <c r="I975" s="16">
        <v>0.25190000000000001</v>
      </c>
      <c r="J975" s="16">
        <v>0.10339476057428311</v>
      </c>
      <c r="K975" s="16">
        <v>2.3899999999999998E-2</v>
      </c>
      <c r="L975" s="16">
        <v>9.3709873117041181E-3</v>
      </c>
      <c r="M975" s="16">
        <v>2.3885375235636504E-2</v>
      </c>
      <c r="N975" s="16">
        <v>0</v>
      </c>
      <c r="O975" s="16">
        <v>0</v>
      </c>
      <c r="P975" s="95"/>
    </row>
    <row r="976" spans="1:16" x14ac:dyDescent="0.25">
      <c r="A976" s="16">
        <v>23</v>
      </c>
      <c r="B976" s="16">
        <v>437692.10856199998</v>
      </c>
      <c r="C976" s="16">
        <v>5688512.3324180003</v>
      </c>
      <c r="D976" s="31">
        <v>9</v>
      </c>
      <c r="E976" s="31" t="s">
        <v>96</v>
      </c>
      <c r="F976" s="31">
        <v>2013</v>
      </c>
      <c r="G976" s="16">
        <v>2.53E-2</v>
      </c>
      <c r="H976" s="16">
        <v>8.1767344261197052E-3</v>
      </c>
      <c r="I976" s="16">
        <v>5.7999999999999996E-3</v>
      </c>
      <c r="J976" s="16">
        <v>2.3806653883717429E-3</v>
      </c>
      <c r="K976" s="16">
        <v>6.6E-3</v>
      </c>
      <c r="L976" s="16">
        <v>2.5878040274998826E-3</v>
      </c>
      <c r="M976" s="16">
        <v>5.5889303986198227E-3</v>
      </c>
      <c r="N976" s="16">
        <v>2.7000000000000001E-3</v>
      </c>
      <c r="O976" s="16">
        <v>1.3858633770515237E-3</v>
      </c>
      <c r="P976" s="95"/>
    </row>
    <row r="977" spans="1:16" x14ac:dyDescent="0.25">
      <c r="A977" s="16">
        <v>24</v>
      </c>
      <c r="B977" s="16">
        <v>437811.10856199998</v>
      </c>
      <c r="C977" s="16">
        <v>5688512.3324180003</v>
      </c>
      <c r="D977" s="31">
        <v>9</v>
      </c>
      <c r="E977" s="31" t="s">
        <v>96</v>
      </c>
      <c r="F977" s="31">
        <v>2013</v>
      </c>
      <c r="G977" s="16">
        <v>6.3399999999999998E-2</v>
      </c>
      <c r="H977" s="16">
        <v>2.0490314727904715E-2</v>
      </c>
      <c r="I977" s="16">
        <v>0</v>
      </c>
      <c r="J977" s="16">
        <v>0</v>
      </c>
      <c r="K977" s="16">
        <v>7.6E-3</v>
      </c>
      <c r="L977" s="16">
        <v>2.9798955468180463E-3</v>
      </c>
      <c r="M977" s="16">
        <v>1.7510419181086669E-2</v>
      </c>
      <c r="N977" s="16">
        <v>0</v>
      </c>
      <c r="O977" s="16">
        <v>0</v>
      </c>
      <c r="P977" s="95"/>
    </row>
    <row r="978" spans="1:16" x14ac:dyDescent="0.25">
      <c r="A978" s="16">
        <v>25</v>
      </c>
      <c r="B978" s="16">
        <v>437995</v>
      </c>
      <c r="C978" s="16">
        <v>5688493</v>
      </c>
      <c r="D978" s="31">
        <v>9</v>
      </c>
      <c r="E978" s="31" t="s">
        <v>96</v>
      </c>
      <c r="F978" s="31">
        <v>2013</v>
      </c>
      <c r="G978" s="16">
        <v>2.9499999999999998E-2</v>
      </c>
      <c r="H978" s="16">
        <v>9.5341369790723825E-3</v>
      </c>
      <c r="I978" s="16">
        <v>0</v>
      </c>
      <c r="J978" s="16">
        <v>0</v>
      </c>
      <c r="K978" s="16">
        <v>1.1800000000000001E-2</v>
      </c>
      <c r="L978" s="16">
        <v>4.6266799279543356E-3</v>
      </c>
      <c r="M978" s="16">
        <v>4.9074570511180469E-3</v>
      </c>
      <c r="N978" s="16">
        <v>4.3E-3</v>
      </c>
      <c r="O978" s="16">
        <v>2.2071157486376119E-3</v>
      </c>
      <c r="P978" s="95"/>
    </row>
    <row r="979" spans="1:16" x14ac:dyDescent="0.25">
      <c r="A979" s="16">
        <v>26</v>
      </c>
      <c r="B979" s="16">
        <v>438112</v>
      </c>
      <c r="C979" s="16">
        <v>5688567</v>
      </c>
      <c r="D979" s="31">
        <v>9</v>
      </c>
      <c r="E979" s="31" t="s">
        <v>96</v>
      </c>
      <c r="F979" s="31">
        <v>2013</v>
      </c>
      <c r="G979" s="16">
        <v>8.7099999999999997E-2</v>
      </c>
      <c r="H979" s="16">
        <v>2.8149943419566257E-2</v>
      </c>
      <c r="I979" s="16">
        <v>0</v>
      </c>
      <c r="J979" s="16">
        <v>0</v>
      </c>
      <c r="K979" s="16">
        <v>1.29E-2</v>
      </c>
      <c r="L979" s="16">
        <v>5.0579805992043156E-3</v>
      </c>
      <c r="M979" s="16">
        <v>2.3091962820361942E-2</v>
      </c>
      <c r="N979" s="16">
        <v>0</v>
      </c>
      <c r="O979" s="16">
        <v>0</v>
      </c>
      <c r="P979" s="95"/>
    </row>
    <row r="980" spans="1:16" x14ac:dyDescent="0.25">
      <c r="A980" s="35">
        <v>27</v>
      </c>
      <c r="B980" s="35">
        <v>438168.10856199998</v>
      </c>
      <c r="C980" s="35">
        <v>5688512.3324180003</v>
      </c>
      <c r="D980" s="96">
        <v>9</v>
      </c>
      <c r="E980" s="96" t="s">
        <v>96</v>
      </c>
      <c r="F980" s="96">
        <v>2013</v>
      </c>
      <c r="G980" s="96" t="s">
        <v>18</v>
      </c>
      <c r="H980" s="96" t="s">
        <v>18</v>
      </c>
      <c r="I980" s="96" t="s">
        <v>18</v>
      </c>
      <c r="J980" s="96" t="s">
        <v>18</v>
      </c>
      <c r="K980" s="96" t="s">
        <v>18</v>
      </c>
      <c r="L980" s="96" t="s">
        <v>18</v>
      </c>
      <c r="M980" s="96" t="s">
        <v>18</v>
      </c>
      <c r="N980" s="96" t="s">
        <v>18</v>
      </c>
      <c r="O980" s="96" t="s">
        <v>18</v>
      </c>
      <c r="P980" s="94" t="s">
        <v>21</v>
      </c>
    </row>
    <row r="981" spans="1:16" x14ac:dyDescent="0.25">
      <c r="A981" s="35">
        <v>28</v>
      </c>
      <c r="B981" s="35">
        <v>438287.10856199998</v>
      </c>
      <c r="C981" s="35">
        <v>5688512.3324180003</v>
      </c>
      <c r="D981" s="96">
        <v>9</v>
      </c>
      <c r="E981" s="96" t="s">
        <v>96</v>
      </c>
      <c r="F981" s="96">
        <v>2013</v>
      </c>
      <c r="G981" s="96" t="s">
        <v>18</v>
      </c>
      <c r="H981" s="96" t="s">
        <v>18</v>
      </c>
      <c r="I981" s="96" t="s">
        <v>18</v>
      </c>
      <c r="J981" s="96" t="s">
        <v>18</v>
      </c>
      <c r="K981" s="96" t="s">
        <v>18</v>
      </c>
      <c r="L981" s="96" t="s">
        <v>18</v>
      </c>
      <c r="M981" s="96" t="s">
        <v>18</v>
      </c>
      <c r="N981" s="96" t="s">
        <v>18</v>
      </c>
      <c r="O981" s="96" t="s">
        <v>18</v>
      </c>
      <c r="P981" s="94" t="s">
        <v>21</v>
      </c>
    </row>
    <row r="982" spans="1:16" x14ac:dyDescent="0.25">
      <c r="A982" s="16">
        <v>29</v>
      </c>
      <c r="B982" s="16">
        <v>438381</v>
      </c>
      <c r="C982" s="16">
        <v>5688526</v>
      </c>
      <c r="D982" s="31">
        <v>9</v>
      </c>
      <c r="E982" s="31" t="s">
        <v>96</v>
      </c>
      <c r="F982" s="31">
        <v>2013</v>
      </c>
      <c r="G982" s="16">
        <v>6.8500000000000005E-2</v>
      </c>
      <c r="H982" s="16">
        <v>2.2138589256490114E-2</v>
      </c>
      <c r="I982" s="16">
        <v>0</v>
      </c>
      <c r="J982" s="16">
        <v>0</v>
      </c>
      <c r="K982" s="16">
        <v>7.4999999999999997E-3</v>
      </c>
      <c r="L982" s="16">
        <v>2.9406863948862297E-3</v>
      </c>
      <c r="M982" s="16">
        <v>1.9197902861603885E-2</v>
      </c>
      <c r="N982" s="16">
        <v>0</v>
      </c>
      <c r="O982" s="16">
        <v>0</v>
      </c>
      <c r="P982" s="95"/>
    </row>
    <row r="983" spans="1:16" x14ac:dyDescent="0.25">
      <c r="A983" s="16">
        <v>30</v>
      </c>
      <c r="B983" s="16">
        <v>438525.10856199998</v>
      </c>
      <c r="C983" s="16">
        <v>5688512.3324180003</v>
      </c>
      <c r="D983" s="31">
        <v>9</v>
      </c>
      <c r="E983" s="31" t="s">
        <v>96</v>
      </c>
      <c r="F983" s="31">
        <v>2013</v>
      </c>
      <c r="G983" s="31" t="s">
        <v>18</v>
      </c>
      <c r="H983" s="31" t="s">
        <v>18</v>
      </c>
      <c r="I983" s="31" t="s">
        <v>18</v>
      </c>
      <c r="J983" s="31" t="s">
        <v>18</v>
      </c>
      <c r="K983" s="16">
        <v>1.6999999999999999E-3</v>
      </c>
      <c r="L983" s="16">
        <v>6.6655558284087874E-4</v>
      </c>
      <c r="M983" s="31" t="s">
        <v>18</v>
      </c>
      <c r="N983" s="16">
        <v>0</v>
      </c>
      <c r="O983" s="16">
        <v>0</v>
      </c>
      <c r="P983" s="95" t="s">
        <v>150</v>
      </c>
    </row>
    <row r="984" spans="1:16" x14ac:dyDescent="0.25">
      <c r="A984" s="16">
        <v>31</v>
      </c>
      <c r="B984" s="16">
        <v>437335.10856199998</v>
      </c>
      <c r="C984" s="16">
        <v>5688631.3324180003</v>
      </c>
      <c r="D984" s="31">
        <v>9</v>
      </c>
      <c r="E984" s="31" t="s">
        <v>96</v>
      </c>
      <c r="F984" s="31">
        <v>2013</v>
      </c>
      <c r="G984" s="16">
        <v>3.5799999999999998E-2</v>
      </c>
      <c r="H984" s="16">
        <v>1.15702408085014E-2</v>
      </c>
      <c r="I984" s="16">
        <v>0</v>
      </c>
      <c r="J984" s="16">
        <v>0</v>
      </c>
      <c r="K984" s="16">
        <v>5.3E-3</v>
      </c>
      <c r="L984" s="16">
        <v>2.0780850523862693E-3</v>
      </c>
      <c r="M984" s="16">
        <v>9.492155756115131E-3</v>
      </c>
      <c r="N984" s="16">
        <v>0</v>
      </c>
      <c r="O984" s="16">
        <v>0</v>
      </c>
      <c r="P984" s="95"/>
    </row>
    <row r="985" spans="1:16" x14ac:dyDescent="0.25">
      <c r="A985" s="16">
        <v>32</v>
      </c>
      <c r="B985" s="16">
        <v>437454.10856199998</v>
      </c>
      <c r="C985" s="16">
        <v>5688631.3324180003</v>
      </c>
      <c r="D985" s="31">
        <v>9</v>
      </c>
      <c r="E985" s="31" t="s">
        <v>96</v>
      </c>
      <c r="F985" s="31">
        <v>2013</v>
      </c>
      <c r="G985" s="16">
        <v>4.41E-2</v>
      </c>
      <c r="H985" s="16">
        <v>1.4252726806003124E-2</v>
      </c>
      <c r="I985" s="16">
        <v>0</v>
      </c>
      <c r="J985" s="16">
        <v>0</v>
      </c>
      <c r="K985" s="16">
        <v>1.2999999999999999E-3</v>
      </c>
      <c r="L985" s="16">
        <v>5.0971897511361316E-4</v>
      </c>
      <c r="M985" s="16">
        <v>1.3743007830889512E-2</v>
      </c>
      <c r="N985" s="16">
        <v>0</v>
      </c>
      <c r="O985" s="16">
        <v>0</v>
      </c>
      <c r="P985" s="95"/>
    </row>
    <row r="986" spans="1:16" x14ac:dyDescent="0.25">
      <c r="A986" s="16">
        <v>33</v>
      </c>
      <c r="B986" s="16">
        <v>437573.10856199998</v>
      </c>
      <c r="C986" s="16">
        <v>5688631.3324180003</v>
      </c>
      <c r="D986" s="31">
        <v>9</v>
      </c>
      <c r="E986" s="31" t="s">
        <v>96</v>
      </c>
      <c r="F986" s="31">
        <v>2013</v>
      </c>
      <c r="G986" s="16">
        <v>7.6E-3</v>
      </c>
      <c r="H986" s="16">
        <v>2.4562522386762753E-3</v>
      </c>
      <c r="I986" s="16">
        <v>0</v>
      </c>
      <c r="J986" s="16">
        <v>0</v>
      </c>
      <c r="K986" s="16">
        <v>2.3E-3</v>
      </c>
      <c r="L986" s="16">
        <v>9.0181049443177716E-4</v>
      </c>
      <c r="M986" s="16">
        <v>1.5544417442444982E-3</v>
      </c>
      <c r="N986" s="16">
        <v>0</v>
      </c>
      <c r="O986" s="16">
        <v>0</v>
      </c>
      <c r="P986" s="95"/>
    </row>
    <row r="987" spans="1:16" x14ac:dyDescent="0.25">
      <c r="A987" s="16">
        <v>34</v>
      </c>
      <c r="B987" s="16">
        <v>437692.10856199998</v>
      </c>
      <c r="C987" s="16">
        <v>5688631.3324180003</v>
      </c>
      <c r="D987" s="31">
        <v>9</v>
      </c>
      <c r="E987" s="31" t="s">
        <v>96</v>
      </c>
      <c r="F987" s="31">
        <v>2013</v>
      </c>
      <c r="G987" s="16">
        <v>1.2699999999999999E-2</v>
      </c>
      <c r="H987" s="16">
        <v>4.1045267672616698E-3</v>
      </c>
      <c r="I987" s="16">
        <v>0</v>
      </c>
      <c r="J987" s="16">
        <v>0</v>
      </c>
      <c r="K987" s="16">
        <v>1.0800000000000001E-2</v>
      </c>
      <c r="L987" s="16">
        <v>4.234588408636171E-3</v>
      </c>
      <c r="M987" s="16">
        <v>-1.3006164137450114E-4</v>
      </c>
      <c r="N987" s="16">
        <v>0</v>
      </c>
      <c r="O987" s="16">
        <v>0</v>
      </c>
      <c r="P987" s="95"/>
    </row>
    <row r="988" spans="1:16" x14ac:dyDescent="0.25">
      <c r="A988" s="16">
        <v>35</v>
      </c>
      <c r="B988" s="16">
        <v>437893</v>
      </c>
      <c r="C988" s="16">
        <v>5688620</v>
      </c>
      <c r="D988" s="31">
        <v>9</v>
      </c>
      <c r="E988" s="31" t="s">
        <v>96</v>
      </c>
      <c r="F988" s="31">
        <v>2013</v>
      </c>
      <c r="G988" s="16">
        <v>3.95E-2</v>
      </c>
      <c r="H988" s="16">
        <v>1.2766047819435904E-2</v>
      </c>
      <c r="I988" s="16">
        <v>0</v>
      </c>
      <c r="J988" s="16">
        <v>0</v>
      </c>
      <c r="K988" s="16">
        <v>3.2000000000000002E-3</v>
      </c>
      <c r="L988" s="16">
        <v>1.2546928618181249E-3</v>
      </c>
      <c r="M988" s="16">
        <v>1.1511354957617778E-2</v>
      </c>
      <c r="N988" s="16">
        <v>0</v>
      </c>
      <c r="O988" s="16">
        <v>0</v>
      </c>
      <c r="P988" s="95"/>
    </row>
    <row r="989" spans="1:16" x14ac:dyDescent="0.25">
      <c r="A989" s="16">
        <v>36</v>
      </c>
      <c r="B989" s="16">
        <v>437930.10856199998</v>
      </c>
      <c r="C989" s="16">
        <v>5688631.3324180003</v>
      </c>
      <c r="D989" s="31">
        <v>9</v>
      </c>
      <c r="E989" s="31" t="s">
        <v>96</v>
      </c>
      <c r="F989" s="31">
        <v>2013</v>
      </c>
      <c r="G989" s="16">
        <v>1.23E-2</v>
      </c>
      <c r="H989" s="16">
        <v>3.9752503336471295E-3</v>
      </c>
      <c r="I989" s="16">
        <v>0</v>
      </c>
      <c r="J989" s="16">
        <v>0</v>
      </c>
      <c r="K989" s="16">
        <v>6.6E-3</v>
      </c>
      <c r="L989" s="16">
        <v>2.5878040274998826E-3</v>
      </c>
      <c r="M989" s="16">
        <v>1.387446306147247E-3</v>
      </c>
      <c r="N989" s="16">
        <v>0</v>
      </c>
      <c r="O989" s="16">
        <v>0</v>
      </c>
      <c r="P989" s="95"/>
    </row>
    <row r="990" spans="1:16" x14ac:dyDescent="0.25">
      <c r="A990" s="35">
        <v>37</v>
      </c>
      <c r="B990" s="35">
        <v>438049.10856199998</v>
      </c>
      <c r="C990" s="35">
        <v>5688631.3324180003</v>
      </c>
      <c r="D990" s="96">
        <v>9</v>
      </c>
      <c r="E990" s="96" t="s">
        <v>96</v>
      </c>
      <c r="F990" s="96">
        <v>2013</v>
      </c>
      <c r="G990" s="96" t="s">
        <v>18</v>
      </c>
      <c r="H990" s="96" t="s">
        <v>18</v>
      </c>
      <c r="I990" s="96" t="s">
        <v>18</v>
      </c>
      <c r="J990" s="96" t="s">
        <v>18</v>
      </c>
      <c r="K990" s="96" t="s">
        <v>18</v>
      </c>
      <c r="L990" s="96" t="s">
        <v>18</v>
      </c>
      <c r="M990" s="96" t="s">
        <v>18</v>
      </c>
      <c r="N990" s="96" t="s">
        <v>18</v>
      </c>
      <c r="O990" s="96" t="s">
        <v>18</v>
      </c>
      <c r="P990" s="94" t="s">
        <v>21</v>
      </c>
    </row>
    <row r="991" spans="1:16" x14ac:dyDescent="0.25">
      <c r="A991" s="16">
        <v>38</v>
      </c>
      <c r="B991" s="16">
        <v>438067</v>
      </c>
      <c r="C991" s="16">
        <v>5688710</v>
      </c>
      <c r="D991" s="31">
        <v>8</v>
      </c>
      <c r="E991" s="31" t="s">
        <v>96</v>
      </c>
      <c r="F991" s="31">
        <v>2013</v>
      </c>
      <c r="G991" s="16">
        <v>0.24280000000000002</v>
      </c>
      <c r="H991" s="16">
        <v>5.7825170596313966E-2</v>
      </c>
      <c r="I991" s="16">
        <v>0</v>
      </c>
      <c r="J991" s="16">
        <v>0</v>
      </c>
      <c r="K991" s="16">
        <v>4.7999999999999996E-3</v>
      </c>
      <c r="L991" s="16">
        <v>1.5821095402756031E-3</v>
      </c>
      <c r="M991" s="16">
        <v>5.6243061056038365E-2</v>
      </c>
      <c r="N991" s="16">
        <v>0</v>
      </c>
      <c r="O991" s="16">
        <v>0</v>
      </c>
      <c r="P991" s="95"/>
    </row>
    <row r="992" spans="1:16" x14ac:dyDescent="0.25">
      <c r="A992" s="35">
        <v>39</v>
      </c>
      <c r="B992" s="35">
        <v>438287.10856199998</v>
      </c>
      <c r="C992" s="35">
        <v>5688631.3324180003</v>
      </c>
      <c r="D992" s="96">
        <v>9</v>
      </c>
      <c r="E992" s="96" t="s">
        <v>96</v>
      </c>
      <c r="F992" s="96">
        <v>2013</v>
      </c>
      <c r="G992" s="96" t="s">
        <v>18</v>
      </c>
      <c r="H992" s="96" t="s">
        <v>18</v>
      </c>
      <c r="I992" s="96" t="s">
        <v>18</v>
      </c>
      <c r="J992" s="96" t="s">
        <v>18</v>
      </c>
      <c r="K992" s="96" t="s">
        <v>18</v>
      </c>
      <c r="L992" s="96" t="s">
        <v>18</v>
      </c>
      <c r="M992" s="96" t="s">
        <v>18</v>
      </c>
      <c r="N992" s="96" t="s">
        <v>18</v>
      </c>
      <c r="O992" s="96" t="s">
        <v>18</v>
      </c>
      <c r="P992" s="94" t="s">
        <v>22</v>
      </c>
    </row>
    <row r="993" spans="1:16" x14ac:dyDescent="0.25">
      <c r="A993" s="16">
        <v>40</v>
      </c>
      <c r="B993" s="16">
        <v>438406.10856199998</v>
      </c>
      <c r="C993" s="16">
        <v>5688631.3324180003</v>
      </c>
      <c r="D993" s="31">
        <v>9</v>
      </c>
      <c r="E993" s="31" t="s">
        <v>96</v>
      </c>
      <c r="F993" s="31">
        <v>2013</v>
      </c>
      <c r="G993" s="16">
        <v>1.1900000000000001E-2</v>
      </c>
      <c r="H993" s="16">
        <v>3.8459739000325892E-3</v>
      </c>
      <c r="I993" s="16">
        <v>0</v>
      </c>
      <c r="J993" s="16">
        <v>0</v>
      </c>
      <c r="K993" s="16">
        <v>5.5999999999999999E-3</v>
      </c>
      <c r="L993" s="16">
        <v>2.1957125081817183E-3</v>
      </c>
      <c r="M993" s="16">
        <v>1.6502613918508709E-3</v>
      </c>
      <c r="N993" s="16">
        <v>0</v>
      </c>
      <c r="O993" s="16">
        <v>0</v>
      </c>
      <c r="P993" s="95"/>
    </row>
    <row r="994" spans="1:16" x14ac:dyDescent="0.25">
      <c r="A994" s="16">
        <v>41</v>
      </c>
      <c r="B994" s="16">
        <v>437310</v>
      </c>
      <c r="C994" s="16">
        <v>5688729</v>
      </c>
      <c r="D994" s="31">
        <v>9</v>
      </c>
      <c r="E994" s="31" t="s">
        <v>96</v>
      </c>
      <c r="F994" s="31">
        <v>2013</v>
      </c>
      <c r="G994" s="16">
        <v>8.9599999999999999E-2</v>
      </c>
      <c r="H994" s="16">
        <v>2.8957921129657137E-2</v>
      </c>
      <c r="I994" s="16">
        <v>0</v>
      </c>
      <c r="J994" s="16">
        <v>0</v>
      </c>
      <c r="K994" s="16">
        <v>8.199999999999999E-3</v>
      </c>
      <c r="L994" s="16">
        <v>3.2151504584089444E-3</v>
      </c>
      <c r="M994" s="16">
        <v>2.5742770671248194E-2</v>
      </c>
      <c r="N994" s="16">
        <v>0</v>
      </c>
      <c r="O994" s="16">
        <v>0</v>
      </c>
      <c r="P994" s="95"/>
    </row>
    <row r="995" spans="1:16" x14ac:dyDescent="0.25">
      <c r="A995" s="16">
        <v>42</v>
      </c>
      <c r="B995" s="16">
        <v>437454.10856199998</v>
      </c>
      <c r="C995" s="16">
        <v>5688750.3324180003</v>
      </c>
      <c r="D995" s="31">
        <v>9</v>
      </c>
      <c r="E995" s="31" t="s">
        <v>96</v>
      </c>
      <c r="F995" s="31">
        <v>2013</v>
      </c>
      <c r="G995" s="16">
        <v>3.5799999999999998E-2</v>
      </c>
      <c r="H995" s="16">
        <v>1.15702408085014E-2</v>
      </c>
      <c r="I995" s="16">
        <v>3.1199999999999999E-2</v>
      </c>
      <c r="J995" s="16">
        <v>1.2806337951241099E-2</v>
      </c>
      <c r="K995" s="16">
        <v>1.89E-2</v>
      </c>
      <c r="L995" s="16">
        <v>7.4105297151132992E-3</v>
      </c>
      <c r="M995" s="16">
        <v>4.159711093388101E-3</v>
      </c>
      <c r="N995" s="16">
        <v>2.52E-2</v>
      </c>
      <c r="O995" s="16">
        <v>1.2934724852480888E-2</v>
      </c>
      <c r="P995" s="95"/>
    </row>
    <row r="996" spans="1:16" x14ac:dyDescent="0.25">
      <c r="A996" s="16">
        <v>43</v>
      </c>
      <c r="B996" s="16">
        <v>437573.10856199998</v>
      </c>
      <c r="C996" s="16">
        <v>5688750.3324180003</v>
      </c>
      <c r="D996" s="31">
        <v>9</v>
      </c>
      <c r="E996" s="31" t="s">
        <v>96</v>
      </c>
      <c r="F996" s="31">
        <v>2013</v>
      </c>
      <c r="G996" s="16">
        <v>1.34E-2</v>
      </c>
      <c r="H996" s="16">
        <v>4.3307605260871169E-3</v>
      </c>
      <c r="I996" s="16">
        <v>0</v>
      </c>
      <c r="J996" s="16">
        <v>0</v>
      </c>
      <c r="K996" s="16">
        <v>1.21E-2</v>
      </c>
      <c r="L996" s="16">
        <v>4.7443073837497842E-3</v>
      </c>
      <c r="M996" s="16">
        <v>-4.1354685766266733E-4</v>
      </c>
      <c r="N996" s="16">
        <v>0</v>
      </c>
      <c r="O996" s="16">
        <v>0</v>
      </c>
      <c r="P996" s="95"/>
    </row>
    <row r="997" spans="1:16" x14ac:dyDescent="0.25">
      <c r="A997" s="16">
        <v>44</v>
      </c>
      <c r="B997" s="16">
        <v>437692.10856199998</v>
      </c>
      <c r="C997" s="16">
        <v>5688750.3324180003</v>
      </c>
      <c r="D997" s="31">
        <v>9</v>
      </c>
      <c r="E997" s="31" t="s">
        <v>96</v>
      </c>
      <c r="F997" s="31">
        <v>2013</v>
      </c>
      <c r="G997" s="16">
        <v>2.5700000000000001E-2</v>
      </c>
      <c r="H997" s="16">
        <v>8.3060108597342464E-3</v>
      </c>
      <c r="I997" s="16">
        <v>0</v>
      </c>
      <c r="J997" s="16">
        <v>0</v>
      </c>
      <c r="K997" s="16">
        <v>6.4999999999999997E-3</v>
      </c>
      <c r="L997" s="16">
        <v>2.5485948755680659E-3</v>
      </c>
      <c r="M997" s="16">
        <v>5.7574159841661809E-3</v>
      </c>
      <c r="N997" s="16">
        <v>0</v>
      </c>
      <c r="O997" s="16">
        <v>0</v>
      </c>
      <c r="P997" s="95"/>
    </row>
    <row r="998" spans="1:16" x14ac:dyDescent="0.25">
      <c r="A998" s="16">
        <v>45</v>
      </c>
      <c r="B998" s="16">
        <v>437811.10856199998</v>
      </c>
      <c r="C998" s="16">
        <v>5688750.3324180003</v>
      </c>
      <c r="D998" s="31">
        <v>9</v>
      </c>
      <c r="E998" s="31" t="s">
        <v>96</v>
      </c>
      <c r="F998" s="31">
        <v>2013</v>
      </c>
      <c r="G998" s="16">
        <v>0.115</v>
      </c>
      <c r="H998" s="16">
        <v>3.716697466418048E-2</v>
      </c>
      <c r="I998" s="16">
        <v>0</v>
      </c>
      <c r="J998" s="16">
        <v>0</v>
      </c>
      <c r="K998" s="16">
        <v>3.5999999999999999E-3</v>
      </c>
      <c r="L998" s="16">
        <v>1.4115294695453903E-3</v>
      </c>
      <c r="M998" s="16">
        <v>3.575544519463509E-2</v>
      </c>
      <c r="N998" s="16">
        <v>6.9599999999999995E-2</v>
      </c>
      <c r="O998" s="16">
        <v>3.5724478163994829E-2</v>
      </c>
      <c r="P998" s="95"/>
    </row>
    <row r="999" spans="1:16" x14ac:dyDescent="0.25">
      <c r="A999" s="16">
        <v>46</v>
      </c>
      <c r="B999" s="16">
        <v>437930.10856199998</v>
      </c>
      <c r="C999" s="16">
        <v>5688750.3324180003</v>
      </c>
      <c r="D999" s="31">
        <v>8</v>
      </c>
      <c r="E999" s="31" t="s">
        <v>96</v>
      </c>
      <c r="F999" s="31">
        <v>2013</v>
      </c>
      <c r="G999" s="16">
        <v>1.9100000000000002E-2</v>
      </c>
      <c r="H999" s="16">
        <v>4.5488499109950448E-3</v>
      </c>
      <c r="I999" s="16">
        <v>1.12E-2</v>
      </c>
      <c r="J999" s="16">
        <v>5.5072781409758898E-3</v>
      </c>
      <c r="K999" s="16">
        <v>1.5099999999999999E-2</v>
      </c>
      <c r="L999" s="16">
        <v>4.9770529287836681E-3</v>
      </c>
      <c r="M999" s="16">
        <v>-4.2820301778862327E-4</v>
      </c>
      <c r="N999" s="16">
        <v>2.5399999999999999E-2</v>
      </c>
      <c r="O999" s="16">
        <v>1.3064270503873892E-2</v>
      </c>
      <c r="P999" s="95"/>
    </row>
    <row r="1000" spans="1:16" x14ac:dyDescent="0.25">
      <c r="A1000" s="16">
        <v>47</v>
      </c>
      <c r="B1000" s="16">
        <v>438061</v>
      </c>
      <c r="C1000" s="16">
        <v>5688779</v>
      </c>
      <c r="D1000" s="31">
        <v>8</v>
      </c>
      <c r="E1000" s="31" t="s">
        <v>96</v>
      </c>
      <c r="F1000" s="31">
        <v>2013</v>
      </c>
      <c r="G1000" s="16">
        <v>0.1128</v>
      </c>
      <c r="H1000" s="16">
        <v>2.6864412039803189E-2</v>
      </c>
      <c r="I1000" s="16">
        <v>2.9000000000000001E-2</v>
      </c>
      <c r="J1000" s="16">
        <v>1.4259916615026859E-2</v>
      </c>
      <c r="K1000" s="16">
        <v>1.11E-2</v>
      </c>
      <c r="L1000" s="16">
        <v>3.6586283118873325E-3</v>
      </c>
      <c r="M1000" s="16">
        <v>2.3205783727915857E-2</v>
      </c>
      <c r="N1000" s="16">
        <v>1.1000000000000001E-3</v>
      </c>
      <c r="O1000" s="16">
        <v>5.6577549426225517E-4</v>
      </c>
      <c r="P1000" s="95"/>
    </row>
    <row r="1001" spans="1:16" x14ac:dyDescent="0.25">
      <c r="A1001" s="35">
        <v>48</v>
      </c>
      <c r="B1001" s="35">
        <v>438168.10856199998</v>
      </c>
      <c r="C1001" s="35">
        <v>5688750.3324180003</v>
      </c>
      <c r="D1001" s="96">
        <v>9</v>
      </c>
      <c r="E1001" s="96" t="s">
        <v>96</v>
      </c>
      <c r="F1001" s="96">
        <v>2013</v>
      </c>
      <c r="G1001" s="96" t="s">
        <v>18</v>
      </c>
      <c r="H1001" s="96" t="s">
        <v>18</v>
      </c>
      <c r="I1001" s="96" t="s">
        <v>18</v>
      </c>
      <c r="J1001" s="96" t="s">
        <v>18</v>
      </c>
      <c r="K1001" s="96" t="s">
        <v>18</v>
      </c>
      <c r="L1001" s="96" t="s">
        <v>18</v>
      </c>
      <c r="M1001" s="96" t="s">
        <v>18</v>
      </c>
      <c r="N1001" s="96" t="s">
        <v>18</v>
      </c>
      <c r="O1001" s="96" t="s">
        <v>18</v>
      </c>
      <c r="P1001" s="94" t="s">
        <v>21</v>
      </c>
    </row>
    <row r="1002" spans="1:16" x14ac:dyDescent="0.25">
      <c r="A1002" s="16">
        <v>49</v>
      </c>
      <c r="B1002" s="16">
        <v>437454.10856199998</v>
      </c>
      <c r="C1002" s="16">
        <v>5688869.3324180003</v>
      </c>
      <c r="D1002" s="31">
        <v>8</v>
      </c>
      <c r="E1002" s="31" t="s">
        <v>96</v>
      </c>
      <c r="F1002" s="31">
        <v>2013</v>
      </c>
      <c r="G1002" s="16">
        <v>0.1065</v>
      </c>
      <c r="H1002" s="16">
        <v>2.5364006048218438E-2</v>
      </c>
      <c r="I1002" s="16">
        <v>0</v>
      </c>
      <c r="J1002" s="16">
        <v>0</v>
      </c>
      <c r="K1002" s="16">
        <v>9.4000000000000004E-3</v>
      </c>
      <c r="L1002" s="16">
        <v>3.0982978497063897E-3</v>
      </c>
      <c r="M1002" s="16">
        <v>2.2265708198512049E-2</v>
      </c>
      <c r="N1002" s="16">
        <v>0</v>
      </c>
      <c r="O1002" s="16">
        <v>0</v>
      </c>
      <c r="P1002" s="95"/>
    </row>
    <row r="1003" spans="1:16" x14ac:dyDescent="0.25">
      <c r="A1003" s="16">
        <v>50</v>
      </c>
      <c r="B1003" s="16">
        <v>437811.10856199998</v>
      </c>
      <c r="C1003" s="16">
        <v>5688869.3324180003</v>
      </c>
      <c r="D1003" s="31">
        <v>8</v>
      </c>
      <c r="E1003" s="31" t="s">
        <v>96</v>
      </c>
      <c r="F1003" s="31">
        <v>2013</v>
      </c>
      <c r="G1003" s="16">
        <v>0.10299999999999999</v>
      </c>
      <c r="H1003" s="16">
        <v>2.4530447164004685E-2</v>
      </c>
      <c r="I1003" s="16">
        <v>0</v>
      </c>
      <c r="J1003" s="16">
        <v>0</v>
      </c>
      <c r="K1003" s="16">
        <v>3.2000000000000002E-3</v>
      </c>
      <c r="L1003" s="16">
        <v>1.0547396935170689E-3</v>
      </c>
      <c r="M1003" s="16">
        <v>2.3475707470487616E-2</v>
      </c>
      <c r="N1003" s="16">
        <v>0</v>
      </c>
      <c r="O1003" s="16">
        <v>0</v>
      </c>
      <c r="P1003" s="95"/>
    </row>
    <row r="1004" spans="1:16" x14ac:dyDescent="0.25">
      <c r="A1004" s="16">
        <v>51</v>
      </c>
      <c r="B1004" s="16">
        <v>437930.10856199998</v>
      </c>
      <c r="C1004" s="16">
        <v>5688869.3324180003</v>
      </c>
      <c r="D1004" s="31">
        <v>8</v>
      </c>
      <c r="E1004" s="31" t="s">
        <v>96</v>
      </c>
      <c r="F1004" s="31">
        <v>2013</v>
      </c>
      <c r="G1004" s="16">
        <v>4.8600000000000004E-2</v>
      </c>
      <c r="H1004" s="16">
        <v>1.1574560506510951E-2</v>
      </c>
      <c r="I1004" s="16">
        <v>0</v>
      </c>
      <c r="J1004" s="16">
        <v>0</v>
      </c>
      <c r="K1004" s="16">
        <v>2.2600000000000002E-2</v>
      </c>
      <c r="L1004" s="16">
        <v>7.4490990854642995E-3</v>
      </c>
      <c r="M1004" s="16">
        <v>4.1254614210466511E-3</v>
      </c>
      <c r="N1004" s="16">
        <v>0</v>
      </c>
      <c r="O1004" s="16">
        <v>0</v>
      </c>
      <c r="P1004" s="95"/>
    </row>
    <row r="1005" spans="1:16" x14ac:dyDescent="0.25">
      <c r="A1005" s="16">
        <v>52</v>
      </c>
      <c r="B1005" s="16">
        <v>438049.10856199998</v>
      </c>
      <c r="C1005" s="16">
        <v>5688869.3324180003</v>
      </c>
      <c r="D1005" s="31">
        <v>8</v>
      </c>
      <c r="E1005" s="31" t="s">
        <v>96</v>
      </c>
      <c r="F1005" s="31">
        <v>2013</v>
      </c>
      <c r="G1005" s="16">
        <v>2.8300000000000002E-2</v>
      </c>
      <c r="H1005" s="16">
        <v>6.739918978071191E-3</v>
      </c>
      <c r="I1005" s="16">
        <v>1.9899999999999998E-2</v>
      </c>
      <c r="J1005" s="16">
        <v>9.7852531254839451E-3</v>
      </c>
      <c r="K1005" s="16">
        <v>1.1300000000000001E-2</v>
      </c>
      <c r="L1005" s="16">
        <v>3.7245495427321498E-3</v>
      </c>
      <c r="M1005" s="16">
        <v>3.0153694353390412E-3</v>
      </c>
      <c r="N1005" s="16">
        <v>0.10809999999999999</v>
      </c>
      <c r="O1005" s="16">
        <v>5.5600300845227074E-2</v>
      </c>
      <c r="P1005" s="95"/>
    </row>
    <row r="1006" spans="1:16" x14ac:dyDescent="0.25">
      <c r="A1006" s="16">
        <v>53</v>
      </c>
      <c r="B1006" s="16">
        <v>438287.10856199998</v>
      </c>
      <c r="C1006" s="16">
        <v>5688869.3324180003</v>
      </c>
      <c r="D1006" s="31">
        <v>8</v>
      </c>
      <c r="E1006" s="31" t="s">
        <v>96</v>
      </c>
      <c r="F1006" s="31">
        <v>2013</v>
      </c>
      <c r="G1006" s="16">
        <v>4.19E-2</v>
      </c>
      <c r="H1006" s="16">
        <v>9.9788906424446242E-3</v>
      </c>
      <c r="I1006" s="16">
        <v>0</v>
      </c>
      <c r="J1006" s="16">
        <v>0</v>
      </c>
      <c r="K1006" s="16">
        <v>2.1000000000000003E-3</v>
      </c>
      <c r="L1006" s="16">
        <v>6.9217292387057652E-4</v>
      </c>
      <c r="M1006" s="16">
        <v>9.2867177185740474E-3</v>
      </c>
      <c r="N1006" s="16">
        <v>0</v>
      </c>
      <c r="O1006" s="16">
        <v>0</v>
      </c>
      <c r="P1006" s="95"/>
    </row>
    <row r="1007" spans="1:16" x14ac:dyDescent="0.25">
      <c r="A1007" s="16">
        <v>54</v>
      </c>
      <c r="B1007" s="16">
        <v>437454.10856199998</v>
      </c>
      <c r="C1007" s="16">
        <v>5688988.3324180003</v>
      </c>
      <c r="D1007" s="31">
        <v>8</v>
      </c>
      <c r="E1007" s="31" t="s">
        <v>96</v>
      </c>
      <c r="F1007" s="31">
        <v>2013</v>
      </c>
      <c r="G1007" s="16">
        <v>8.3699999999999997E-2</v>
      </c>
      <c r="H1007" s="16">
        <v>1.9933965316768856E-2</v>
      </c>
      <c r="I1007" s="16">
        <v>4.3499999999999997E-2</v>
      </c>
      <c r="J1007" s="16">
        <v>2.1389874922540283E-2</v>
      </c>
      <c r="K1007" s="16">
        <v>3.8E-3</v>
      </c>
      <c r="L1007" s="16">
        <v>1.2525033860515192E-3</v>
      </c>
      <c r="M1007" s="16">
        <v>1.8681461930717336E-2</v>
      </c>
      <c r="N1007" s="16">
        <v>3.3999999999999998E-3</v>
      </c>
      <c r="O1007" s="16">
        <v>1.7487606186287886E-3</v>
      </c>
      <c r="P1007" s="95"/>
    </row>
    <row r="1008" spans="1:16" x14ac:dyDescent="0.25">
      <c r="A1008" s="16">
        <v>55</v>
      </c>
      <c r="B1008" s="16">
        <v>438049.10856199998</v>
      </c>
      <c r="C1008" s="16">
        <v>5688988.3324180003</v>
      </c>
      <c r="D1008" s="31">
        <v>8</v>
      </c>
      <c r="E1008" s="31" t="s">
        <v>96</v>
      </c>
      <c r="F1008" s="31">
        <v>2013</v>
      </c>
      <c r="G1008" s="16">
        <v>0.10590000000000001</v>
      </c>
      <c r="H1008" s="16">
        <v>2.5221110239496084E-2</v>
      </c>
      <c r="I1008" s="16">
        <v>0</v>
      </c>
      <c r="J1008" s="16">
        <v>0</v>
      </c>
      <c r="K1008" s="16">
        <v>3.1699999999999999E-2</v>
      </c>
      <c r="L1008" s="16">
        <v>1.0448515088903463E-2</v>
      </c>
      <c r="M1008" s="16">
        <v>1.4772595150592621E-2</v>
      </c>
      <c r="N1008" s="16">
        <v>0</v>
      </c>
      <c r="O1008" s="16">
        <v>0</v>
      </c>
      <c r="P1008" s="95"/>
    </row>
    <row r="1009" spans="1:19" x14ac:dyDescent="0.25">
      <c r="A1009" s="16">
        <v>56</v>
      </c>
      <c r="B1009" s="16">
        <v>438168.10856199998</v>
      </c>
      <c r="C1009" s="16">
        <v>5688988.3324180003</v>
      </c>
      <c r="D1009" s="31">
        <v>8</v>
      </c>
      <c r="E1009" s="31" t="s">
        <v>96</v>
      </c>
      <c r="F1009" s="31">
        <v>2013</v>
      </c>
      <c r="G1009" s="16">
        <v>5.2499999999999998E-2</v>
      </c>
      <c r="H1009" s="16">
        <v>1.2503383263206273E-2</v>
      </c>
      <c r="I1009" s="16">
        <v>0</v>
      </c>
      <c r="J1009" s="16">
        <v>0</v>
      </c>
      <c r="K1009" s="16">
        <v>3.2000000000000002E-3</v>
      </c>
      <c r="L1009" s="16">
        <v>1.0547396935170689E-3</v>
      </c>
      <c r="M1009" s="16">
        <v>1.1448643569689203E-2</v>
      </c>
      <c r="N1009" s="16">
        <v>0</v>
      </c>
      <c r="O1009" s="16">
        <v>0</v>
      </c>
      <c r="P1009" s="95"/>
    </row>
    <row r="1010" spans="1:19" x14ac:dyDescent="0.25">
      <c r="A1010" s="36">
        <v>57</v>
      </c>
      <c r="B1010" s="36">
        <v>438146</v>
      </c>
      <c r="C1010" s="36">
        <v>5688977</v>
      </c>
      <c r="D1010" s="99">
        <v>8</v>
      </c>
      <c r="E1010" s="99" t="s">
        <v>96</v>
      </c>
      <c r="F1010" s="99">
        <v>2013</v>
      </c>
      <c r="G1010" s="36">
        <v>0.21149999999999999</v>
      </c>
      <c r="H1010" s="36">
        <v>5.0370772574630983E-2</v>
      </c>
      <c r="I1010" s="36">
        <v>2.7000000000000001E-3</v>
      </c>
      <c r="J1010" s="36">
        <v>1.3276474089852592E-3</v>
      </c>
      <c r="K1010" s="36">
        <v>8.0000000000000002E-3</v>
      </c>
      <c r="L1010" s="36">
        <v>2.636849233792672E-3</v>
      </c>
      <c r="M1010" s="36">
        <v>4.7733923340838313E-2</v>
      </c>
      <c r="N1010" s="36">
        <v>0</v>
      </c>
      <c r="O1010" s="36">
        <v>0</v>
      </c>
      <c r="P1010" s="100"/>
    </row>
    <row r="1011" spans="1:19" x14ac:dyDescent="0.25">
      <c r="A1011" s="36">
        <v>58</v>
      </c>
      <c r="B1011" s="36">
        <v>438131</v>
      </c>
      <c r="C1011" s="36">
        <v>5688972</v>
      </c>
      <c r="D1011" s="99">
        <v>8</v>
      </c>
      <c r="E1011" s="99" t="s">
        <v>96</v>
      </c>
      <c r="F1011" s="99">
        <v>2013</v>
      </c>
      <c r="G1011" s="36">
        <v>0.1724</v>
      </c>
      <c r="H1011" s="36">
        <v>4.105872903955736E-2</v>
      </c>
      <c r="I1011" s="36">
        <v>0</v>
      </c>
      <c r="J1011" s="36">
        <v>0</v>
      </c>
      <c r="K1011" s="36">
        <v>1.1699999999999999E-2</v>
      </c>
      <c r="L1011" s="36">
        <v>3.8563920044217825E-3</v>
      </c>
      <c r="M1011" s="36">
        <v>3.7202337035135577E-2</v>
      </c>
      <c r="N1011" s="36">
        <v>0</v>
      </c>
      <c r="O1011" s="36">
        <v>0</v>
      </c>
      <c r="P1011" s="100"/>
    </row>
    <row r="1012" spans="1:19" x14ac:dyDescent="0.25">
      <c r="A1012" s="36">
        <v>59</v>
      </c>
      <c r="B1012" s="36">
        <v>438089</v>
      </c>
      <c r="C1012" s="36">
        <v>5688713</v>
      </c>
      <c r="D1012" s="99">
        <v>8</v>
      </c>
      <c r="E1012" s="99" t="s">
        <v>96</v>
      </c>
      <c r="F1012" s="99">
        <v>2013</v>
      </c>
      <c r="G1012" s="36">
        <v>0.27139999999999997</v>
      </c>
      <c r="H1012" s="36">
        <v>6.4636537478746328E-2</v>
      </c>
      <c r="I1012" s="36">
        <v>0</v>
      </c>
      <c r="J1012" s="36">
        <v>0</v>
      </c>
      <c r="K1012" s="36">
        <v>6.6E-3</v>
      </c>
      <c r="L1012" s="36">
        <v>2.1754006178789547E-3</v>
      </c>
      <c r="M1012" s="36">
        <v>6.2461136860867371E-2</v>
      </c>
      <c r="N1012" s="36">
        <v>0</v>
      </c>
      <c r="O1012" s="36">
        <v>0</v>
      </c>
      <c r="P1012" s="100"/>
    </row>
    <row r="1013" spans="1:19" x14ac:dyDescent="0.25">
      <c r="A1013" s="36">
        <v>60</v>
      </c>
      <c r="B1013" s="36">
        <v>438099</v>
      </c>
      <c r="C1013" s="36">
        <v>5688719</v>
      </c>
      <c r="D1013" s="99">
        <v>8</v>
      </c>
      <c r="E1013" s="99" t="s">
        <v>96</v>
      </c>
      <c r="F1013" s="99">
        <v>2013</v>
      </c>
      <c r="G1013" s="36">
        <v>0.1313</v>
      </c>
      <c r="H1013" s="36">
        <v>3.127036614207588E-2</v>
      </c>
      <c r="I1013" s="36">
        <v>0</v>
      </c>
      <c r="J1013" s="36">
        <v>0</v>
      </c>
      <c r="K1013" s="36">
        <v>9.8000000000000014E-3</v>
      </c>
      <c r="L1013" s="36">
        <v>3.2301403113960238E-3</v>
      </c>
      <c r="M1013" s="36">
        <v>2.8040225830679857E-2</v>
      </c>
      <c r="N1013" s="36">
        <v>0</v>
      </c>
      <c r="O1013" s="36">
        <v>0</v>
      </c>
      <c r="P1013" s="100"/>
    </row>
    <row r="1014" spans="1:19" x14ac:dyDescent="0.25">
      <c r="A1014" s="16">
        <v>1</v>
      </c>
      <c r="B1014" s="16">
        <v>437930.10856199998</v>
      </c>
      <c r="C1014" s="16">
        <v>5688036.3324180003</v>
      </c>
      <c r="D1014" s="31">
        <v>4</v>
      </c>
      <c r="E1014" s="31" t="s">
        <v>99</v>
      </c>
      <c r="F1014" s="31">
        <v>2013</v>
      </c>
      <c r="G1014" s="16">
        <v>1.4E-3</v>
      </c>
      <c r="H1014" s="16">
        <v>4.1900732125486499E-4</v>
      </c>
      <c r="I1014" s="16">
        <v>4.3E-3</v>
      </c>
      <c r="J1014" s="16">
        <v>2.1119192999662279E-3</v>
      </c>
      <c r="K1014" s="16">
        <v>4.8999999999999998E-3</v>
      </c>
      <c r="L1014" s="16">
        <v>2.0977421492877463E-3</v>
      </c>
      <c r="M1014" s="16">
        <v>-1.6787348280328813E-3</v>
      </c>
      <c r="N1014" s="16">
        <v>2.1600000000000001E-2</v>
      </c>
      <c r="O1014" s="16">
        <v>1.0738428444362794E-2</v>
      </c>
      <c r="P1014" s="95"/>
      <c r="R1014" s="5">
        <f>AVERAGE(M1014:M1073)</f>
        <v>7.0527029166981888E-3</v>
      </c>
      <c r="S1014" s="5">
        <f>AVERAGE(H1014:H1073)</f>
        <v>8.9179854396439617E-3</v>
      </c>
    </row>
    <row r="1015" spans="1:19" x14ac:dyDescent="0.25">
      <c r="A1015" s="16">
        <v>2</v>
      </c>
      <c r="B1015" s="16">
        <v>437811.10856199998</v>
      </c>
      <c r="C1015" s="16">
        <v>5688155.3324180003</v>
      </c>
      <c r="D1015" s="31">
        <v>4</v>
      </c>
      <c r="E1015" s="31" t="s">
        <v>99</v>
      </c>
      <c r="F1015" s="31">
        <v>2013</v>
      </c>
      <c r="G1015" s="16">
        <v>1.43E-2</v>
      </c>
      <c r="H1015" s="16">
        <v>4.2798604956746922E-3</v>
      </c>
      <c r="I1015" s="16">
        <v>0</v>
      </c>
      <c r="J1015" s="16">
        <v>0</v>
      </c>
      <c r="K1015" s="16">
        <v>9.4999999999999998E-3</v>
      </c>
      <c r="L1015" s="16">
        <v>4.0670511057619577E-3</v>
      </c>
      <c r="M1015" s="16">
        <v>2.1280938991273448E-4</v>
      </c>
      <c r="N1015" s="16">
        <v>0</v>
      </c>
      <c r="O1015" s="16">
        <v>0</v>
      </c>
      <c r="P1015" s="95"/>
    </row>
    <row r="1016" spans="1:19" x14ac:dyDescent="0.25">
      <c r="A1016" s="16">
        <v>3</v>
      </c>
      <c r="B1016" s="16">
        <v>437930.10856199998</v>
      </c>
      <c r="C1016" s="16">
        <v>5688155.3324180003</v>
      </c>
      <c r="D1016" s="31">
        <v>4</v>
      </c>
      <c r="E1016" s="31" t="s">
        <v>99</v>
      </c>
      <c r="F1016" s="31">
        <v>2013</v>
      </c>
      <c r="G1016" s="31" t="s">
        <v>18</v>
      </c>
      <c r="H1016" s="31" t="s">
        <v>18</v>
      </c>
      <c r="I1016" s="31" t="s">
        <v>18</v>
      </c>
      <c r="J1016" s="31" t="s">
        <v>18</v>
      </c>
      <c r="K1016" s="16">
        <v>2.6000000000000003E-3</v>
      </c>
      <c r="L1016" s="16">
        <v>1.1130876710506411E-3</v>
      </c>
      <c r="M1016" s="31" t="s">
        <v>18</v>
      </c>
      <c r="N1016" s="16">
        <v>4.0000000000000001E-3</v>
      </c>
      <c r="O1016" s="16">
        <v>1.9885978600671841E-3</v>
      </c>
      <c r="P1016" s="95" t="s">
        <v>100</v>
      </c>
    </row>
    <row r="1017" spans="1:19" x14ac:dyDescent="0.25">
      <c r="A1017" s="16">
        <v>4</v>
      </c>
      <c r="B1017" s="16">
        <v>438049.10856199998</v>
      </c>
      <c r="C1017" s="16">
        <v>5688155.3324180003</v>
      </c>
      <c r="D1017" s="31">
        <v>4</v>
      </c>
      <c r="E1017" s="31" t="s">
        <v>99</v>
      </c>
      <c r="F1017" s="31">
        <v>2013</v>
      </c>
      <c r="G1017" s="16">
        <v>5.0000000000000001E-4</v>
      </c>
      <c r="H1017" s="16">
        <v>1.4964547187673748E-4</v>
      </c>
      <c r="I1017" s="16">
        <v>2.3100000000000002E-2</v>
      </c>
      <c r="J1017" s="16">
        <v>1.1345426937027878E-2</v>
      </c>
      <c r="K1017" s="16">
        <v>2.3E-3</v>
      </c>
      <c r="L1017" s="16">
        <v>9.8465447823710547E-4</v>
      </c>
      <c r="M1017" s="16">
        <v>-8.3500900636036802E-4</v>
      </c>
      <c r="N1017" s="16">
        <v>1E-4</v>
      </c>
      <c r="O1017" s="16">
        <v>4.9714946501679603E-5</v>
      </c>
      <c r="P1017" s="95"/>
    </row>
    <row r="1018" spans="1:19" x14ac:dyDescent="0.25">
      <c r="A1018" s="16">
        <v>5</v>
      </c>
      <c r="B1018" s="16">
        <v>437573.10856199998</v>
      </c>
      <c r="C1018" s="16">
        <v>5688274.3324180003</v>
      </c>
      <c r="D1018" s="31">
        <v>4</v>
      </c>
      <c r="E1018" s="31" t="s">
        <v>99</v>
      </c>
      <c r="F1018" s="31">
        <v>2013</v>
      </c>
      <c r="G1018" s="16">
        <v>1.1800000000000001E-2</v>
      </c>
      <c r="H1018" s="16">
        <v>3.5316331362910051E-3</v>
      </c>
      <c r="I1018" s="16">
        <v>1.0500000000000001E-2</v>
      </c>
      <c r="J1018" s="16">
        <v>5.157012244103581E-3</v>
      </c>
      <c r="K1018" s="16">
        <v>2E-3</v>
      </c>
      <c r="L1018" s="16">
        <v>8.5622128542356998E-4</v>
      </c>
      <c r="M1018" s="16">
        <v>2.675411850867435E-3</v>
      </c>
      <c r="N1018" s="16">
        <v>7.7000000000000002E-3</v>
      </c>
      <c r="O1018" s="16">
        <v>3.8280508806293294E-3</v>
      </c>
      <c r="P1018" s="95"/>
    </row>
    <row r="1019" spans="1:19" x14ac:dyDescent="0.25">
      <c r="A1019" s="16">
        <v>6</v>
      </c>
      <c r="B1019" s="16">
        <v>437692.10856199998</v>
      </c>
      <c r="C1019" s="16">
        <v>5688274.3324180003</v>
      </c>
      <c r="D1019" s="31">
        <v>4</v>
      </c>
      <c r="E1019" s="31" t="s">
        <v>99</v>
      </c>
      <c r="F1019" s="31">
        <v>2013</v>
      </c>
      <c r="G1019" s="16">
        <v>1.44E-2</v>
      </c>
      <c r="H1019" s="16">
        <v>4.3097895900500397E-3</v>
      </c>
      <c r="I1019" s="16">
        <v>8.4199999999999997E-2</v>
      </c>
      <c r="J1019" s="16">
        <v>4.135432675747823E-2</v>
      </c>
      <c r="K1019" s="16">
        <v>4.2000000000000006E-3</v>
      </c>
      <c r="L1019" s="16">
        <v>1.7980646993894973E-3</v>
      </c>
      <c r="M1019" s="16">
        <v>2.5117248906605426E-3</v>
      </c>
      <c r="N1019" s="16">
        <v>0.12990000000000002</v>
      </c>
      <c r="O1019" s="16">
        <v>6.4579715505681812E-2</v>
      </c>
      <c r="P1019" s="95"/>
    </row>
    <row r="1020" spans="1:19" x14ac:dyDescent="0.25">
      <c r="A1020" s="16">
        <v>7</v>
      </c>
      <c r="B1020" s="16">
        <v>437811.10856199998</v>
      </c>
      <c r="C1020" s="16">
        <v>5688274.3324180003</v>
      </c>
      <c r="D1020" s="31">
        <v>4</v>
      </c>
      <c r="E1020" s="31" t="s">
        <v>99</v>
      </c>
      <c r="F1020" s="31">
        <v>2013</v>
      </c>
      <c r="G1020" s="16">
        <v>1.5099999999999999E-2</v>
      </c>
      <c r="H1020" s="16">
        <v>4.5192932506774716E-3</v>
      </c>
      <c r="I1020" s="16">
        <v>6.5099999999999991E-2</v>
      </c>
      <c r="J1020" s="16">
        <v>3.1973475913442191E-2</v>
      </c>
      <c r="K1020" s="16">
        <v>6.9999999999999988E-4</v>
      </c>
      <c r="L1020" s="16">
        <v>2.9967744989824944E-4</v>
      </c>
      <c r="M1020" s="16">
        <v>4.2196158007792219E-3</v>
      </c>
      <c r="N1020" s="16">
        <v>2.7600000000000003E-2</v>
      </c>
      <c r="O1020" s="16">
        <v>1.3721325234463571E-2</v>
      </c>
      <c r="P1020" s="95"/>
    </row>
    <row r="1021" spans="1:19" x14ac:dyDescent="0.25">
      <c r="A1021" s="16">
        <v>8</v>
      </c>
      <c r="B1021" s="16">
        <v>437930.10856199998</v>
      </c>
      <c r="C1021" s="16">
        <v>5688274.3324180003</v>
      </c>
      <c r="D1021" s="31">
        <v>4</v>
      </c>
      <c r="E1021" s="31" t="s">
        <v>99</v>
      </c>
      <c r="F1021" s="31">
        <v>2013</v>
      </c>
      <c r="G1021" s="16">
        <v>3.78E-2</v>
      </c>
      <c r="H1021" s="16">
        <v>1.1313197673881354E-2</v>
      </c>
      <c r="I1021" s="16">
        <v>1.8100000000000002E-2</v>
      </c>
      <c r="J1021" s="16">
        <v>8.8897068207880771E-3</v>
      </c>
      <c r="K1021" s="16">
        <v>2.2600000000000002E-2</v>
      </c>
      <c r="L1021" s="16">
        <v>9.6753005252863417E-3</v>
      </c>
      <c r="M1021" s="16">
        <v>1.6378971485950123E-3</v>
      </c>
      <c r="N1021" s="16">
        <v>0</v>
      </c>
      <c r="O1021" s="16">
        <v>0</v>
      </c>
      <c r="P1021" s="95"/>
    </row>
    <row r="1022" spans="1:19" x14ac:dyDescent="0.25">
      <c r="A1022" s="16">
        <v>9</v>
      </c>
      <c r="B1022" s="16">
        <v>438287.10856199998</v>
      </c>
      <c r="C1022" s="16">
        <v>5688274.3324180003</v>
      </c>
      <c r="D1022" s="31">
        <v>4</v>
      </c>
      <c r="E1022" s="31" t="s">
        <v>99</v>
      </c>
      <c r="F1022" s="31">
        <v>2013</v>
      </c>
      <c r="G1022" s="16">
        <v>3.8299999999999994E-2</v>
      </c>
      <c r="H1022" s="16">
        <v>1.146284314575809E-2</v>
      </c>
      <c r="I1022" s="16">
        <v>1.3800000000000002E-2</v>
      </c>
      <c r="J1022" s="16">
        <v>6.7777875208218487E-3</v>
      </c>
      <c r="K1022" s="16">
        <v>7.9000000000000008E-3</v>
      </c>
      <c r="L1022" s="16">
        <v>3.3820740774231019E-3</v>
      </c>
      <c r="M1022" s="16">
        <v>8.0807690683349885E-3</v>
      </c>
      <c r="N1022" s="16">
        <v>8.0000000000000002E-3</v>
      </c>
      <c r="O1022" s="16">
        <v>3.9771957201343681E-3</v>
      </c>
      <c r="P1022" s="95"/>
    </row>
    <row r="1023" spans="1:19" x14ac:dyDescent="0.25">
      <c r="A1023" s="16">
        <v>10</v>
      </c>
      <c r="B1023" s="16">
        <v>438406.10856199998</v>
      </c>
      <c r="C1023" s="16">
        <v>5688274.3324180003</v>
      </c>
      <c r="D1023" s="31">
        <v>4</v>
      </c>
      <c r="E1023" s="31" t="s">
        <v>99</v>
      </c>
      <c r="F1023" s="31">
        <v>2013</v>
      </c>
      <c r="G1023" s="16">
        <v>2.29E-2</v>
      </c>
      <c r="H1023" s="16">
        <v>6.8537626119545775E-3</v>
      </c>
      <c r="I1023" s="16">
        <v>0</v>
      </c>
      <c r="J1023" s="16">
        <v>0</v>
      </c>
      <c r="K1023" s="16">
        <v>4.8999999999999998E-3</v>
      </c>
      <c r="L1023" s="16">
        <v>2.0977421492877463E-3</v>
      </c>
      <c r="M1023" s="16">
        <v>4.7560204626668316E-3</v>
      </c>
      <c r="N1023" s="16">
        <v>0</v>
      </c>
      <c r="O1023" s="16">
        <v>0</v>
      </c>
      <c r="P1023" s="95"/>
    </row>
    <row r="1024" spans="1:19" x14ac:dyDescent="0.25">
      <c r="A1024" s="16">
        <v>11</v>
      </c>
      <c r="B1024" s="16">
        <v>437454.10856199998</v>
      </c>
      <c r="C1024" s="16">
        <v>5688393.3324180003</v>
      </c>
      <c r="D1024" s="31">
        <v>4</v>
      </c>
      <c r="E1024" s="31" t="s">
        <v>99</v>
      </c>
      <c r="F1024" s="31">
        <v>2013</v>
      </c>
      <c r="G1024" s="16">
        <v>1.3300000000000001E-2</v>
      </c>
      <c r="H1024" s="16">
        <v>3.9805695519212177E-3</v>
      </c>
      <c r="I1024" s="16">
        <v>0</v>
      </c>
      <c r="J1024" s="16">
        <v>0</v>
      </c>
      <c r="K1024" s="16">
        <v>3.7000000000000006E-3</v>
      </c>
      <c r="L1024" s="16">
        <v>1.5840093780336048E-3</v>
      </c>
      <c r="M1024" s="16">
        <v>2.3965601738876129E-3</v>
      </c>
      <c r="N1024" s="16">
        <v>5.1200000000000002E-2</v>
      </c>
      <c r="O1024" s="16">
        <v>2.5454052608859957E-2</v>
      </c>
      <c r="P1024" s="95"/>
    </row>
    <row r="1025" spans="1:16" x14ac:dyDescent="0.25">
      <c r="A1025" s="16">
        <v>12</v>
      </c>
      <c r="B1025" s="16">
        <v>437573.10856199998</v>
      </c>
      <c r="C1025" s="16">
        <v>5688393.3324180003</v>
      </c>
      <c r="D1025" s="31">
        <v>4</v>
      </c>
      <c r="E1025" s="31" t="s">
        <v>99</v>
      </c>
      <c r="F1025" s="31">
        <v>2013</v>
      </c>
      <c r="G1025" s="16">
        <v>4.5999999999999999E-2</v>
      </c>
      <c r="H1025" s="16">
        <v>1.3767383412659848E-2</v>
      </c>
      <c r="I1025" s="16">
        <v>2.7399999999999997E-2</v>
      </c>
      <c r="J1025" s="16">
        <v>1.3457346236994103E-2</v>
      </c>
      <c r="K1025" s="16">
        <v>1.2000000000000001E-3</v>
      </c>
      <c r="L1025" s="16">
        <v>5.1373277125414207E-4</v>
      </c>
      <c r="M1025" s="16">
        <v>1.3253650641405707E-2</v>
      </c>
      <c r="N1025" s="16">
        <v>1.3699999999999999E-2</v>
      </c>
      <c r="O1025" s="16">
        <v>6.8109476707301046E-3</v>
      </c>
      <c r="P1025" s="95"/>
    </row>
    <row r="1026" spans="1:16" x14ac:dyDescent="0.25">
      <c r="A1026" s="16">
        <v>13</v>
      </c>
      <c r="B1026" s="16">
        <v>437692.10856199998</v>
      </c>
      <c r="C1026" s="16">
        <v>5688393.3324180003</v>
      </c>
      <c r="D1026" s="31">
        <v>4</v>
      </c>
      <c r="E1026" s="31" t="s">
        <v>99</v>
      </c>
      <c r="F1026" s="31">
        <v>2013</v>
      </c>
      <c r="G1026" s="31" t="s">
        <v>18</v>
      </c>
      <c r="H1026" s="31" t="s">
        <v>18</v>
      </c>
      <c r="I1026" s="31" t="s">
        <v>18</v>
      </c>
      <c r="J1026" s="31" t="s">
        <v>18</v>
      </c>
      <c r="K1026" s="16">
        <v>1.21E-2</v>
      </c>
      <c r="L1026" s="16">
        <v>5.1801387768125986E-3</v>
      </c>
      <c r="M1026" s="31" t="s">
        <v>18</v>
      </c>
      <c r="N1026" s="16">
        <v>9.4999999999999998E-3</v>
      </c>
      <c r="O1026" s="16">
        <v>4.722919917659562E-3</v>
      </c>
      <c r="P1026" s="95" t="s">
        <v>100</v>
      </c>
    </row>
    <row r="1027" spans="1:16" x14ac:dyDescent="0.25">
      <c r="A1027" s="35">
        <v>14</v>
      </c>
      <c r="B1027" s="35">
        <v>437811.10856199998</v>
      </c>
      <c r="C1027" s="35">
        <v>5688393.3324180003</v>
      </c>
      <c r="D1027" s="96">
        <v>4</v>
      </c>
      <c r="E1027" s="96" t="s">
        <v>99</v>
      </c>
      <c r="F1027" s="96">
        <v>2013</v>
      </c>
      <c r="G1027" s="96" t="s">
        <v>18</v>
      </c>
      <c r="H1027" s="96" t="s">
        <v>18</v>
      </c>
      <c r="I1027" s="96" t="s">
        <v>18</v>
      </c>
      <c r="J1027" s="96" t="s">
        <v>18</v>
      </c>
      <c r="K1027" s="96" t="s">
        <v>18</v>
      </c>
      <c r="L1027" s="96" t="s">
        <v>18</v>
      </c>
      <c r="M1027" s="96" t="s">
        <v>18</v>
      </c>
      <c r="N1027" s="96" t="s">
        <v>18</v>
      </c>
      <c r="O1027" s="96" t="s">
        <v>18</v>
      </c>
      <c r="P1027" s="94" t="s">
        <v>21</v>
      </c>
    </row>
    <row r="1028" spans="1:16" x14ac:dyDescent="0.25">
      <c r="A1028" s="16">
        <v>15</v>
      </c>
      <c r="B1028" s="16">
        <v>437930.10856199998</v>
      </c>
      <c r="C1028" s="16">
        <v>5688393.3324180003</v>
      </c>
      <c r="D1028" s="31">
        <v>4</v>
      </c>
      <c r="E1028" s="31" t="s">
        <v>99</v>
      </c>
      <c r="F1028" s="31">
        <v>2013</v>
      </c>
      <c r="G1028" s="16">
        <v>5.1499999999999997E-2</v>
      </c>
      <c r="H1028" s="16">
        <v>1.5413483603303961E-2</v>
      </c>
      <c r="I1028" s="16">
        <v>4.24E-2</v>
      </c>
      <c r="J1028" s="16">
        <v>2.0824506585713505E-2</v>
      </c>
      <c r="K1028" s="16">
        <v>7.000000000000001E-3</v>
      </c>
      <c r="L1028" s="16">
        <v>2.9967744989824953E-3</v>
      </c>
      <c r="M1028" s="16">
        <v>1.2416709104321466E-2</v>
      </c>
      <c r="N1028" s="16">
        <v>1.66E-2</v>
      </c>
      <c r="O1028" s="16">
        <v>8.2526811192788138E-3</v>
      </c>
      <c r="P1028" s="95"/>
    </row>
    <row r="1029" spans="1:16" x14ac:dyDescent="0.25">
      <c r="A1029" s="16">
        <v>16</v>
      </c>
      <c r="B1029" s="16">
        <v>438049.10856199998</v>
      </c>
      <c r="C1029" s="16">
        <v>5688393.3324180003</v>
      </c>
      <c r="D1029" s="31">
        <v>4</v>
      </c>
      <c r="E1029" s="31" t="s">
        <v>99</v>
      </c>
      <c r="F1029" s="31">
        <v>2013</v>
      </c>
      <c r="G1029" s="16">
        <v>4.7500000000000001E-2</v>
      </c>
      <c r="H1029" s="16">
        <v>1.4216319828290061E-2</v>
      </c>
      <c r="I1029" s="16">
        <v>2.3600000000000003E-2</v>
      </c>
      <c r="J1029" s="16">
        <v>1.1590998948651858E-2</v>
      </c>
      <c r="K1029" s="16">
        <v>6.0999999999999995E-3</v>
      </c>
      <c r="L1029" s="16">
        <v>2.6114749205418883E-3</v>
      </c>
      <c r="M1029" s="16">
        <v>1.1604844907748173E-2</v>
      </c>
      <c r="N1029" s="16">
        <v>4.0000000000000002E-4</v>
      </c>
      <c r="O1029" s="16">
        <v>1.9885978600671841E-4</v>
      </c>
      <c r="P1029" s="95"/>
    </row>
    <row r="1030" spans="1:16" x14ac:dyDescent="0.25">
      <c r="A1030" s="16">
        <v>17</v>
      </c>
      <c r="B1030" s="16">
        <v>438168.10856199998</v>
      </c>
      <c r="C1030" s="16">
        <v>5688393.3324180003</v>
      </c>
      <c r="D1030" s="31">
        <v>4</v>
      </c>
      <c r="E1030" s="31" t="s">
        <v>99</v>
      </c>
      <c r="F1030" s="31">
        <v>2013</v>
      </c>
      <c r="G1030" s="16">
        <v>6.0999999999999995E-3</v>
      </c>
      <c r="H1030" s="16">
        <v>1.8256747568961972E-3</v>
      </c>
      <c r="I1030" s="16">
        <v>0</v>
      </c>
      <c r="J1030" s="16">
        <v>0</v>
      </c>
      <c r="K1030" s="16">
        <v>1.2500000000000001E-2</v>
      </c>
      <c r="L1030" s="16">
        <v>5.3513830338973133E-3</v>
      </c>
      <c r="M1030" s="16">
        <v>-3.5257082770011163E-3</v>
      </c>
      <c r="N1030" s="16">
        <v>0</v>
      </c>
      <c r="O1030" s="16">
        <v>0</v>
      </c>
      <c r="P1030" s="95"/>
    </row>
    <row r="1031" spans="1:16" x14ac:dyDescent="0.25">
      <c r="A1031" s="16">
        <v>18</v>
      </c>
      <c r="B1031" s="16">
        <v>438287.10856199998</v>
      </c>
      <c r="C1031" s="16">
        <v>5688393.3324180003</v>
      </c>
      <c r="D1031" s="31">
        <v>4</v>
      </c>
      <c r="E1031" s="31" t="s">
        <v>99</v>
      </c>
      <c r="F1031" s="31">
        <v>2013</v>
      </c>
      <c r="G1031" s="16">
        <v>3.1199999999999999E-2</v>
      </c>
      <c r="H1031" s="16">
        <v>9.3378774451084185E-3</v>
      </c>
      <c r="I1031" s="16">
        <v>0</v>
      </c>
      <c r="J1031" s="16">
        <v>0</v>
      </c>
      <c r="K1031" s="16">
        <v>1.6000000000000001E-3</v>
      </c>
      <c r="L1031" s="16">
        <v>6.8497702833885603E-4</v>
      </c>
      <c r="M1031" s="16">
        <v>8.6529004167695631E-3</v>
      </c>
      <c r="N1031" s="16">
        <v>0</v>
      </c>
      <c r="O1031" s="16">
        <v>0</v>
      </c>
      <c r="P1031" s="95"/>
    </row>
    <row r="1032" spans="1:16" x14ac:dyDescent="0.25">
      <c r="A1032" s="16">
        <v>19</v>
      </c>
      <c r="B1032" s="16">
        <v>438406.10856199998</v>
      </c>
      <c r="C1032" s="16">
        <v>5688393.3324180003</v>
      </c>
      <c r="D1032" s="31">
        <v>4</v>
      </c>
      <c r="E1032" s="31" t="s">
        <v>99</v>
      </c>
      <c r="F1032" s="31">
        <v>2013</v>
      </c>
      <c r="G1032" s="16">
        <v>8.9999999999999993E-3</v>
      </c>
      <c r="H1032" s="16">
        <v>2.6936184937812746E-3</v>
      </c>
      <c r="I1032" s="16">
        <v>0</v>
      </c>
      <c r="J1032" s="16">
        <v>0</v>
      </c>
      <c r="K1032" s="16">
        <v>3.8E-3</v>
      </c>
      <c r="L1032" s="16">
        <v>1.626820442304783E-3</v>
      </c>
      <c r="M1032" s="16">
        <v>1.0667980514764916E-3</v>
      </c>
      <c r="N1032" s="16">
        <v>0</v>
      </c>
      <c r="O1032" s="16">
        <v>0</v>
      </c>
      <c r="P1032" s="95"/>
    </row>
    <row r="1033" spans="1:16" x14ac:dyDescent="0.25">
      <c r="A1033" s="16">
        <v>20</v>
      </c>
      <c r="B1033" s="16">
        <v>437335.10856199998</v>
      </c>
      <c r="C1033" s="16">
        <v>5688512.3324180003</v>
      </c>
      <c r="D1033" s="31">
        <v>4</v>
      </c>
      <c r="E1033" s="31" t="s">
        <v>99</v>
      </c>
      <c r="F1033" s="31">
        <v>2013</v>
      </c>
      <c r="G1033" s="16">
        <v>1.7299999999999999E-2</v>
      </c>
      <c r="H1033" s="16">
        <v>5.1777333269351173E-3</v>
      </c>
      <c r="I1033" s="16">
        <v>0</v>
      </c>
      <c r="J1033" s="16">
        <v>0</v>
      </c>
      <c r="K1033" s="16">
        <v>2.3E-3</v>
      </c>
      <c r="L1033" s="16">
        <v>9.8465447823710547E-4</v>
      </c>
      <c r="M1033" s="16">
        <v>4.1930788486980123E-3</v>
      </c>
      <c r="N1033" s="16">
        <v>8.8999999999999999E-3</v>
      </c>
      <c r="O1033" s="16">
        <v>4.4246302386494844E-3</v>
      </c>
      <c r="P1033" s="95"/>
    </row>
    <row r="1034" spans="1:16" x14ac:dyDescent="0.25">
      <c r="A1034" s="16">
        <v>21</v>
      </c>
      <c r="B1034" s="16">
        <v>437454.10856199998</v>
      </c>
      <c r="C1034" s="16">
        <v>5688512.3324180003</v>
      </c>
      <c r="D1034" s="31">
        <v>4</v>
      </c>
      <c r="E1034" s="31" t="s">
        <v>99</v>
      </c>
      <c r="F1034" s="31">
        <v>2013</v>
      </c>
      <c r="G1034" s="16">
        <v>5.7999999999999996E-3</v>
      </c>
      <c r="H1034" s="16">
        <v>1.7358874737701548E-3</v>
      </c>
      <c r="I1034" s="16">
        <v>3.32E-2</v>
      </c>
      <c r="J1034" s="16">
        <v>1.6305981571832273E-2</v>
      </c>
      <c r="K1034" s="16">
        <v>9.1999999999999998E-3</v>
      </c>
      <c r="L1034" s="16">
        <v>3.9386179129484219E-3</v>
      </c>
      <c r="M1034" s="16">
        <v>-2.2027304391782671E-3</v>
      </c>
      <c r="N1034" s="16">
        <v>7.7999999999999996E-3</v>
      </c>
      <c r="O1034" s="16">
        <v>3.8777658271310087E-3</v>
      </c>
      <c r="P1034" s="95"/>
    </row>
    <row r="1035" spans="1:16" x14ac:dyDescent="0.25">
      <c r="A1035" s="16">
        <v>22</v>
      </c>
      <c r="B1035" s="16">
        <v>437573.10856199998</v>
      </c>
      <c r="C1035" s="16">
        <v>5688512.3324180003</v>
      </c>
      <c r="D1035" s="31">
        <v>4</v>
      </c>
      <c r="E1035" s="31" t="s">
        <v>99</v>
      </c>
      <c r="F1035" s="31">
        <v>2013</v>
      </c>
      <c r="G1035" s="16">
        <v>3.3299999999999996E-2</v>
      </c>
      <c r="H1035" s="16">
        <v>9.966388426990715E-3</v>
      </c>
      <c r="I1035" s="16">
        <v>0</v>
      </c>
      <c r="J1035" s="16">
        <v>0</v>
      </c>
      <c r="K1035" s="16">
        <v>5.0000000000000001E-3</v>
      </c>
      <c r="L1035" s="16">
        <v>2.1405532135589252E-3</v>
      </c>
      <c r="M1035" s="16">
        <v>7.8258352134317893E-3</v>
      </c>
      <c r="N1035" s="16">
        <v>0</v>
      </c>
      <c r="O1035" s="16">
        <v>0</v>
      </c>
      <c r="P1035" s="95"/>
    </row>
    <row r="1036" spans="1:16" x14ac:dyDescent="0.25">
      <c r="A1036" s="16">
        <v>23</v>
      </c>
      <c r="B1036" s="16">
        <v>437692.10856199998</v>
      </c>
      <c r="C1036" s="16">
        <v>5688512.3324180003</v>
      </c>
      <c r="D1036" s="31">
        <v>4</v>
      </c>
      <c r="E1036" s="31" t="s">
        <v>99</v>
      </c>
      <c r="F1036" s="31">
        <v>2013</v>
      </c>
      <c r="G1036" s="16">
        <v>2.6499999999999999E-2</v>
      </c>
      <c r="H1036" s="16">
        <v>7.9312100094670861E-3</v>
      </c>
      <c r="I1036" s="16">
        <v>0</v>
      </c>
      <c r="J1036" s="16">
        <v>0</v>
      </c>
      <c r="K1036" s="16">
        <v>3.6000000000000003E-3</v>
      </c>
      <c r="L1036" s="16">
        <v>1.5411983137624261E-3</v>
      </c>
      <c r="M1036" s="16">
        <v>6.3900116957046598E-3</v>
      </c>
      <c r="N1036" s="16">
        <v>0</v>
      </c>
      <c r="O1036" s="16">
        <v>0</v>
      </c>
      <c r="P1036" s="95"/>
    </row>
    <row r="1037" spans="1:16" x14ac:dyDescent="0.25">
      <c r="A1037" s="16">
        <v>24</v>
      </c>
      <c r="B1037" s="16">
        <v>437811.10856199998</v>
      </c>
      <c r="C1037" s="16">
        <v>5688512.3324180003</v>
      </c>
      <c r="D1037" s="31">
        <v>4</v>
      </c>
      <c r="E1037" s="31" t="s">
        <v>99</v>
      </c>
      <c r="F1037" s="31">
        <v>2013</v>
      </c>
      <c r="G1037" s="16">
        <v>4.0399999999999998E-2</v>
      </c>
      <c r="H1037" s="16">
        <v>1.2091354127640388E-2</v>
      </c>
      <c r="I1037" s="16">
        <v>0</v>
      </c>
      <c r="J1037" s="16">
        <v>0</v>
      </c>
      <c r="K1037" s="16">
        <v>1.3000000000000002E-3</v>
      </c>
      <c r="L1037" s="16">
        <v>5.5654383552532054E-4</v>
      </c>
      <c r="M1037" s="16">
        <v>1.1534810292115068E-2</v>
      </c>
      <c r="N1037" s="16">
        <v>0</v>
      </c>
      <c r="O1037" s="16">
        <v>0</v>
      </c>
      <c r="P1037" s="95"/>
    </row>
    <row r="1038" spans="1:16" x14ac:dyDescent="0.25">
      <c r="A1038" s="16">
        <v>25</v>
      </c>
      <c r="B1038" s="16">
        <v>437995</v>
      </c>
      <c r="C1038" s="16">
        <v>5688493</v>
      </c>
      <c r="D1038" s="31">
        <v>4</v>
      </c>
      <c r="E1038" s="31" t="s">
        <v>99</v>
      </c>
      <c r="F1038" s="31">
        <v>2013</v>
      </c>
      <c r="G1038" s="16">
        <v>4.4299999999999999E-2</v>
      </c>
      <c r="H1038" s="16">
        <v>1.3258588808278942E-2</v>
      </c>
      <c r="I1038" s="16">
        <v>0</v>
      </c>
      <c r="J1038" s="16">
        <v>0</v>
      </c>
      <c r="K1038" s="16">
        <v>4.0999999999999995E-3</v>
      </c>
      <c r="L1038" s="16">
        <v>1.7552536351183182E-3</v>
      </c>
      <c r="M1038" s="16">
        <v>1.1503335173160625E-2</v>
      </c>
      <c r="N1038" s="16">
        <v>0</v>
      </c>
      <c r="O1038" s="16">
        <v>0</v>
      </c>
      <c r="P1038" s="95"/>
    </row>
    <row r="1039" spans="1:16" x14ac:dyDescent="0.25">
      <c r="A1039" s="16">
        <v>26</v>
      </c>
      <c r="B1039" s="16">
        <v>438112</v>
      </c>
      <c r="C1039" s="16">
        <v>5688567</v>
      </c>
      <c r="D1039" s="31">
        <v>4</v>
      </c>
      <c r="E1039" s="31" t="s">
        <v>99</v>
      </c>
      <c r="F1039" s="31">
        <v>2013</v>
      </c>
      <c r="G1039" s="16">
        <v>4.6200000000000005E-2</v>
      </c>
      <c r="H1039" s="16">
        <v>1.3827241601410545E-2</v>
      </c>
      <c r="I1039" s="16">
        <v>0</v>
      </c>
      <c r="J1039" s="16">
        <v>0</v>
      </c>
      <c r="K1039" s="16">
        <v>8.5000000000000006E-3</v>
      </c>
      <c r="L1039" s="16">
        <v>3.6389404630501727E-3</v>
      </c>
      <c r="M1039" s="16">
        <v>1.0188301138360372E-2</v>
      </c>
      <c r="N1039" s="16">
        <v>0</v>
      </c>
      <c r="O1039" s="16">
        <v>0</v>
      </c>
      <c r="P1039" s="95"/>
    </row>
    <row r="1040" spans="1:16" x14ac:dyDescent="0.25">
      <c r="A1040" s="35">
        <v>27</v>
      </c>
      <c r="B1040" s="35">
        <v>438168.10856199998</v>
      </c>
      <c r="C1040" s="35">
        <v>5688512.3324180003</v>
      </c>
      <c r="D1040" s="96">
        <v>4</v>
      </c>
      <c r="E1040" s="96" t="s">
        <v>99</v>
      </c>
      <c r="F1040" s="96">
        <v>2013</v>
      </c>
      <c r="G1040" s="96" t="s">
        <v>18</v>
      </c>
      <c r="H1040" s="96" t="s">
        <v>18</v>
      </c>
      <c r="I1040" s="96" t="s">
        <v>18</v>
      </c>
      <c r="J1040" s="96" t="s">
        <v>18</v>
      </c>
      <c r="K1040" s="96" t="s">
        <v>18</v>
      </c>
      <c r="L1040" s="96" t="s">
        <v>18</v>
      </c>
      <c r="M1040" s="96" t="s">
        <v>18</v>
      </c>
      <c r="N1040" s="96" t="s">
        <v>18</v>
      </c>
      <c r="O1040" s="96" t="s">
        <v>18</v>
      </c>
      <c r="P1040" s="94" t="s">
        <v>21</v>
      </c>
    </row>
    <row r="1041" spans="1:16" x14ac:dyDescent="0.25">
      <c r="A1041" s="35">
        <v>28</v>
      </c>
      <c r="B1041" s="35">
        <v>438287.10856199998</v>
      </c>
      <c r="C1041" s="35">
        <v>5688512.3324180003</v>
      </c>
      <c r="D1041" s="96">
        <v>4</v>
      </c>
      <c r="E1041" s="96" t="s">
        <v>99</v>
      </c>
      <c r="F1041" s="96">
        <v>2013</v>
      </c>
      <c r="G1041" s="96" t="s">
        <v>18</v>
      </c>
      <c r="H1041" s="96" t="s">
        <v>18</v>
      </c>
      <c r="I1041" s="96" t="s">
        <v>18</v>
      </c>
      <c r="J1041" s="96" t="s">
        <v>18</v>
      </c>
      <c r="K1041" s="96" t="s">
        <v>18</v>
      </c>
      <c r="L1041" s="96" t="s">
        <v>18</v>
      </c>
      <c r="M1041" s="96" t="s">
        <v>18</v>
      </c>
      <c r="N1041" s="96" t="s">
        <v>18</v>
      </c>
      <c r="O1041" s="96" t="s">
        <v>18</v>
      </c>
      <c r="P1041" s="94" t="s">
        <v>21</v>
      </c>
    </row>
    <row r="1042" spans="1:16" x14ac:dyDescent="0.25">
      <c r="A1042" s="16">
        <v>29</v>
      </c>
      <c r="B1042" s="16">
        <v>438381</v>
      </c>
      <c r="C1042" s="16">
        <v>5688526</v>
      </c>
      <c r="D1042" s="31">
        <v>4</v>
      </c>
      <c r="E1042" s="31" t="s">
        <v>99</v>
      </c>
      <c r="F1042" s="31">
        <v>2013</v>
      </c>
      <c r="G1042" s="16">
        <v>4.1599999999999998E-2</v>
      </c>
      <c r="H1042" s="16">
        <v>1.2450503260144559E-2</v>
      </c>
      <c r="I1042" s="16">
        <v>0</v>
      </c>
      <c r="J1042" s="16">
        <v>0</v>
      </c>
      <c r="K1042" s="16">
        <v>4.8999999999999998E-3</v>
      </c>
      <c r="L1042" s="16">
        <v>2.0977421492877463E-3</v>
      </c>
      <c r="M1042" s="16">
        <v>1.0352761110856812E-2</v>
      </c>
      <c r="N1042" s="16">
        <v>0</v>
      </c>
      <c r="O1042" s="16">
        <v>0</v>
      </c>
      <c r="P1042" s="95"/>
    </row>
    <row r="1043" spans="1:16" x14ac:dyDescent="0.25">
      <c r="A1043" s="16">
        <v>30</v>
      </c>
      <c r="B1043" s="16">
        <v>438525.10856199998</v>
      </c>
      <c r="C1043" s="16">
        <v>5688512.3324180003</v>
      </c>
      <c r="D1043" s="31">
        <v>4</v>
      </c>
      <c r="E1043" s="31" t="s">
        <v>99</v>
      </c>
      <c r="F1043" s="31">
        <v>2013</v>
      </c>
      <c r="G1043" s="16">
        <v>1.5300000000000001E-2</v>
      </c>
      <c r="H1043" s="16">
        <v>4.5791514394281675E-3</v>
      </c>
      <c r="I1043" s="16">
        <v>0</v>
      </c>
      <c r="J1043" s="16">
        <v>0</v>
      </c>
      <c r="K1043" s="16">
        <v>2.2000000000000001E-3</v>
      </c>
      <c r="L1043" s="16">
        <v>9.4184341396592712E-4</v>
      </c>
      <c r="M1043" s="16">
        <f>H1043-L1043</f>
        <v>3.6373080254622405E-3</v>
      </c>
      <c r="N1043" s="16">
        <v>0</v>
      </c>
      <c r="O1043" s="16">
        <v>0</v>
      </c>
      <c r="P1043" s="95"/>
    </row>
    <row r="1044" spans="1:16" x14ac:dyDescent="0.25">
      <c r="A1044" s="16">
        <v>31</v>
      </c>
      <c r="B1044" s="16">
        <v>437335.10856199998</v>
      </c>
      <c r="C1044" s="16">
        <v>5688631.3324180003</v>
      </c>
      <c r="D1044" s="31">
        <v>4</v>
      </c>
      <c r="E1044" s="31" t="s">
        <v>99</v>
      </c>
      <c r="F1044" s="31">
        <v>2013</v>
      </c>
      <c r="G1044" s="16">
        <v>6.5799999999999997E-2</v>
      </c>
      <c r="H1044" s="16">
        <v>1.9693344098978653E-2</v>
      </c>
      <c r="I1044" s="16">
        <v>0</v>
      </c>
      <c r="J1044" s="16">
        <v>0</v>
      </c>
      <c r="K1044" s="16">
        <v>1.3000000000000002E-3</v>
      </c>
      <c r="L1044" s="16">
        <v>5.5654383552532054E-4</v>
      </c>
      <c r="M1044" s="16">
        <v>1.9136800263453331E-2</v>
      </c>
      <c r="N1044" s="16">
        <v>0</v>
      </c>
      <c r="O1044" s="16">
        <v>0</v>
      </c>
      <c r="P1044" s="95"/>
    </row>
    <row r="1045" spans="1:16" x14ac:dyDescent="0.25">
      <c r="A1045" s="16">
        <v>32</v>
      </c>
      <c r="B1045" s="16">
        <v>437454.10856199998</v>
      </c>
      <c r="C1045" s="16">
        <v>5688631.3324180003</v>
      </c>
      <c r="D1045" s="31">
        <v>4</v>
      </c>
      <c r="E1045" s="31" t="s">
        <v>99</v>
      </c>
      <c r="F1045" s="31">
        <v>2013</v>
      </c>
      <c r="G1045" s="16">
        <v>7.7099999999999988E-2</v>
      </c>
      <c r="H1045" s="16">
        <v>2.3075331763392916E-2</v>
      </c>
      <c r="I1045" s="16">
        <v>0</v>
      </c>
      <c r="J1045" s="16">
        <v>0</v>
      </c>
      <c r="K1045" s="16">
        <v>4.2000000000000006E-3</v>
      </c>
      <c r="L1045" s="16">
        <v>1.7980646993894973E-3</v>
      </c>
      <c r="M1045" s="16">
        <v>2.127726706400342E-2</v>
      </c>
      <c r="N1045" s="16">
        <v>0</v>
      </c>
      <c r="O1045" s="16">
        <v>0</v>
      </c>
      <c r="P1045" s="95"/>
    </row>
    <row r="1046" spans="1:16" x14ac:dyDescent="0.25">
      <c r="A1046" s="16">
        <v>33</v>
      </c>
      <c r="B1046" s="16">
        <v>437573.10856199998</v>
      </c>
      <c r="C1046" s="16">
        <v>5688631.3324180003</v>
      </c>
      <c r="D1046" s="31">
        <v>4</v>
      </c>
      <c r="E1046" s="31" t="s">
        <v>99</v>
      </c>
      <c r="F1046" s="31">
        <v>2013</v>
      </c>
      <c r="G1046" s="16">
        <v>3.4000000000000002E-2</v>
      </c>
      <c r="H1046" s="16">
        <v>1.0175892087618149E-2</v>
      </c>
      <c r="I1046" s="16">
        <v>0</v>
      </c>
      <c r="J1046" s="16">
        <v>0</v>
      </c>
      <c r="K1046" s="16">
        <v>1.5E-3</v>
      </c>
      <c r="L1046" s="16">
        <v>6.4216596406767757E-4</v>
      </c>
      <c r="M1046" s="16">
        <v>9.5337261235504712E-3</v>
      </c>
      <c r="N1046" s="16">
        <v>0</v>
      </c>
      <c r="O1046" s="16">
        <v>0</v>
      </c>
      <c r="P1046" s="95"/>
    </row>
    <row r="1047" spans="1:16" x14ac:dyDescent="0.25">
      <c r="A1047" s="16">
        <v>34</v>
      </c>
      <c r="B1047" s="16">
        <v>437692.10856199998</v>
      </c>
      <c r="C1047" s="16">
        <v>5688631.3324180003</v>
      </c>
      <c r="D1047" s="31">
        <v>4</v>
      </c>
      <c r="E1047" s="31" t="s">
        <v>99</v>
      </c>
      <c r="F1047" s="31">
        <v>2013</v>
      </c>
      <c r="G1047" s="16">
        <v>2.6600000000000002E-2</v>
      </c>
      <c r="H1047" s="16">
        <v>7.9611391038424354E-3</v>
      </c>
      <c r="I1047" s="16">
        <v>0</v>
      </c>
      <c r="J1047" s="16">
        <v>0</v>
      </c>
      <c r="K1047" s="16">
        <v>2E-3</v>
      </c>
      <c r="L1047" s="16">
        <v>8.5622128542356998E-4</v>
      </c>
      <c r="M1047" s="16">
        <v>7.1049178184188653E-3</v>
      </c>
      <c r="N1047" s="16">
        <v>0</v>
      </c>
      <c r="O1047" s="16">
        <v>0</v>
      </c>
      <c r="P1047" s="95"/>
    </row>
    <row r="1048" spans="1:16" x14ac:dyDescent="0.25">
      <c r="A1048" s="16">
        <v>35</v>
      </c>
      <c r="B1048" s="16">
        <v>437893</v>
      </c>
      <c r="C1048" s="16">
        <v>5688620</v>
      </c>
      <c r="D1048" s="31">
        <v>4</v>
      </c>
      <c r="E1048" s="31" t="s">
        <v>99</v>
      </c>
      <c r="F1048" s="31">
        <v>2013</v>
      </c>
      <c r="G1048" s="16">
        <v>1.3300000000000001E-2</v>
      </c>
      <c r="H1048" s="16">
        <v>3.9805695519212177E-3</v>
      </c>
      <c r="I1048" s="16">
        <v>0</v>
      </c>
      <c r="J1048" s="16">
        <v>0</v>
      </c>
      <c r="K1048" s="16">
        <v>2E-3</v>
      </c>
      <c r="L1048" s="16">
        <v>8.5622128542356998E-4</v>
      </c>
      <c r="M1048" s="16">
        <v>3.1243482664976476E-3</v>
      </c>
      <c r="N1048" s="16">
        <v>0</v>
      </c>
      <c r="O1048" s="16">
        <v>0</v>
      </c>
      <c r="P1048" s="95"/>
    </row>
    <row r="1049" spans="1:16" x14ac:dyDescent="0.25">
      <c r="A1049" s="16">
        <v>36</v>
      </c>
      <c r="B1049" s="16">
        <v>437930.10856199998</v>
      </c>
      <c r="C1049" s="16">
        <v>5688631.3324180003</v>
      </c>
      <c r="D1049" s="31">
        <v>4</v>
      </c>
      <c r="E1049" s="31" t="s">
        <v>99</v>
      </c>
      <c r="F1049" s="31">
        <v>2013</v>
      </c>
      <c r="G1049" s="16">
        <v>1.3599999999999999E-2</v>
      </c>
      <c r="H1049" s="16">
        <v>4.0703568350472594E-3</v>
      </c>
      <c r="I1049" s="16">
        <v>0</v>
      </c>
      <c r="J1049" s="16">
        <v>0</v>
      </c>
      <c r="K1049" s="16">
        <v>1.5E-3</v>
      </c>
      <c r="L1049" s="16">
        <v>6.4216596406767757E-4</v>
      </c>
      <c r="M1049" s="16">
        <v>3.4281908709795821E-3</v>
      </c>
      <c r="N1049" s="16">
        <v>0</v>
      </c>
      <c r="O1049" s="16">
        <v>0</v>
      </c>
      <c r="P1049" s="95"/>
    </row>
    <row r="1050" spans="1:16" x14ac:dyDescent="0.25">
      <c r="A1050" s="35">
        <v>37</v>
      </c>
      <c r="B1050" s="35">
        <v>438049.10856199998</v>
      </c>
      <c r="C1050" s="35">
        <v>5688631.3324180003</v>
      </c>
      <c r="D1050" s="96">
        <v>4</v>
      </c>
      <c r="E1050" s="96" t="s">
        <v>99</v>
      </c>
      <c r="F1050" s="96">
        <v>2013</v>
      </c>
      <c r="G1050" s="96" t="s">
        <v>18</v>
      </c>
      <c r="H1050" s="96" t="s">
        <v>18</v>
      </c>
      <c r="I1050" s="96" t="s">
        <v>18</v>
      </c>
      <c r="J1050" s="96" t="s">
        <v>18</v>
      </c>
      <c r="K1050" s="96" t="s">
        <v>18</v>
      </c>
      <c r="L1050" s="96" t="s">
        <v>18</v>
      </c>
      <c r="M1050" s="96" t="s">
        <v>18</v>
      </c>
      <c r="N1050" s="96" t="s">
        <v>18</v>
      </c>
      <c r="O1050" s="96" t="s">
        <v>18</v>
      </c>
      <c r="P1050" s="94" t="s">
        <v>21</v>
      </c>
    </row>
    <row r="1051" spans="1:16" x14ac:dyDescent="0.25">
      <c r="A1051" s="16">
        <v>38</v>
      </c>
      <c r="B1051" s="16">
        <v>438067</v>
      </c>
      <c r="C1051" s="16">
        <v>5688710</v>
      </c>
      <c r="D1051" s="31">
        <v>3</v>
      </c>
      <c r="E1051" s="31" t="s">
        <v>99</v>
      </c>
      <c r="F1051" s="31">
        <v>2013</v>
      </c>
      <c r="G1051" s="16">
        <v>2.2800000000000001E-2</v>
      </c>
      <c r="H1051" s="16">
        <v>5.3105620913793611E-3</v>
      </c>
      <c r="I1051" s="16">
        <v>0</v>
      </c>
      <c r="J1051" s="16">
        <v>0</v>
      </c>
      <c r="K1051" s="16">
        <v>3.2000000000000002E-3</v>
      </c>
      <c r="L1051" s="16">
        <v>1.1868676268203648E-3</v>
      </c>
      <c r="M1051" s="16">
        <v>4.1236944645589961E-3</v>
      </c>
      <c r="N1051" s="16">
        <v>0</v>
      </c>
      <c r="O1051" s="16">
        <v>0</v>
      </c>
      <c r="P1051" s="95"/>
    </row>
    <row r="1052" spans="1:16" x14ac:dyDescent="0.25">
      <c r="A1052" s="35">
        <v>39</v>
      </c>
      <c r="B1052" s="35">
        <v>438287.10856199998</v>
      </c>
      <c r="C1052" s="35">
        <v>5688631.3324180003</v>
      </c>
      <c r="D1052" s="96">
        <v>4</v>
      </c>
      <c r="E1052" s="96" t="s">
        <v>99</v>
      </c>
      <c r="F1052" s="96">
        <v>2013</v>
      </c>
      <c r="G1052" s="96" t="s">
        <v>18</v>
      </c>
      <c r="H1052" s="96" t="s">
        <v>18</v>
      </c>
      <c r="I1052" s="96" t="s">
        <v>18</v>
      </c>
      <c r="J1052" s="96" t="s">
        <v>18</v>
      </c>
      <c r="K1052" s="96" t="s">
        <v>18</v>
      </c>
      <c r="L1052" s="96" t="s">
        <v>18</v>
      </c>
      <c r="M1052" s="96" t="s">
        <v>18</v>
      </c>
      <c r="N1052" s="96" t="s">
        <v>18</v>
      </c>
      <c r="O1052" s="96" t="s">
        <v>18</v>
      </c>
      <c r="P1052" s="94" t="s">
        <v>22</v>
      </c>
    </row>
    <row r="1053" spans="1:16" x14ac:dyDescent="0.25">
      <c r="A1053" s="16">
        <v>40</v>
      </c>
      <c r="B1053" s="16">
        <v>438406.10856199998</v>
      </c>
      <c r="C1053" s="16">
        <v>5688631.3324180003</v>
      </c>
      <c r="D1053" s="31">
        <v>4</v>
      </c>
      <c r="E1053" s="31" t="s">
        <v>99</v>
      </c>
      <c r="F1053" s="31">
        <v>2013</v>
      </c>
      <c r="G1053" s="16">
        <v>2.8399999999999998E-2</v>
      </c>
      <c r="H1053" s="16">
        <v>8.4998628025986893E-3</v>
      </c>
      <c r="I1053" s="16">
        <v>0</v>
      </c>
      <c r="J1053" s="16">
        <v>0</v>
      </c>
      <c r="K1053" s="16">
        <v>1.8000000000000002E-3</v>
      </c>
      <c r="L1053" s="16">
        <v>7.7059915688121306E-4</v>
      </c>
      <c r="M1053" s="16">
        <v>7.7292636457174761E-3</v>
      </c>
      <c r="N1053" s="16">
        <v>0</v>
      </c>
      <c r="O1053" s="16">
        <v>0</v>
      </c>
      <c r="P1053" s="95"/>
    </row>
    <row r="1054" spans="1:16" x14ac:dyDescent="0.25">
      <c r="A1054" s="16">
        <v>41</v>
      </c>
      <c r="B1054" s="16">
        <v>437310</v>
      </c>
      <c r="C1054" s="16">
        <v>5688729</v>
      </c>
      <c r="D1054" s="31">
        <v>3</v>
      </c>
      <c r="E1054" s="31" t="s">
        <v>99</v>
      </c>
      <c r="F1054" s="31">
        <v>2013</v>
      </c>
      <c r="G1054" s="16">
        <v>6.6200000000000009E-2</v>
      </c>
      <c r="H1054" s="16">
        <v>1.5419263616197972E-2</v>
      </c>
      <c r="I1054" s="16">
        <v>0</v>
      </c>
      <c r="J1054" s="16">
        <v>0</v>
      </c>
      <c r="K1054" s="16">
        <v>1.3999999999999998E-3</v>
      </c>
      <c r="L1054" s="16">
        <v>5.1925458673390953E-4</v>
      </c>
      <c r="M1054" s="16">
        <v>1.4900009029464062E-2</v>
      </c>
      <c r="N1054" s="16">
        <v>0</v>
      </c>
      <c r="O1054" s="16">
        <v>0</v>
      </c>
      <c r="P1054" s="95"/>
    </row>
    <row r="1055" spans="1:16" x14ac:dyDescent="0.25">
      <c r="A1055" s="16">
        <v>42</v>
      </c>
      <c r="B1055" s="16">
        <v>437454.10856199998</v>
      </c>
      <c r="C1055" s="16">
        <v>5688750.3324180003</v>
      </c>
      <c r="D1055" s="31">
        <v>3</v>
      </c>
      <c r="E1055" s="31" t="s">
        <v>99</v>
      </c>
      <c r="F1055" s="31">
        <v>2013</v>
      </c>
      <c r="G1055" s="16">
        <v>4.99E-2</v>
      </c>
      <c r="H1055" s="16">
        <v>1.1622677559641673E-2</v>
      </c>
      <c r="I1055" s="16">
        <v>6.1999999999999998E-3</v>
      </c>
      <c r="J1055" s="16">
        <v>3.3851090146750518E-3</v>
      </c>
      <c r="K1055" s="16">
        <v>1.9E-3</v>
      </c>
      <c r="L1055" s="16">
        <v>7.0470265342459165E-4</v>
      </c>
      <c r="M1055" s="16">
        <v>1.0917974906217081E-2</v>
      </c>
      <c r="N1055" s="16">
        <v>1.0999999999999999E-2</v>
      </c>
      <c r="O1055" s="16">
        <v>7.2077460860230638E-3</v>
      </c>
      <c r="P1055" s="95"/>
    </row>
    <row r="1056" spans="1:16" x14ac:dyDescent="0.25">
      <c r="A1056" s="16">
        <v>43</v>
      </c>
      <c r="B1056" s="16">
        <v>437573.10856199998</v>
      </c>
      <c r="C1056" s="16">
        <v>5688750.3324180003</v>
      </c>
      <c r="D1056" s="31">
        <v>3</v>
      </c>
      <c r="E1056" s="31" t="s">
        <v>99</v>
      </c>
      <c r="F1056" s="31">
        <v>2013</v>
      </c>
      <c r="G1056" s="16">
        <v>1.2E-2</v>
      </c>
      <c r="H1056" s="16">
        <v>2.7950326796733482E-3</v>
      </c>
      <c r="I1056" s="16">
        <v>0</v>
      </c>
      <c r="J1056" s="16">
        <v>0</v>
      </c>
      <c r="K1056" s="16">
        <v>9.0000000000000008E-4</v>
      </c>
      <c r="L1056" s="16">
        <v>3.3380652004322763E-4</v>
      </c>
      <c r="M1056" s="16">
        <v>2.4612261596301207E-3</v>
      </c>
      <c r="N1056" s="16">
        <v>0</v>
      </c>
      <c r="O1056" s="16">
        <v>0</v>
      </c>
      <c r="P1056" s="95"/>
    </row>
    <row r="1057" spans="1:16" x14ac:dyDescent="0.25">
      <c r="A1057" s="16">
        <v>44</v>
      </c>
      <c r="B1057" s="16">
        <v>437692.10856199998</v>
      </c>
      <c r="C1057" s="16">
        <v>5688750.3324180003</v>
      </c>
      <c r="D1057" s="31">
        <v>3</v>
      </c>
      <c r="E1057" s="31" t="s">
        <v>99</v>
      </c>
      <c r="F1057" s="31">
        <v>2013</v>
      </c>
      <c r="G1057" s="16">
        <v>9.4999999999999998E-3</v>
      </c>
      <c r="H1057" s="16">
        <v>2.2127342047414005E-3</v>
      </c>
      <c r="I1057" s="16">
        <v>0</v>
      </c>
      <c r="J1057" s="16">
        <v>0</v>
      </c>
      <c r="K1057" s="16">
        <v>1.1000000000000001E-3</v>
      </c>
      <c r="L1057" s="16">
        <v>4.0798574671950045E-4</v>
      </c>
      <c r="M1057" s="16">
        <v>1.8047484580219E-3</v>
      </c>
      <c r="N1057" s="16">
        <v>0</v>
      </c>
      <c r="O1057" s="16">
        <v>0</v>
      </c>
      <c r="P1057" s="95"/>
    </row>
    <row r="1058" spans="1:16" x14ac:dyDescent="0.25">
      <c r="A1058" s="16">
        <v>45</v>
      </c>
      <c r="B1058" s="16">
        <v>437811.10856199998</v>
      </c>
      <c r="C1058" s="16">
        <v>5688750.3324180003</v>
      </c>
      <c r="D1058" s="31">
        <v>3</v>
      </c>
      <c r="E1058" s="31" t="s">
        <v>99</v>
      </c>
      <c r="F1058" s="31">
        <v>2013</v>
      </c>
      <c r="G1058" s="16">
        <v>2.41E-2</v>
      </c>
      <c r="H1058" s="16">
        <v>5.6133572983439739E-3</v>
      </c>
      <c r="I1058" s="16">
        <v>0</v>
      </c>
      <c r="J1058" s="16">
        <v>0</v>
      </c>
      <c r="K1058" s="16">
        <v>2.4000000000000002E-3</v>
      </c>
      <c r="L1058" s="16">
        <v>8.9015072011527376E-4</v>
      </c>
      <c r="M1058" s="16">
        <v>4.7232065782286999E-3</v>
      </c>
      <c r="N1058" s="16">
        <v>0</v>
      </c>
      <c r="O1058" s="16">
        <v>0</v>
      </c>
      <c r="P1058" s="95"/>
    </row>
    <row r="1059" spans="1:16" x14ac:dyDescent="0.25">
      <c r="A1059" s="16">
        <v>46</v>
      </c>
      <c r="B1059" s="16">
        <v>437930.10856199998</v>
      </c>
      <c r="C1059" s="16">
        <v>5688750.3324180003</v>
      </c>
      <c r="D1059" s="31">
        <v>3</v>
      </c>
      <c r="E1059" s="31" t="s">
        <v>99</v>
      </c>
      <c r="F1059" s="31">
        <v>2013</v>
      </c>
      <c r="G1059" s="16">
        <v>0.02</v>
      </c>
      <c r="H1059" s="16">
        <v>4.6583877994555798E-3</v>
      </c>
      <c r="I1059" s="16">
        <v>7.7999999999999996E-3</v>
      </c>
      <c r="J1059" s="16">
        <v>4.2586855345911941E-3</v>
      </c>
      <c r="K1059" s="16">
        <v>1E-3</v>
      </c>
      <c r="L1059" s="16">
        <v>3.7089613338136401E-4</v>
      </c>
      <c r="M1059" s="16">
        <v>4.2874916660742158E-3</v>
      </c>
      <c r="N1059" s="16">
        <v>2E-3</v>
      </c>
      <c r="O1059" s="16">
        <v>1.31049928836783E-3</v>
      </c>
      <c r="P1059" s="95"/>
    </row>
    <row r="1060" spans="1:16" x14ac:dyDescent="0.25">
      <c r="A1060" s="16">
        <v>47</v>
      </c>
      <c r="B1060" s="16">
        <v>438061</v>
      </c>
      <c r="C1060" s="16">
        <v>5688779</v>
      </c>
      <c r="D1060" s="31">
        <v>3</v>
      </c>
      <c r="E1060" s="31" t="s">
        <v>99</v>
      </c>
      <c r="F1060" s="31">
        <v>2013</v>
      </c>
      <c r="G1060" s="16">
        <v>8.4000000000000005E-2</v>
      </c>
      <c r="H1060" s="16">
        <v>1.9565228757713438E-2</v>
      </c>
      <c r="I1060" s="16">
        <v>0</v>
      </c>
      <c r="J1060" s="16">
        <v>0</v>
      </c>
      <c r="K1060" s="16">
        <v>1.6300000000000002E-2</v>
      </c>
      <c r="L1060" s="16">
        <v>6.0456069741162341E-3</v>
      </c>
      <c r="M1060" s="16">
        <v>1.3519621783597204E-2</v>
      </c>
      <c r="N1060" s="16">
        <v>0</v>
      </c>
      <c r="O1060" s="16">
        <v>0</v>
      </c>
      <c r="P1060" s="95"/>
    </row>
    <row r="1061" spans="1:16" x14ac:dyDescent="0.25">
      <c r="A1061" s="35">
        <v>48</v>
      </c>
      <c r="B1061" s="35">
        <v>438168.10856199998</v>
      </c>
      <c r="C1061" s="35">
        <v>5688750.3324180003</v>
      </c>
      <c r="D1061" s="96">
        <v>4</v>
      </c>
      <c r="E1061" s="96" t="s">
        <v>99</v>
      </c>
      <c r="F1061" s="96">
        <v>2013</v>
      </c>
      <c r="G1061" s="96" t="s">
        <v>18</v>
      </c>
      <c r="H1061" s="96" t="s">
        <v>18</v>
      </c>
      <c r="I1061" s="96" t="s">
        <v>18</v>
      </c>
      <c r="J1061" s="96" t="s">
        <v>18</v>
      </c>
      <c r="K1061" s="96" t="s">
        <v>18</v>
      </c>
      <c r="L1061" s="96" t="s">
        <v>18</v>
      </c>
      <c r="M1061" s="96" t="s">
        <v>18</v>
      </c>
      <c r="N1061" s="96" t="s">
        <v>18</v>
      </c>
      <c r="O1061" s="96" t="s">
        <v>18</v>
      </c>
      <c r="P1061" s="94" t="s">
        <v>21</v>
      </c>
    </row>
    <row r="1062" spans="1:16" x14ac:dyDescent="0.25">
      <c r="A1062" s="16">
        <v>49</v>
      </c>
      <c r="B1062" s="16">
        <v>437454.10856199998</v>
      </c>
      <c r="C1062" s="16">
        <v>5688869.3324180003</v>
      </c>
      <c r="D1062" s="31">
        <v>3</v>
      </c>
      <c r="E1062" s="31" t="s">
        <v>99</v>
      </c>
      <c r="F1062" s="31">
        <v>2013</v>
      </c>
      <c r="G1062" s="16">
        <v>4.6700000000000005E-2</v>
      </c>
      <c r="H1062" s="16">
        <v>1.0877335511728781E-2</v>
      </c>
      <c r="I1062" s="16">
        <v>0</v>
      </c>
      <c r="J1062" s="16">
        <v>0</v>
      </c>
      <c r="K1062" s="16">
        <v>9.300000000000001E-3</v>
      </c>
      <c r="L1062" s="16">
        <v>3.4493340404466856E-3</v>
      </c>
      <c r="M1062" s="16">
        <v>7.428001471282095E-3</v>
      </c>
      <c r="N1062" s="16">
        <v>0</v>
      </c>
      <c r="O1062" s="16">
        <v>0</v>
      </c>
      <c r="P1062" s="95"/>
    </row>
    <row r="1063" spans="1:16" x14ac:dyDescent="0.25">
      <c r="A1063" s="16">
        <v>50</v>
      </c>
      <c r="B1063" s="16">
        <v>437811.10856199998</v>
      </c>
      <c r="C1063" s="16">
        <v>5688869.3324180003</v>
      </c>
      <c r="D1063" s="31">
        <v>3</v>
      </c>
      <c r="E1063" s="31" t="s">
        <v>99</v>
      </c>
      <c r="F1063" s="31">
        <v>2013</v>
      </c>
      <c r="G1063" s="16">
        <v>1.3900000000000001E-2</v>
      </c>
      <c r="H1063" s="16">
        <v>3.2375795206216283E-3</v>
      </c>
      <c r="I1063" s="16">
        <v>0</v>
      </c>
      <c r="J1063" s="16">
        <v>0</v>
      </c>
      <c r="K1063" s="16">
        <v>1.2000000000000001E-3</v>
      </c>
      <c r="L1063" s="16">
        <v>4.4507536005763688E-4</v>
      </c>
      <c r="M1063" s="16">
        <v>2.7925041605639913E-3</v>
      </c>
      <c r="N1063" s="16">
        <v>0</v>
      </c>
      <c r="O1063" s="16">
        <v>0</v>
      </c>
      <c r="P1063" s="95"/>
    </row>
    <row r="1064" spans="1:16" x14ac:dyDescent="0.25">
      <c r="A1064" s="16">
        <v>51</v>
      </c>
      <c r="B1064" s="16">
        <v>437930.10856199998</v>
      </c>
      <c r="C1064" s="16">
        <v>5688869.3324180003</v>
      </c>
      <c r="D1064" s="31">
        <v>3</v>
      </c>
      <c r="E1064" s="31" t="s">
        <v>99</v>
      </c>
      <c r="F1064" s="31">
        <v>2013</v>
      </c>
      <c r="G1064" s="16">
        <v>1.61E-2</v>
      </c>
      <c r="H1064" s="16">
        <v>3.7500021785617419E-3</v>
      </c>
      <c r="I1064" s="16">
        <v>0</v>
      </c>
      <c r="J1064" s="16">
        <v>0</v>
      </c>
      <c r="K1064" s="16">
        <v>2.5000000000000001E-3</v>
      </c>
      <c r="L1064" s="16">
        <v>9.2724033345341003E-4</v>
      </c>
      <c r="M1064" s="16">
        <v>2.8227618451083319E-3</v>
      </c>
      <c r="N1064" s="16">
        <v>0</v>
      </c>
      <c r="O1064" s="16">
        <v>0</v>
      </c>
      <c r="P1064" s="95"/>
    </row>
    <row r="1065" spans="1:16" x14ac:dyDescent="0.25">
      <c r="A1065" s="16">
        <v>52</v>
      </c>
      <c r="B1065" s="16">
        <v>438049.10856199998</v>
      </c>
      <c r="C1065" s="16">
        <v>5688869.3324180003</v>
      </c>
      <c r="D1065" s="31">
        <v>3</v>
      </c>
      <c r="E1065" s="31" t="s">
        <v>99</v>
      </c>
      <c r="F1065" s="31">
        <v>2013</v>
      </c>
      <c r="G1065" s="16">
        <v>3.6299999999999999E-2</v>
      </c>
      <c r="H1065" s="16">
        <v>8.454973856011877E-3</v>
      </c>
      <c r="I1065" s="16">
        <v>6.1999999999999998E-3</v>
      </c>
      <c r="J1065" s="16">
        <v>3.3851090146750518E-3</v>
      </c>
      <c r="K1065" s="16">
        <v>3.5000000000000005E-3</v>
      </c>
      <c r="L1065" s="16">
        <v>1.2981364668347743E-3</v>
      </c>
      <c r="M1065" s="16">
        <v>7.156837389177103E-3</v>
      </c>
      <c r="N1065" s="16">
        <v>0</v>
      </c>
      <c r="O1065" s="16">
        <v>0</v>
      </c>
      <c r="P1065" s="95"/>
    </row>
    <row r="1066" spans="1:16" x14ac:dyDescent="0.25">
      <c r="A1066" s="16">
        <v>53</v>
      </c>
      <c r="B1066" s="16">
        <v>438287.10856199998</v>
      </c>
      <c r="C1066" s="16">
        <v>5688869.3324180003</v>
      </c>
      <c r="D1066" s="31">
        <v>3</v>
      </c>
      <c r="E1066" s="31" t="s">
        <v>99</v>
      </c>
      <c r="F1066" s="31">
        <v>2013</v>
      </c>
      <c r="G1066" s="16">
        <v>3.0199999999999998E-2</v>
      </c>
      <c r="H1066" s="16">
        <v>7.0341655771779255E-3</v>
      </c>
      <c r="I1066" s="16">
        <v>0</v>
      </c>
      <c r="J1066" s="16">
        <v>0</v>
      </c>
      <c r="K1066" s="16">
        <v>6.9999999999999988E-4</v>
      </c>
      <c r="L1066" s="16">
        <v>2.5962729336695477E-4</v>
      </c>
      <c r="M1066" s="16">
        <v>6.7745382838109705E-3</v>
      </c>
      <c r="N1066" s="16">
        <v>0</v>
      </c>
      <c r="O1066" s="16">
        <v>0</v>
      </c>
      <c r="P1066" s="95"/>
    </row>
    <row r="1067" spans="1:16" x14ac:dyDescent="0.25">
      <c r="A1067" s="16">
        <v>54</v>
      </c>
      <c r="B1067" s="16">
        <v>437454.10856199998</v>
      </c>
      <c r="C1067" s="16">
        <v>5688988.3324180003</v>
      </c>
      <c r="D1067" s="31">
        <v>3</v>
      </c>
      <c r="E1067" s="31" t="s">
        <v>99</v>
      </c>
      <c r="F1067" s="31">
        <v>2013</v>
      </c>
      <c r="G1067" s="16">
        <v>1.46E-2</v>
      </c>
      <c r="H1067" s="16">
        <v>3.4006230936025734E-3</v>
      </c>
      <c r="I1067" s="16">
        <v>2.8999999999999998E-3</v>
      </c>
      <c r="J1067" s="16">
        <v>1.5833574423480079E-3</v>
      </c>
      <c r="K1067" s="16">
        <v>2.1100000000000001E-2</v>
      </c>
      <c r="L1067" s="16">
        <v>7.8259084143467803E-3</v>
      </c>
      <c r="M1067" s="16">
        <v>-4.4252853207442065E-3</v>
      </c>
      <c r="N1067" s="16">
        <v>1.03E-2</v>
      </c>
      <c r="O1067" s="16">
        <v>6.7490713350943244E-3</v>
      </c>
      <c r="P1067" s="95"/>
    </row>
    <row r="1068" spans="1:16" x14ac:dyDescent="0.25">
      <c r="A1068" s="16">
        <v>55</v>
      </c>
      <c r="B1068" s="16">
        <v>438049.10856199998</v>
      </c>
      <c r="C1068" s="16">
        <v>5688988.3324180003</v>
      </c>
      <c r="D1068" s="31">
        <v>3</v>
      </c>
      <c r="E1068" s="31" t="s">
        <v>99</v>
      </c>
      <c r="F1068" s="31">
        <v>2013</v>
      </c>
      <c r="G1068" s="31" t="s">
        <v>18</v>
      </c>
      <c r="H1068" s="31" t="s">
        <v>18</v>
      </c>
      <c r="I1068" s="31" t="s">
        <v>18</v>
      </c>
      <c r="J1068" s="31" t="s">
        <v>18</v>
      </c>
      <c r="K1068" s="16">
        <v>1.6000000000000001E-4</v>
      </c>
      <c r="L1068" s="16">
        <v>5.9343381341018249E-5</v>
      </c>
      <c r="M1068" s="31" t="s">
        <v>18</v>
      </c>
      <c r="N1068" s="16">
        <v>0</v>
      </c>
      <c r="O1068" s="16">
        <v>0</v>
      </c>
      <c r="P1068" s="95" t="s">
        <v>100</v>
      </c>
    </row>
    <row r="1069" spans="1:16" x14ac:dyDescent="0.25">
      <c r="A1069" s="16">
        <v>56</v>
      </c>
      <c r="B1069" s="16">
        <v>438168.10856199998</v>
      </c>
      <c r="C1069" s="16">
        <v>5688988.3324180003</v>
      </c>
      <c r="D1069" s="31">
        <v>3</v>
      </c>
      <c r="E1069" s="31" t="s">
        <v>99</v>
      </c>
      <c r="F1069" s="31">
        <v>2013</v>
      </c>
      <c r="G1069" s="16">
        <v>1.15E-2</v>
      </c>
      <c r="H1069" s="16">
        <v>2.6785729846869584E-3</v>
      </c>
      <c r="I1069" s="16">
        <v>0</v>
      </c>
      <c r="J1069" s="16">
        <v>0</v>
      </c>
      <c r="K1069" s="16">
        <v>1E-3</v>
      </c>
      <c r="L1069" s="16">
        <v>3.7089613338136401E-4</v>
      </c>
      <c r="M1069" s="16">
        <v>2.3076768513055944E-3</v>
      </c>
      <c r="N1069" s="16">
        <v>0</v>
      </c>
      <c r="O1069" s="16">
        <v>0</v>
      </c>
      <c r="P1069" s="95"/>
    </row>
    <row r="1070" spans="1:16" x14ac:dyDescent="0.25">
      <c r="A1070" s="36">
        <v>57</v>
      </c>
      <c r="B1070" s="36">
        <v>438146</v>
      </c>
      <c r="C1070" s="36">
        <v>5688977</v>
      </c>
      <c r="D1070" s="99">
        <v>3</v>
      </c>
      <c r="E1070" s="99" t="s">
        <v>99</v>
      </c>
      <c r="F1070" s="99">
        <v>2013</v>
      </c>
      <c r="G1070" s="36">
        <v>8.2900000000000001E-2</v>
      </c>
      <c r="H1070" s="36">
        <v>1.9309017428743379E-2</v>
      </c>
      <c r="I1070" s="36">
        <v>0</v>
      </c>
      <c r="J1070" s="36">
        <v>0</v>
      </c>
      <c r="K1070" s="36">
        <v>1.6000000000000001E-3</v>
      </c>
      <c r="L1070" s="36">
        <v>5.934338134101824E-4</v>
      </c>
      <c r="M1070" s="36">
        <v>1.8715583615333195E-2</v>
      </c>
      <c r="N1070" s="36">
        <v>0</v>
      </c>
      <c r="O1070" s="36">
        <v>0</v>
      </c>
      <c r="P1070" s="100"/>
    </row>
    <row r="1071" spans="1:16" x14ac:dyDescent="0.25">
      <c r="A1071" s="36">
        <v>58</v>
      </c>
      <c r="B1071" s="36">
        <v>438131</v>
      </c>
      <c r="C1071" s="36">
        <v>5688972</v>
      </c>
      <c r="D1071" s="99">
        <v>3</v>
      </c>
      <c r="E1071" s="99" t="s">
        <v>99</v>
      </c>
      <c r="F1071" s="99">
        <v>2013</v>
      </c>
      <c r="G1071" s="36">
        <v>0.12690000000000001</v>
      </c>
      <c r="H1071" s="36">
        <v>2.9557470587545657E-2</v>
      </c>
      <c r="I1071" s="36">
        <v>0</v>
      </c>
      <c r="J1071" s="36">
        <v>0</v>
      </c>
      <c r="K1071" s="36">
        <v>2.3E-3</v>
      </c>
      <c r="L1071" s="36">
        <v>8.5306110677713716E-4</v>
      </c>
      <c r="M1071" s="36">
        <v>2.8704409480768519E-2</v>
      </c>
      <c r="N1071" s="36">
        <v>0</v>
      </c>
      <c r="O1071" s="36">
        <v>0</v>
      </c>
      <c r="P1071" s="100"/>
    </row>
    <row r="1072" spans="1:16" x14ac:dyDescent="0.25">
      <c r="A1072" s="36">
        <v>59</v>
      </c>
      <c r="B1072" s="36">
        <v>438089</v>
      </c>
      <c r="C1072" s="36">
        <v>5688713</v>
      </c>
      <c r="D1072" s="99">
        <v>3</v>
      </c>
      <c r="E1072" s="99" t="s">
        <v>99</v>
      </c>
      <c r="F1072" s="99">
        <v>2013</v>
      </c>
      <c r="G1072" s="36">
        <v>9.5500000000000002E-2</v>
      </c>
      <c r="H1072" s="36">
        <v>2.2243801742400395E-2</v>
      </c>
      <c r="I1072" s="36">
        <v>0</v>
      </c>
      <c r="J1072" s="36">
        <v>0</v>
      </c>
      <c r="K1072" s="36">
        <v>0.01</v>
      </c>
      <c r="L1072" s="36">
        <v>3.7089613338136401E-3</v>
      </c>
      <c r="M1072" s="36">
        <v>1.8534840408586755E-2</v>
      </c>
      <c r="N1072" s="36">
        <v>0</v>
      </c>
      <c r="O1072" s="36">
        <v>0</v>
      </c>
      <c r="P1072" s="100"/>
    </row>
    <row r="1073" spans="1:19" x14ac:dyDescent="0.25">
      <c r="A1073" s="36">
        <v>60</v>
      </c>
      <c r="B1073" s="36">
        <v>438099</v>
      </c>
      <c r="C1073" s="36">
        <v>5688719</v>
      </c>
      <c r="D1073" s="99">
        <v>3</v>
      </c>
      <c r="E1073" s="99" t="s">
        <v>99</v>
      </c>
      <c r="F1073" s="99">
        <v>2013</v>
      </c>
      <c r="G1073" s="36">
        <v>4.5200000000000004E-2</v>
      </c>
      <c r="H1073" s="36">
        <v>1.0527956426769612E-2</v>
      </c>
      <c r="I1073" s="36">
        <v>0</v>
      </c>
      <c r="J1073" s="36">
        <v>0</v>
      </c>
      <c r="K1073" s="36">
        <v>1.6000000000000001E-3</v>
      </c>
      <c r="L1073" s="36">
        <v>5.934338134101824E-4</v>
      </c>
      <c r="M1073" s="36">
        <v>9.9345226133594304E-3</v>
      </c>
      <c r="N1073" s="36">
        <v>0</v>
      </c>
      <c r="O1073" s="36">
        <v>0</v>
      </c>
      <c r="P1073" s="100"/>
    </row>
    <row r="1074" spans="1:19" x14ac:dyDescent="0.25">
      <c r="A1074" s="16">
        <v>1</v>
      </c>
      <c r="B1074" s="16">
        <v>437930.10856199998</v>
      </c>
      <c r="C1074" s="16">
        <v>5688036.3324180003</v>
      </c>
      <c r="D1074" s="31">
        <v>11</v>
      </c>
      <c r="E1074" s="31" t="s">
        <v>61</v>
      </c>
      <c r="F1074" s="31">
        <v>2013</v>
      </c>
      <c r="G1074" s="16">
        <v>2.3E-3</v>
      </c>
      <c r="H1074" s="16">
        <v>5.7644210517037928E-4</v>
      </c>
      <c r="I1074" s="16">
        <v>0</v>
      </c>
      <c r="J1074" s="16">
        <v>0</v>
      </c>
      <c r="K1074" s="16">
        <v>4.0000000000000002E-4</v>
      </c>
      <c r="L1074" s="16">
        <v>1.3891992437788561E-4</v>
      </c>
      <c r="M1074" s="16">
        <v>4.3752218079249369E-4</v>
      </c>
      <c r="N1074" s="16">
        <v>2.0000000000000001E-4</v>
      </c>
      <c r="O1074" s="16">
        <v>7.4577936370682002E-5</v>
      </c>
      <c r="P1074" s="95"/>
      <c r="R1074" s="5">
        <f>AVERAGE(M1074:M1133)</f>
        <v>1.5732922989915417E-2</v>
      </c>
      <c r="S1074" s="5">
        <f>AVERAGE(H1074:H1133)</f>
        <v>2.0377967968440439E-2</v>
      </c>
    </row>
    <row r="1075" spans="1:19" x14ac:dyDescent="0.25">
      <c r="A1075" s="16">
        <v>2</v>
      </c>
      <c r="B1075" s="16">
        <v>437811.10856199998</v>
      </c>
      <c r="C1075" s="16">
        <v>5688155.3324180003</v>
      </c>
      <c r="D1075" s="31">
        <v>11</v>
      </c>
      <c r="E1075" s="31" t="s">
        <v>61</v>
      </c>
      <c r="F1075" s="31">
        <v>2013</v>
      </c>
      <c r="G1075" s="16">
        <v>0.1004</v>
      </c>
      <c r="H1075" s="16">
        <v>2.5162951025698297E-2</v>
      </c>
      <c r="I1075" s="16">
        <v>2.4300000000000002E-2</v>
      </c>
      <c r="J1075" s="16">
        <v>8.4028856755354233E-3</v>
      </c>
      <c r="K1075" s="16">
        <v>4.0899999999999999E-2</v>
      </c>
      <c r="L1075" s="16">
        <v>1.4204562267638802E-2</v>
      </c>
      <c r="M1075" s="16">
        <v>1.0958388758059495E-2</v>
      </c>
      <c r="N1075" s="16">
        <v>2.3E-3</v>
      </c>
      <c r="O1075" s="16">
        <v>8.5764626826284292E-4</v>
      </c>
      <c r="P1075" s="95"/>
    </row>
    <row r="1076" spans="1:19" x14ac:dyDescent="0.25">
      <c r="A1076" s="16">
        <v>3</v>
      </c>
      <c r="B1076" s="16">
        <v>437930.10856199998</v>
      </c>
      <c r="C1076" s="16">
        <v>5688155.3324180003</v>
      </c>
      <c r="D1076" s="31">
        <v>11</v>
      </c>
      <c r="E1076" s="31" t="s">
        <v>61</v>
      </c>
      <c r="F1076" s="31">
        <v>2013</v>
      </c>
      <c r="G1076" s="16">
        <v>4.6700000000000005E-2</v>
      </c>
      <c r="H1076" s="16">
        <v>1.1704281004981181E-2</v>
      </c>
      <c r="I1076" s="16">
        <v>0.1341</v>
      </c>
      <c r="J1076" s="16">
        <v>4.6371480209436218E-2</v>
      </c>
      <c r="K1076" s="16">
        <v>8.9999999999999993E-3</v>
      </c>
      <c r="L1076" s="16">
        <v>3.125698298502426E-3</v>
      </c>
      <c r="M1076" s="16">
        <v>8.5785827064787552E-3</v>
      </c>
      <c r="N1076" s="16">
        <v>3.2000000000000002E-3</v>
      </c>
      <c r="O1076" s="16">
        <v>1.193246981930912E-3</v>
      </c>
      <c r="P1076" s="95"/>
    </row>
    <row r="1077" spans="1:19" x14ac:dyDescent="0.25">
      <c r="A1077" s="16">
        <v>4</v>
      </c>
      <c r="B1077" s="16">
        <v>438049.10856199998</v>
      </c>
      <c r="C1077" s="16">
        <v>5688155.3324180003</v>
      </c>
      <c r="D1077" s="31">
        <v>11</v>
      </c>
      <c r="E1077" s="31" t="s">
        <v>61</v>
      </c>
      <c r="F1077" s="31">
        <v>2013</v>
      </c>
      <c r="G1077" s="16">
        <v>1.4E-3</v>
      </c>
      <c r="H1077" s="16">
        <v>3.5087780314718741E-4</v>
      </c>
      <c r="I1077" s="16">
        <v>0</v>
      </c>
      <c r="J1077" s="16">
        <v>0</v>
      </c>
      <c r="K1077" s="16">
        <v>1.4E-3</v>
      </c>
      <c r="L1077" s="16">
        <v>4.862197353225996E-4</v>
      </c>
      <c r="M1077" s="16">
        <v>-1.353419321754122E-4</v>
      </c>
      <c r="N1077" s="16">
        <v>0</v>
      </c>
      <c r="O1077" s="16">
        <v>0</v>
      </c>
      <c r="P1077" s="95"/>
    </row>
    <row r="1078" spans="1:19" x14ac:dyDescent="0.25">
      <c r="A1078" s="16">
        <v>5</v>
      </c>
      <c r="B1078" s="16">
        <v>437573.10856199998</v>
      </c>
      <c r="C1078" s="16">
        <v>5688274.3324180003</v>
      </c>
      <c r="D1078" s="31">
        <v>11</v>
      </c>
      <c r="E1078" s="31" t="s">
        <v>61</v>
      </c>
      <c r="F1078" s="31">
        <v>2013</v>
      </c>
      <c r="G1078" s="16">
        <v>3.4700000000000002E-2</v>
      </c>
      <c r="H1078" s="16">
        <v>8.6967569780052878E-3</v>
      </c>
      <c r="I1078" s="16">
        <v>0</v>
      </c>
      <c r="J1078" s="16">
        <v>0</v>
      </c>
      <c r="K1078" s="16">
        <v>1.01E-2</v>
      </c>
      <c r="L1078" s="16">
        <v>3.5077280905416114E-3</v>
      </c>
      <c r="M1078" s="16">
        <v>5.1890288874636764E-3</v>
      </c>
      <c r="N1078" s="16">
        <v>6.9699999999999998E-2</v>
      </c>
      <c r="O1078" s="16">
        <v>2.5990410825182674E-2</v>
      </c>
      <c r="P1078" s="95"/>
    </row>
    <row r="1079" spans="1:19" x14ac:dyDescent="0.25">
      <c r="A1079" s="16">
        <v>6</v>
      </c>
      <c r="B1079" s="16">
        <v>437692.10856199998</v>
      </c>
      <c r="C1079" s="16">
        <v>5688274.3324180003</v>
      </c>
      <c r="D1079" s="31">
        <v>11</v>
      </c>
      <c r="E1079" s="31" t="s">
        <v>61</v>
      </c>
      <c r="F1079" s="31">
        <v>2013</v>
      </c>
      <c r="G1079" s="16">
        <v>8.6499999999999994E-2</v>
      </c>
      <c r="H1079" s="16">
        <v>2.167923569445122E-2</v>
      </c>
      <c r="I1079" s="16">
        <v>9.8599999999999993E-2</v>
      </c>
      <c r="J1079" s="16">
        <v>3.4095659572337143E-2</v>
      </c>
      <c r="K1079" s="16">
        <v>1.7999999999999999E-2</v>
      </c>
      <c r="L1079" s="16">
        <v>6.251396597004852E-3</v>
      </c>
      <c r="M1079" s="16">
        <v>1.5427839097446369E-2</v>
      </c>
      <c r="N1079" s="16">
        <v>5.8700000000000002E-2</v>
      </c>
      <c r="O1079" s="16">
        <v>2.1888624324795165E-2</v>
      </c>
      <c r="P1079" s="95"/>
    </row>
    <row r="1080" spans="1:19" x14ac:dyDescent="0.25">
      <c r="A1080" s="16">
        <v>7</v>
      </c>
      <c r="B1080" s="16">
        <v>437811.10856199998</v>
      </c>
      <c r="C1080" s="16">
        <v>5688274.3324180003</v>
      </c>
      <c r="D1080" s="31">
        <v>11</v>
      </c>
      <c r="E1080" s="31" t="s">
        <v>61</v>
      </c>
      <c r="F1080" s="31">
        <v>2013</v>
      </c>
      <c r="G1080" s="16">
        <v>9.1000000000000004E-3</v>
      </c>
      <c r="H1080" s="16">
        <v>2.2807057204567182E-3</v>
      </c>
      <c r="I1080" s="16">
        <v>3.9299999999999995E-2</v>
      </c>
      <c r="J1080" s="16">
        <v>1.3589852141915311E-2</v>
      </c>
      <c r="K1080" s="16">
        <v>6.1999999999999998E-3</v>
      </c>
      <c r="L1080" s="16">
        <v>2.1532588278572267E-3</v>
      </c>
      <c r="M1080" s="16">
        <v>1.2744689259949152E-4</v>
      </c>
      <c r="N1080" s="16">
        <v>6.3500000000000001E-2</v>
      </c>
      <c r="O1080" s="16">
        <v>2.3678494797691536E-2</v>
      </c>
      <c r="P1080" s="95"/>
    </row>
    <row r="1081" spans="1:19" x14ac:dyDescent="0.25">
      <c r="A1081" s="16">
        <v>8</v>
      </c>
      <c r="B1081" s="16">
        <v>437930.10856199998</v>
      </c>
      <c r="C1081" s="16">
        <v>5688274.3324180003</v>
      </c>
      <c r="D1081" s="31">
        <v>11</v>
      </c>
      <c r="E1081" s="31" t="s">
        <v>61</v>
      </c>
      <c r="F1081" s="31">
        <v>2013</v>
      </c>
      <c r="G1081" s="16">
        <v>7.909999999999999E-2</v>
      </c>
      <c r="H1081" s="16">
        <v>1.9824595877816088E-2</v>
      </c>
      <c r="I1081" s="16">
        <v>0</v>
      </c>
      <c r="J1081" s="16">
        <v>0</v>
      </c>
      <c r="K1081" s="16">
        <v>3.2899999999999999E-2</v>
      </c>
      <c r="L1081" s="16">
        <v>1.1426163780081091E-2</v>
      </c>
      <c r="M1081" s="16">
        <v>8.3984320977349963E-3</v>
      </c>
      <c r="N1081" s="16">
        <v>0</v>
      </c>
      <c r="O1081" s="16">
        <v>0</v>
      </c>
      <c r="P1081" s="95"/>
    </row>
    <row r="1082" spans="1:19" x14ac:dyDescent="0.25">
      <c r="A1082" s="16">
        <v>9</v>
      </c>
      <c r="B1082" s="16">
        <v>438287.10856199998</v>
      </c>
      <c r="C1082" s="16">
        <v>5688274.3324180003</v>
      </c>
      <c r="D1082" s="31">
        <v>11</v>
      </c>
      <c r="E1082" s="31" t="s">
        <v>61</v>
      </c>
      <c r="F1082" s="31">
        <v>2013</v>
      </c>
      <c r="G1082" s="16">
        <v>0.17430000000000001</v>
      </c>
      <c r="H1082" s="16">
        <v>4.3684286491824834E-2</v>
      </c>
      <c r="I1082" s="16">
        <v>0</v>
      </c>
      <c r="J1082" s="16">
        <v>0</v>
      </c>
      <c r="K1082" s="16">
        <v>5.3899999999999997E-2</v>
      </c>
      <c r="L1082" s="16">
        <v>1.8719459809920083E-2</v>
      </c>
      <c r="M1082" s="16">
        <v>2.496482668190475E-2</v>
      </c>
      <c r="N1082" s="16">
        <v>1.34E-2</v>
      </c>
      <c r="O1082" s="16">
        <v>4.996721736835694E-3</v>
      </c>
      <c r="P1082" s="95"/>
    </row>
    <row r="1083" spans="1:19" x14ac:dyDescent="0.25">
      <c r="A1083" s="16">
        <v>10</v>
      </c>
      <c r="B1083" s="16">
        <v>438406.10856199998</v>
      </c>
      <c r="C1083" s="16">
        <v>5688274.3324180003</v>
      </c>
      <c r="D1083" s="31">
        <v>11</v>
      </c>
      <c r="E1083" s="31" t="s">
        <v>61</v>
      </c>
      <c r="F1083" s="31">
        <v>2013</v>
      </c>
      <c r="G1083" s="16">
        <v>6.8099999999999994E-2</v>
      </c>
      <c r="H1083" s="16">
        <v>1.7067698853088186E-2</v>
      </c>
      <c r="I1083" s="16">
        <v>3.2100000000000004E-2</v>
      </c>
      <c r="J1083" s="16">
        <v>1.1100108238052965E-2</v>
      </c>
      <c r="K1083" s="16">
        <v>8.0999999999999996E-3</v>
      </c>
      <c r="L1083" s="16">
        <v>2.8131284686521833E-3</v>
      </c>
      <c r="M1083" s="16">
        <v>1.4254570384436003E-2</v>
      </c>
      <c r="N1083" s="16">
        <v>0</v>
      </c>
      <c r="O1083" s="16">
        <v>0</v>
      </c>
      <c r="P1083" s="95"/>
    </row>
    <row r="1084" spans="1:19" x14ac:dyDescent="0.25">
      <c r="A1084" s="16">
        <v>11</v>
      </c>
      <c r="B1084" s="16">
        <v>437454.10856199998</v>
      </c>
      <c r="C1084" s="16">
        <v>5688393.3324180003</v>
      </c>
      <c r="D1084" s="31">
        <v>11</v>
      </c>
      <c r="E1084" s="31" t="s">
        <v>61</v>
      </c>
      <c r="F1084" s="31">
        <v>2013</v>
      </c>
      <c r="G1084" s="16">
        <v>3.2299999999999995E-2</v>
      </c>
      <c r="H1084" s="16">
        <v>8.0952521726101075E-3</v>
      </c>
      <c r="I1084" s="16">
        <v>0</v>
      </c>
      <c r="J1084" s="16">
        <v>0</v>
      </c>
      <c r="K1084" s="16">
        <v>0.01</v>
      </c>
      <c r="L1084" s="16">
        <v>3.4729981094471403E-3</v>
      </c>
      <c r="M1084" s="16">
        <v>4.6222540631629672E-3</v>
      </c>
      <c r="N1084" s="16">
        <v>3.6999999999999998E-2</v>
      </c>
      <c r="O1084" s="16">
        <v>1.3796918228576168E-2</v>
      </c>
      <c r="P1084" s="95"/>
    </row>
    <row r="1085" spans="1:19" x14ac:dyDescent="0.25">
      <c r="A1085" s="16">
        <v>12</v>
      </c>
      <c r="B1085" s="16">
        <v>437573.10856199998</v>
      </c>
      <c r="C1085" s="16">
        <v>5688393.3324180003</v>
      </c>
      <c r="D1085" s="31">
        <v>11</v>
      </c>
      <c r="E1085" s="31" t="s">
        <v>61</v>
      </c>
      <c r="F1085" s="31">
        <v>2013</v>
      </c>
      <c r="G1085" s="16">
        <v>0.1643</v>
      </c>
      <c r="H1085" s="16">
        <v>4.1178016469344922E-2</v>
      </c>
      <c r="I1085" s="16">
        <v>2.5100000000000001E-2</v>
      </c>
      <c r="J1085" s="16">
        <v>8.6795238870756835E-3</v>
      </c>
      <c r="K1085" s="16">
        <v>6.3E-3</v>
      </c>
      <c r="L1085" s="16">
        <v>2.1879888089516982E-3</v>
      </c>
      <c r="M1085" s="16">
        <v>3.8990027660393223E-2</v>
      </c>
      <c r="N1085" s="16">
        <v>4.0999999999999995E-3</v>
      </c>
      <c r="O1085" s="16">
        <v>1.5288476955989808E-3</v>
      </c>
      <c r="P1085" s="95"/>
    </row>
    <row r="1086" spans="1:19" x14ac:dyDescent="0.25">
      <c r="A1086" s="16">
        <v>13</v>
      </c>
      <c r="B1086" s="16">
        <v>437692.10856199998</v>
      </c>
      <c r="C1086" s="16">
        <v>5688393.3324180003</v>
      </c>
      <c r="D1086" s="31">
        <v>11</v>
      </c>
      <c r="E1086" s="31" t="s">
        <v>61</v>
      </c>
      <c r="F1086" s="31">
        <v>2013</v>
      </c>
      <c r="G1086" s="16">
        <v>3.4599999999999999E-2</v>
      </c>
      <c r="H1086" s="16">
        <v>8.6716942777804885E-3</v>
      </c>
      <c r="I1086" s="16">
        <v>0.20849999999999999</v>
      </c>
      <c r="J1086" s="16">
        <v>7.2098833882680471E-2</v>
      </c>
      <c r="K1086" s="16">
        <v>2.8199999999999999E-2</v>
      </c>
      <c r="L1086" s="16">
        <v>9.7938546686409354E-3</v>
      </c>
      <c r="M1086" s="16">
        <v>-1.122160390860447E-3</v>
      </c>
      <c r="N1086" s="16">
        <v>2.58E-2</v>
      </c>
      <c r="O1086" s="16">
        <v>9.6205537918179779E-3</v>
      </c>
      <c r="P1086" s="95"/>
    </row>
    <row r="1087" spans="1:19" x14ac:dyDescent="0.25">
      <c r="A1087" s="35">
        <v>14</v>
      </c>
      <c r="B1087" s="35">
        <v>437811.10856199998</v>
      </c>
      <c r="C1087" s="35">
        <v>5688393.3324180003</v>
      </c>
      <c r="D1087" s="96">
        <v>11</v>
      </c>
      <c r="E1087" s="96" t="s">
        <v>61</v>
      </c>
      <c r="F1087" s="96">
        <v>2013</v>
      </c>
      <c r="G1087" s="96" t="s">
        <v>18</v>
      </c>
      <c r="H1087" s="96" t="s">
        <v>18</v>
      </c>
      <c r="I1087" s="96" t="s">
        <v>18</v>
      </c>
      <c r="J1087" s="96" t="s">
        <v>18</v>
      </c>
      <c r="K1087" s="96" t="s">
        <v>18</v>
      </c>
      <c r="L1087" s="96" t="s">
        <v>18</v>
      </c>
      <c r="M1087" s="96" t="s">
        <v>18</v>
      </c>
      <c r="N1087" s="96" t="s">
        <v>18</v>
      </c>
      <c r="O1087" s="96" t="s">
        <v>18</v>
      </c>
      <c r="P1087" s="94" t="s">
        <v>21</v>
      </c>
    </row>
    <row r="1088" spans="1:19" x14ac:dyDescent="0.25">
      <c r="A1088" s="16">
        <v>15</v>
      </c>
      <c r="B1088" s="16">
        <v>437930.10856199998</v>
      </c>
      <c r="C1088" s="16">
        <v>5688393.3324180003</v>
      </c>
      <c r="D1088" s="31">
        <v>11</v>
      </c>
      <c r="E1088" s="31" t="s">
        <v>61</v>
      </c>
      <c r="F1088" s="31">
        <v>2013</v>
      </c>
      <c r="G1088" s="16">
        <v>0.1016</v>
      </c>
      <c r="H1088" s="16">
        <v>2.5463703428395885E-2</v>
      </c>
      <c r="I1088" s="16">
        <v>0.13980000000000001</v>
      </c>
      <c r="J1088" s="16">
        <v>4.8342527466660581E-2</v>
      </c>
      <c r="K1088" s="16">
        <v>1.8800000000000001E-2</v>
      </c>
      <c r="L1088" s="16">
        <v>6.5292364457606236E-3</v>
      </c>
      <c r="M1088" s="16">
        <v>1.8934466982635262E-2</v>
      </c>
      <c r="N1088" s="16">
        <v>6.0299999999999999E-2</v>
      </c>
      <c r="O1088" s="16">
        <v>2.2485247815760622E-2</v>
      </c>
      <c r="P1088" s="95"/>
    </row>
    <row r="1089" spans="1:16" x14ac:dyDescent="0.25">
      <c r="A1089" s="16">
        <v>16</v>
      </c>
      <c r="B1089" s="16">
        <v>438049.10856199998</v>
      </c>
      <c r="C1089" s="16">
        <v>5688393.3324180003</v>
      </c>
      <c r="D1089" s="31">
        <v>11</v>
      </c>
      <c r="E1089" s="31" t="s">
        <v>61</v>
      </c>
      <c r="F1089" s="31">
        <v>2013</v>
      </c>
      <c r="G1089" s="16">
        <v>9.7200000000000009E-2</v>
      </c>
      <c r="H1089" s="16">
        <v>2.4360944618504729E-2</v>
      </c>
      <c r="I1089" s="16">
        <v>0.65949999999999998</v>
      </c>
      <c r="J1089" s="16">
        <v>0.22805362563850248</v>
      </c>
      <c r="K1089" s="16">
        <v>1.7299999999999999E-2</v>
      </c>
      <c r="L1089" s="16">
        <v>6.0082867293435524E-3</v>
      </c>
      <c r="M1089" s="16">
        <v>1.8352657889161177E-2</v>
      </c>
      <c r="N1089" s="16">
        <v>1.06E-2</v>
      </c>
      <c r="O1089" s="16">
        <v>3.9526306276461455E-3</v>
      </c>
      <c r="P1089" s="95"/>
    </row>
    <row r="1090" spans="1:16" x14ac:dyDescent="0.25">
      <c r="A1090" s="16">
        <v>17</v>
      </c>
      <c r="B1090" s="16">
        <v>438168.10856199998</v>
      </c>
      <c r="C1090" s="16">
        <v>5688393.3324180003</v>
      </c>
      <c r="D1090" s="31">
        <v>11</v>
      </c>
      <c r="E1090" s="31" t="s">
        <v>61</v>
      </c>
      <c r="F1090" s="31">
        <v>2013</v>
      </c>
      <c r="G1090" s="16">
        <v>4.5999999999999999E-3</v>
      </c>
      <c r="H1090" s="16">
        <v>1.1528842103407586E-3</v>
      </c>
      <c r="I1090" s="16">
        <v>2.1700000000000001E-2</v>
      </c>
      <c r="J1090" s="16">
        <v>7.5038114880295742E-3</v>
      </c>
      <c r="K1090" s="16">
        <v>2.5000000000000001E-3</v>
      </c>
      <c r="L1090" s="16">
        <v>8.6824952736178507E-4</v>
      </c>
      <c r="M1090" s="16">
        <v>2.8463468297897348E-4</v>
      </c>
      <c r="N1090" s="16">
        <v>6.7000000000000002E-3</v>
      </c>
      <c r="O1090" s="16">
        <v>2.498360868417847E-3</v>
      </c>
      <c r="P1090" s="95"/>
    </row>
    <row r="1091" spans="1:16" x14ac:dyDescent="0.25">
      <c r="A1091" s="16">
        <v>18</v>
      </c>
      <c r="B1091" s="16">
        <v>438287.10856199998</v>
      </c>
      <c r="C1091" s="16">
        <v>5688393.3324180003</v>
      </c>
      <c r="D1091" s="31">
        <v>11</v>
      </c>
      <c r="E1091" s="31" t="s">
        <v>61</v>
      </c>
      <c r="F1091" s="31">
        <v>2013</v>
      </c>
      <c r="G1091" s="16">
        <v>7.0400000000000004E-2</v>
      </c>
      <c r="H1091" s="16">
        <v>1.7644140958258569E-2</v>
      </c>
      <c r="I1091" s="16">
        <v>3.3999999999999998E-3</v>
      </c>
      <c r="J1091" s="16">
        <v>1.1757123990461084E-3</v>
      </c>
      <c r="K1091" s="16">
        <v>5.0999999999999995E-3</v>
      </c>
      <c r="L1091" s="16">
        <v>1.7712290358180413E-3</v>
      </c>
      <c r="M1091" s="16">
        <v>1.5872911922440527E-2</v>
      </c>
      <c r="N1091" s="16">
        <v>0</v>
      </c>
      <c r="O1091" s="16">
        <v>0</v>
      </c>
      <c r="P1091" s="95"/>
    </row>
    <row r="1092" spans="1:16" x14ac:dyDescent="0.25">
      <c r="A1092" s="16">
        <v>19</v>
      </c>
      <c r="B1092" s="16">
        <v>438406.10856199998</v>
      </c>
      <c r="C1092" s="16">
        <v>5688393.3324180003</v>
      </c>
      <c r="D1092" s="31">
        <v>11</v>
      </c>
      <c r="E1092" s="31" t="s">
        <v>61</v>
      </c>
      <c r="F1092" s="31">
        <v>2013</v>
      </c>
      <c r="G1092" s="16">
        <v>6.6400000000000001E-2</v>
      </c>
      <c r="H1092" s="16">
        <v>1.6641632949266603E-2</v>
      </c>
      <c r="I1092" s="16">
        <v>0</v>
      </c>
      <c r="J1092" s="16">
        <v>0</v>
      </c>
      <c r="K1092" s="16">
        <v>4.7000000000000002E-3</v>
      </c>
      <c r="L1092" s="16">
        <v>1.6323091114401559E-3</v>
      </c>
      <c r="M1092" s="16">
        <v>1.5009323837826447E-2</v>
      </c>
      <c r="N1092" s="16">
        <v>0</v>
      </c>
      <c r="O1092" s="16">
        <v>0</v>
      </c>
      <c r="P1092" s="95"/>
    </row>
    <row r="1093" spans="1:16" x14ac:dyDescent="0.25">
      <c r="A1093" s="16">
        <v>20</v>
      </c>
      <c r="B1093" s="16">
        <v>437335.10856199998</v>
      </c>
      <c r="C1093" s="16">
        <v>5688512.3324180003</v>
      </c>
      <c r="D1093" s="31">
        <v>11</v>
      </c>
      <c r="E1093" s="31" t="s">
        <v>61</v>
      </c>
      <c r="F1093" s="31">
        <v>2013</v>
      </c>
      <c r="G1093" s="16">
        <v>2.6100000000000002E-2</v>
      </c>
      <c r="H1093" s="16">
        <v>6.5413647586725658E-3</v>
      </c>
      <c r="I1093" s="16">
        <v>0</v>
      </c>
      <c r="J1093" s="16">
        <v>0</v>
      </c>
      <c r="K1093" s="16">
        <v>3.5000000000000001E-3</v>
      </c>
      <c r="L1093" s="16">
        <v>1.2155493383064991E-3</v>
      </c>
      <c r="M1093" s="16">
        <v>5.3258154203660668E-3</v>
      </c>
      <c r="N1093" s="16">
        <v>0</v>
      </c>
      <c r="O1093" s="16">
        <v>0</v>
      </c>
      <c r="P1093" s="95"/>
    </row>
    <row r="1094" spans="1:16" x14ac:dyDescent="0.25">
      <c r="A1094" s="16">
        <v>21</v>
      </c>
      <c r="B1094" s="16">
        <v>437454.10856199998</v>
      </c>
      <c r="C1094" s="16">
        <v>5688512.3324180003</v>
      </c>
      <c r="D1094" s="31">
        <v>11</v>
      </c>
      <c r="E1094" s="31" t="s">
        <v>61</v>
      </c>
      <c r="F1094" s="31">
        <v>2013</v>
      </c>
      <c r="G1094" s="16">
        <v>2.5499999999999998E-2</v>
      </c>
      <c r="H1094" s="16">
        <v>6.3909885573237698E-3</v>
      </c>
      <c r="I1094" s="16">
        <v>0</v>
      </c>
      <c r="J1094" s="16">
        <v>0</v>
      </c>
      <c r="K1094" s="16">
        <v>2.2699999999999998E-2</v>
      </c>
      <c r="L1094" s="16">
        <v>7.8837057084450071E-3</v>
      </c>
      <c r="M1094" s="16">
        <v>-1.4927171511212372E-3</v>
      </c>
      <c r="N1094" s="16">
        <v>0</v>
      </c>
      <c r="O1094" s="16">
        <v>0</v>
      </c>
      <c r="P1094" s="95"/>
    </row>
    <row r="1095" spans="1:16" x14ac:dyDescent="0.25">
      <c r="A1095" s="16">
        <v>22</v>
      </c>
      <c r="B1095" s="16">
        <v>437573.10856199998</v>
      </c>
      <c r="C1095" s="16">
        <v>5688512.3324180003</v>
      </c>
      <c r="D1095" s="31">
        <v>11</v>
      </c>
      <c r="E1095" s="31" t="s">
        <v>61</v>
      </c>
      <c r="F1095" s="31">
        <v>2013</v>
      </c>
      <c r="G1095" s="16">
        <v>0.1211</v>
      </c>
      <c r="H1095" s="16">
        <v>3.0350929972231711E-2</v>
      </c>
      <c r="I1095" s="16">
        <v>0.27</v>
      </c>
      <c r="J1095" s="16">
        <v>9.3365396394838027E-2</v>
      </c>
      <c r="K1095" s="16">
        <v>1.01E-2</v>
      </c>
      <c r="L1095" s="16">
        <v>3.5077280905416114E-3</v>
      </c>
      <c r="M1095" s="16">
        <v>2.68432018816901E-2</v>
      </c>
      <c r="N1095" s="16">
        <v>9.9000000000000008E-3</v>
      </c>
      <c r="O1095" s="16">
        <v>3.6916078503487593E-3</v>
      </c>
      <c r="P1095" s="95"/>
    </row>
    <row r="1096" spans="1:16" x14ac:dyDescent="0.25">
      <c r="A1096" s="16">
        <v>23</v>
      </c>
      <c r="B1096" s="16">
        <v>437692.10856199998</v>
      </c>
      <c r="C1096" s="16">
        <v>5688512.3324180003</v>
      </c>
      <c r="D1096" s="31">
        <v>11</v>
      </c>
      <c r="E1096" s="31" t="s">
        <v>61</v>
      </c>
      <c r="F1096" s="31">
        <v>2013</v>
      </c>
      <c r="G1096" s="16">
        <v>1.7600000000000001E-2</v>
      </c>
      <c r="H1096" s="16">
        <v>4.4110352395646422E-3</v>
      </c>
      <c r="I1096" s="16">
        <v>1.44E-2</v>
      </c>
      <c r="J1096" s="16">
        <v>4.9794878077246947E-3</v>
      </c>
      <c r="K1096" s="16">
        <v>1.11E-2</v>
      </c>
      <c r="L1096" s="16">
        <v>3.8550279014863257E-3</v>
      </c>
      <c r="M1096" s="16">
        <v>5.560073380783165E-4</v>
      </c>
      <c r="N1096" s="16">
        <v>0</v>
      </c>
      <c r="O1096" s="16">
        <v>0</v>
      </c>
      <c r="P1096" s="95"/>
    </row>
    <row r="1097" spans="1:16" x14ac:dyDescent="0.25">
      <c r="A1097" s="16">
        <v>24</v>
      </c>
      <c r="B1097" s="16">
        <v>437811.10856199998</v>
      </c>
      <c r="C1097" s="16">
        <v>5688512.3324180003</v>
      </c>
      <c r="D1097" s="31">
        <v>11</v>
      </c>
      <c r="E1097" s="31" t="s">
        <v>61</v>
      </c>
      <c r="F1097" s="31">
        <v>2013</v>
      </c>
      <c r="G1097" s="16">
        <v>6.4899999999999999E-2</v>
      </c>
      <c r="H1097" s="16">
        <v>1.6265692445894615E-2</v>
      </c>
      <c r="I1097" s="16">
        <v>0</v>
      </c>
      <c r="J1097" s="16">
        <v>0</v>
      </c>
      <c r="K1097" s="16">
        <v>3.8E-3</v>
      </c>
      <c r="L1097" s="16">
        <v>1.3197392815899132E-3</v>
      </c>
      <c r="M1097" s="16">
        <v>1.4945953164304701E-2</v>
      </c>
      <c r="N1097" s="16">
        <v>0</v>
      </c>
      <c r="O1097" s="16">
        <v>0</v>
      </c>
      <c r="P1097" s="95"/>
    </row>
    <row r="1098" spans="1:16" x14ac:dyDescent="0.25">
      <c r="A1098" s="16">
        <v>25</v>
      </c>
      <c r="B1098" s="16">
        <v>437995</v>
      </c>
      <c r="C1098" s="16">
        <v>5688493</v>
      </c>
      <c r="D1098" s="31">
        <v>11</v>
      </c>
      <c r="E1098" s="31" t="s">
        <v>61</v>
      </c>
      <c r="F1098" s="31">
        <v>2013</v>
      </c>
      <c r="G1098" s="16">
        <v>8.2200000000000009E-2</v>
      </c>
      <c r="H1098" s="16">
        <v>2.0601539584784861E-2</v>
      </c>
      <c r="I1098" s="16">
        <v>0</v>
      </c>
      <c r="J1098" s="16">
        <v>0</v>
      </c>
      <c r="K1098" s="16">
        <v>1.7600000000000001E-2</v>
      </c>
      <c r="L1098" s="16">
        <v>6.1124766726269666E-3</v>
      </c>
      <c r="M1098" s="16">
        <v>1.4489062912157895E-2</v>
      </c>
      <c r="N1098" s="16">
        <v>0</v>
      </c>
      <c r="O1098" s="16">
        <v>0</v>
      </c>
      <c r="P1098" s="95"/>
    </row>
    <row r="1099" spans="1:16" x14ac:dyDescent="0.25">
      <c r="A1099" s="16">
        <v>26</v>
      </c>
      <c r="B1099" s="16">
        <v>438112</v>
      </c>
      <c r="C1099" s="16">
        <v>5688567</v>
      </c>
      <c r="D1099" s="31">
        <v>11</v>
      </c>
      <c r="E1099" s="31" t="s">
        <v>61</v>
      </c>
      <c r="F1099" s="31">
        <v>2013</v>
      </c>
      <c r="G1099" s="16">
        <v>6.0899999999999996E-2</v>
      </c>
      <c r="H1099" s="16">
        <v>1.526318443690265E-2</v>
      </c>
      <c r="I1099" s="16">
        <v>0</v>
      </c>
      <c r="J1099" s="16">
        <v>0</v>
      </c>
      <c r="K1099" s="16">
        <v>2.9600000000000001E-2</v>
      </c>
      <c r="L1099" s="16">
        <v>1.0280074403963535E-2</v>
      </c>
      <c r="M1099" s="16">
        <v>4.9831100329391156E-3</v>
      </c>
      <c r="N1099" s="16">
        <v>0</v>
      </c>
      <c r="O1099" s="16">
        <v>0</v>
      </c>
      <c r="P1099" s="95"/>
    </row>
    <row r="1100" spans="1:16" x14ac:dyDescent="0.25">
      <c r="A1100" s="35">
        <v>27</v>
      </c>
      <c r="B1100" s="35">
        <v>438168.10856199998</v>
      </c>
      <c r="C1100" s="35">
        <v>5688512.3324180003</v>
      </c>
      <c r="D1100" s="96">
        <v>11</v>
      </c>
      <c r="E1100" s="96" t="s">
        <v>61</v>
      </c>
      <c r="F1100" s="96">
        <v>2013</v>
      </c>
      <c r="G1100" s="96" t="s">
        <v>18</v>
      </c>
      <c r="H1100" s="96" t="s">
        <v>18</v>
      </c>
      <c r="I1100" s="96" t="s">
        <v>18</v>
      </c>
      <c r="J1100" s="96" t="s">
        <v>18</v>
      </c>
      <c r="K1100" s="96" t="s">
        <v>18</v>
      </c>
      <c r="L1100" s="96" t="s">
        <v>18</v>
      </c>
      <c r="M1100" s="96" t="s">
        <v>18</v>
      </c>
      <c r="N1100" s="96" t="s">
        <v>18</v>
      </c>
      <c r="O1100" s="96" t="s">
        <v>18</v>
      </c>
      <c r="P1100" s="94" t="s">
        <v>21</v>
      </c>
    </row>
    <row r="1101" spans="1:16" x14ac:dyDescent="0.25">
      <c r="A1101" s="35">
        <v>28</v>
      </c>
      <c r="B1101" s="35">
        <v>438287.10856199998</v>
      </c>
      <c r="C1101" s="35">
        <v>5688512.3324180003</v>
      </c>
      <c r="D1101" s="96">
        <v>11</v>
      </c>
      <c r="E1101" s="96" t="s">
        <v>61</v>
      </c>
      <c r="F1101" s="96">
        <v>2013</v>
      </c>
      <c r="G1101" s="96" t="s">
        <v>18</v>
      </c>
      <c r="H1101" s="96" t="s">
        <v>18</v>
      </c>
      <c r="I1101" s="96" t="s">
        <v>18</v>
      </c>
      <c r="J1101" s="96" t="s">
        <v>18</v>
      </c>
      <c r="K1101" s="96" t="s">
        <v>18</v>
      </c>
      <c r="L1101" s="96" t="s">
        <v>18</v>
      </c>
      <c r="M1101" s="96" t="s">
        <v>18</v>
      </c>
      <c r="N1101" s="96" t="s">
        <v>18</v>
      </c>
      <c r="O1101" s="96" t="s">
        <v>18</v>
      </c>
      <c r="P1101" s="94" t="s">
        <v>21</v>
      </c>
    </row>
    <row r="1102" spans="1:16" x14ac:dyDescent="0.25">
      <c r="A1102" s="16">
        <v>29</v>
      </c>
      <c r="B1102" s="16">
        <v>438381</v>
      </c>
      <c r="C1102" s="16">
        <v>5688526</v>
      </c>
      <c r="D1102" s="31">
        <v>11</v>
      </c>
      <c r="E1102" s="31" t="s">
        <v>61</v>
      </c>
      <c r="F1102" s="31">
        <v>2013</v>
      </c>
      <c r="G1102" s="16">
        <v>0.14399999999999999</v>
      </c>
      <c r="H1102" s="16">
        <v>3.6090288323710702E-2</v>
      </c>
      <c r="I1102" s="16">
        <v>0</v>
      </c>
      <c r="J1102" s="16">
        <v>0</v>
      </c>
      <c r="K1102" s="16">
        <v>5.5999999999999999E-3</v>
      </c>
      <c r="L1102" s="16">
        <v>1.9448789412903984E-3</v>
      </c>
      <c r="M1102" s="16">
        <v>3.4145409382420305E-2</v>
      </c>
      <c r="N1102" s="16">
        <v>0</v>
      </c>
      <c r="O1102" s="16">
        <v>0</v>
      </c>
      <c r="P1102" s="95"/>
    </row>
    <row r="1103" spans="1:16" x14ac:dyDescent="0.25">
      <c r="A1103" s="16">
        <v>30</v>
      </c>
      <c r="B1103" s="16">
        <v>438525.10856199998</v>
      </c>
      <c r="C1103" s="16">
        <v>5688512.3324180003</v>
      </c>
      <c r="D1103" s="31">
        <v>11</v>
      </c>
      <c r="E1103" s="31" t="s">
        <v>61</v>
      </c>
      <c r="F1103" s="31">
        <v>2013</v>
      </c>
      <c r="G1103" s="16">
        <v>3.3299999999999996E-2</v>
      </c>
      <c r="H1103" s="16">
        <v>8.345879174858099E-3</v>
      </c>
      <c r="I1103" s="16">
        <v>1.1999999999999999E-3</v>
      </c>
      <c r="J1103" s="16">
        <v>4.1495731731039116E-4</v>
      </c>
      <c r="K1103" s="16">
        <v>5.7999999999999996E-3</v>
      </c>
      <c r="L1103" s="16">
        <v>2.0143389034793413E-3</v>
      </c>
      <c r="M1103" s="16">
        <v>6.3315402713787581E-3</v>
      </c>
      <c r="N1103" s="16">
        <v>0</v>
      </c>
      <c r="O1103" s="16">
        <v>0</v>
      </c>
      <c r="P1103" s="95"/>
    </row>
    <row r="1104" spans="1:16" x14ac:dyDescent="0.25">
      <c r="A1104" s="16">
        <v>31</v>
      </c>
      <c r="B1104" s="16">
        <v>437335.10856199998</v>
      </c>
      <c r="C1104" s="16">
        <v>5688631.3324180003</v>
      </c>
      <c r="D1104" s="31">
        <v>11</v>
      </c>
      <c r="E1104" s="31" t="s">
        <v>61</v>
      </c>
      <c r="F1104" s="31">
        <v>2013</v>
      </c>
      <c r="G1104" s="16">
        <v>0.1391</v>
      </c>
      <c r="H1104" s="16">
        <v>3.4862216012695547E-2</v>
      </c>
      <c r="I1104" s="16">
        <v>0</v>
      </c>
      <c r="J1104" s="16">
        <v>0</v>
      </c>
      <c r="K1104" s="16">
        <v>6.0000000000000001E-3</v>
      </c>
      <c r="L1104" s="16">
        <v>2.083798865668284E-3</v>
      </c>
      <c r="M1104" s="16">
        <v>3.2778417147027263E-2</v>
      </c>
      <c r="N1104" s="16">
        <v>0</v>
      </c>
      <c r="O1104" s="16">
        <v>0</v>
      </c>
      <c r="P1104" s="95"/>
    </row>
    <row r="1105" spans="1:16" x14ac:dyDescent="0.25">
      <c r="A1105" s="16">
        <v>32</v>
      </c>
      <c r="B1105" s="16">
        <v>437454.10856199998</v>
      </c>
      <c r="C1105" s="16">
        <v>5688631.3324180003</v>
      </c>
      <c r="D1105" s="31">
        <v>11</v>
      </c>
      <c r="E1105" s="31" t="s">
        <v>61</v>
      </c>
      <c r="F1105" s="31">
        <v>2013</v>
      </c>
      <c r="G1105" s="16">
        <v>5.7599999999999998E-2</v>
      </c>
      <c r="H1105" s="16">
        <v>1.4436115329484281E-2</v>
      </c>
      <c r="I1105" s="16">
        <v>0</v>
      </c>
      <c r="J1105" s="16">
        <v>0</v>
      </c>
      <c r="K1105" s="16">
        <v>8.6999999999999994E-3</v>
      </c>
      <c r="L1105" s="16">
        <v>3.0215083552190118E-3</v>
      </c>
      <c r="M1105" s="16">
        <v>1.141460697426527E-2</v>
      </c>
      <c r="N1105" s="16">
        <v>5.0000000000000001E-3</v>
      </c>
      <c r="O1105" s="16">
        <v>1.86444840926705E-3</v>
      </c>
      <c r="P1105" s="95"/>
    </row>
    <row r="1106" spans="1:16" x14ac:dyDescent="0.25">
      <c r="A1106" s="16">
        <v>33</v>
      </c>
      <c r="B1106" s="16">
        <v>437573.10856199998</v>
      </c>
      <c r="C1106" s="16">
        <v>5688631.3324180003</v>
      </c>
      <c r="D1106" s="31">
        <v>11</v>
      </c>
      <c r="E1106" s="31" t="s">
        <v>61</v>
      </c>
      <c r="F1106" s="31">
        <v>2013</v>
      </c>
      <c r="G1106" s="16">
        <v>6.9500000000000006E-2</v>
      </c>
      <c r="H1106" s="16">
        <v>1.7418576656235377E-2</v>
      </c>
      <c r="I1106" s="16">
        <v>0</v>
      </c>
      <c r="J1106" s="16">
        <v>0</v>
      </c>
      <c r="K1106" s="16">
        <v>5.0000000000000001E-4</v>
      </c>
      <c r="L1106" s="16">
        <v>1.7364990547235701E-4</v>
      </c>
      <c r="M1106" s="16">
        <v>1.7244926750763018E-2</v>
      </c>
      <c r="N1106" s="16">
        <v>0</v>
      </c>
      <c r="O1106" s="16">
        <v>0</v>
      </c>
      <c r="P1106" s="95"/>
    </row>
    <row r="1107" spans="1:16" x14ac:dyDescent="0.25">
      <c r="A1107" s="16">
        <v>34</v>
      </c>
      <c r="B1107" s="16">
        <v>437692.10856199998</v>
      </c>
      <c r="C1107" s="16">
        <v>5688631.3324180003</v>
      </c>
      <c r="D1107" s="31">
        <v>11</v>
      </c>
      <c r="E1107" s="31" t="s">
        <v>61</v>
      </c>
      <c r="F1107" s="31">
        <v>2013</v>
      </c>
      <c r="G1107" s="16">
        <v>6.3899999999999998E-2</v>
      </c>
      <c r="H1107" s="16">
        <v>1.6015065443646625E-2</v>
      </c>
      <c r="I1107" s="16">
        <v>0</v>
      </c>
      <c r="J1107" s="16">
        <v>0</v>
      </c>
      <c r="K1107" s="16">
        <v>7.6E-3</v>
      </c>
      <c r="L1107" s="16">
        <v>2.6394785631798263E-3</v>
      </c>
      <c r="M1107" s="16">
        <v>1.3375586880466799E-2</v>
      </c>
      <c r="N1107" s="16">
        <v>0</v>
      </c>
      <c r="O1107" s="16">
        <v>0</v>
      </c>
      <c r="P1107" s="95"/>
    </row>
    <row r="1108" spans="1:16" x14ac:dyDescent="0.25">
      <c r="A1108" s="16">
        <v>35</v>
      </c>
      <c r="B1108" s="16">
        <v>437893</v>
      </c>
      <c r="C1108" s="16">
        <v>5688620</v>
      </c>
      <c r="D1108" s="31">
        <v>11</v>
      </c>
      <c r="E1108" s="31" t="s">
        <v>61</v>
      </c>
      <c r="F1108" s="31">
        <v>2013</v>
      </c>
      <c r="G1108" s="16">
        <v>2.3E-2</v>
      </c>
      <c r="H1108" s="16">
        <v>5.7644210517037928E-3</v>
      </c>
      <c r="I1108" s="16">
        <v>0</v>
      </c>
      <c r="J1108" s="16">
        <v>0</v>
      </c>
      <c r="K1108" s="16">
        <v>7.7999999999999996E-3</v>
      </c>
      <c r="L1108" s="16">
        <v>2.708938525368769E-3</v>
      </c>
      <c r="M1108" s="16">
        <v>3.0554825263350237E-3</v>
      </c>
      <c r="N1108" s="16">
        <v>0</v>
      </c>
      <c r="O1108" s="16">
        <v>0</v>
      </c>
      <c r="P1108" s="95"/>
    </row>
    <row r="1109" spans="1:16" x14ac:dyDescent="0.25">
      <c r="A1109" s="16">
        <v>36</v>
      </c>
      <c r="B1109" s="16">
        <v>437930.10856199998</v>
      </c>
      <c r="C1109" s="16">
        <v>5688631.3324180003</v>
      </c>
      <c r="D1109" s="31">
        <v>11</v>
      </c>
      <c r="E1109" s="31" t="s">
        <v>61</v>
      </c>
      <c r="F1109" s="31">
        <v>2013</v>
      </c>
      <c r="G1109" s="16">
        <v>6.25E-2</v>
      </c>
      <c r="H1109" s="16">
        <v>1.5664187640499438E-2</v>
      </c>
      <c r="I1109" s="16">
        <v>0</v>
      </c>
      <c r="J1109" s="16">
        <v>0</v>
      </c>
      <c r="K1109" s="16">
        <v>9.5999999999999992E-3</v>
      </c>
      <c r="L1109" s="16">
        <v>3.3340781850692541E-3</v>
      </c>
      <c r="M1109" s="16">
        <v>1.2330109455430184E-2</v>
      </c>
      <c r="N1109" s="16">
        <v>0</v>
      </c>
      <c r="O1109" s="16">
        <v>0</v>
      </c>
      <c r="P1109" s="95"/>
    </row>
    <row r="1110" spans="1:16" x14ac:dyDescent="0.25">
      <c r="A1110" s="35">
        <v>37</v>
      </c>
      <c r="B1110" s="35">
        <v>438049.10856199998</v>
      </c>
      <c r="C1110" s="35">
        <v>5688631.3324180003</v>
      </c>
      <c r="D1110" s="96">
        <v>11</v>
      </c>
      <c r="E1110" s="96" t="s">
        <v>61</v>
      </c>
      <c r="F1110" s="96">
        <v>2013</v>
      </c>
      <c r="G1110" s="96" t="s">
        <v>18</v>
      </c>
      <c r="H1110" s="96" t="s">
        <v>18</v>
      </c>
      <c r="I1110" s="96" t="s">
        <v>18</v>
      </c>
      <c r="J1110" s="96" t="s">
        <v>18</v>
      </c>
      <c r="K1110" s="96" t="s">
        <v>18</v>
      </c>
      <c r="L1110" s="96" t="s">
        <v>18</v>
      </c>
      <c r="M1110" s="96" t="s">
        <v>18</v>
      </c>
      <c r="N1110" s="96" t="s">
        <v>18</v>
      </c>
      <c r="O1110" s="96" t="s">
        <v>18</v>
      </c>
      <c r="P1110" s="94" t="s">
        <v>21</v>
      </c>
    </row>
    <row r="1111" spans="1:16" x14ac:dyDescent="0.25">
      <c r="A1111" s="16">
        <v>38</v>
      </c>
      <c r="B1111" s="16">
        <v>438067</v>
      </c>
      <c r="C1111" s="16">
        <v>5688710</v>
      </c>
      <c r="D1111" s="31">
        <v>11</v>
      </c>
      <c r="E1111" s="31" t="s">
        <v>61</v>
      </c>
      <c r="F1111" s="31">
        <v>2013</v>
      </c>
      <c r="G1111" s="16">
        <v>0.10299999999999999</v>
      </c>
      <c r="H1111" s="16">
        <v>2.5814581231543073E-2</v>
      </c>
      <c r="I1111" s="16">
        <v>0</v>
      </c>
      <c r="J1111" s="16">
        <v>0</v>
      </c>
      <c r="K1111" s="16">
        <v>3.7000000000000002E-3</v>
      </c>
      <c r="L1111" s="16">
        <v>1.2850093004954418E-3</v>
      </c>
      <c r="M1111" s="16">
        <v>2.4529571931047631E-2</v>
      </c>
      <c r="N1111" s="16">
        <v>0</v>
      </c>
      <c r="O1111" s="16">
        <v>0</v>
      </c>
      <c r="P1111" s="95"/>
    </row>
    <row r="1112" spans="1:16" x14ac:dyDescent="0.25">
      <c r="A1112" s="35">
        <v>39</v>
      </c>
      <c r="B1112" s="35">
        <v>438287.10856199998</v>
      </c>
      <c r="C1112" s="35">
        <v>5688631.3324180003</v>
      </c>
      <c r="D1112" s="96">
        <v>11</v>
      </c>
      <c r="E1112" s="96" t="s">
        <v>61</v>
      </c>
      <c r="F1112" s="96">
        <v>2013</v>
      </c>
      <c r="G1112" s="96" t="s">
        <v>18</v>
      </c>
      <c r="H1112" s="96" t="s">
        <v>18</v>
      </c>
      <c r="I1112" s="96" t="s">
        <v>18</v>
      </c>
      <c r="J1112" s="96" t="s">
        <v>18</v>
      </c>
      <c r="K1112" s="96" t="s">
        <v>18</v>
      </c>
      <c r="L1112" s="96" t="s">
        <v>18</v>
      </c>
      <c r="M1112" s="96" t="s">
        <v>18</v>
      </c>
      <c r="N1112" s="96" t="s">
        <v>18</v>
      </c>
      <c r="O1112" s="96" t="s">
        <v>18</v>
      </c>
      <c r="P1112" s="94" t="s">
        <v>22</v>
      </c>
    </row>
    <row r="1113" spans="1:16" x14ac:dyDescent="0.25">
      <c r="A1113" s="16">
        <v>40</v>
      </c>
      <c r="B1113" s="16">
        <v>438406.10856199998</v>
      </c>
      <c r="C1113" s="16">
        <v>5688631.3324180003</v>
      </c>
      <c r="D1113" s="31">
        <v>11</v>
      </c>
      <c r="E1113" s="31" t="s">
        <v>61</v>
      </c>
      <c r="F1113" s="31">
        <v>2013</v>
      </c>
      <c r="G1113" s="16">
        <v>4.3200000000000002E-2</v>
      </c>
      <c r="H1113" s="16">
        <v>1.0827086497113211E-2</v>
      </c>
      <c r="I1113" s="16">
        <v>9.6999999999999986E-3</v>
      </c>
      <c r="J1113" s="16">
        <v>3.3542383149256618E-3</v>
      </c>
      <c r="K1113" s="16">
        <v>6.7999999999999996E-3</v>
      </c>
      <c r="L1113" s="16">
        <v>2.3616387144240552E-3</v>
      </c>
      <c r="M1113" s="16">
        <v>8.4654477826891558E-3</v>
      </c>
      <c r="N1113" s="16">
        <v>0</v>
      </c>
      <c r="O1113" s="16">
        <v>0</v>
      </c>
      <c r="P1113" s="95"/>
    </row>
    <row r="1114" spans="1:16" x14ac:dyDescent="0.25">
      <c r="A1114" s="16">
        <v>41</v>
      </c>
      <c r="B1114" s="16">
        <v>437310</v>
      </c>
      <c r="C1114" s="16">
        <v>5688729</v>
      </c>
      <c r="D1114" s="31">
        <v>11</v>
      </c>
      <c r="E1114" s="31" t="s">
        <v>61</v>
      </c>
      <c r="F1114" s="31">
        <v>2013</v>
      </c>
      <c r="G1114" s="16">
        <v>0.1706</v>
      </c>
      <c r="H1114" s="16">
        <v>4.2756966583507264E-2</v>
      </c>
      <c r="I1114" s="16">
        <v>5.5500000000000001E-2</v>
      </c>
      <c r="J1114" s="16">
        <v>1.9191775925605593E-2</v>
      </c>
      <c r="K1114" s="16">
        <v>2.07E-2</v>
      </c>
      <c r="L1114" s="16">
        <v>7.1891060865555802E-3</v>
      </c>
      <c r="M1114" s="16">
        <v>3.5567860496951681E-2</v>
      </c>
      <c r="N1114" s="16">
        <v>6.0999999999999999E-2</v>
      </c>
      <c r="O1114" s="16">
        <v>2.2746270593058008E-2</v>
      </c>
      <c r="P1114" s="95"/>
    </row>
    <row r="1115" spans="1:16" x14ac:dyDescent="0.25">
      <c r="A1115" s="16">
        <v>42</v>
      </c>
      <c r="B1115" s="16">
        <v>437454.10856199998</v>
      </c>
      <c r="C1115" s="16">
        <v>5688750.3324180003</v>
      </c>
      <c r="D1115" s="31">
        <v>11</v>
      </c>
      <c r="E1115" s="31" t="s">
        <v>61</v>
      </c>
      <c r="F1115" s="31">
        <v>2013</v>
      </c>
      <c r="G1115" s="16">
        <v>6.6000000000000003E-2</v>
      </c>
      <c r="H1115" s="16">
        <v>1.6541382148367405E-2</v>
      </c>
      <c r="I1115" s="16">
        <v>1.1300000000000001E-2</v>
      </c>
      <c r="J1115" s="16">
        <v>3.9075147380061839E-3</v>
      </c>
      <c r="K1115" s="16">
        <v>1.9E-2</v>
      </c>
      <c r="L1115" s="16">
        <v>6.5986964079495659E-3</v>
      </c>
      <c r="M1115" s="16">
        <v>9.9426857404178396E-3</v>
      </c>
      <c r="N1115" s="16">
        <v>6.6E-3</v>
      </c>
      <c r="O1115" s="16">
        <v>2.4610719002325057E-3</v>
      </c>
      <c r="P1115" s="95"/>
    </row>
    <row r="1116" spans="1:16" x14ac:dyDescent="0.25">
      <c r="A1116" s="16">
        <v>43</v>
      </c>
      <c r="B1116" s="16">
        <v>437573.10856199998</v>
      </c>
      <c r="C1116" s="16">
        <v>5688750.3324180003</v>
      </c>
      <c r="D1116" s="31">
        <v>11</v>
      </c>
      <c r="E1116" s="31" t="s">
        <v>61</v>
      </c>
      <c r="F1116" s="31">
        <v>2013</v>
      </c>
      <c r="G1116" s="16">
        <v>2.5899999999999999E-2</v>
      </c>
      <c r="H1116" s="16">
        <v>6.4912393582229671E-3</v>
      </c>
      <c r="I1116" s="16">
        <v>0</v>
      </c>
      <c r="J1116" s="16">
        <v>0</v>
      </c>
      <c r="K1116" s="16">
        <v>8.8999999999999999E-3</v>
      </c>
      <c r="L1116" s="16">
        <v>3.0909683174079549E-3</v>
      </c>
      <c r="M1116" s="16">
        <v>3.4002710408150122E-3</v>
      </c>
      <c r="N1116" s="16">
        <v>0</v>
      </c>
      <c r="O1116" s="16">
        <v>0</v>
      </c>
      <c r="P1116" s="95"/>
    </row>
    <row r="1117" spans="1:16" x14ac:dyDescent="0.25">
      <c r="A1117" s="16">
        <v>44</v>
      </c>
      <c r="B1117" s="16">
        <v>437692.10856199998</v>
      </c>
      <c r="C1117" s="16">
        <v>5688750.3324180003</v>
      </c>
      <c r="D1117" s="31">
        <v>11</v>
      </c>
      <c r="E1117" s="31" t="s">
        <v>61</v>
      </c>
      <c r="F1117" s="31">
        <v>2013</v>
      </c>
      <c r="G1117" s="16">
        <v>3.3600000000000005E-2</v>
      </c>
      <c r="H1117" s="16">
        <v>8.4210672755324987E-3</v>
      </c>
      <c r="I1117" s="16">
        <v>0</v>
      </c>
      <c r="J1117" s="16">
        <v>0</v>
      </c>
      <c r="K1117" s="16">
        <v>3.3999999999999998E-3</v>
      </c>
      <c r="L1117" s="16">
        <v>1.1808193572120276E-3</v>
      </c>
      <c r="M1117" s="16">
        <v>7.2402479183204709E-3</v>
      </c>
      <c r="N1117" s="16">
        <v>0</v>
      </c>
      <c r="O1117" s="16">
        <v>0</v>
      </c>
      <c r="P1117" s="95"/>
    </row>
    <row r="1118" spans="1:16" x14ac:dyDescent="0.25">
      <c r="A1118" s="16">
        <v>45</v>
      </c>
      <c r="B1118" s="16">
        <v>437811.10856199998</v>
      </c>
      <c r="C1118" s="16">
        <v>5688750.3324180003</v>
      </c>
      <c r="D1118" s="31">
        <v>11</v>
      </c>
      <c r="E1118" s="31" t="s">
        <v>61</v>
      </c>
      <c r="F1118" s="31">
        <v>2013</v>
      </c>
      <c r="G1118" s="16">
        <v>3.7200000000000004E-2</v>
      </c>
      <c r="H1118" s="16">
        <v>9.3233244836252657E-3</v>
      </c>
      <c r="I1118" s="16">
        <v>1.03E-2</v>
      </c>
      <c r="J1118" s="16">
        <v>3.5617169735808578E-3</v>
      </c>
      <c r="K1118" s="16">
        <v>8.6999999999999994E-3</v>
      </c>
      <c r="L1118" s="16">
        <v>3.0215083552190118E-3</v>
      </c>
      <c r="M1118" s="16">
        <v>6.3018161284062544E-3</v>
      </c>
      <c r="N1118" s="16">
        <v>0</v>
      </c>
      <c r="O1118" s="16">
        <v>0</v>
      </c>
      <c r="P1118" s="95"/>
    </row>
    <row r="1119" spans="1:16" x14ac:dyDescent="0.25">
      <c r="A1119" s="16">
        <v>46</v>
      </c>
      <c r="B1119" s="16">
        <v>437930.10856199998</v>
      </c>
      <c r="C1119" s="16">
        <v>5688750.3324180003</v>
      </c>
      <c r="D1119" s="31">
        <v>11</v>
      </c>
      <c r="E1119" s="31" t="s">
        <v>61</v>
      </c>
      <c r="F1119" s="31">
        <v>2013</v>
      </c>
      <c r="G1119" s="16">
        <v>0.11559999999999999</v>
      </c>
      <c r="H1119" s="16">
        <v>2.897248145986776E-2</v>
      </c>
      <c r="I1119" s="16">
        <v>9.8900000000000002E-2</v>
      </c>
      <c r="J1119" s="16">
        <v>3.4199398901664742E-2</v>
      </c>
      <c r="K1119" s="16">
        <v>2.3E-3</v>
      </c>
      <c r="L1119" s="16">
        <v>7.9878956517284217E-4</v>
      </c>
      <c r="M1119" s="16">
        <v>2.8173691894694916E-2</v>
      </c>
      <c r="N1119" s="16">
        <v>6.08E-2</v>
      </c>
      <c r="O1119" s="16">
        <v>2.2671692656687326E-2</v>
      </c>
      <c r="P1119" s="95"/>
    </row>
    <row r="1120" spans="1:16" x14ac:dyDescent="0.25">
      <c r="A1120" s="16">
        <v>47</v>
      </c>
      <c r="B1120" s="16">
        <v>438061</v>
      </c>
      <c r="C1120" s="16">
        <v>5688779</v>
      </c>
      <c r="D1120" s="31">
        <v>12</v>
      </c>
      <c r="E1120" s="31" t="s">
        <v>61</v>
      </c>
      <c r="F1120" s="31">
        <v>2013</v>
      </c>
      <c r="G1120" s="16">
        <v>0.12429999999999999</v>
      </c>
      <c r="H1120" s="16">
        <v>2.9074081672365165E-2</v>
      </c>
      <c r="I1120" s="16">
        <v>0</v>
      </c>
      <c r="J1120" s="16">
        <v>0</v>
      </c>
      <c r="K1120" s="16">
        <v>5.0900000000000001E-2</v>
      </c>
      <c r="L1120" s="16">
        <v>1.6589375375852734E-2</v>
      </c>
      <c r="M1120" s="16">
        <v>1.2484706296512431E-2</v>
      </c>
      <c r="N1120" s="16">
        <v>0</v>
      </c>
      <c r="O1120" s="16">
        <v>0</v>
      </c>
      <c r="P1120" s="95"/>
    </row>
    <row r="1121" spans="1:19" x14ac:dyDescent="0.25">
      <c r="A1121" s="35">
        <v>48</v>
      </c>
      <c r="B1121" s="35">
        <v>438168.10856199998</v>
      </c>
      <c r="C1121" s="35">
        <v>5688750.3324180003</v>
      </c>
      <c r="D1121" s="96">
        <v>11</v>
      </c>
      <c r="E1121" s="96" t="s">
        <v>61</v>
      </c>
      <c r="F1121" s="96">
        <v>2013</v>
      </c>
      <c r="G1121" s="96" t="s">
        <v>18</v>
      </c>
      <c r="H1121" s="96" t="s">
        <v>18</v>
      </c>
      <c r="I1121" s="96" t="s">
        <v>18</v>
      </c>
      <c r="J1121" s="96" t="s">
        <v>18</v>
      </c>
      <c r="K1121" s="96" t="s">
        <v>18</v>
      </c>
      <c r="L1121" s="96" t="s">
        <v>18</v>
      </c>
      <c r="M1121" s="96" t="s">
        <v>18</v>
      </c>
      <c r="N1121" s="96" t="s">
        <v>18</v>
      </c>
      <c r="O1121" s="96" t="s">
        <v>18</v>
      </c>
      <c r="P1121" s="94" t="s">
        <v>21</v>
      </c>
    </row>
    <row r="1122" spans="1:19" x14ac:dyDescent="0.25">
      <c r="A1122" s="16">
        <v>49</v>
      </c>
      <c r="B1122" s="16">
        <v>437454.10856199998</v>
      </c>
      <c r="C1122" s="16">
        <v>5688869.3324180003</v>
      </c>
      <c r="D1122" s="31">
        <v>12</v>
      </c>
      <c r="E1122" s="31" t="s">
        <v>61</v>
      </c>
      <c r="F1122" s="31">
        <v>2013</v>
      </c>
      <c r="G1122" s="16">
        <v>0.1076</v>
      </c>
      <c r="H1122" s="16">
        <v>2.5167909798443217E-2</v>
      </c>
      <c r="I1122" s="16">
        <v>0.05</v>
      </c>
      <c r="J1122" s="16">
        <v>1.6415792801114253E-2</v>
      </c>
      <c r="K1122" s="16">
        <v>1.67E-2</v>
      </c>
      <c r="L1122" s="16">
        <v>5.4428795437473608E-3</v>
      </c>
      <c r="M1122" s="16">
        <v>1.9725030254695856E-2</v>
      </c>
      <c r="N1122" s="16">
        <v>0</v>
      </c>
      <c r="O1122" s="16">
        <v>0</v>
      </c>
      <c r="P1122" s="95"/>
    </row>
    <row r="1123" spans="1:19" x14ac:dyDescent="0.25">
      <c r="A1123" s="16">
        <v>50</v>
      </c>
      <c r="B1123" s="16">
        <v>437811.10856199998</v>
      </c>
      <c r="C1123" s="16">
        <v>5688869.3324180003</v>
      </c>
      <c r="D1123" s="31">
        <v>12</v>
      </c>
      <c r="E1123" s="31" t="s">
        <v>61</v>
      </c>
      <c r="F1123" s="31">
        <v>2013</v>
      </c>
      <c r="G1123" s="16">
        <v>1.12E-2</v>
      </c>
      <c r="H1123" s="16">
        <v>2.6197080831093312E-3</v>
      </c>
      <c r="I1123" s="16">
        <v>0</v>
      </c>
      <c r="J1123" s="16">
        <v>0</v>
      </c>
      <c r="K1123" s="16">
        <v>8.6999999999999994E-3</v>
      </c>
      <c r="L1123" s="16">
        <v>2.8355120976408404E-3</v>
      </c>
      <c r="M1123" s="16">
        <v>-2.1580401453150924E-4</v>
      </c>
      <c r="N1123" s="16">
        <v>0</v>
      </c>
      <c r="O1123" s="16">
        <v>0</v>
      </c>
      <c r="P1123" s="95"/>
    </row>
    <row r="1124" spans="1:19" x14ac:dyDescent="0.25">
      <c r="A1124" s="16">
        <v>51</v>
      </c>
      <c r="B1124" s="16">
        <v>437930.10856199998</v>
      </c>
      <c r="C1124" s="16">
        <v>5688869.3324180003</v>
      </c>
      <c r="D1124" s="31">
        <v>12</v>
      </c>
      <c r="E1124" s="31" t="s">
        <v>61</v>
      </c>
      <c r="F1124" s="31">
        <v>2013</v>
      </c>
      <c r="G1124" s="16">
        <v>2.07E-2</v>
      </c>
      <c r="H1124" s="16">
        <v>4.8417819036038531E-3</v>
      </c>
      <c r="I1124" s="16">
        <v>0</v>
      </c>
      <c r="J1124" s="16">
        <v>0</v>
      </c>
      <c r="K1124" s="16">
        <v>3.8299999999999994E-2</v>
      </c>
      <c r="L1124" s="16">
        <v>1.2482771648234962E-2</v>
      </c>
      <c r="M1124" s="16">
        <v>-7.6409897446311093E-3</v>
      </c>
      <c r="N1124" s="16">
        <v>0</v>
      </c>
      <c r="O1124" s="16">
        <v>0</v>
      </c>
      <c r="P1124" s="95"/>
    </row>
    <row r="1125" spans="1:19" x14ac:dyDescent="0.25">
      <c r="A1125" s="16">
        <v>52</v>
      </c>
      <c r="B1125" s="16">
        <v>438049.10856199998</v>
      </c>
      <c r="C1125" s="16">
        <v>5688869.3324180003</v>
      </c>
      <c r="D1125" s="31">
        <v>12</v>
      </c>
      <c r="E1125" s="31" t="s">
        <v>61</v>
      </c>
      <c r="F1125" s="31">
        <v>2013</v>
      </c>
      <c r="G1125" s="16">
        <v>6.6799999999999998E-2</v>
      </c>
      <c r="H1125" s="16">
        <v>1.5624687495687796E-2</v>
      </c>
      <c r="I1125" s="16">
        <v>0.42410000000000003</v>
      </c>
      <c r="J1125" s="16">
        <v>0.1392387545390511</v>
      </c>
      <c r="K1125" s="16">
        <v>1.14E-2</v>
      </c>
      <c r="L1125" s="16">
        <v>3.7154986107017915E-3</v>
      </c>
      <c r="M1125" s="16">
        <v>1.1909188884986006E-2</v>
      </c>
      <c r="N1125" s="16">
        <v>2.2699999999999998E-2</v>
      </c>
      <c r="O1125" s="16">
        <v>8.5135393772893635E-3</v>
      </c>
      <c r="P1125" s="95"/>
    </row>
    <row r="1126" spans="1:19" x14ac:dyDescent="0.25">
      <c r="A1126" s="16">
        <v>53</v>
      </c>
      <c r="B1126" s="16">
        <v>438287.10856199998</v>
      </c>
      <c r="C1126" s="16">
        <v>5688869.3324180003</v>
      </c>
      <c r="D1126" s="31">
        <v>11</v>
      </c>
      <c r="E1126" s="31" t="s">
        <v>61</v>
      </c>
      <c r="F1126" s="31">
        <v>2013</v>
      </c>
      <c r="G1126" s="16">
        <v>4.3900000000000002E-2</v>
      </c>
      <c r="H1126" s="16">
        <v>1.1002525398686805E-2</v>
      </c>
      <c r="I1126" s="16">
        <v>0</v>
      </c>
      <c r="J1126" s="16">
        <v>0</v>
      </c>
      <c r="K1126" s="16">
        <v>4.2000000000000006E-3</v>
      </c>
      <c r="L1126" s="16">
        <v>1.458659205967799E-3</v>
      </c>
      <c r="M1126" s="16">
        <v>9.5438661927190055E-3</v>
      </c>
      <c r="N1126" s="16">
        <v>0</v>
      </c>
      <c r="O1126" s="16">
        <v>0</v>
      </c>
      <c r="P1126" s="95"/>
    </row>
    <row r="1127" spans="1:19" x14ac:dyDescent="0.25">
      <c r="A1127" s="16">
        <v>54</v>
      </c>
      <c r="B1127" s="16">
        <v>437454.10856199998</v>
      </c>
      <c r="C1127" s="16">
        <v>5688988.3324180003</v>
      </c>
      <c r="D1127" s="31">
        <v>12</v>
      </c>
      <c r="E1127" s="31" t="s">
        <v>61</v>
      </c>
      <c r="F1127" s="31">
        <v>2013</v>
      </c>
      <c r="G1127" s="16">
        <v>0.13269999999999998</v>
      </c>
      <c r="H1127" s="16">
        <v>3.1038862734697161E-2</v>
      </c>
      <c r="I1127" s="16">
        <v>1.6000000000000001E-3</v>
      </c>
      <c r="J1127" s="16">
        <v>5.2530536963565607E-4</v>
      </c>
      <c r="K1127" s="16">
        <v>2.69E-2</v>
      </c>
      <c r="L1127" s="16">
        <v>8.7672730375331735E-3</v>
      </c>
      <c r="M1127" s="16">
        <v>2.2271589697163988E-2</v>
      </c>
      <c r="N1127" s="16">
        <v>0</v>
      </c>
      <c r="O1127" s="16">
        <v>0</v>
      </c>
      <c r="P1127" s="95"/>
    </row>
    <row r="1128" spans="1:19" x14ac:dyDescent="0.25">
      <c r="A1128" s="16">
        <v>55</v>
      </c>
      <c r="B1128" s="16">
        <v>438049.10856199998</v>
      </c>
      <c r="C1128" s="16">
        <v>5688988.3324180003</v>
      </c>
      <c r="D1128" s="31">
        <v>12</v>
      </c>
      <c r="E1128" s="31" t="s">
        <v>61</v>
      </c>
      <c r="F1128" s="31">
        <v>2013</v>
      </c>
      <c r="G1128" s="16">
        <v>2.18E-2</v>
      </c>
      <c r="H1128" s="16">
        <v>5.0990746617663764E-3</v>
      </c>
      <c r="I1128" s="16">
        <v>0</v>
      </c>
      <c r="J1128" s="16">
        <v>0</v>
      </c>
      <c r="K1128" s="16">
        <v>1.24E-2</v>
      </c>
      <c r="L1128" s="16">
        <v>4.0414195414651063E-3</v>
      </c>
      <c r="M1128" s="16">
        <v>1.05765512030127E-3</v>
      </c>
      <c r="N1128" s="16">
        <v>0</v>
      </c>
      <c r="O1128" s="16">
        <v>0</v>
      </c>
      <c r="P1128" s="95"/>
    </row>
    <row r="1129" spans="1:19" x14ac:dyDescent="0.25">
      <c r="A1129" s="16">
        <v>56</v>
      </c>
      <c r="B1129" s="16">
        <v>438168.10856199998</v>
      </c>
      <c r="C1129" s="16">
        <v>5688988.3324180003</v>
      </c>
      <c r="D1129" s="31">
        <v>12</v>
      </c>
      <c r="E1129" s="31" t="s">
        <v>61</v>
      </c>
      <c r="F1129" s="31">
        <v>2013</v>
      </c>
      <c r="G1129" s="16">
        <v>7.7700000000000005E-2</v>
      </c>
      <c r="H1129" s="16">
        <v>1.8174224826570985E-2</v>
      </c>
      <c r="I1129" s="16">
        <v>0</v>
      </c>
      <c r="J1129" s="16">
        <v>0</v>
      </c>
      <c r="K1129" s="16">
        <v>6.0999999999999995E-3</v>
      </c>
      <c r="L1129" s="16">
        <v>1.9881176776562213E-3</v>
      </c>
      <c r="M1129" s="16">
        <v>1.6186107148914764E-2</v>
      </c>
      <c r="N1129" s="16">
        <v>0</v>
      </c>
      <c r="O1129" s="16">
        <v>0</v>
      </c>
      <c r="P1129" s="95"/>
    </row>
    <row r="1130" spans="1:19" x14ac:dyDescent="0.25">
      <c r="A1130" s="36">
        <v>57</v>
      </c>
      <c r="B1130" s="36">
        <v>438146</v>
      </c>
      <c r="C1130" s="36">
        <v>5688977</v>
      </c>
      <c r="D1130" s="99">
        <v>12</v>
      </c>
      <c r="E1130" s="99" t="s">
        <v>61</v>
      </c>
      <c r="F1130" s="99">
        <v>2013</v>
      </c>
      <c r="G1130" s="36">
        <v>0.17799999999999999</v>
      </c>
      <c r="H1130" s="36">
        <v>4.1634646320844723E-2</v>
      </c>
      <c r="I1130" s="36">
        <v>0</v>
      </c>
      <c r="J1130" s="36">
        <v>0</v>
      </c>
      <c r="K1130" s="36">
        <v>1.61E-2</v>
      </c>
      <c r="L1130" s="36">
        <v>5.2473269852893719E-3</v>
      </c>
      <c r="M1130" s="36">
        <v>3.6387319335555349E-2</v>
      </c>
      <c r="N1130" s="36">
        <v>0</v>
      </c>
      <c r="O1130" s="36">
        <v>0</v>
      </c>
      <c r="P1130" s="100"/>
    </row>
    <row r="1131" spans="1:19" x14ac:dyDescent="0.25">
      <c r="A1131" s="36">
        <v>58</v>
      </c>
      <c r="B1131" s="36">
        <v>438131</v>
      </c>
      <c r="C1131" s="36">
        <v>5688972</v>
      </c>
      <c r="D1131" s="99">
        <v>12</v>
      </c>
      <c r="E1131" s="99" t="s">
        <v>61</v>
      </c>
      <c r="F1131" s="99">
        <v>2013</v>
      </c>
      <c r="G1131" s="36">
        <v>0.25980000000000003</v>
      </c>
      <c r="H1131" s="36">
        <v>6.0767871427839674E-2</v>
      </c>
      <c r="I1131" s="36">
        <v>0</v>
      </c>
      <c r="J1131" s="36">
        <v>0</v>
      </c>
      <c r="K1131" s="36">
        <v>2.3100000000000002E-2</v>
      </c>
      <c r="L1131" s="36">
        <v>7.5287735006325778E-3</v>
      </c>
      <c r="M1131" s="36">
        <v>5.3239097927207095E-2</v>
      </c>
      <c r="N1131" s="36">
        <v>0</v>
      </c>
      <c r="O1131" s="36">
        <v>0</v>
      </c>
      <c r="P1131" s="100"/>
    </row>
    <row r="1132" spans="1:19" x14ac:dyDescent="0.25">
      <c r="A1132" s="36">
        <v>59</v>
      </c>
      <c r="B1132" s="36">
        <v>438089</v>
      </c>
      <c r="C1132" s="36">
        <v>5688713</v>
      </c>
      <c r="D1132" s="99">
        <v>11</v>
      </c>
      <c r="E1132" s="99" t="s">
        <v>61</v>
      </c>
      <c r="F1132" s="99">
        <v>2013</v>
      </c>
      <c r="G1132" s="36">
        <v>0.43510000000000004</v>
      </c>
      <c r="H1132" s="36">
        <v>0.10904780867810089</v>
      </c>
      <c r="I1132" s="36">
        <v>0</v>
      </c>
      <c r="J1132" s="36">
        <v>0</v>
      </c>
      <c r="K1132" s="36">
        <v>2.0500000000000001E-2</v>
      </c>
      <c r="L1132" s="36">
        <v>7.119646124366638E-3</v>
      </c>
      <c r="M1132" s="36">
        <v>0.10192816255373426</v>
      </c>
      <c r="N1132" s="36">
        <v>0</v>
      </c>
      <c r="O1132" s="36">
        <v>0</v>
      </c>
      <c r="P1132" s="100"/>
    </row>
    <row r="1133" spans="1:19" x14ac:dyDescent="0.25">
      <c r="A1133" s="36">
        <v>60</v>
      </c>
      <c r="B1133" s="36">
        <v>438099</v>
      </c>
      <c r="C1133" s="36">
        <v>5688719</v>
      </c>
      <c r="D1133" s="99">
        <v>11</v>
      </c>
      <c r="E1133" s="99" t="s">
        <v>61</v>
      </c>
      <c r="F1133" s="99">
        <v>2013</v>
      </c>
      <c r="G1133" s="36">
        <v>0.2175</v>
      </c>
      <c r="H1133" s="36">
        <v>5.4511372988938045E-2</v>
      </c>
      <c r="I1133" s="36">
        <v>0</v>
      </c>
      <c r="J1133" s="36">
        <v>0</v>
      </c>
      <c r="K1133" s="36">
        <v>2.5999999999999999E-3</v>
      </c>
      <c r="L1133" s="36">
        <v>9.0297950845625642E-4</v>
      </c>
      <c r="M1133" s="36">
        <v>5.360839348048179E-2</v>
      </c>
      <c r="N1133" s="36">
        <v>0</v>
      </c>
      <c r="O1133" s="36">
        <v>0</v>
      </c>
      <c r="P1133" s="100"/>
    </row>
    <row r="1134" spans="1:19" x14ac:dyDescent="0.25">
      <c r="A1134" s="16">
        <v>1</v>
      </c>
      <c r="B1134" s="16">
        <v>437930.10856199998</v>
      </c>
      <c r="C1134" s="16">
        <v>5688036.3324180003</v>
      </c>
      <c r="D1134" s="31">
        <v>5</v>
      </c>
      <c r="E1134" s="31" t="s">
        <v>64</v>
      </c>
      <c r="F1134" s="31">
        <v>2014</v>
      </c>
      <c r="G1134" s="16">
        <v>1E-4</v>
      </c>
      <c r="H1134" s="16">
        <v>3.6772292958888396E-5</v>
      </c>
      <c r="I1134" s="16">
        <v>0</v>
      </c>
      <c r="J1134" s="16">
        <v>0</v>
      </c>
      <c r="K1134" s="16">
        <v>0</v>
      </c>
      <c r="L1134" s="16">
        <v>0</v>
      </c>
      <c r="M1134" s="16">
        <v>3.6772292958888396E-5</v>
      </c>
      <c r="N1134" s="16">
        <v>3.4099999999999998E-2</v>
      </c>
      <c r="O1134" s="16">
        <v>1.6024529487765053E-2</v>
      </c>
      <c r="P1134" s="95"/>
      <c r="R1134" s="5">
        <f>AVERAGE(M1134:M1193)</f>
        <v>1.2303976241012484E-2</v>
      </c>
      <c r="S1134" s="5">
        <f>AVERAGE(H1134:H1193)</f>
        <v>1.5235917567048448E-2</v>
      </c>
    </row>
    <row r="1135" spans="1:19" x14ac:dyDescent="0.25">
      <c r="A1135" s="16">
        <v>2</v>
      </c>
      <c r="B1135" s="16">
        <v>437811.10856199998</v>
      </c>
      <c r="C1135" s="16">
        <v>5688155.3324180003</v>
      </c>
      <c r="D1135" s="31">
        <v>5</v>
      </c>
      <c r="E1135" s="31" t="s">
        <v>64</v>
      </c>
      <c r="F1135" s="31">
        <v>2014</v>
      </c>
      <c r="G1135" s="16">
        <v>2.3E-3</v>
      </c>
      <c r="H1135" s="16">
        <v>8.4576273805443312E-4</v>
      </c>
      <c r="I1135" s="16">
        <v>0</v>
      </c>
      <c r="J1135" s="16">
        <v>0</v>
      </c>
      <c r="K1135" s="16">
        <v>1.2999999999999999E-3</v>
      </c>
      <c r="L1135" s="16">
        <v>5.3732476957168485E-4</v>
      </c>
      <c r="M1135" s="16">
        <v>3.0843796848274826E-4</v>
      </c>
      <c r="N1135" s="16">
        <v>0</v>
      </c>
      <c r="O1135" s="16">
        <v>0</v>
      </c>
      <c r="P1135" s="95"/>
    </row>
    <row r="1136" spans="1:19" x14ac:dyDescent="0.25">
      <c r="A1136" s="16">
        <v>3</v>
      </c>
      <c r="B1136" s="16">
        <v>437930.10856199998</v>
      </c>
      <c r="C1136" s="16">
        <v>5688155.3324180003</v>
      </c>
      <c r="D1136" s="31">
        <v>5</v>
      </c>
      <c r="E1136" s="31" t="s">
        <v>64</v>
      </c>
      <c r="F1136" s="31">
        <v>2014</v>
      </c>
      <c r="G1136" s="16">
        <v>2.69E-2</v>
      </c>
      <c r="H1136" s="16">
        <v>9.8917468059409788E-3</v>
      </c>
      <c r="I1136" s="16">
        <v>0.2117</v>
      </c>
      <c r="J1136" s="16">
        <v>0.10045228304075324</v>
      </c>
      <c r="K1136" s="16">
        <v>4.0000000000000001E-3</v>
      </c>
      <c r="L1136" s="16">
        <v>1.653306983297492E-3</v>
      </c>
      <c r="M1136" s="16">
        <v>8.2384398226434865E-3</v>
      </c>
      <c r="N1136" s="16">
        <v>4.2700000000000002E-2</v>
      </c>
      <c r="O1136" s="16">
        <v>2.0065906426028381E-2</v>
      </c>
      <c r="P1136" s="95"/>
    </row>
    <row r="1137" spans="1:16" x14ac:dyDescent="0.25">
      <c r="A1137" s="16">
        <v>4</v>
      </c>
      <c r="B1137" s="16">
        <v>438049.10856199998</v>
      </c>
      <c r="C1137" s="16">
        <v>5688155.3324180003</v>
      </c>
      <c r="D1137" s="31">
        <v>5</v>
      </c>
      <c r="E1137" s="31" t="s">
        <v>64</v>
      </c>
      <c r="F1137" s="31">
        <v>2014</v>
      </c>
      <c r="G1137" s="16">
        <v>8.0000000000000004E-4</v>
      </c>
      <c r="H1137" s="16">
        <v>2.9417834367110717E-4</v>
      </c>
      <c r="I1137" s="16">
        <v>0</v>
      </c>
      <c r="J1137" s="16">
        <v>0</v>
      </c>
      <c r="K1137" s="16">
        <v>1.9E-3</v>
      </c>
      <c r="L1137" s="16">
        <v>7.8532081706630876E-4</v>
      </c>
      <c r="M1137" s="16">
        <v>-4.9114247339520159E-4</v>
      </c>
      <c r="N1137" s="16">
        <v>0</v>
      </c>
      <c r="O1137" s="16">
        <v>0</v>
      </c>
      <c r="P1137" s="95"/>
    </row>
    <row r="1138" spans="1:16" x14ac:dyDescent="0.25">
      <c r="A1138" s="16">
        <v>5</v>
      </c>
      <c r="B1138" s="16">
        <v>437573.10856199998</v>
      </c>
      <c r="C1138" s="16">
        <v>5688274.3324180003</v>
      </c>
      <c r="D1138" s="31">
        <v>5</v>
      </c>
      <c r="E1138" s="31" t="s">
        <v>64</v>
      </c>
      <c r="F1138" s="31">
        <v>2014</v>
      </c>
      <c r="G1138" s="16">
        <v>3.5999999999999999E-3</v>
      </c>
      <c r="H1138" s="16">
        <v>1.3238025465199823E-3</v>
      </c>
      <c r="I1138" s="16">
        <v>1.66E-2</v>
      </c>
      <c r="J1138" s="16">
        <v>7.8767496385285969E-3</v>
      </c>
      <c r="K1138" s="16">
        <v>4.0000000000000002E-4</v>
      </c>
      <c r="L1138" s="16">
        <v>1.6533069832974922E-4</v>
      </c>
      <c r="M1138" s="16">
        <v>1.158471848190233E-3</v>
      </c>
      <c r="N1138" s="16">
        <v>0</v>
      </c>
      <c r="O1138" s="16">
        <v>0</v>
      </c>
      <c r="P1138" s="95"/>
    </row>
    <row r="1139" spans="1:16" x14ac:dyDescent="0.25">
      <c r="A1139" s="16">
        <v>6</v>
      </c>
      <c r="B1139" s="16">
        <v>437692.10856199998</v>
      </c>
      <c r="C1139" s="16">
        <v>5688274.3324180003</v>
      </c>
      <c r="D1139" s="31">
        <v>5</v>
      </c>
      <c r="E1139" s="31" t="s">
        <v>64</v>
      </c>
      <c r="F1139" s="31">
        <v>2014</v>
      </c>
      <c r="G1139" s="16">
        <v>3.2000000000000002E-3</v>
      </c>
      <c r="H1139" s="16">
        <v>1.1767133746844287E-3</v>
      </c>
      <c r="I1139" s="16">
        <v>0.1172</v>
      </c>
      <c r="J1139" s="16">
        <v>5.5611750459972978E-2</v>
      </c>
      <c r="K1139" s="16">
        <v>8.9999999999999998E-4</v>
      </c>
      <c r="L1139" s="16">
        <v>3.7199407124193569E-4</v>
      </c>
      <c r="M1139" s="16">
        <v>8.0471930344249299E-4</v>
      </c>
      <c r="N1139" s="16">
        <v>7.909999999999999E-2</v>
      </c>
      <c r="O1139" s="16">
        <v>3.7171269281003387E-2</v>
      </c>
      <c r="P1139" s="95"/>
    </row>
    <row r="1140" spans="1:16" x14ac:dyDescent="0.25">
      <c r="A1140" s="16">
        <v>7</v>
      </c>
      <c r="B1140" s="16">
        <v>437811.10856199998</v>
      </c>
      <c r="C1140" s="16">
        <v>5688274.3324180003</v>
      </c>
      <c r="D1140" s="31">
        <v>5</v>
      </c>
      <c r="E1140" s="31" t="s">
        <v>64</v>
      </c>
      <c r="F1140" s="31">
        <v>2014</v>
      </c>
      <c r="G1140" s="16">
        <v>2.9999999999999997E-4</v>
      </c>
      <c r="H1140" s="16">
        <v>1.1031687887666518E-4</v>
      </c>
      <c r="I1140" s="16">
        <v>2.24E-2</v>
      </c>
      <c r="J1140" s="16">
        <v>1.0628866982110878E-2</v>
      </c>
      <c r="K1140" s="16">
        <v>1E-4</v>
      </c>
      <c r="L1140" s="16">
        <v>4.1332674582437304E-5</v>
      </c>
      <c r="M1140" s="16">
        <v>6.8984204294227872E-5</v>
      </c>
      <c r="N1140" s="16">
        <v>3.56E-2</v>
      </c>
      <c r="O1140" s="16">
        <v>1.6729420814206329E-2</v>
      </c>
      <c r="P1140" s="95"/>
    </row>
    <row r="1141" spans="1:16" x14ac:dyDescent="0.25">
      <c r="A1141" s="16">
        <v>8</v>
      </c>
      <c r="B1141" s="16">
        <v>437930.10856199998</v>
      </c>
      <c r="C1141" s="16">
        <v>5688274.3324180003</v>
      </c>
      <c r="D1141" s="31">
        <v>5</v>
      </c>
      <c r="E1141" s="31" t="s">
        <v>64</v>
      </c>
      <c r="F1141" s="31">
        <v>2014</v>
      </c>
      <c r="G1141" s="16">
        <v>3.04E-2</v>
      </c>
      <c r="H1141" s="16">
        <v>1.1178777059502073E-2</v>
      </c>
      <c r="I1141" s="16">
        <v>6.4999999999999997E-3</v>
      </c>
      <c r="J1141" s="16">
        <v>3.0842694367732453E-3</v>
      </c>
      <c r="K1141" s="16">
        <v>5.5999999999999999E-3</v>
      </c>
      <c r="L1141" s="16">
        <v>2.3146297766164889E-3</v>
      </c>
      <c r="M1141" s="16">
        <v>8.8641472828855841E-3</v>
      </c>
      <c r="N1141" s="16">
        <v>1.0500000000000001E-2</v>
      </c>
      <c r="O1141" s="16">
        <v>4.9342392850889464E-3</v>
      </c>
      <c r="P1141" s="95"/>
    </row>
    <row r="1142" spans="1:16" x14ac:dyDescent="0.25">
      <c r="A1142" s="16">
        <v>9</v>
      </c>
      <c r="B1142" s="16">
        <v>438287.10856199998</v>
      </c>
      <c r="C1142" s="16">
        <v>5688274.3324180003</v>
      </c>
      <c r="D1142" s="31">
        <v>5</v>
      </c>
      <c r="E1142" s="31" t="s">
        <v>64</v>
      </c>
      <c r="F1142" s="31">
        <v>2014</v>
      </c>
      <c r="G1142" s="16">
        <v>5.7299999999999997E-2</v>
      </c>
      <c r="H1142" s="16">
        <v>2.1070523865443051E-2</v>
      </c>
      <c r="I1142" s="16">
        <v>3.7600000000000001E-2</v>
      </c>
      <c r="J1142" s="16">
        <v>1.7841312434257545E-2</v>
      </c>
      <c r="K1142" s="16">
        <v>2.1399999999999999E-2</v>
      </c>
      <c r="L1142" s="16">
        <v>8.8451923606415826E-3</v>
      </c>
      <c r="M1142" s="16">
        <v>1.2225331504801469E-2</v>
      </c>
      <c r="N1142" s="16">
        <v>6.4000000000000003E-3</v>
      </c>
      <c r="O1142" s="16">
        <v>3.0075363261494528E-3</v>
      </c>
      <c r="P1142" s="95"/>
    </row>
    <row r="1143" spans="1:16" x14ac:dyDescent="0.25">
      <c r="A1143" s="16">
        <v>10</v>
      </c>
      <c r="B1143" s="16">
        <v>438406.10856199998</v>
      </c>
      <c r="C1143" s="16">
        <v>5688274.3324180003</v>
      </c>
      <c r="D1143" s="31">
        <v>5</v>
      </c>
      <c r="E1143" s="31" t="s">
        <v>64</v>
      </c>
      <c r="F1143" s="31">
        <v>2014</v>
      </c>
      <c r="G1143" s="16">
        <v>4.8000000000000001E-2</v>
      </c>
      <c r="H1143" s="16">
        <v>1.765070062026643E-2</v>
      </c>
      <c r="I1143" s="16">
        <v>0</v>
      </c>
      <c r="J1143" s="16">
        <v>0</v>
      </c>
      <c r="K1143" s="16">
        <v>4.2000000000000006E-3</v>
      </c>
      <c r="L1143" s="16">
        <v>1.7359723324623668E-3</v>
      </c>
      <c r="M1143" s="16">
        <v>1.5914728287804065E-2</v>
      </c>
      <c r="N1143" s="16">
        <v>0</v>
      </c>
      <c r="O1143" s="16">
        <v>0</v>
      </c>
      <c r="P1143" s="95"/>
    </row>
    <row r="1144" spans="1:16" x14ac:dyDescent="0.25">
      <c r="A1144" s="16">
        <v>11</v>
      </c>
      <c r="B1144" s="16">
        <v>437454.10856199998</v>
      </c>
      <c r="C1144" s="16">
        <v>5688393.3324180003</v>
      </c>
      <c r="D1144" s="31">
        <v>5</v>
      </c>
      <c r="E1144" s="31" t="s">
        <v>64</v>
      </c>
      <c r="F1144" s="31">
        <v>2014</v>
      </c>
      <c r="G1144" s="16">
        <v>7.7000000000000002E-3</v>
      </c>
      <c r="H1144" s="16">
        <v>2.8314665578344066E-3</v>
      </c>
      <c r="I1144" s="16">
        <v>6.0999999999999995E-3</v>
      </c>
      <c r="J1144" s="16">
        <v>2.8944682406641226E-3</v>
      </c>
      <c r="K1144" s="16">
        <v>1.1000000000000001E-3</v>
      </c>
      <c r="L1144" s="16">
        <v>4.5465942040681033E-4</v>
      </c>
      <c r="M1144" s="16">
        <v>2.3768071374275961E-3</v>
      </c>
      <c r="N1144" s="16">
        <v>3.5000000000000001E-3</v>
      </c>
      <c r="O1144" s="16">
        <v>1.6447464283629819E-3</v>
      </c>
      <c r="P1144" s="95"/>
    </row>
    <row r="1145" spans="1:16" x14ac:dyDescent="0.25">
      <c r="A1145" s="16">
        <v>12</v>
      </c>
      <c r="B1145" s="16">
        <v>437573.10856199998</v>
      </c>
      <c r="C1145" s="16">
        <v>5688393.3324180003</v>
      </c>
      <c r="D1145" s="31">
        <v>5</v>
      </c>
      <c r="E1145" s="31" t="s">
        <v>64</v>
      </c>
      <c r="F1145" s="31">
        <v>2014</v>
      </c>
      <c r="G1145" s="16">
        <v>9.9000000000000008E-3</v>
      </c>
      <c r="H1145" s="16">
        <v>3.6404570029299516E-3</v>
      </c>
      <c r="I1145" s="16">
        <v>4.1299999999999996E-2</v>
      </c>
      <c r="J1145" s="16">
        <v>1.9596973498266928E-2</v>
      </c>
      <c r="K1145" s="16">
        <v>1E-3</v>
      </c>
      <c r="L1145" s="16">
        <v>4.1332674582437301E-4</v>
      </c>
      <c r="M1145" s="16">
        <v>3.2271302571055785E-3</v>
      </c>
      <c r="N1145" s="16">
        <v>1.6000000000000001E-3</v>
      </c>
      <c r="O1145" s="16">
        <v>7.5188408153736321E-4</v>
      </c>
      <c r="P1145" s="95"/>
    </row>
    <row r="1146" spans="1:16" x14ac:dyDescent="0.25">
      <c r="A1146" s="16">
        <v>13</v>
      </c>
      <c r="B1146" s="16">
        <v>437692.10856199998</v>
      </c>
      <c r="C1146" s="16">
        <v>5688393.3324180003</v>
      </c>
      <c r="D1146" s="31">
        <v>5</v>
      </c>
      <c r="E1146" s="31" t="s">
        <v>64</v>
      </c>
      <c r="F1146" s="31">
        <v>2014</v>
      </c>
      <c r="G1146" s="16">
        <v>2.1700000000000001E-2</v>
      </c>
      <c r="H1146" s="16">
        <v>7.9795875720787817E-3</v>
      </c>
      <c r="I1146" s="16">
        <v>8.5900000000000004E-2</v>
      </c>
      <c r="J1146" s="16">
        <v>4.0759806864434124E-2</v>
      </c>
      <c r="K1146" s="16">
        <v>1.1300000000000001E-2</v>
      </c>
      <c r="L1146" s="16">
        <v>4.6705922278154153E-3</v>
      </c>
      <c r="M1146" s="16">
        <v>3.3089953442633664E-3</v>
      </c>
      <c r="N1146" s="16">
        <v>9.8099999999999993E-2</v>
      </c>
      <c r="O1146" s="16">
        <v>4.6099892749259574E-2</v>
      </c>
      <c r="P1146" s="95"/>
    </row>
    <row r="1147" spans="1:16" x14ac:dyDescent="0.25">
      <c r="A1147" s="35">
        <v>14</v>
      </c>
      <c r="B1147" s="35">
        <v>437811.10856199998</v>
      </c>
      <c r="C1147" s="35">
        <v>5688393.3324180003</v>
      </c>
      <c r="D1147" s="96">
        <v>5</v>
      </c>
      <c r="E1147" s="96" t="s">
        <v>64</v>
      </c>
      <c r="F1147" s="96">
        <v>2014</v>
      </c>
      <c r="G1147" s="96" t="s">
        <v>18</v>
      </c>
      <c r="H1147" s="96" t="s">
        <v>18</v>
      </c>
      <c r="I1147" s="96" t="s">
        <v>18</v>
      </c>
      <c r="J1147" s="96" t="s">
        <v>18</v>
      </c>
      <c r="K1147" s="96" t="s">
        <v>18</v>
      </c>
      <c r="L1147" s="96" t="s">
        <v>18</v>
      </c>
      <c r="M1147" s="96" t="s">
        <v>18</v>
      </c>
      <c r="N1147" s="96" t="s">
        <v>18</v>
      </c>
      <c r="O1147" s="96" t="s">
        <v>18</v>
      </c>
      <c r="P1147" s="94" t="s">
        <v>21</v>
      </c>
    </row>
    <row r="1148" spans="1:16" x14ac:dyDescent="0.25">
      <c r="A1148" s="16">
        <v>15</v>
      </c>
      <c r="B1148" s="16">
        <v>437930.10856199998</v>
      </c>
      <c r="C1148" s="16">
        <v>5688393.3324180003</v>
      </c>
      <c r="D1148" s="31">
        <v>5</v>
      </c>
      <c r="E1148" s="31" t="s">
        <v>64</v>
      </c>
      <c r="F1148" s="31">
        <v>2014</v>
      </c>
      <c r="G1148" s="31" t="s">
        <v>18</v>
      </c>
      <c r="H1148" s="31" t="s">
        <v>18</v>
      </c>
      <c r="I1148" s="31" t="s">
        <v>18</v>
      </c>
      <c r="J1148" s="31" t="s">
        <v>18</v>
      </c>
      <c r="K1148" s="16">
        <v>1.9800000000000002E-2</v>
      </c>
      <c r="L1148" s="16">
        <v>8.1838695673225863E-3</v>
      </c>
      <c r="M1148" s="31" t="s">
        <v>18</v>
      </c>
      <c r="N1148" s="16">
        <v>5.3600000000000002E-2</v>
      </c>
      <c r="O1148" s="16">
        <v>2.5188116731501668E-2</v>
      </c>
      <c r="P1148" s="95" t="s">
        <v>103</v>
      </c>
    </row>
    <row r="1149" spans="1:16" x14ac:dyDescent="0.25">
      <c r="A1149" s="16">
        <v>16</v>
      </c>
      <c r="B1149" s="16">
        <v>438049.10856199998</v>
      </c>
      <c r="C1149" s="16">
        <v>5688393.3324180003</v>
      </c>
      <c r="D1149" s="31">
        <v>5</v>
      </c>
      <c r="E1149" s="31" t="s">
        <v>64</v>
      </c>
      <c r="F1149" s="31">
        <v>2014</v>
      </c>
      <c r="G1149" s="16">
        <v>3.7600000000000001E-2</v>
      </c>
      <c r="H1149" s="16">
        <v>1.3826382152542038E-2</v>
      </c>
      <c r="I1149" s="16">
        <v>0.3029</v>
      </c>
      <c r="J1149" s="16">
        <v>0.14372695575363326</v>
      </c>
      <c r="K1149" s="16">
        <v>4.3E-3</v>
      </c>
      <c r="L1149" s="16">
        <v>1.7773050070448041E-3</v>
      </c>
      <c r="M1149" s="16">
        <v>1.2049077145497234E-2</v>
      </c>
      <c r="N1149" s="16">
        <v>6.7099999999999993E-2</v>
      </c>
      <c r="O1149" s="16">
        <v>3.1532138669473166E-2</v>
      </c>
      <c r="P1149" s="95"/>
    </row>
    <row r="1150" spans="1:16" x14ac:dyDescent="0.25">
      <c r="A1150" s="16">
        <v>17</v>
      </c>
      <c r="B1150" s="16">
        <v>438168.10856199998</v>
      </c>
      <c r="C1150" s="16">
        <v>5688393.3324180003</v>
      </c>
      <c r="D1150" s="31">
        <v>5</v>
      </c>
      <c r="E1150" s="31" t="s">
        <v>64</v>
      </c>
      <c r="F1150" s="31">
        <v>2014</v>
      </c>
      <c r="G1150" s="16">
        <v>1.43E-2</v>
      </c>
      <c r="H1150" s="16">
        <v>5.258437893121041E-3</v>
      </c>
      <c r="I1150" s="16">
        <v>3.5999999999999997E-2</v>
      </c>
      <c r="J1150" s="16">
        <v>1.708210764982105E-2</v>
      </c>
      <c r="K1150" s="16">
        <v>8.6E-3</v>
      </c>
      <c r="L1150" s="16">
        <v>3.5546100140896081E-3</v>
      </c>
      <c r="M1150" s="16">
        <v>1.7038278790314329E-3</v>
      </c>
      <c r="N1150" s="16">
        <v>1.7399999999999999E-2</v>
      </c>
      <c r="O1150" s="16">
        <v>8.1767393867188242E-3</v>
      </c>
      <c r="P1150" s="95"/>
    </row>
    <row r="1151" spans="1:16" x14ac:dyDescent="0.25">
      <c r="A1151" s="16">
        <v>18</v>
      </c>
      <c r="B1151" s="16">
        <v>438287.10856199998</v>
      </c>
      <c r="C1151" s="16">
        <v>5688393.3324180003</v>
      </c>
      <c r="D1151" s="31">
        <v>5</v>
      </c>
      <c r="E1151" s="31" t="s">
        <v>64</v>
      </c>
      <c r="F1151" s="31">
        <v>2014</v>
      </c>
      <c r="G1151" s="16">
        <v>3.5499999999999997E-2</v>
      </c>
      <c r="H1151" s="16">
        <v>1.3054164000405381E-2</v>
      </c>
      <c r="I1151" s="16">
        <v>0</v>
      </c>
      <c r="J1151" s="16">
        <v>0</v>
      </c>
      <c r="K1151" s="16">
        <v>7.0000000000000001E-3</v>
      </c>
      <c r="L1151" s="16">
        <v>2.893287220770611E-3</v>
      </c>
      <c r="M1151" s="16">
        <v>1.0160876779634769E-2</v>
      </c>
      <c r="N1151" s="16">
        <v>0</v>
      </c>
      <c r="O1151" s="16">
        <v>0</v>
      </c>
      <c r="P1151" s="95"/>
    </row>
    <row r="1152" spans="1:16" x14ac:dyDescent="0.25">
      <c r="A1152" s="16">
        <v>19</v>
      </c>
      <c r="B1152" s="16">
        <v>438406.10856199998</v>
      </c>
      <c r="C1152" s="16">
        <v>5688393.3324180003</v>
      </c>
      <c r="D1152" s="31">
        <v>5</v>
      </c>
      <c r="E1152" s="31" t="s">
        <v>64</v>
      </c>
      <c r="F1152" s="31">
        <v>2014</v>
      </c>
      <c r="G1152" s="16">
        <v>4.0399999999999998E-2</v>
      </c>
      <c r="H1152" s="16">
        <v>1.4856006355390913E-2</v>
      </c>
      <c r="I1152" s="16">
        <v>0</v>
      </c>
      <c r="J1152" s="16">
        <v>0</v>
      </c>
      <c r="K1152" s="16">
        <v>7.4999999999999997E-3</v>
      </c>
      <c r="L1152" s="16">
        <v>3.0999505936827976E-3</v>
      </c>
      <c r="M1152" s="16">
        <v>1.1756055761708115E-2</v>
      </c>
      <c r="N1152" s="16">
        <v>0</v>
      </c>
      <c r="O1152" s="16">
        <v>0</v>
      </c>
      <c r="P1152" s="95"/>
    </row>
    <row r="1153" spans="1:16" x14ac:dyDescent="0.25">
      <c r="A1153" s="16">
        <v>20</v>
      </c>
      <c r="B1153" s="16">
        <v>437335.10856199998</v>
      </c>
      <c r="C1153" s="16">
        <v>5688512.3324180003</v>
      </c>
      <c r="D1153" s="31">
        <v>5</v>
      </c>
      <c r="E1153" s="31" t="s">
        <v>64</v>
      </c>
      <c r="F1153" s="31">
        <v>2014</v>
      </c>
      <c r="G1153" s="16">
        <v>6.3E-3</v>
      </c>
      <c r="H1153" s="16">
        <v>2.3166544564099689E-3</v>
      </c>
      <c r="I1153" s="16">
        <v>6.2899999999999998E-2</v>
      </c>
      <c r="J1153" s="16">
        <v>2.984623808815956E-2</v>
      </c>
      <c r="K1153" s="16">
        <v>2.1000000000000003E-3</v>
      </c>
      <c r="L1153" s="16">
        <v>8.6798616623118339E-4</v>
      </c>
      <c r="M1153" s="16">
        <v>1.4486682901787855E-3</v>
      </c>
      <c r="N1153" s="16">
        <v>8.4000000000000012E-3</v>
      </c>
      <c r="O1153" s="16">
        <v>3.9473914280711573E-3</v>
      </c>
      <c r="P1153" s="95"/>
    </row>
    <row r="1154" spans="1:16" x14ac:dyDescent="0.25">
      <c r="A1154" s="16">
        <v>21</v>
      </c>
      <c r="B1154" s="16">
        <v>437454.10856199998</v>
      </c>
      <c r="C1154" s="16">
        <v>5688512.3324180003</v>
      </c>
      <c r="D1154" s="31">
        <v>5</v>
      </c>
      <c r="E1154" s="31" t="s">
        <v>64</v>
      </c>
      <c r="F1154" s="31">
        <v>2014</v>
      </c>
      <c r="G1154" s="16">
        <v>1.0800000000000001E-2</v>
      </c>
      <c r="H1154" s="16">
        <v>3.9714076395599473E-3</v>
      </c>
      <c r="I1154" s="16">
        <v>0</v>
      </c>
      <c r="J1154" s="16">
        <v>0</v>
      </c>
      <c r="K1154" s="16">
        <v>9.1999999999999998E-3</v>
      </c>
      <c r="L1154" s="16">
        <v>3.8026060615842317E-3</v>
      </c>
      <c r="M1154" s="16">
        <v>1.6880157797571557E-4</v>
      </c>
      <c r="N1154" s="16">
        <v>0</v>
      </c>
      <c r="O1154" s="16">
        <v>0</v>
      </c>
      <c r="P1154" s="95"/>
    </row>
    <row r="1155" spans="1:16" x14ac:dyDescent="0.25">
      <c r="A1155" s="16">
        <v>22</v>
      </c>
      <c r="B1155" s="16">
        <v>437573.10856199998</v>
      </c>
      <c r="C1155" s="16">
        <v>5688512.3324180003</v>
      </c>
      <c r="D1155" s="31">
        <v>5</v>
      </c>
      <c r="E1155" s="31" t="s">
        <v>64</v>
      </c>
      <c r="F1155" s="31">
        <v>2014</v>
      </c>
      <c r="G1155" s="16">
        <v>5.5299999999999995E-2</v>
      </c>
      <c r="H1155" s="16">
        <v>2.0335078006265283E-2</v>
      </c>
      <c r="I1155" s="16">
        <v>0.1512</v>
      </c>
      <c r="J1155" s="16">
        <v>7.1744852129248415E-2</v>
      </c>
      <c r="K1155" s="16">
        <v>1.23E-2</v>
      </c>
      <c r="L1155" s="16">
        <v>5.0839189736397884E-3</v>
      </c>
      <c r="M1155" s="16">
        <v>1.5251159032625495E-2</v>
      </c>
      <c r="N1155" s="16">
        <v>5.11E-2</v>
      </c>
      <c r="O1155" s="16">
        <v>2.4013297854099537E-2</v>
      </c>
      <c r="P1155" s="95"/>
    </row>
    <row r="1156" spans="1:16" x14ac:dyDescent="0.25">
      <c r="A1156" s="16">
        <v>23</v>
      </c>
      <c r="B1156" s="16">
        <v>437692.10856199998</v>
      </c>
      <c r="C1156" s="16">
        <v>5688512.3324180003</v>
      </c>
      <c r="D1156" s="31">
        <v>5</v>
      </c>
      <c r="E1156" s="31" t="s">
        <v>64</v>
      </c>
      <c r="F1156" s="31">
        <v>2014</v>
      </c>
      <c r="G1156" s="16">
        <v>1.66E-2</v>
      </c>
      <c r="H1156" s="16">
        <v>6.1042006311754736E-3</v>
      </c>
      <c r="I1156" s="16">
        <v>0</v>
      </c>
      <c r="J1156" s="16">
        <v>0</v>
      </c>
      <c r="K1156" s="16">
        <v>2.3E-3</v>
      </c>
      <c r="L1156" s="16">
        <v>9.5065151539605792E-4</v>
      </c>
      <c r="M1156" s="16">
        <v>5.1535491157794159E-3</v>
      </c>
      <c r="N1156" s="16">
        <v>0</v>
      </c>
      <c r="O1156" s="16">
        <v>0</v>
      </c>
      <c r="P1156" s="95"/>
    </row>
    <row r="1157" spans="1:16" x14ac:dyDescent="0.25">
      <c r="A1157" s="16">
        <v>24</v>
      </c>
      <c r="B1157" s="16">
        <v>437811.10856199998</v>
      </c>
      <c r="C1157" s="16">
        <v>5688512.3324180003</v>
      </c>
      <c r="D1157" s="31">
        <v>5</v>
      </c>
      <c r="E1157" s="31" t="s">
        <v>64</v>
      </c>
      <c r="F1157" s="31">
        <v>2014</v>
      </c>
      <c r="G1157" s="16">
        <v>0.13800000000000001</v>
      </c>
      <c r="H1157" s="16">
        <v>5.0745764283265993E-2</v>
      </c>
      <c r="I1157" s="16">
        <v>0</v>
      </c>
      <c r="J1157" s="16">
        <v>0</v>
      </c>
      <c r="K1157" s="16">
        <v>2.1299999999999999E-2</v>
      </c>
      <c r="L1157" s="16">
        <v>8.8038596860591442E-3</v>
      </c>
      <c r="M1157" s="16">
        <v>4.1941904597206849E-2</v>
      </c>
      <c r="N1157" s="16">
        <v>0</v>
      </c>
      <c r="O1157" s="16">
        <v>0</v>
      </c>
      <c r="P1157" s="95"/>
    </row>
    <row r="1158" spans="1:16" x14ac:dyDescent="0.25">
      <c r="A1158" s="16">
        <v>25</v>
      </c>
      <c r="B1158" s="16">
        <v>437995</v>
      </c>
      <c r="C1158" s="16">
        <v>5688493</v>
      </c>
      <c r="D1158" s="31">
        <v>5</v>
      </c>
      <c r="E1158" s="31" t="s">
        <v>64</v>
      </c>
      <c r="F1158" s="31">
        <v>2014</v>
      </c>
      <c r="G1158" s="16">
        <v>1.1699999999999999E-2</v>
      </c>
      <c r="H1158" s="16">
        <v>4.3023582761899416E-3</v>
      </c>
      <c r="I1158" s="16">
        <v>0</v>
      </c>
      <c r="J1158" s="16">
        <v>0</v>
      </c>
      <c r="K1158" s="16">
        <v>1.03E-2</v>
      </c>
      <c r="L1158" s="16">
        <v>4.2572654819910422E-3</v>
      </c>
      <c r="M1158" s="16">
        <v>4.5092794198899402E-5</v>
      </c>
      <c r="N1158" s="16">
        <v>0</v>
      </c>
      <c r="O1158" s="16">
        <v>0</v>
      </c>
      <c r="P1158" s="95"/>
    </row>
    <row r="1159" spans="1:16" x14ac:dyDescent="0.25">
      <c r="A1159" s="16">
        <v>26</v>
      </c>
      <c r="B1159" s="16">
        <v>438112</v>
      </c>
      <c r="C1159" s="16">
        <v>5688567</v>
      </c>
      <c r="D1159" s="31">
        <v>5</v>
      </c>
      <c r="E1159" s="31" t="s">
        <v>64</v>
      </c>
      <c r="F1159" s="31">
        <v>2014</v>
      </c>
      <c r="G1159" s="16">
        <v>7.7599999999999988E-2</v>
      </c>
      <c r="H1159" s="16">
        <v>2.8535299336097393E-2</v>
      </c>
      <c r="I1159" s="16">
        <v>0</v>
      </c>
      <c r="J1159" s="16">
        <v>0</v>
      </c>
      <c r="K1159" s="16">
        <v>1.3800000000000002E-2</v>
      </c>
      <c r="L1159" s="16">
        <v>5.703909092376348E-3</v>
      </c>
      <c r="M1159" s="16">
        <v>2.2831390243721043E-2</v>
      </c>
      <c r="N1159" s="16">
        <v>0</v>
      </c>
      <c r="O1159" s="16">
        <v>0</v>
      </c>
      <c r="P1159" s="95"/>
    </row>
    <row r="1160" spans="1:16" x14ac:dyDescent="0.25">
      <c r="A1160" s="35">
        <v>27</v>
      </c>
      <c r="B1160" s="35">
        <v>438168.10856199998</v>
      </c>
      <c r="C1160" s="35">
        <v>5688512.3324180003</v>
      </c>
      <c r="D1160" s="96">
        <v>5</v>
      </c>
      <c r="E1160" s="96" t="s">
        <v>64</v>
      </c>
      <c r="F1160" s="96">
        <v>2014</v>
      </c>
      <c r="G1160" s="96" t="s">
        <v>18</v>
      </c>
      <c r="H1160" s="96" t="s">
        <v>18</v>
      </c>
      <c r="I1160" s="96" t="s">
        <v>18</v>
      </c>
      <c r="J1160" s="96" t="s">
        <v>18</v>
      </c>
      <c r="K1160" s="96" t="s">
        <v>18</v>
      </c>
      <c r="L1160" s="96" t="s">
        <v>18</v>
      </c>
      <c r="M1160" s="96" t="s">
        <v>18</v>
      </c>
      <c r="N1160" s="96" t="s">
        <v>18</v>
      </c>
      <c r="O1160" s="96" t="s">
        <v>18</v>
      </c>
      <c r="P1160" s="94" t="s">
        <v>21</v>
      </c>
    </row>
    <row r="1161" spans="1:16" x14ac:dyDescent="0.25">
      <c r="A1161" s="35">
        <v>28</v>
      </c>
      <c r="B1161" s="35">
        <v>438287.10856199998</v>
      </c>
      <c r="C1161" s="35">
        <v>5688512.3324180003</v>
      </c>
      <c r="D1161" s="96">
        <v>5</v>
      </c>
      <c r="E1161" s="96" t="s">
        <v>64</v>
      </c>
      <c r="F1161" s="96">
        <v>2014</v>
      </c>
      <c r="G1161" s="96" t="s">
        <v>18</v>
      </c>
      <c r="H1161" s="96" t="s">
        <v>18</v>
      </c>
      <c r="I1161" s="96" t="s">
        <v>18</v>
      </c>
      <c r="J1161" s="96" t="s">
        <v>18</v>
      </c>
      <c r="K1161" s="96" t="s">
        <v>18</v>
      </c>
      <c r="L1161" s="96" t="s">
        <v>18</v>
      </c>
      <c r="M1161" s="96" t="s">
        <v>18</v>
      </c>
      <c r="N1161" s="96" t="s">
        <v>18</v>
      </c>
      <c r="O1161" s="96" t="s">
        <v>18</v>
      </c>
      <c r="P1161" s="94" t="s">
        <v>21</v>
      </c>
    </row>
    <row r="1162" spans="1:16" x14ac:dyDescent="0.25">
      <c r="A1162" s="16">
        <v>29</v>
      </c>
      <c r="B1162" s="16">
        <v>438381</v>
      </c>
      <c r="C1162" s="16">
        <v>5688526</v>
      </c>
      <c r="D1162" s="31">
        <v>4</v>
      </c>
      <c r="E1162" s="31" t="s">
        <v>64</v>
      </c>
      <c r="F1162" s="31">
        <v>2014</v>
      </c>
      <c r="G1162" s="16">
        <v>0.12559999999999999</v>
      </c>
      <c r="H1162" s="16">
        <v>4.311833831589159E-2</v>
      </c>
      <c r="I1162" s="16">
        <v>0</v>
      </c>
      <c r="J1162" s="16">
        <v>0</v>
      </c>
      <c r="K1162" s="16">
        <v>2.1100000000000001E-2</v>
      </c>
      <c r="L1162" s="16">
        <v>8.2369624143630461E-3</v>
      </c>
      <c r="M1162" s="16">
        <v>3.4881375901528545E-2</v>
      </c>
      <c r="N1162" s="16">
        <v>0</v>
      </c>
      <c r="O1162" s="16">
        <v>0</v>
      </c>
      <c r="P1162" s="95"/>
    </row>
    <row r="1163" spans="1:16" x14ac:dyDescent="0.25">
      <c r="A1163" s="16">
        <v>30</v>
      </c>
      <c r="B1163" s="16">
        <v>438525.10856199998</v>
      </c>
      <c r="C1163" s="16">
        <v>5688512.3324180003</v>
      </c>
      <c r="D1163" s="31">
        <v>4</v>
      </c>
      <c r="E1163" s="31" t="s">
        <v>64</v>
      </c>
      <c r="F1163" s="31">
        <v>2014</v>
      </c>
      <c r="G1163" s="16">
        <v>1.44E-2</v>
      </c>
      <c r="H1163" s="16">
        <v>4.9435037559620934E-3</v>
      </c>
      <c r="I1163" s="16">
        <v>0</v>
      </c>
      <c r="J1163" s="16">
        <v>0</v>
      </c>
      <c r="K1163" s="16">
        <v>6.9000000000000008E-3</v>
      </c>
      <c r="L1163" s="16">
        <v>2.6936038227063988E-3</v>
      </c>
      <c r="M1163" s="16">
        <v>2.2498999332556946E-3</v>
      </c>
      <c r="N1163" s="16">
        <v>0</v>
      </c>
      <c r="O1163" s="16">
        <v>0</v>
      </c>
      <c r="P1163" s="95"/>
    </row>
    <row r="1164" spans="1:16" x14ac:dyDescent="0.25">
      <c r="A1164" s="16">
        <v>31</v>
      </c>
      <c r="B1164" s="16">
        <v>437335.10856199998</v>
      </c>
      <c r="C1164" s="16">
        <v>5688631.3324180003</v>
      </c>
      <c r="D1164" s="31">
        <v>5</v>
      </c>
      <c r="E1164" s="31" t="s">
        <v>64</v>
      </c>
      <c r="F1164" s="31">
        <v>2014</v>
      </c>
      <c r="G1164" s="16">
        <v>1.3900000000000001E-2</v>
      </c>
      <c r="H1164" s="16">
        <v>5.1113487212854879E-3</v>
      </c>
      <c r="I1164" s="16">
        <v>0</v>
      </c>
      <c r="J1164" s="16">
        <v>0</v>
      </c>
      <c r="K1164" s="16">
        <v>1.1000000000000001E-3</v>
      </c>
      <c r="L1164" s="16">
        <v>4.5465942040681033E-4</v>
      </c>
      <c r="M1164" s="16">
        <v>4.6566893008786773E-3</v>
      </c>
      <c r="N1164" s="16">
        <v>0</v>
      </c>
      <c r="O1164" s="16">
        <v>0</v>
      </c>
      <c r="P1164" s="95"/>
    </row>
    <row r="1165" spans="1:16" x14ac:dyDescent="0.25">
      <c r="A1165" s="16">
        <v>32</v>
      </c>
      <c r="B1165" s="16">
        <v>437454.10856199998</v>
      </c>
      <c r="C1165" s="16">
        <v>5688631.3324180003</v>
      </c>
      <c r="D1165" s="31">
        <v>5</v>
      </c>
      <c r="E1165" s="31" t="s">
        <v>64</v>
      </c>
      <c r="F1165" s="31">
        <v>2014</v>
      </c>
      <c r="G1165" s="16">
        <v>1.3900000000000001E-2</v>
      </c>
      <c r="H1165" s="16">
        <v>5.1113487212854879E-3</v>
      </c>
      <c r="I1165" s="16">
        <v>0</v>
      </c>
      <c r="J1165" s="16">
        <v>0</v>
      </c>
      <c r="K1165" s="16">
        <v>2.7000000000000001E-3</v>
      </c>
      <c r="L1165" s="16">
        <v>1.1159822137258072E-3</v>
      </c>
      <c r="M1165" s="16">
        <v>3.9953665075596802E-3</v>
      </c>
      <c r="N1165" s="16">
        <v>0</v>
      </c>
      <c r="O1165" s="16">
        <v>0</v>
      </c>
      <c r="P1165" s="95"/>
    </row>
    <row r="1166" spans="1:16" x14ac:dyDescent="0.25">
      <c r="A1166" s="16">
        <v>33</v>
      </c>
      <c r="B1166" s="16">
        <v>437573.10856199998</v>
      </c>
      <c r="C1166" s="16">
        <v>5688631.3324180003</v>
      </c>
      <c r="D1166" s="31">
        <v>5</v>
      </c>
      <c r="E1166" s="31" t="s">
        <v>64</v>
      </c>
      <c r="F1166" s="31">
        <v>2014</v>
      </c>
      <c r="G1166" s="16">
        <v>1.7399999999999999E-2</v>
      </c>
      <c r="H1166" s="16">
        <v>6.3983789748465808E-3</v>
      </c>
      <c r="I1166" s="16">
        <v>0</v>
      </c>
      <c r="J1166" s="16">
        <v>0</v>
      </c>
      <c r="K1166" s="16">
        <v>3.3E-3</v>
      </c>
      <c r="L1166" s="16">
        <v>1.363978261220431E-3</v>
      </c>
      <c r="M1166" s="16">
        <v>5.03440071362615E-3</v>
      </c>
      <c r="N1166" s="16">
        <v>0</v>
      </c>
      <c r="O1166" s="16">
        <v>0</v>
      </c>
      <c r="P1166" s="95"/>
    </row>
    <row r="1167" spans="1:16" x14ac:dyDescent="0.25">
      <c r="A1167" s="16">
        <v>34</v>
      </c>
      <c r="B1167" s="16">
        <v>437692.10856199998</v>
      </c>
      <c r="C1167" s="16">
        <v>5688631.3324180003</v>
      </c>
      <c r="D1167" s="31">
        <v>5</v>
      </c>
      <c r="E1167" s="31" t="s">
        <v>64</v>
      </c>
      <c r="F1167" s="31">
        <v>2014</v>
      </c>
      <c r="G1167" s="16">
        <v>4.3700000000000003E-2</v>
      </c>
      <c r="H1167" s="16">
        <v>1.6069492023034232E-2</v>
      </c>
      <c r="I1167" s="16">
        <v>3.5000000000000001E-3</v>
      </c>
      <c r="J1167" s="16">
        <v>1.6607604659548245E-3</v>
      </c>
      <c r="K1167" s="16">
        <v>1.2800000000000001E-2</v>
      </c>
      <c r="L1167" s="16">
        <v>5.2905823465519749E-3</v>
      </c>
      <c r="M1167" s="16">
        <v>1.0778909676482257E-2</v>
      </c>
      <c r="N1167" s="16">
        <v>0</v>
      </c>
      <c r="O1167" s="16">
        <v>0</v>
      </c>
      <c r="P1167" s="95"/>
    </row>
    <row r="1168" spans="1:16" x14ac:dyDescent="0.25">
      <c r="A1168" s="16">
        <v>35</v>
      </c>
      <c r="B1168" s="16">
        <v>437893</v>
      </c>
      <c r="C1168" s="16">
        <v>5688620</v>
      </c>
      <c r="D1168" s="31">
        <v>5</v>
      </c>
      <c r="E1168" s="31" t="s">
        <v>64</v>
      </c>
      <c r="F1168" s="31">
        <v>2014</v>
      </c>
      <c r="G1168" s="16">
        <v>5.11E-2</v>
      </c>
      <c r="H1168" s="16">
        <v>1.8790641701991972E-2</v>
      </c>
      <c r="I1168" s="16">
        <v>0</v>
      </c>
      <c r="J1168" s="16">
        <v>0</v>
      </c>
      <c r="K1168" s="16">
        <v>3.5999999999999999E-3</v>
      </c>
      <c r="L1168" s="16">
        <v>1.4879762849677428E-3</v>
      </c>
      <c r="M1168" s="16">
        <v>1.7302665417024229E-2</v>
      </c>
      <c r="N1168" s="16">
        <v>0</v>
      </c>
      <c r="O1168" s="16">
        <v>0</v>
      </c>
      <c r="P1168" s="95"/>
    </row>
    <row r="1169" spans="1:16" x14ac:dyDescent="0.25">
      <c r="A1169" s="16">
        <v>36</v>
      </c>
      <c r="B1169" s="16">
        <v>437930.10856199998</v>
      </c>
      <c r="C1169" s="16">
        <v>5688631.3324180003</v>
      </c>
      <c r="D1169" s="31">
        <v>5</v>
      </c>
      <c r="E1169" s="31" t="s">
        <v>64</v>
      </c>
      <c r="F1169" s="31">
        <v>2014</v>
      </c>
      <c r="G1169" s="16">
        <v>5.11E-2</v>
      </c>
      <c r="H1169" s="16">
        <v>1.8790641701991972E-2</v>
      </c>
      <c r="I1169" s="16">
        <v>0</v>
      </c>
      <c r="J1169" s="16">
        <v>0</v>
      </c>
      <c r="K1169" s="16">
        <v>7.6E-3</v>
      </c>
      <c r="L1169" s="16">
        <v>3.141283268265235E-3</v>
      </c>
      <c r="M1169" s="16">
        <v>1.5649358433726737E-2</v>
      </c>
      <c r="N1169" s="16">
        <v>0</v>
      </c>
      <c r="O1169" s="16">
        <v>0</v>
      </c>
      <c r="P1169" s="95"/>
    </row>
    <row r="1170" spans="1:16" x14ac:dyDescent="0.25">
      <c r="A1170" s="35">
        <v>37</v>
      </c>
      <c r="B1170" s="35">
        <v>438049.10856199998</v>
      </c>
      <c r="C1170" s="35">
        <v>5688631.3324180003</v>
      </c>
      <c r="D1170" s="96">
        <v>5</v>
      </c>
      <c r="E1170" s="96" t="s">
        <v>64</v>
      </c>
      <c r="F1170" s="96">
        <v>2014</v>
      </c>
      <c r="G1170" s="96" t="s">
        <v>18</v>
      </c>
      <c r="H1170" s="96" t="s">
        <v>18</v>
      </c>
      <c r="I1170" s="96" t="s">
        <v>18</v>
      </c>
      <c r="J1170" s="96" t="s">
        <v>18</v>
      </c>
      <c r="K1170" s="96" t="s">
        <v>18</v>
      </c>
      <c r="L1170" s="96" t="s">
        <v>18</v>
      </c>
      <c r="M1170" s="96" t="s">
        <v>18</v>
      </c>
      <c r="N1170" s="96" t="s">
        <v>18</v>
      </c>
      <c r="O1170" s="96" t="s">
        <v>18</v>
      </c>
      <c r="P1170" s="94" t="s">
        <v>21</v>
      </c>
    </row>
    <row r="1171" spans="1:16" x14ac:dyDescent="0.25">
      <c r="A1171" s="16">
        <v>38</v>
      </c>
      <c r="B1171" s="16">
        <v>438067</v>
      </c>
      <c r="C1171" s="16">
        <v>5688710</v>
      </c>
      <c r="D1171" s="31">
        <v>4</v>
      </c>
      <c r="E1171" s="31" t="s">
        <v>64</v>
      </c>
      <c r="F1171" s="31">
        <v>2014</v>
      </c>
      <c r="G1171" s="16">
        <v>4.5499999999999999E-2</v>
      </c>
      <c r="H1171" s="16">
        <v>1.5620098673352447E-2</v>
      </c>
      <c r="I1171" s="16">
        <v>0</v>
      </c>
      <c r="J1171" s="16">
        <v>0</v>
      </c>
      <c r="K1171" s="16">
        <v>1.6199999999999999E-2</v>
      </c>
      <c r="L1171" s="16">
        <v>6.324113322875892E-3</v>
      </c>
      <c r="M1171" s="16">
        <v>9.2959853504765554E-3</v>
      </c>
      <c r="N1171" s="16">
        <v>0</v>
      </c>
      <c r="O1171" s="16">
        <v>0</v>
      </c>
      <c r="P1171" s="95"/>
    </row>
    <row r="1172" spans="1:16" x14ac:dyDescent="0.25">
      <c r="A1172" s="35">
        <v>39</v>
      </c>
      <c r="B1172" s="35">
        <v>438287.10856199998</v>
      </c>
      <c r="C1172" s="35">
        <v>5688631.3324180003</v>
      </c>
      <c r="D1172" s="96">
        <v>5</v>
      </c>
      <c r="E1172" s="96" t="s">
        <v>64</v>
      </c>
      <c r="F1172" s="96">
        <v>2014</v>
      </c>
      <c r="G1172" s="96" t="s">
        <v>18</v>
      </c>
      <c r="H1172" s="96" t="s">
        <v>18</v>
      </c>
      <c r="I1172" s="96" t="s">
        <v>18</v>
      </c>
      <c r="J1172" s="96" t="s">
        <v>18</v>
      </c>
      <c r="K1172" s="96" t="s">
        <v>18</v>
      </c>
      <c r="L1172" s="96" t="s">
        <v>18</v>
      </c>
      <c r="M1172" s="96" t="s">
        <v>18</v>
      </c>
      <c r="N1172" s="96" t="s">
        <v>18</v>
      </c>
      <c r="O1172" s="96" t="s">
        <v>18</v>
      </c>
      <c r="P1172" s="94" t="s">
        <v>22</v>
      </c>
    </row>
    <row r="1173" spans="1:16" x14ac:dyDescent="0.25">
      <c r="A1173" s="16">
        <v>40</v>
      </c>
      <c r="B1173" s="16">
        <v>438406.10856199998</v>
      </c>
      <c r="C1173" s="16">
        <v>5688631.3324180003</v>
      </c>
      <c r="D1173" s="31">
        <v>4</v>
      </c>
      <c r="E1173" s="31" t="s">
        <v>64</v>
      </c>
      <c r="F1173" s="31">
        <v>2014</v>
      </c>
      <c r="G1173" s="16">
        <v>1.61E-2</v>
      </c>
      <c r="H1173" s="16">
        <v>5.5271118382631736E-3</v>
      </c>
      <c r="I1173" s="16">
        <v>0</v>
      </c>
      <c r="J1173" s="16">
        <v>0</v>
      </c>
      <c r="K1173" s="16">
        <v>7.0999999999999995E-3</v>
      </c>
      <c r="L1173" s="16">
        <v>2.7716792958283232E-3</v>
      </c>
      <c r="M1173" s="16">
        <v>2.7554325424348504E-3</v>
      </c>
      <c r="N1173" s="16">
        <v>0</v>
      </c>
      <c r="O1173" s="16">
        <v>0</v>
      </c>
      <c r="P1173" s="95"/>
    </row>
    <row r="1174" spans="1:16" x14ac:dyDescent="0.25">
      <c r="A1174" s="16">
        <v>41</v>
      </c>
      <c r="B1174" s="16">
        <v>437310</v>
      </c>
      <c r="C1174" s="16">
        <v>5688729</v>
      </c>
      <c r="D1174" s="31">
        <v>4</v>
      </c>
      <c r="E1174" s="31" t="s">
        <v>64</v>
      </c>
      <c r="F1174" s="31">
        <v>2014</v>
      </c>
      <c r="G1174" s="16">
        <v>2.3199999999999998E-2</v>
      </c>
      <c r="H1174" s="16">
        <v>7.964533829050038E-3</v>
      </c>
      <c r="I1174" s="16">
        <v>2.2200000000000001E-2</v>
      </c>
      <c r="J1174" s="16">
        <v>1.3701571205245264E-2</v>
      </c>
      <c r="K1174" s="16">
        <v>4.3E-3</v>
      </c>
      <c r="L1174" s="16">
        <v>1.6786226721213788E-3</v>
      </c>
      <c r="M1174" s="16">
        <v>6.2859111569286592E-3</v>
      </c>
      <c r="N1174" s="16">
        <v>0</v>
      </c>
      <c r="O1174" s="16">
        <v>0</v>
      </c>
      <c r="P1174" s="95"/>
    </row>
    <row r="1175" spans="1:16" x14ac:dyDescent="0.25">
      <c r="A1175" s="16">
        <v>42</v>
      </c>
      <c r="B1175" s="16">
        <v>437454.10856199998</v>
      </c>
      <c r="C1175" s="16">
        <v>5688750.3324180003</v>
      </c>
      <c r="D1175" s="31">
        <v>4</v>
      </c>
      <c r="E1175" s="31" t="s">
        <v>64</v>
      </c>
      <c r="F1175" s="31">
        <v>2014</v>
      </c>
      <c r="G1175" s="16">
        <v>1.34E-2</v>
      </c>
      <c r="H1175" s="16">
        <v>4.6002048840202816E-3</v>
      </c>
      <c r="I1175" s="16">
        <v>6.7799999999999999E-2</v>
      </c>
      <c r="J1175" s="16">
        <v>4.1845339086289589E-2</v>
      </c>
      <c r="K1175" s="16">
        <v>0</v>
      </c>
      <c r="L1175" s="16">
        <v>0</v>
      </c>
      <c r="M1175" s="16">
        <v>4.6002048840202816E-3</v>
      </c>
      <c r="N1175" s="16">
        <v>1.24E-2</v>
      </c>
      <c r="O1175" s="16">
        <v>6.2232577043273901E-3</v>
      </c>
      <c r="P1175" s="95"/>
    </row>
    <row r="1176" spans="1:16" x14ac:dyDescent="0.25">
      <c r="A1176" s="16">
        <v>43</v>
      </c>
      <c r="B1176" s="16">
        <v>437573.10856199998</v>
      </c>
      <c r="C1176" s="16">
        <v>5688750.3324180003</v>
      </c>
      <c r="D1176" s="31">
        <v>4</v>
      </c>
      <c r="E1176" s="31" t="s">
        <v>64</v>
      </c>
      <c r="F1176" s="31">
        <v>2014</v>
      </c>
      <c r="G1176" s="16">
        <v>3.8600000000000002E-2</v>
      </c>
      <c r="H1176" s="16">
        <v>1.3251336456953944E-2</v>
      </c>
      <c r="I1176" s="16">
        <v>0</v>
      </c>
      <c r="J1176" s="16">
        <v>0</v>
      </c>
      <c r="K1176" s="16">
        <v>9.300000000000001E-3</v>
      </c>
      <c r="L1176" s="16">
        <v>3.6305095001694944E-3</v>
      </c>
      <c r="M1176" s="16">
        <v>9.6208269567844493E-3</v>
      </c>
      <c r="N1176" s="16">
        <v>4.5200000000000004E-2</v>
      </c>
      <c r="O1176" s="16">
        <v>2.2684778083515975E-2</v>
      </c>
      <c r="P1176" s="95"/>
    </row>
    <row r="1177" spans="1:16" x14ac:dyDescent="0.25">
      <c r="A1177" s="16">
        <v>44</v>
      </c>
      <c r="B1177" s="16">
        <v>437692.10856199998</v>
      </c>
      <c r="C1177" s="16">
        <v>5688750.3324180003</v>
      </c>
      <c r="D1177" s="31">
        <v>4</v>
      </c>
      <c r="E1177" s="31" t="s">
        <v>64</v>
      </c>
      <c r="F1177" s="31">
        <v>2014</v>
      </c>
      <c r="G1177" s="16">
        <v>8.3299999999999999E-2</v>
      </c>
      <c r="H1177" s="16">
        <v>2.859679603275294E-2</v>
      </c>
      <c r="I1177" s="16">
        <v>0</v>
      </c>
      <c r="J1177" s="16">
        <v>0</v>
      </c>
      <c r="K1177" s="16">
        <v>5.3E-3</v>
      </c>
      <c r="L1177" s="16">
        <v>2.069000037731002E-3</v>
      </c>
      <c r="M1177" s="16">
        <v>2.652779599502194E-2</v>
      </c>
      <c r="N1177" s="16">
        <v>0</v>
      </c>
      <c r="O1177" s="16">
        <v>0</v>
      </c>
      <c r="P1177" s="95"/>
    </row>
    <row r="1178" spans="1:16" x14ac:dyDescent="0.25">
      <c r="A1178" s="16">
        <v>45</v>
      </c>
      <c r="B1178" s="16">
        <v>437811.10856199998</v>
      </c>
      <c r="C1178" s="16">
        <v>5688750.3324180003</v>
      </c>
      <c r="D1178" s="31">
        <v>4</v>
      </c>
      <c r="E1178" s="31" t="s">
        <v>64</v>
      </c>
      <c r="F1178" s="31">
        <v>2014</v>
      </c>
      <c r="G1178" s="16">
        <v>4.3099999999999999E-2</v>
      </c>
      <c r="H1178" s="16">
        <v>1.4796181380692098E-2</v>
      </c>
      <c r="I1178" s="16">
        <v>3.7899999999999996E-2</v>
      </c>
      <c r="J1178" s="16">
        <v>2.3391421111657453E-2</v>
      </c>
      <c r="K1178" s="16">
        <v>3.8999999999999998E-3</v>
      </c>
      <c r="L1178" s="16">
        <v>1.5224717258775296E-3</v>
      </c>
      <c r="M1178" s="16">
        <v>1.3273709654814569E-2</v>
      </c>
      <c r="N1178" s="16">
        <v>0</v>
      </c>
      <c r="O1178" s="16">
        <v>0</v>
      </c>
      <c r="P1178" s="95"/>
    </row>
    <row r="1179" spans="1:16" x14ac:dyDescent="0.25">
      <c r="A1179" s="16">
        <v>46</v>
      </c>
      <c r="B1179" s="16">
        <v>437930.10856199998</v>
      </c>
      <c r="C1179" s="16">
        <v>5688750.3324180003</v>
      </c>
      <c r="D1179" s="31">
        <v>4</v>
      </c>
      <c r="E1179" s="31" t="s">
        <v>64</v>
      </c>
      <c r="F1179" s="31">
        <v>2014</v>
      </c>
      <c r="G1179" s="16">
        <v>7.5299999999999992E-2</v>
      </c>
      <c r="H1179" s="16">
        <v>2.5850405057218442E-2</v>
      </c>
      <c r="I1179" s="16">
        <v>0.13</v>
      </c>
      <c r="J1179" s="16">
        <v>8.0234425976661458E-2</v>
      </c>
      <c r="K1179" s="16">
        <v>1.3300000000000001E-2</v>
      </c>
      <c r="L1179" s="16">
        <v>5.192018962607986E-3</v>
      </c>
      <c r="M1179" s="16">
        <v>2.0658386094610456E-2</v>
      </c>
      <c r="N1179" s="16">
        <v>3.0000000000000001E-3</v>
      </c>
      <c r="O1179" s="16">
        <v>1.5056268639501752E-3</v>
      </c>
      <c r="P1179" s="95"/>
    </row>
    <row r="1180" spans="1:16" x14ac:dyDescent="0.25">
      <c r="A1180" s="16">
        <v>47</v>
      </c>
      <c r="B1180" s="16">
        <v>438061</v>
      </c>
      <c r="C1180" s="16">
        <v>5688779</v>
      </c>
      <c r="D1180" s="31">
        <v>4</v>
      </c>
      <c r="E1180" s="31" t="s">
        <v>64</v>
      </c>
      <c r="F1180" s="31">
        <v>2014</v>
      </c>
      <c r="G1180" s="16">
        <v>5.2499999999999998E-2</v>
      </c>
      <c r="H1180" s="16">
        <v>1.8023190776945131E-2</v>
      </c>
      <c r="I1180" s="16">
        <v>0</v>
      </c>
      <c r="J1180" s="16">
        <v>0</v>
      </c>
      <c r="K1180" s="16">
        <v>6.0000000000000001E-3</v>
      </c>
      <c r="L1180" s="16">
        <v>2.342264193657738E-3</v>
      </c>
      <c r="M1180" s="16">
        <v>1.5680926583287392E-2</v>
      </c>
      <c r="N1180" s="16">
        <v>2.3300000000000001E-2</v>
      </c>
      <c r="O1180" s="16">
        <v>1.1693701976679695E-2</v>
      </c>
      <c r="P1180" s="95"/>
    </row>
    <row r="1181" spans="1:16" x14ac:dyDescent="0.25">
      <c r="A1181" s="35">
        <v>48</v>
      </c>
      <c r="B1181" s="35">
        <v>438168.10856199998</v>
      </c>
      <c r="C1181" s="35">
        <v>5688750.3324180003</v>
      </c>
      <c r="D1181" s="96">
        <v>5</v>
      </c>
      <c r="E1181" s="96" t="s">
        <v>64</v>
      </c>
      <c r="F1181" s="96">
        <v>2014</v>
      </c>
      <c r="G1181" s="96" t="s">
        <v>18</v>
      </c>
      <c r="H1181" s="96" t="s">
        <v>18</v>
      </c>
      <c r="I1181" s="96" t="s">
        <v>18</v>
      </c>
      <c r="J1181" s="96" t="s">
        <v>18</v>
      </c>
      <c r="K1181" s="96" t="s">
        <v>18</v>
      </c>
      <c r="L1181" s="96" t="s">
        <v>18</v>
      </c>
      <c r="M1181" s="96" t="s">
        <v>18</v>
      </c>
      <c r="N1181" s="96" t="s">
        <v>18</v>
      </c>
      <c r="O1181" s="96" t="s">
        <v>18</v>
      </c>
      <c r="P1181" s="94" t="s">
        <v>21</v>
      </c>
    </row>
    <row r="1182" spans="1:16" x14ac:dyDescent="0.25">
      <c r="A1182" s="16">
        <v>49</v>
      </c>
      <c r="B1182" s="16">
        <v>437454.10856199998</v>
      </c>
      <c r="C1182" s="16">
        <v>5688869.3324180003</v>
      </c>
      <c r="D1182" s="31">
        <v>4</v>
      </c>
      <c r="E1182" s="31" t="s">
        <v>64</v>
      </c>
      <c r="F1182" s="31">
        <v>2014</v>
      </c>
      <c r="G1182" s="16">
        <v>0.1628</v>
      </c>
      <c r="H1182" s="16">
        <v>5.5889056352127001E-2</v>
      </c>
      <c r="I1182" s="16">
        <v>4.2700000000000002E-2</v>
      </c>
      <c r="J1182" s="16">
        <v>2.6353922993872649E-2</v>
      </c>
      <c r="K1182" s="16">
        <v>4.5999999999999999E-3</v>
      </c>
      <c r="L1182" s="16">
        <v>1.7957358818042658E-3</v>
      </c>
      <c r="M1182" s="16">
        <v>5.4093320470322732E-2</v>
      </c>
      <c r="N1182" s="16">
        <v>0</v>
      </c>
      <c r="O1182" s="16">
        <v>0</v>
      </c>
      <c r="P1182" s="95"/>
    </row>
    <row r="1183" spans="1:16" x14ac:dyDescent="0.25">
      <c r="A1183" s="16">
        <v>50</v>
      </c>
      <c r="B1183" s="16">
        <v>437811.10856199998</v>
      </c>
      <c r="C1183" s="16">
        <v>5688869.3324180003</v>
      </c>
      <c r="D1183" s="31">
        <v>4</v>
      </c>
      <c r="E1183" s="31" t="s">
        <v>64</v>
      </c>
      <c r="F1183" s="31">
        <v>2014</v>
      </c>
      <c r="G1183" s="16">
        <v>0.12559999999999999</v>
      </c>
      <c r="H1183" s="16">
        <v>4.311833831589159E-2</v>
      </c>
      <c r="I1183" s="16">
        <v>0</v>
      </c>
      <c r="J1183" s="16">
        <v>0</v>
      </c>
      <c r="K1183" s="16">
        <v>1.26E-2</v>
      </c>
      <c r="L1183" s="16">
        <v>4.9187548066812496E-3</v>
      </c>
      <c r="M1183" s="16">
        <v>3.8199583509210343E-2</v>
      </c>
      <c r="N1183" s="16">
        <v>0</v>
      </c>
      <c r="O1183" s="16">
        <v>0</v>
      </c>
      <c r="P1183" s="95"/>
    </row>
    <row r="1184" spans="1:16" x14ac:dyDescent="0.25">
      <c r="A1184" s="16">
        <v>51</v>
      </c>
      <c r="B1184" s="16">
        <v>437930.10856199998</v>
      </c>
      <c r="C1184" s="16">
        <v>5688869.3324180003</v>
      </c>
      <c r="D1184" s="31">
        <v>4</v>
      </c>
      <c r="E1184" s="31" t="s">
        <v>64</v>
      </c>
      <c r="F1184" s="31">
        <v>2014</v>
      </c>
      <c r="G1184" s="16">
        <v>0.1275</v>
      </c>
      <c r="H1184" s="16">
        <v>4.3770606172581036E-2</v>
      </c>
      <c r="I1184" s="16">
        <v>0</v>
      </c>
      <c r="J1184" s="16">
        <v>0</v>
      </c>
      <c r="K1184" s="16">
        <v>3.3500000000000002E-2</v>
      </c>
      <c r="L1184" s="16">
        <v>1.3077641747922371E-2</v>
      </c>
      <c r="M1184" s="16">
        <v>3.0692964424658666E-2</v>
      </c>
      <c r="N1184" s="16">
        <v>0</v>
      </c>
      <c r="O1184" s="16">
        <v>0</v>
      </c>
      <c r="P1184" s="95"/>
    </row>
    <row r="1185" spans="1:19" x14ac:dyDescent="0.25">
      <c r="A1185" s="16">
        <v>52</v>
      </c>
      <c r="B1185" s="16">
        <v>438049.10856199998</v>
      </c>
      <c r="C1185" s="16">
        <v>5688869.3324180003</v>
      </c>
      <c r="D1185" s="31">
        <v>4</v>
      </c>
      <c r="E1185" s="31" t="s">
        <v>64</v>
      </c>
      <c r="F1185" s="31">
        <v>2014</v>
      </c>
      <c r="G1185" s="16">
        <v>3.9600000000000003E-2</v>
      </c>
      <c r="H1185" s="16">
        <v>1.3594635328895757E-2</v>
      </c>
      <c r="I1185" s="16">
        <v>0.36210000000000003</v>
      </c>
      <c r="J1185" s="16">
        <v>0.22348373573960859</v>
      </c>
      <c r="K1185" s="16">
        <v>6.4000000000000003E-3</v>
      </c>
      <c r="L1185" s="16">
        <v>2.4984151399015872E-3</v>
      </c>
      <c r="M1185" s="16">
        <v>1.109622018899417E-2</v>
      </c>
      <c r="N1185" s="16">
        <v>0</v>
      </c>
      <c r="O1185" s="16">
        <v>0</v>
      </c>
      <c r="P1185" s="95"/>
    </row>
    <row r="1186" spans="1:19" x14ac:dyDescent="0.25">
      <c r="A1186" s="16">
        <v>53</v>
      </c>
      <c r="B1186" s="16">
        <v>438287.10856199998</v>
      </c>
      <c r="C1186" s="16">
        <v>5688869.3324180003</v>
      </c>
      <c r="D1186" s="31">
        <v>4</v>
      </c>
      <c r="E1186" s="31" t="s">
        <v>64</v>
      </c>
      <c r="F1186" s="31">
        <v>2014</v>
      </c>
      <c r="G1186" s="16">
        <v>1.8499999999999999E-2</v>
      </c>
      <c r="H1186" s="16">
        <v>6.3510291309235222E-3</v>
      </c>
      <c r="I1186" s="16">
        <v>0</v>
      </c>
      <c r="J1186" s="16">
        <v>0</v>
      </c>
      <c r="K1186" s="16">
        <v>3.7000000000000002E-3</v>
      </c>
      <c r="L1186" s="16">
        <v>1.4443962527556052E-3</v>
      </c>
      <c r="M1186" s="16">
        <v>4.906632878167917E-3</v>
      </c>
      <c r="N1186" s="16">
        <v>0</v>
      </c>
      <c r="O1186" s="16">
        <v>0</v>
      </c>
      <c r="P1186" s="95"/>
    </row>
    <row r="1187" spans="1:19" x14ac:dyDescent="0.25">
      <c r="A1187" s="16">
        <v>54</v>
      </c>
      <c r="B1187" s="16">
        <v>437454.10856199998</v>
      </c>
      <c r="C1187" s="16">
        <v>5688988.3324180003</v>
      </c>
      <c r="D1187" s="31">
        <v>4</v>
      </c>
      <c r="E1187" s="31" t="s">
        <v>64</v>
      </c>
      <c r="F1187" s="31">
        <v>2014</v>
      </c>
      <c r="G1187" s="16">
        <v>3.5799999999999998E-2</v>
      </c>
      <c r="H1187" s="16">
        <v>1.2290099615516871E-2</v>
      </c>
      <c r="I1187" s="16">
        <v>2.0300000000000002E-2</v>
      </c>
      <c r="J1187" s="16">
        <v>1.2528914210201752E-2</v>
      </c>
      <c r="K1187" s="16">
        <v>8.6999999999999994E-3</v>
      </c>
      <c r="L1187" s="16">
        <v>3.39628308080372E-3</v>
      </c>
      <c r="M1187" s="16">
        <v>8.8938165347131511E-3</v>
      </c>
      <c r="N1187" s="16">
        <v>0</v>
      </c>
      <c r="O1187" s="16">
        <v>0</v>
      </c>
      <c r="P1187" s="95"/>
    </row>
    <row r="1188" spans="1:19" x14ac:dyDescent="0.25">
      <c r="A1188" s="16">
        <v>55</v>
      </c>
      <c r="B1188" s="16">
        <v>438049.10856199998</v>
      </c>
      <c r="C1188" s="16">
        <v>5688988.3324180003</v>
      </c>
      <c r="D1188" s="31">
        <v>4</v>
      </c>
      <c r="E1188" s="31" t="s">
        <v>64</v>
      </c>
      <c r="F1188" s="31">
        <v>2014</v>
      </c>
      <c r="G1188" s="16">
        <v>9.0799999999999992E-2</v>
      </c>
      <c r="H1188" s="16">
        <v>3.117153757231653E-2</v>
      </c>
      <c r="I1188" s="16">
        <v>0</v>
      </c>
      <c r="J1188" s="16">
        <v>0</v>
      </c>
      <c r="K1188" s="16">
        <v>1.03E-2</v>
      </c>
      <c r="L1188" s="16">
        <v>4.0208868657791172E-3</v>
      </c>
      <c r="M1188" s="16">
        <v>2.7150650706537414E-2</v>
      </c>
      <c r="N1188" s="16">
        <v>0</v>
      </c>
      <c r="O1188" s="16">
        <v>0</v>
      </c>
      <c r="P1188" s="95"/>
    </row>
    <row r="1189" spans="1:19" x14ac:dyDescent="0.25">
      <c r="A1189" s="16">
        <v>56</v>
      </c>
      <c r="B1189" s="16">
        <v>438168.10856199998</v>
      </c>
      <c r="C1189" s="16">
        <v>5688988.3324180003</v>
      </c>
      <c r="D1189" s="31">
        <v>4</v>
      </c>
      <c r="E1189" s="31" t="s">
        <v>64</v>
      </c>
      <c r="F1189" s="31">
        <v>2014</v>
      </c>
      <c r="G1189" s="16">
        <v>1.5800000000000002E-2</v>
      </c>
      <c r="H1189" s="16">
        <v>5.4241221766806302E-3</v>
      </c>
      <c r="I1189" s="16">
        <v>0</v>
      </c>
      <c r="J1189" s="16">
        <v>0</v>
      </c>
      <c r="K1189" s="16">
        <v>1.1999999999999999E-3</v>
      </c>
      <c r="L1189" s="16">
        <v>4.6845283873154755E-4</v>
      </c>
      <c r="M1189" s="16">
        <v>4.955669337949083E-3</v>
      </c>
      <c r="N1189" s="16">
        <v>0</v>
      </c>
      <c r="O1189" s="16">
        <v>0</v>
      </c>
      <c r="P1189" s="95"/>
    </row>
    <row r="1190" spans="1:19" x14ac:dyDescent="0.25">
      <c r="A1190" s="36">
        <v>57</v>
      </c>
      <c r="B1190" s="36">
        <v>438146</v>
      </c>
      <c r="C1190" s="36">
        <v>5688977</v>
      </c>
      <c r="D1190" s="99">
        <v>4</v>
      </c>
      <c r="E1190" s="99" t="s">
        <v>64</v>
      </c>
      <c r="F1190" s="99">
        <v>2014</v>
      </c>
      <c r="G1190" s="36">
        <v>4.2299999999999997E-2</v>
      </c>
      <c r="H1190" s="36">
        <v>1.4521542283138648E-2</v>
      </c>
      <c r="I1190" s="36">
        <v>0</v>
      </c>
      <c r="J1190" s="36">
        <v>0</v>
      </c>
      <c r="K1190" s="36">
        <v>5.3E-3</v>
      </c>
      <c r="L1190" s="36">
        <v>2.069000037731002E-3</v>
      </c>
      <c r="M1190" s="36">
        <v>1.2452542245407646E-2</v>
      </c>
      <c r="N1190" s="36">
        <v>0</v>
      </c>
      <c r="O1190" s="36">
        <v>0</v>
      </c>
      <c r="P1190" s="100"/>
    </row>
    <row r="1191" spans="1:19" x14ac:dyDescent="0.25">
      <c r="A1191" s="36">
        <v>58</v>
      </c>
      <c r="B1191" s="36">
        <v>438131</v>
      </c>
      <c r="C1191" s="36">
        <v>5688972</v>
      </c>
      <c r="D1191" s="99">
        <v>4</v>
      </c>
      <c r="E1191" s="99" t="s">
        <v>64</v>
      </c>
      <c r="F1191" s="99">
        <v>2014</v>
      </c>
      <c r="G1191" s="36">
        <v>4.0399999999999998E-2</v>
      </c>
      <c r="H1191" s="36">
        <v>1.3869274426449205E-2</v>
      </c>
      <c r="I1191" s="36">
        <v>0</v>
      </c>
      <c r="J1191" s="36">
        <v>0</v>
      </c>
      <c r="K1191" s="36">
        <v>5.0000000000000001E-3</v>
      </c>
      <c r="L1191" s="36">
        <v>1.951886828048115E-3</v>
      </c>
      <c r="M1191" s="36">
        <v>1.1917387598401091E-2</v>
      </c>
      <c r="N1191" s="36">
        <v>0</v>
      </c>
      <c r="O1191" s="36">
        <v>0</v>
      </c>
      <c r="P1191" s="100"/>
    </row>
    <row r="1192" spans="1:19" x14ac:dyDescent="0.25">
      <c r="A1192" s="36">
        <v>59</v>
      </c>
      <c r="B1192" s="36">
        <v>438089</v>
      </c>
      <c r="C1192" s="36">
        <v>5688713</v>
      </c>
      <c r="D1192" s="99">
        <v>4</v>
      </c>
      <c r="E1192" s="99" t="s">
        <v>64</v>
      </c>
      <c r="F1192" s="99">
        <v>2014</v>
      </c>
      <c r="G1192" s="36">
        <v>0.18430000000000002</v>
      </c>
      <c r="H1192" s="36">
        <v>6.3269982098875965E-2</v>
      </c>
      <c r="I1192" s="36">
        <v>0</v>
      </c>
      <c r="J1192" s="36">
        <v>0</v>
      </c>
      <c r="K1192" s="36">
        <v>1.26E-2</v>
      </c>
      <c r="L1192" s="36">
        <v>4.9187548066812496E-3</v>
      </c>
      <c r="M1192" s="36">
        <v>5.8351227292194718E-2</v>
      </c>
      <c r="N1192" s="36">
        <v>0</v>
      </c>
      <c r="O1192" s="36">
        <v>0</v>
      </c>
      <c r="P1192" s="100"/>
    </row>
    <row r="1193" spans="1:19" x14ac:dyDescent="0.25">
      <c r="A1193" s="36">
        <v>60</v>
      </c>
      <c r="B1193" s="36">
        <v>438099</v>
      </c>
      <c r="C1193" s="36">
        <v>5688719</v>
      </c>
      <c r="D1193" s="99">
        <v>4</v>
      </c>
      <c r="E1193" s="99" t="s">
        <v>64</v>
      </c>
      <c r="F1193" s="99">
        <v>2014</v>
      </c>
      <c r="G1193" s="36">
        <v>3.0100000000000002E-2</v>
      </c>
      <c r="H1193" s="36">
        <v>1.0333296045448543E-2</v>
      </c>
      <c r="I1193" s="36">
        <v>0</v>
      </c>
      <c r="J1193" s="36">
        <v>0</v>
      </c>
      <c r="K1193" s="36">
        <v>7.0000000000000001E-3</v>
      </c>
      <c r="L1193" s="36">
        <v>2.7326415592673612E-3</v>
      </c>
      <c r="M1193" s="36">
        <v>7.6006544861811822E-3</v>
      </c>
      <c r="N1193" s="36">
        <v>0</v>
      </c>
      <c r="O1193" s="36">
        <v>0</v>
      </c>
      <c r="P1193" s="100"/>
    </row>
    <row r="1194" spans="1:19" x14ac:dyDescent="0.25">
      <c r="A1194" s="16">
        <v>1</v>
      </c>
      <c r="B1194" s="16">
        <v>437930.10856199998</v>
      </c>
      <c r="C1194" s="16">
        <v>5688036.3324180003</v>
      </c>
      <c r="D1194" s="31">
        <v>13</v>
      </c>
      <c r="E1194" s="31" t="s">
        <v>96</v>
      </c>
      <c r="F1194" s="31">
        <v>2014</v>
      </c>
      <c r="G1194" s="16">
        <v>6.9000000000000008E-3</v>
      </c>
      <c r="H1194" s="16">
        <v>2.1569906864711778E-3</v>
      </c>
      <c r="I1194" s="16">
        <v>2.6699999999999998E-2</v>
      </c>
      <c r="J1194" s="16">
        <v>1.1373641024067247E-2</v>
      </c>
      <c r="K1194" s="16">
        <v>2.1000000000000003E-3</v>
      </c>
      <c r="L1194" s="16">
        <v>8.2058964478585517E-4</v>
      </c>
      <c r="M1194" s="16">
        <v>1.3364010416853226E-3</v>
      </c>
      <c r="N1194" s="16">
        <v>8.199999999999999E-3</v>
      </c>
      <c r="O1194" s="16">
        <v>3.6409203487499232E-3</v>
      </c>
      <c r="P1194" s="95"/>
      <c r="R1194" s="5">
        <f>AVERAGE(M1194:M1253)</f>
        <v>1.0459568927278371E-2</v>
      </c>
      <c r="S1194" s="5">
        <f>AVERAGE(H1194:H1253)</f>
        <v>1.6238502549333803E-2</v>
      </c>
    </row>
    <row r="1195" spans="1:19" x14ac:dyDescent="0.25">
      <c r="A1195" s="16">
        <v>2</v>
      </c>
      <c r="B1195" s="16">
        <v>437811.10856199998</v>
      </c>
      <c r="C1195" s="16">
        <v>5688155.3324180003</v>
      </c>
      <c r="D1195" s="31">
        <v>13</v>
      </c>
      <c r="E1195" s="31" t="s">
        <v>96</v>
      </c>
      <c r="F1195" s="31">
        <v>2014</v>
      </c>
      <c r="G1195" s="16">
        <v>1.9800000000000002E-2</v>
      </c>
      <c r="H1195" s="16">
        <v>6.1896254481346837E-3</v>
      </c>
      <c r="I1195" s="16">
        <v>0</v>
      </c>
      <c r="J1195" s="16">
        <v>0</v>
      </c>
      <c r="K1195" s="16">
        <v>3.2000000000000002E-3</v>
      </c>
      <c r="L1195" s="16">
        <v>1.2504223158641601E-3</v>
      </c>
      <c r="M1195" s="16">
        <v>4.939203132270524E-3</v>
      </c>
      <c r="N1195" s="16">
        <v>0</v>
      </c>
      <c r="O1195" s="16">
        <v>0</v>
      </c>
      <c r="P1195" s="95"/>
    </row>
    <row r="1196" spans="1:19" x14ac:dyDescent="0.25">
      <c r="A1196" s="16">
        <v>3</v>
      </c>
      <c r="B1196" s="16">
        <v>437930.10856199998</v>
      </c>
      <c r="C1196" s="16">
        <v>5688155.3324180003</v>
      </c>
      <c r="D1196" s="31">
        <v>13</v>
      </c>
      <c r="E1196" s="31" t="s">
        <v>96</v>
      </c>
      <c r="F1196" s="31">
        <v>2014</v>
      </c>
      <c r="G1196" s="16">
        <v>6.3700000000000007E-2</v>
      </c>
      <c r="H1196" s="16">
        <v>1.9913087931625217E-2</v>
      </c>
      <c r="I1196" s="16">
        <v>6.3E-3</v>
      </c>
      <c r="J1196" s="16">
        <v>2.6836681068023844E-3</v>
      </c>
      <c r="K1196" s="16">
        <v>2.4E-2</v>
      </c>
      <c r="L1196" s="16">
        <v>9.3781673689812012E-3</v>
      </c>
      <c r="M1196" s="16">
        <v>1.0534920562644016E-2</v>
      </c>
      <c r="N1196" s="16">
        <v>2.81E-2</v>
      </c>
      <c r="O1196" s="16">
        <v>1.2476812414618642E-2</v>
      </c>
      <c r="P1196" s="95"/>
    </row>
    <row r="1197" spans="1:19" x14ac:dyDescent="0.25">
      <c r="A1197" s="16">
        <v>4</v>
      </c>
      <c r="B1197" s="16">
        <v>438049.10856199998</v>
      </c>
      <c r="C1197" s="16">
        <v>5688155.3324180003</v>
      </c>
      <c r="D1197" s="31">
        <v>13</v>
      </c>
      <c r="E1197" s="31" t="s">
        <v>96</v>
      </c>
      <c r="F1197" s="31">
        <v>2014</v>
      </c>
      <c r="G1197" s="16">
        <v>1E-4</v>
      </c>
      <c r="H1197" s="16">
        <v>3.1260734586538803E-5</v>
      </c>
      <c r="I1197" s="16">
        <v>0</v>
      </c>
      <c r="J1197" s="16">
        <v>0</v>
      </c>
      <c r="K1197" s="16">
        <v>1E-3</v>
      </c>
      <c r="L1197" s="16">
        <v>3.9075697370755005E-4</v>
      </c>
      <c r="M1197" s="16">
        <v>-3.5949623912101124E-4</v>
      </c>
      <c r="N1197" s="16">
        <v>0</v>
      </c>
      <c r="O1197" s="16">
        <v>0</v>
      </c>
      <c r="P1197" s="95"/>
    </row>
    <row r="1198" spans="1:19" x14ac:dyDescent="0.25">
      <c r="A1198" s="16">
        <v>5</v>
      </c>
      <c r="B1198" s="16">
        <v>437573.10856199998</v>
      </c>
      <c r="C1198" s="16">
        <v>5688274.3324180003</v>
      </c>
      <c r="D1198" s="31">
        <v>13</v>
      </c>
      <c r="E1198" s="31" t="s">
        <v>96</v>
      </c>
      <c r="F1198" s="31">
        <v>2014</v>
      </c>
      <c r="G1198" s="16">
        <v>8.9999999999999993E-3</v>
      </c>
      <c r="H1198" s="16">
        <v>2.8134661127884918E-3</v>
      </c>
      <c r="I1198" s="16">
        <v>5.9999999999999995E-4</v>
      </c>
      <c r="J1198" s="16">
        <v>2.5558743874308417E-4</v>
      </c>
      <c r="K1198" s="16">
        <v>1.77E-2</v>
      </c>
      <c r="L1198" s="16">
        <v>6.9163984346236355E-3</v>
      </c>
      <c r="M1198" s="16">
        <v>-4.1029323218351437E-3</v>
      </c>
      <c r="N1198" s="16">
        <v>4.4999999999999998E-2</v>
      </c>
      <c r="O1198" s="16">
        <v>1.9980660450456898E-2</v>
      </c>
      <c r="P1198" s="95"/>
    </row>
    <row r="1199" spans="1:19" x14ac:dyDescent="0.25">
      <c r="A1199" s="16">
        <v>6</v>
      </c>
      <c r="B1199" s="16">
        <v>437692.10856199998</v>
      </c>
      <c r="C1199" s="16">
        <v>5688274.3324180003</v>
      </c>
      <c r="D1199" s="31">
        <v>13</v>
      </c>
      <c r="E1199" s="31" t="s">
        <v>96</v>
      </c>
      <c r="F1199" s="31">
        <v>2014</v>
      </c>
      <c r="G1199" s="16">
        <v>1.35E-2</v>
      </c>
      <c r="H1199" s="16">
        <v>4.2201991691827381E-3</v>
      </c>
      <c r="I1199" s="16">
        <v>8.9999999999999998E-4</v>
      </c>
      <c r="J1199" s="16">
        <v>3.8338115811462629E-4</v>
      </c>
      <c r="K1199" s="16">
        <v>6.4999999999999997E-3</v>
      </c>
      <c r="L1199" s="16">
        <v>2.539920329099075E-3</v>
      </c>
      <c r="M1199" s="16">
        <v>1.6802788400836631E-3</v>
      </c>
      <c r="N1199" s="16">
        <v>0</v>
      </c>
      <c r="O1199" s="16">
        <v>0</v>
      </c>
      <c r="P1199" s="95"/>
    </row>
    <row r="1200" spans="1:19" x14ac:dyDescent="0.25">
      <c r="A1200" s="16">
        <v>7</v>
      </c>
      <c r="B1200" s="16">
        <v>437811.10856199998</v>
      </c>
      <c r="C1200" s="16">
        <v>5688274.3324180003</v>
      </c>
      <c r="D1200" s="31">
        <v>13</v>
      </c>
      <c r="E1200" s="31" t="s">
        <v>96</v>
      </c>
      <c r="F1200" s="31">
        <v>2014</v>
      </c>
      <c r="G1200" s="16">
        <v>5.4999999999999997E-3</v>
      </c>
      <c r="H1200" s="16">
        <v>1.719340402259634E-3</v>
      </c>
      <c r="I1200" s="16">
        <v>0</v>
      </c>
      <c r="J1200" s="16">
        <v>0</v>
      </c>
      <c r="K1200" s="16">
        <v>4.3E-3</v>
      </c>
      <c r="L1200" s="16">
        <v>1.6802549869424652E-3</v>
      </c>
      <c r="M1200" s="16">
        <v>3.9085415317168795E-5</v>
      </c>
      <c r="N1200" s="16">
        <v>2.0199999999999999E-2</v>
      </c>
      <c r="O1200" s="16">
        <v>8.9690964688717636E-3</v>
      </c>
      <c r="P1200" s="95"/>
    </row>
    <row r="1201" spans="1:16" x14ac:dyDescent="0.25">
      <c r="A1201" s="16">
        <v>8</v>
      </c>
      <c r="B1201" s="16">
        <v>437930.10856199998</v>
      </c>
      <c r="C1201" s="16">
        <v>5688274.3324180003</v>
      </c>
      <c r="D1201" s="31">
        <v>13</v>
      </c>
      <c r="E1201" s="31" t="s">
        <v>96</v>
      </c>
      <c r="F1201" s="31">
        <v>2014</v>
      </c>
      <c r="G1201" s="16">
        <v>1.5099999999999999E-2</v>
      </c>
      <c r="H1201" s="16">
        <v>4.7203709225673591E-3</v>
      </c>
      <c r="I1201" s="16">
        <v>0</v>
      </c>
      <c r="J1201" s="16">
        <v>0</v>
      </c>
      <c r="K1201" s="16">
        <v>7.3000000000000001E-3</v>
      </c>
      <c r="L1201" s="16">
        <v>2.8525259080651151E-3</v>
      </c>
      <c r="M1201" s="16">
        <v>1.8678450145022439E-3</v>
      </c>
      <c r="N1201" s="16">
        <v>0</v>
      </c>
      <c r="O1201" s="16">
        <v>0</v>
      </c>
      <c r="P1201" s="95"/>
    </row>
    <row r="1202" spans="1:16" x14ac:dyDescent="0.25">
      <c r="A1202" s="16">
        <v>9</v>
      </c>
      <c r="B1202" s="16">
        <v>438287.10856199998</v>
      </c>
      <c r="C1202" s="16">
        <v>5688274.3324180003</v>
      </c>
      <c r="D1202" s="31">
        <v>13</v>
      </c>
      <c r="E1202" s="31" t="s">
        <v>96</v>
      </c>
      <c r="F1202" s="31">
        <v>2014</v>
      </c>
      <c r="G1202" s="16">
        <v>0.1134</v>
      </c>
      <c r="H1202" s="16">
        <v>3.5449673021135004E-2</v>
      </c>
      <c r="I1202" s="16">
        <v>1.01E-2</v>
      </c>
      <c r="J1202" s="16">
        <v>4.3023885521752507E-3</v>
      </c>
      <c r="K1202" s="16">
        <v>1.8800000000000001E-2</v>
      </c>
      <c r="L1202" s="16">
        <v>7.3462311057019411E-3</v>
      </c>
      <c r="M1202" s="16">
        <v>2.8103441915433063E-2</v>
      </c>
      <c r="N1202" s="16">
        <v>0</v>
      </c>
      <c r="O1202" s="16">
        <v>0</v>
      </c>
      <c r="P1202" s="95"/>
    </row>
    <row r="1203" spans="1:16" x14ac:dyDescent="0.25">
      <c r="A1203" s="16">
        <v>10</v>
      </c>
      <c r="B1203" s="16">
        <v>438406.10856199998</v>
      </c>
      <c r="C1203" s="16">
        <v>5688274.3324180003</v>
      </c>
      <c r="D1203" s="31">
        <v>13</v>
      </c>
      <c r="E1203" s="31" t="s">
        <v>96</v>
      </c>
      <c r="F1203" s="31">
        <v>2014</v>
      </c>
      <c r="G1203" s="16">
        <v>7.85E-2</v>
      </c>
      <c r="H1203" s="16">
        <v>2.4539676650432961E-2</v>
      </c>
      <c r="I1203" s="16">
        <v>0</v>
      </c>
      <c r="J1203" s="16">
        <v>0</v>
      </c>
      <c r="K1203" s="16">
        <v>1.03E-2</v>
      </c>
      <c r="L1203" s="16">
        <v>4.0247968291877651E-3</v>
      </c>
      <c r="M1203" s="16">
        <v>2.0514879821245197E-2</v>
      </c>
      <c r="N1203" s="16">
        <v>0</v>
      </c>
      <c r="O1203" s="16">
        <v>0</v>
      </c>
      <c r="P1203" s="95"/>
    </row>
    <row r="1204" spans="1:16" x14ac:dyDescent="0.25">
      <c r="A1204" s="16">
        <v>11</v>
      </c>
      <c r="B1204" s="16">
        <v>437454.10856199998</v>
      </c>
      <c r="C1204" s="16">
        <v>5688393.3324180003</v>
      </c>
      <c r="D1204" s="31">
        <v>13</v>
      </c>
      <c r="E1204" s="31" t="s">
        <v>96</v>
      </c>
      <c r="F1204" s="31">
        <v>2014</v>
      </c>
      <c r="G1204" s="31" t="s">
        <v>18</v>
      </c>
      <c r="H1204" s="31" t="s">
        <v>18</v>
      </c>
      <c r="I1204" s="31" t="s">
        <v>18</v>
      </c>
      <c r="J1204" s="31" t="s">
        <v>18</v>
      </c>
      <c r="K1204" s="16">
        <v>1.6000000000000001E-3</v>
      </c>
      <c r="L1204" s="16">
        <v>6.2521115793208004E-4</v>
      </c>
      <c r="M1204" s="31" t="s">
        <v>18</v>
      </c>
      <c r="N1204" s="16">
        <v>0</v>
      </c>
      <c r="O1204" s="16">
        <v>0</v>
      </c>
      <c r="P1204" s="95" t="s">
        <v>105</v>
      </c>
    </row>
    <row r="1205" spans="1:16" x14ac:dyDescent="0.25">
      <c r="A1205" s="16">
        <v>12</v>
      </c>
      <c r="B1205" s="16">
        <v>437573.10856199998</v>
      </c>
      <c r="C1205" s="16">
        <v>5688393.3324180003</v>
      </c>
      <c r="D1205" s="31">
        <v>13</v>
      </c>
      <c r="E1205" s="31" t="s">
        <v>96</v>
      </c>
      <c r="F1205" s="31">
        <v>2014</v>
      </c>
      <c r="G1205" s="31" t="s">
        <v>18</v>
      </c>
      <c r="H1205" s="31" t="s">
        <v>18</v>
      </c>
      <c r="I1205" s="31" t="s">
        <v>18</v>
      </c>
      <c r="J1205" s="31" t="s">
        <v>18</v>
      </c>
      <c r="K1205" s="16">
        <v>9.6999999999999986E-3</v>
      </c>
      <c r="L1205" s="16">
        <v>3.7903426449632347E-3</v>
      </c>
      <c r="M1205" s="31" t="s">
        <v>18</v>
      </c>
      <c r="N1205" s="16">
        <v>0</v>
      </c>
      <c r="O1205" s="16">
        <v>0</v>
      </c>
      <c r="P1205" s="95" t="s">
        <v>105</v>
      </c>
    </row>
    <row r="1206" spans="1:16" x14ac:dyDescent="0.25">
      <c r="A1206" s="16">
        <v>13</v>
      </c>
      <c r="B1206" s="16">
        <v>437692.10856199998</v>
      </c>
      <c r="C1206" s="16">
        <v>5688393.3324180003</v>
      </c>
      <c r="D1206" s="31">
        <v>13</v>
      </c>
      <c r="E1206" s="31" t="s">
        <v>96</v>
      </c>
      <c r="F1206" s="31">
        <v>2014</v>
      </c>
      <c r="G1206" s="16">
        <v>2.81E-2</v>
      </c>
      <c r="H1206" s="16">
        <v>8.7842664188174033E-3</v>
      </c>
      <c r="I1206" s="16">
        <v>0.2311</v>
      </c>
      <c r="J1206" s="16">
        <v>9.8443761822544606E-2</v>
      </c>
      <c r="K1206" s="16">
        <v>2.0399999999999998E-2</v>
      </c>
      <c r="L1206" s="16">
        <v>7.9714422636340196E-3</v>
      </c>
      <c r="M1206" s="16">
        <v>8.1282415518338369E-4</v>
      </c>
      <c r="N1206" s="16">
        <v>4.07E-2</v>
      </c>
      <c r="O1206" s="16">
        <v>1.8071397340746573E-2</v>
      </c>
      <c r="P1206" s="95"/>
    </row>
    <row r="1207" spans="1:16" x14ac:dyDescent="0.25">
      <c r="A1207" s="35">
        <v>14</v>
      </c>
      <c r="B1207" s="35">
        <v>437811.10856199998</v>
      </c>
      <c r="C1207" s="35">
        <v>5688393.3324180003</v>
      </c>
      <c r="D1207" s="96">
        <v>13</v>
      </c>
      <c r="E1207" s="96" t="s">
        <v>96</v>
      </c>
      <c r="F1207" s="96">
        <v>2014</v>
      </c>
      <c r="G1207" s="96" t="s">
        <v>18</v>
      </c>
      <c r="H1207" s="96" t="s">
        <v>18</v>
      </c>
      <c r="I1207" s="96" t="s">
        <v>18</v>
      </c>
      <c r="J1207" s="96" t="s">
        <v>18</v>
      </c>
      <c r="K1207" s="96" t="s">
        <v>18</v>
      </c>
      <c r="L1207" s="96" t="s">
        <v>18</v>
      </c>
      <c r="M1207" s="96" t="s">
        <v>18</v>
      </c>
      <c r="N1207" s="96" t="s">
        <v>18</v>
      </c>
      <c r="O1207" s="96" t="s">
        <v>18</v>
      </c>
      <c r="P1207" s="94" t="s">
        <v>21</v>
      </c>
    </row>
    <row r="1208" spans="1:16" x14ac:dyDescent="0.25">
      <c r="A1208" s="16">
        <v>15</v>
      </c>
      <c r="B1208" s="16">
        <v>437930.10856199998</v>
      </c>
      <c r="C1208" s="16">
        <v>5688393.3324180003</v>
      </c>
      <c r="D1208" s="31">
        <v>13</v>
      </c>
      <c r="E1208" s="31" t="s">
        <v>96</v>
      </c>
      <c r="F1208" s="31">
        <v>2014</v>
      </c>
      <c r="G1208" s="16">
        <v>5.91E-2</v>
      </c>
      <c r="H1208" s="16">
        <v>1.8475094140644431E-2</v>
      </c>
      <c r="I1208" s="16">
        <v>0.15990000000000001</v>
      </c>
      <c r="J1208" s="16">
        <v>6.8114052425031948E-2</v>
      </c>
      <c r="K1208" s="16">
        <v>2.18E-2</v>
      </c>
      <c r="L1208" s="16">
        <v>8.5185020268245901E-3</v>
      </c>
      <c r="M1208" s="16">
        <v>9.9565921138198409E-3</v>
      </c>
      <c r="N1208" s="16">
        <v>1.72E-2</v>
      </c>
      <c r="O1208" s="16">
        <v>7.6370524388413037E-3</v>
      </c>
      <c r="P1208" s="95"/>
    </row>
    <row r="1209" spans="1:16" x14ac:dyDescent="0.25">
      <c r="A1209" s="16">
        <v>16</v>
      </c>
      <c r="B1209" s="16">
        <v>438049.10856199998</v>
      </c>
      <c r="C1209" s="16">
        <v>5688393.3324180003</v>
      </c>
      <c r="D1209" s="31">
        <v>13</v>
      </c>
      <c r="E1209" s="31" t="s">
        <v>96</v>
      </c>
      <c r="F1209" s="31">
        <v>2014</v>
      </c>
      <c r="G1209" s="16">
        <v>5.6299999999999996E-2</v>
      </c>
      <c r="H1209" s="16">
        <v>1.7599793572221346E-2</v>
      </c>
      <c r="I1209" s="16">
        <v>5.57E-2</v>
      </c>
      <c r="J1209" s="16">
        <v>2.3727033896649652E-2</v>
      </c>
      <c r="K1209" s="16">
        <v>3.4099999999999998E-2</v>
      </c>
      <c r="L1209" s="16">
        <v>1.3324812803427455E-2</v>
      </c>
      <c r="M1209" s="16">
        <v>4.2749807687938908E-3</v>
      </c>
      <c r="N1209" s="16">
        <v>2.7899999999999998E-2</v>
      </c>
      <c r="O1209" s="16">
        <v>1.2388009479283276E-2</v>
      </c>
      <c r="P1209" s="95"/>
    </row>
    <row r="1210" spans="1:16" x14ac:dyDescent="0.25">
      <c r="A1210" s="16">
        <v>17</v>
      </c>
      <c r="B1210" s="16">
        <v>438168.10856199998</v>
      </c>
      <c r="C1210" s="16">
        <v>5688393.3324180003</v>
      </c>
      <c r="D1210" s="31">
        <v>13</v>
      </c>
      <c r="E1210" s="31" t="s">
        <v>96</v>
      </c>
      <c r="F1210" s="31">
        <v>2014</v>
      </c>
      <c r="G1210" s="16">
        <v>2.0300000000000002E-2</v>
      </c>
      <c r="H1210" s="16">
        <v>6.3459291210673776E-3</v>
      </c>
      <c r="I1210" s="16">
        <v>2.53E-2</v>
      </c>
      <c r="J1210" s="16">
        <v>1.0777270333666718E-2</v>
      </c>
      <c r="K1210" s="16">
        <v>3.15E-2</v>
      </c>
      <c r="L1210" s="16">
        <v>1.2308844671787826E-2</v>
      </c>
      <c r="M1210" s="16">
        <v>-5.9629155507204485E-3</v>
      </c>
      <c r="N1210" s="16">
        <v>1.35E-2</v>
      </c>
      <c r="O1210" s="16">
        <v>5.99419813513707E-3</v>
      </c>
      <c r="P1210" s="95"/>
    </row>
    <row r="1211" spans="1:16" x14ac:dyDescent="0.25">
      <c r="A1211" s="16">
        <v>18</v>
      </c>
      <c r="B1211" s="16">
        <v>438287.10856199998</v>
      </c>
      <c r="C1211" s="16">
        <v>5688393.3324180003</v>
      </c>
      <c r="D1211" s="31">
        <v>13</v>
      </c>
      <c r="E1211" s="31" t="s">
        <v>96</v>
      </c>
      <c r="F1211" s="31">
        <v>2014</v>
      </c>
      <c r="G1211" s="16">
        <v>3.8299999999999994E-2</v>
      </c>
      <c r="H1211" s="16">
        <v>1.1972861346644359E-2</v>
      </c>
      <c r="I1211" s="16">
        <v>0</v>
      </c>
      <c r="J1211" s="16">
        <v>0</v>
      </c>
      <c r="K1211" s="16">
        <v>2E-3</v>
      </c>
      <c r="L1211" s="16">
        <v>7.815139474151001E-4</v>
      </c>
      <c r="M1211" s="16">
        <v>1.1191347399229258E-2</v>
      </c>
      <c r="N1211" s="16">
        <v>0</v>
      </c>
      <c r="O1211" s="16">
        <v>0</v>
      </c>
      <c r="P1211" s="95"/>
    </row>
    <row r="1212" spans="1:16" x14ac:dyDescent="0.25">
      <c r="A1212" s="16">
        <v>19</v>
      </c>
      <c r="B1212" s="16">
        <v>438406.10856199998</v>
      </c>
      <c r="C1212" s="16">
        <v>5688393.3324180003</v>
      </c>
      <c r="D1212" s="31">
        <v>13</v>
      </c>
      <c r="E1212" s="31" t="s">
        <v>96</v>
      </c>
      <c r="F1212" s="31">
        <v>2014</v>
      </c>
      <c r="G1212" s="16">
        <v>5.4899999999999997E-2</v>
      </c>
      <c r="H1212" s="16">
        <v>1.7162143288009801E-2</v>
      </c>
      <c r="I1212" s="16">
        <v>0</v>
      </c>
      <c r="J1212" s="16">
        <v>0</v>
      </c>
      <c r="K1212" s="16">
        <v>2.2200000000000001E-2</v>
      </c>
      <c r="L1212" s="16">
        <v>8.6748048163076113E-3</v>
      </c>
      <c r="M1212" s="16">
        <v>8.48733847170219E-3</v>
      </c>
      <c r="N1212" s="16">
        <v>0</v>
      </c>
      <c r="O1212" s="16">
        <v>0</v>
      </c>
      <c r="P1212" s="95"/>
    </row>
    <row r="1213" spans="1:16" x14ac:dyDescent="0.25">
      <c r="A1213" s="16">
        <v>20</v>
      </c>
      <c r="B1213" s="16">
        <v>437335.10856199998</v>
      </c>
      <c r="C1213" s="16">
        <v>5688512.3324180003</v>
      </c>
      <c r="D1213" s="31">
        <v>13</v>
      </c>
      <c r="E1213" s="31" t="s">
        <v>96</v>
      </c>
      <c r="F1213" s="31">
        <v>2014</v>
      </c>
      <c r="G1213" s="16">
        <v>1.4E-2</v>
      </c>
      <c r="H1213" s="16">
        <v>4.3765028421154321E-3</v>
      </c>
      <c r="I1213" s="16">
        <v>3.5099999999999999E-2</v>
      </c>
      <c r="J1213" s="16">
        <v>1.4951865166470426E-2</v>
      </c>
      <c r="K1213" s="16">
        <v>8.0999999999999996E-3</v>
      </c>
      <c r="L1213" s="16">
        <v>3.1651314870311548E-3</v>
      </c>
      <c r="M1213" s="16">
        <v>1.2113713550842772E-3</v>
      </c>
      <c r="N1213" s="16">
        <v>0</v>
      </c>
      <c r="O1213" s="16">
        <v>0</v>
      </c>
      <c r="P1213" s="95"/>
    </row>
    <row r="1214" spans="1:16" x14ac:dyDescent="0.25">
      <c r="A1214" s="16">
        <v>21</v>
      </c>
      <c r="B1214" s="16">
        <v>437454.10856199998</v>
      </c>
      <c r="C1214" s="16">
        <v>5688512.3324180003</v>
      </c>
      <c r="D1214" s="31">
        <v>13</v>
      </c>
      <c r="E1214" s="31" t="s">
        <v>96</v>
      </c>
      <c r="F1214" s="31">
        <v>2014</v>
      </c>
      <c r="G1214" s="16">
        <v>3.7200000000000004E-2</v>
      </c>
      <c r="H1214" s="16">
        <v>1.1628993266192435E-2</v>
      </c>
      <c r="I1214" s="16">
        <v>0</v>
      </c>
      <c r="J1214" s="16">
        <v>0</v>
      </c>
      <c r="K1214" s="16">
        <v>7.1999999999999998E-3</v>
      </c>
      <c r="L1214" s="16">
        <v>2.8134502106943603E-3</v>
      </c>
      <c r="M1214" s="16">
        <v>8.8155430554980752E-3</v>
      </c>
      <c r="N1214" s="16">
        <v>0</v>
      </c>
      <c r="O1214" s="16">
        <v>0</v>
      </c>
      <c r="P1214" s="95"/>
    </row>
    <row r="1215" spans="1:16" x14ac:dyDescent="0.25">
      <c r="A1215" s="16">
        <v>22</v>
      </c>
      <c r="B1215" s="16">
        <v>437573.10856199998</v>
      </c>
      <c r="C1215" s="16">
        <v>5688512.3324180003</v>
      </c>
      <c r="D1215" s="31">
        <v>13</v>
      </c>
      <c r="E1215" s="31" t="s">
        <v>96</v>
      </c>
      <c r="F1215" s="31">
        <v>2014</v>
      </c>
      <c r="G1215" s="31" t="s">
        <v>18</v>
      </c>
      <c r="H1215" s="31" t="s">
        <v>18</v>
      </c>
      <c r="I1215" s="31" t="s">
        <v>18</v>
      </c>
      <c r="J1215" s="31" t="s">
        <v>18</v>
      </c>
      <c r="K1215" s="16">
        <v>1E-4</v>
      </c>
      <c r="L1215" s="16">
        <v>3.9075697370755002E-5</v>
      </c>
      <c r="M1215" s="31" t="s">
        <v>18</v>
      </c>
      <c r="N1215" s="16">
        <v>1.9699999999999999E-2</v>
      </c>
      <c r="O1215" s="16">
        <v>8.7470891305333528E-3</v>
      </c>
      <c r="P1215" s="95" t="s">
        <v>105</v>
      </c>
    </row>
    <row r="1216" spans="1:16" x14ac:dyDescent="0.25">
      <c r="A1216" s="16">
        <v>23</v>
      </c>
      <c r="B1216" s="16">
        <v>437692.10856199998</v>
      </c>
      <c r="C1216" s="16">
        <v>5688512.3324180003</v>
      </c>
      <c r="D1216" s="31">
        <v>13</v>
      </c>
      <c r="E1216" s="31" t="s">
        <v>96</v>
      </c>
      <c r="F1216" s="31">
        <v>2014</v>
      </c>
      <c r="G1216" s="31" t="s">
        <v>18</v>
      </c>
      <c r="H1216" s="31" t="s">
        <v>18</v>
      </c>
      <c r="I1216" s="31" t="s">
        <v>18</v>
      </c>
      <c r="J1216" s="31" t="s">
        <v>18</v>
      </c>
      <c r="K1216" s="16">
        <v>1.5900000000000001E-2</v>
      </c>
      <c r="L1216" s="16">
        <v>6.2130358819500455E-3</v>
      </c>
      <c r="M1216" s="31" t="s">
        <v>18</v>
      </c>
      <c r="N1216" s="16">
        <v>1.61E-2</v>
      </c>
      <c r="O1216" s="16">
        <v>7.1486362944968018E-3</v>
      </c>
      <c r="P1216" s="95" t="s">
        <v>105</v>
      </c>
    </row>
    <row r="1217" spans="1:16" x14ac:dyDescent="0.25">
      <c r="A1217" s="16">
        <v>24</v>
      </c>
      <c r="B1217" s="16">
        <v>437811.10856199998</v>
      </c>
      <c r="C1217" s="16">
        <v>5688512.3324180003</v>
      </c>
      <c r="D1217" s="31">
        <v>13</v>
      </c>
      <c r="E1217" s="31" t="s">
        <v>96</v>
      </c>
      <c r="F1217" s="31">
        <v>2014</v>
      </c>
      <c r="G1217" s="16">
        <v>3.32E-2</v>
      </c>
      <c r="H1217" s="16">
        <v>1.0378563882730882E-2</v>
      </c>
      <c r="I1217" s="16">
        <v>0</v>
      </c>
      <c r="J1217" s="16">
        <v>0</v>
      </c>
      <c r="K1217" s="16">
        <v>6.7000000000000002E-3</v>
      </c>
      <c r="L1217" s="16">
        <v>2.6180717238405852E-3</v>
      </c>
      <c r="M1217" s="16">
        <v>7.7604921588902967E-3</v>
      </c>
      <c r="N1217" s="16">
        <v>0</v>
      </c>
      <c r="O1217" s="16">
        <v>0</v>
      </c>
      <c r="P1217" s="95"/>
    </row>
    <row r="1218" spans="1:16" x14ac:dyDescent="0.25">
      <c r="A1218" s="16">
        <v>25</v>
      </c>
      <c r="B1218" s="16">
        <v>437995</v>
      </c>
      <c r="C1218" s="16">
        <v>5688493</v>
      </c>
      <c r="D1218" s="31">
        <v>13</v>
      </c>
      <c r="E1218" s="31" t="s">
        <v>96</v>
      </c>
      <c r="F1218" s="31">
        <v>2014</v>
      </c>
      <c r="G1218" s="16">
        <v>3.8399999999999997E-2</v>
      </c>
      <c r="H1218" s="16">
        <v>1.2004122081230899E-2</v>
      </c>
      <c r="I1218" s="16">
        <v>0</v>
      </c>
      <c r="J1218" s="16">
        <v>0</v>
      </c>
      <c r="K1218" s="16">
        <v>4.0600000000000004E-2</v>
      </c>
      <c r="L1218" s="16">
        <v>1.5864733132526534E-2</v>
      </c>
      <c r="M1218" s="16">
        <v>-3.8606110512956343E-3</v>
      </c>
      <c r="N1218" s="16">
        <v>0</v>
      </c>
      <c r="O1218" s="16">
        <v>0</v>
      </c>
      <c r="P1218" s="95"/>
    </row>
    <row r="1219" spans="1:16" x14ac:dyDescent="0.25">
      <c r="A1219" s="16">
        <v>26</v>
      </c>
      <c r="B1219" s="16">
        <v>438112</v>
      </c>
      <c r="C1219" s="16">
        <v>5688567</v>
      </c>
      <c r="D1219" s="31">
        <v>13</v>
      </c>
      <c r="E1219" s="31" t="s">
        <v>96</v>
      </c>
      <c r="F1219" s="31">
        <v>2014</v>
      </c>
      <c r="G1219" s="16">
        <v>9.2799999999999994E-2</v>
      </c>
      <c r="H1219" s="16">
        <v>2.9009961696308005E-2</v>
      </c>
      <c r="I1219" s="16">
        <v>0</v>
      </c>
      <c r="J1219" s="16">
        <v>0</v>
      </c>
      <c r="K1219" s="16">
        <v>7.0300000000000001E-2</v>
      </c>
      <c r="L1219" s="16">
        <v>2.7470215251640766E-2</v>
      </c>
      <c r="M1219" s="16">
        <v>1.5397464446672386E-3</v>
      </c>
      <c r="N1219" s="16">
        <v>0</v>
      </c>
      <c r="O1219" s="16">
        <v>0</v>
      </c>
      <c r="P1219" s="95"/>
    </row>
    <row r="1220" spans="1:16" x14ac:dyDescent="0.25">
      <c r="A1220" s="35">
        <v>27</v>
      </c>
      <c r="B1220" s="35">
        <v>438168.10856199998</v>
      </c>
      <c r="C1220" s="35">
        <v>5688512.3324180003</v>
      </c>
      <c r="D1220" s="96">
        <v>13</v>
      </c>
      <c r="E1220" s="96" t="s">
        <v>96</v>
      </c>
      <c r="F1220" s="96">
        <v>2014</v>
      </c>
      <c r="G1220" s="96" t="s">
        <v>18</v>
      </c>
      <c r="H1220" s="96" t="s">
        <v>18</v>
      </c>
      <c r="I1220" s="96" t="s">
        <v>18</v>
      </c>
      <c r="J1220" s="96" t="s">
        <v>18</v>
      </c>
      <c r="K1220" s="96" t="s">
        <v>18</v>
      </c>
      <c r="L1220" s="96" t="s">
        <v>18</v>
      </c>
      <c r="M1220" s="96" t="s">
        <v>18</v>
      </c>
      <c r="N1220" s="96" t="s">
        <v>18</v>
      </c>
      <c r="O1220" s="96" t="s">
        <v>18</v>
      </c>
      <c r="P1220" s="94" t="s">
        <v>21</v>
      </c>
    </row>
    <row r="1221" spans="1:16" x14ac:dyDescent="0.25">
      <c r="A1221" s="35">
        <v>28</v>
      </c>
      <c r="B1221" s="35">
        <v>438287.10856199998</v>
      </c>
      <c r="C1221" s="35">
        <v>5688512.3324180003</v>
      </c>
      <c r="D1221" s="96">
        <v>13</v>
      </c>
      <c r="E1221" s="96" t="s">
        <v>96</v>
      </c>
      <c r="F1221" s="96">
        <v>2014</v>
      </c>
      <c r="G1221" s="96" t="s">
        <v>18</v>
      </c>
      <c r="H1221" s="96" t="s">
        <v>18</v>
      </c>
      <c r="I1221" s="96" t="s">
        <v>18</v>
      </c>
      <c r="J1221" s="96" t="s">
        <v>18</v>
      </c>
      <c r="K1221" s="96" t="s">
        <v>18</v>
      </c>
      <c r="L1221" s="96" t="s">
        <v>18</v>
      </c>
      <c r="M1221" s="96" t="s">
        <v>18</v>
      </c>
      <c r="N1221" s="96" t="s">
        <v>18</v>
      </c>
      <c r="O1221" s="96" t="s">
        <v>18</v>
      </c>
      <c r="P1221" s="94" t="s">
        <v>21</v>
      </c>
    </row>
    <row r="1222" spans="1:16" x14ac:dyDescent="0.25">
      <c r="A1222" s="16">
        <v>29</v>
      </c>
      <c r="B1222" s="16">
        <v>438381</v>
      </c>
      <c r="C1222" s="16">
        <v>5688526</v>
      </c>
      <c r="D1222" s="31">
        <v>13</v>
      </c>
      <c r="E1222" s="31" t="s">
        <v>96</v>
      </c>
      <c r="F1222" s="31">
        <v>2014</v>
      </c>
      <c r="G1222" s="16">
        <v>0.1055</v>
      </c>
      <c r="H1222" s="16">
        <v>3.2980074988798437E-2</v>
      </c>
      <c r="I1222" s="16">
        <v>0</v>
      </c>
      <c r="J1222" s="16">
        <v>0</v>
      </c>
      <c r="K1222" s="16">
        <v>1.8100000000000002E-2</v>
      </c>
      <c r="L1222" s="16">
        <v>7.0727012241066558E-3</v>
      </c>
      <c r="M1222" s="16">
        <v>2.590737376469178E-2</v>
      </c>
      <c r="N1222" s="16">
        <v>0</v>
      </c>
      <c r="O1222" s="16">
        <v>0</v>
      </c>
      <c r="P1222" s="95"/>
    </row>
    <row r="1223" spans="1:16" x14ac:dyDescent="0.25">
      <c r="A1223" s="16">
        <v>30</v>
      </c>
      <c r="B1223" s="16">
        <v>438525.10856199998</v>
      </c>
      <c r="C1223" s="16">
        <v>5688512.3324180003</v>
      </c>
      <c r="D1223" s="31">
        <v>13</v>
      </c>
      <c r="E1223" s="31" t="s">
        <v>96</v>
      </c>
      <c r="F1223" s="31">
        <v>2014</v>
      </c>
      <c r="G1223" s="16">
        <v>3.6299999999999999E-2</v>
      </c>
      <c r="H1223" s="16">
        <v>1.1347646654913585E-2</v>
      </c>
      <c r="I1223" s="16">
        <v>0</v>
      </c>
      <c r="J1223" s="16">
        <v>0</v>
      </c>
      <c r="K1223" s="16">
        <v>5.4000000000000003E-3</v>
      </c>
      <c r="L1223" s="16">
        <v>2.1100876580207703E-3</v>
      </c>
      <c r="M1223" s="16">
        <v>9.2375589968928147E-3</v>
      </c>
      <c r="N1223" s="16">
        <v>0</v>
      </c>
      <c r="O1223" s="16">
        <v>0</v>
      </c>
      <c r="P1223" s="95"/>
    </row>
    <row r="1224" spans="1:16" x14ac:dyDescent="0.25">
      <c r="A1224" s="16">
        <v>31</v>
      </c>
      <c r="B1224" s="16">
        <v>437335.10856199998</v>
      </c>
      <c r="C1224" s="16">
        <v>5688631.3324180003</v>
      </c>
      <c r="D1224" s="31">
        <v>13</v>
      </c>
      <c r="E1224" s="31" t="s">
        <v>96</v>
      </c>
      <c r="F1224" s="31">
        <v>2014</v>
      </c>
      <c r="G1224" s="31" t="s">
        <v>18</v>
      </c>
      <c r="H1224" s="31" t="s">
        <v>18</v>
      </c>
      <c r="I1224" s="31" t="s">
        <v>18</v>
      </c>
      <c r="J1224" s="31" t="s">
        <v>18</v>
      </c>
      <c r="K1224" s="16">
        <v>3.2000000000000002E-3</v>
      </c>
      <c r="L1224" s="16">
        <v>1.2504223158641601E-3</v>
      </c>
      <c r="M1224" s="31" t="s">
        <v>18</v>
      </c>
      <c r="N1224" s="16">
        <v>0</v>
      </c>
      <c r="O1224" s="16">
        <v>0</v>
      </c>
      <c r="P1224" s="95" t="s">
        <v>105</v>
      </c>
    </row>
    <row r="1225" spans="1:16" x14ac:dyDescent="0.25">
      <c r="A1225" s="16">
        <v>32</v>
      </c>
      <c r="B1225" s="16">
        <v>437454.10856199998</v>
      </c>
      <c r="C1225" s="16">
        <v>5688631.3324180003</v>
      </c>
      <c r="D1225" s="31">
        <v>13</v>
      </c>
      <c r="E1225" s="31" t="s">
        <v>96</v>
      </c>
      <c r="F1225" s="31">
        <v>2014</v>
      </c>
      <c r="G1225" s="16">
        <v>2.93E-2</v>
      </c>
      <c r="H1225" s="16">
        <v>9.1593952338558694E-3</v>
      </c>
      <c r="I1225" s="16">
        <v>0</v>
      </c>
      <c r="J1225" s="16">
        <v>0</v>
      </c>
      <c r="K1225" s="16">
        <v>1.54E-2</v>
      </c>
      <c r="L1225" s="16">
        <v>6.0176573950962708E-3</v>
      </c>
      <c r="M1225" s="16">
        <v>3.1417378387595986E-3</v>
      </c>
      <c r="N1225" s="16">
        <v>0</v>
      </c>
      <c r="O1225" s="16">
        <v>0</v>
      </c>
      <c r="P1225" s="95"/>
    </row>
    <row r="1226" spans="1:16" x14ac:dyDescent="0.25">
      <c r="A1226" s="16">
        <v>33</v>
      </c>
      <c r="B1226" s="16">
        <v>437573.10856199998</v>
      </c>
      <c r="C1226" s="16">
        <v>5688631.3324180003</v>
      </c>
      <c r="D1226" s="31">
        <v>13</v>
      </c>
      <c r="E1226" s="31" t="s">
        <v>96</v>
      </c>
      <c r="F1226" s="31">
        <v>2014</v>
      </c>
      <c r="G1226" s="16">
        <v>2.8300000000000002E-2</v>
      </c>
      <c r="H1226" s="16">
        <v>8.8467878879904815E-3</v>
      </c>
      <c r="I1226" s="16">
        <v>0</v>
      </c>
      <c r="J1226" s="16">
        <v>0</v>
      </c>
      <c r="K1226" s="16">
        <v>1.8E-3</v>
      </c>
      <c r="L1226" s="16">
        <v>7.0336255267359007E-4</v>
      </c>
      <c r="M1226" s="16">
        <v>8.1434253353168916E-3</v>
      </c>
      <c r="N1226" s="16">
        <v>0</v>
      </c>
      <c r="O1226" s="16">
        <v>0</v>
      </c>
      <c r="P1226" s="95"/>
    </row>
    <row r="1227" spans="1:16" x14ac:dyDescent="0.25">
      <c r="A1227" s="16">
        <v>34</v>
      </c>
      <c r="B1227" s="16">
        <v>437692.10856199998</v>
      </c>
      <c r="C1227" s="16">
        <v>5688631.3324180003</v>
      </c>
      <c r="D1227" s="31">
        <v>13</v>
      </c>
      <c r="E1227" s="31" t="s">
        <v>96</v>
      </c>
      <c r="F1227" s="31">
        <v>2014</v>
      </c>
      <c r="G1227" s="16">
        <v>7.0300000000000001E-2</v>
      </c>
      <c r="H1227" s="16">
        <v>2.1976296414336779E-2</v>
      </c>
      <c r="I1227" s="16">
        <v>0</v>
      </c>
      <c r="J1227" s="16">
        <v>0</v>
      </c>
      <c r="K1227" s="16">
        <v>6.0000000000000001E-3</v>
      </c>
      <c r="L1227" s="16">
        <v>2.3445418422453003E-3</v>
      </c>
      <c r="M1227" s="16">
        <v>1.963175457209148E-2</v>
      </c>
      <c r="N1227" s="16">
        <v>0</v>
      </c>
      <c r="O1227" s="16">
        <v>0</v>
      </c>
      <c r="P1227" s="95"/>
    </row>
    <row r="1228" spans="1:16" x14ac:dyDescent="0.25">
      <c r="A1228" s="16">
        <v>35</v>
      </c>
      <c r="B1228" s="16">
        <v>437893</v>
      </c>
      <c r="C1228" s="16">
        <v>5688620</v>
      </c>
      <c r="D1228" s="31">
        <v>13</v>
      </c>
      <c r="E1228" s="31" t="s">
        <v>96</v>
      </c>
      <c r="F1228" s="31">
        <v>2014</v>
      </c>
      <c r="G1228" s="16">
        <v>3.4700000000000002E-2</v>
      </c>
      <c r="H1228" s="16">
        <v>1.0847474901528965E-2</v>
      </c>
      <c r="I1228" s="16">
        <v>0</v>
      </c>
      <c r="J1228" s="16">
        <v>0</v>
      </c>
      <c r="K1228" s="16">
        <v>2.7000000000000001E-3</v>
      </c>
      <c r="L1228" s="16">
        <v>1.0550438290103852E-3</v>
      </c>
      <c r="M1228" s="16">
        <v>9.7924310725185804E-3</v>
      </c>
      <c r="N1228" s="16">
        <v>0</v>
      </c>
      <c r="O1228" s="16">
        <v>0</v>
      </c>
      <c r="P1228" s="95"/>
    </row>
    <row r="1229" spans="1:16" x14ac:dyDescent="0.25">
      <c r="A1229" s="16">
        <v>36</v>
      </c>
      <c r="B1229" s="16">
        <v>437930.10856199998</v>
      </c>
      <c r="C1229" s="16">
        <v>5688631.3324180003</v>
      </c>
      <c r="D1229" s="31">
        <v>13</v>
      </c>
      <c r="E1229" s="31" t="s">
        <v>96</v>
      </c>
      <c r="F1229" s="31">
        <v>2014</v>
      </c>
      <c r="G1229" s="16">
        <v>1.11E-2</v>
      </c>
      <c r="H1229" s="16">
        <v>3.4699415391058071E-3</v>
      </c>
      <c r="I1229" s="16">
        <v>0</v>
      </c>
      <c r="J1229" s="16">
        <v>0</v>
      </c>
      <c r="K1229" s="16">
        <v>4.0000000000000001E-3</v>
      </c>
      <c r="L1229" s="16">
        <v>1.5630278948302002E-3</v>
      </c>
      <c r="M1229" s="16">
        <v>1.9069136442756069E-3</v>
      </c>
      <c r="N1229" s="16">
        <v>0</v>
      </c>
      <c r="O1229" s="16">
        <v>0</v>
      </c>
      <c r="P1229" s="95"/>
    </row>
    <row r="1230" spans="1:16" x14ac:dyDescent="0.25">
      <c r="A1230" s="35">
        <v>37</v>
      </c>
      <c r="B1230" s="35">
        <v>438049.10856199998</v>
      </c>
      <c r="C1230" s="35">
        <v>5688631.3324180003</v>
      </c>
      <c r="D1230" s="96">
        <v>13</v>
      </c>
      <c r="E1230" s="96" t="s">
        <v>96</v>
      </c>
      <c r="F1230" s="96">
        <v>2014</v>
      </c>
      <c r="G1230" s="96" t="s">
        <v>18</v>
      </c>
      <c r="H1230" s="96" t="s">
        <v>18</v>
      </c>
      <c r="I1230" s="96" t="s">
        <v>18</v>
      </c>
      <c r="J1230" s="96" t="s">
        <v>18</v>
      </c>
      <c r="K1230" s="96" t="s">
        <v>18</v>
      </c>
      <c r="L1230" s="96" t="s">
        <v>18</v>
      </c>
      <c r="M1230" s="96" t="s">
        <v>18</v>
      </c>
      <c r="N1230" s="96" t="s">
        <v>18</v>
      </c>
      <c r="O1230" s="96" t="s">
        <v>18</v>
      </c>
      <c r="P1230" s="94" t="s">
        <v>21</v>
      </c>
    </row>
    <row r="1231" spans="1:16" x14ac:dyDescent="0.25">
      <c r="A1231" s="16">
        <v>38</v>
      </c>
      <c r="B1231" s="16">
        <v>438067</v>
      </c>
      <c r="C1231" s="16">
        <v>5688710</v>
      </c>
      <c r="D1231" s="31">
        <v>12</v>
      </c>
      <c r="E1231" s="31" t="s">
        <v>96</v>
      </c>
      <c r="F1231" s="31">
        <v>2014</v>
      </c>
      <c r="G1231" s="16">
        <v>9.7200000000000009E-2</v>
      </c>
      <c r="H1231" s="16">
        <v>2.3253099376835857E-2</v>
      </c>
      <c r="I1231" s="16">
        <v>0</v>
      </c>
      <c r="J1231" s="16">
        <v>0</v>
      </c>
      <c r="K1231" s="16">
        <v>3.4700000000000002E-2</v>
      </c>
      <c r="L1231" s="16">
        <v>1.4260625243453199E-2</v>
      </c>
      <c r="M1231" s="16">
        <v>8.9924741333826577E-3</v>
      </c>
      <c r="N1231" s="16">
        <v>0</v>
      </c>
      <c r="O1231" s="16">
        <v>0</v>
      </c>
      <c r="P1231" s="95"/>
    </row>
    <row r="1232" spans="1:16" x14ac:dyDescent="0.25">
      <c r="A1232" s="35">
        <v>39</v>
      </c>
      <c r="B1232" s="35">
        <v>438287.10856199998</v>
      </c>
      <c r="C1232" s="35">
        <v>5688631.3324180003</v>
      </c>
      <c r="D1232" s="96">
        <v>13</v>
      </c>
      <c r="E1232" s="96" t="s">
        <v>96</v>
      </c>
      <c r="F1232" s="96">
        <v>2014</v>
      </c>
      <c r="G1232" s="96" t="s">
        <v>18</v>
      </c>
      <c r="H1232" s="96" t="s">
        <v>18</v>
      </c>
      <c r="I1232" s="96" t="s">
        <v>18</v>
      </c>
      <c r="J1232" s="96" t="s">
        <v>18</v>
      </c>
      <c r="K1232" s="96" t="s">
        <v>18</v>
      </c>
      <c r="L1232" s="96" t="s">
        <v>18</v>
      </c>
      <c r="M1232" s="96" t="s">
        <v>18</v>
      </c>
      <c r="N1232" s="96" t="s">
        <v>18</v>
      </c>
      <c r="O1232" s="96" t="s">
        <v>18</v>
      </c>
      <c r="P1232" s="94" t="s">
        <v>22</v>
      </c>
    </row>
    <row r="1233" spans="1:16" x14ac:dyDescent="0.25">
      <c r="A1233" s="16">
        <v>40</v>
      </c>
      <c r="B1233" s="16">
        <v>438406.10856199998</v>
      </c>
      <c r="C1233" s="16">
        <v>5688631.3324180003</v>
      </c>
      <c r="D1233" s="31">
        <v>13</v>
      </c>
      <c r="E1233" s="31" t="s">
        <v>96</v>
      </c>
      <c r="F1233" s="31">
        <v>2014</v>
      </c>
      <c r="G1233" s="16">
        <v>6.8699999999999997E-2</v>
      </c>
      <c r="H1233" s="16">
        <v>2.1476124660952157E-2</v>
      </c>
      <c r="I1233" s="16">
        <v>4.3299999999999998E-2</v>
      </c>
      <c r="J1233" s="16">
        <v>1.8444893495959243E-2</v>
      </c>
      <c r="K1233" s="16">
        <v>1.2199999999999999E-2</v>
      </c>
      <c r="L1233" s="16">
        <v>4.7672350792321103E-3</v>
      </c>
      <c r="M1233" s="16">
        <v>1.6708889581720045E-2</v>
      </c>
      <c r="N1233" s="16">
        <v>0</v>
      </c>
      <c r="O1233" s="16">
        <v>0</v>
      </c>
      <c r="P1233" s="95"/>
    </row>
    <row r="1234" spans="1:16" x14ac:dyDescent="0.25">
      <c r="A1234" s="16">
        <v>41</v>
      </c>
      <c r="B1234" s="16">
        <v>437310</v>
      </c>
      <c r="C1234" s="16">
        <v>5688729</v>
      </c>
      <c r="D1234" s="31">
        <v>13</v>
      </c>
      <c r="E1234" s="31" t="s">
        <v>96</v>
      </c>
      <c r="F1234" s="31">
        <v>2014</v>
      </c>
      <c r="G1234" s="16">
        <v>9.06E-2</v>
      </c>
      <c r="H1234" s="16">
        <v>2.8322225535404155E-2</v>
      </c>
      <c r="I1234" s="16">
        <v>3.3399999999999999E-2</v>
      </c>
      <c r="J1234" s="16">
        <v>1.4227700756698354E-2</v>
      </c>
      <c r="K1234" s="16">
        <v>1.6E-2</v>
      </c>
      <c r="L1234" s="16">
        <v>6.2521115793208008E-3</v>
      </c>
      <c r="M1234" s="16">
        <v>2.2070113956083354E-2</v>
      </c>
      <c r="N1234" s="16">
        <v>0</v>
      </c>
      <c r="O1234" s="16">
        <v>0</v>
      </c>
      <c r="P1234" s="95"/>
    </row>
    <row r="1235" spans="1:16" x14ac:dyDescent="0.25">
      <c r="A1235" s="16">
        <v>42</v>
      </c>
      <c r="B1235" s="16">
        <v>437454.10856199998</v>
      </c>
      <c r="C1235" s="16">
        <v>5688750.3324180003</v>
      </c>
      <c r="D1235" s="31">
        <v>13</v>
      </c>
      <c r="E1235" s="31" t="s">
        <v>96</v>
      </c>
      <c r="F1235" s="31">
        <v>2014</v>
      </c>
      <c r="G1235" s="16">
        <v>4.0399999999999998E-2</v>
      </c>
      <c r="H1235" s="16">
        <v>1.2629336772961675E-2</v>
      </c>
      <c r="I1235" s="16">
        <v>0</v>
      </c>
      <c r="J1235" s="16">
        <v>0</v>
      </c>
      <c r="K1235" s="16">
        <v>3.4700000000000002E-2</v>
      </c>
      <c r="L1235" s="16">
        <v>1.3559266987651987E-2</v>
      </c>
      <c r="M1235" s="16">
        <v>-9.2993021469031135E-4</v>
      </c>
      <c r="N1235" s="16">
        <v>0</v>
      </c>
      <c r="O1235" s="16">
        <v>0</v>
      </c>
      <c r="P1235" s="95"/>
    </row>
    <row r="1236" spans="1:16" x14ac:dyDescent="0.25">
      <c r="A1236" s="16">
        <v>43</v>
      </c>
      <c r="B1236" s="16">
        <v>437573.10856199998</v>
      </c>
      <c r="C1236" s="16">
        <v>5688750.3324180003</v>
      </c>
      <c r="D1236" s="31">
        <v>13</v>
      </c>
      <c r="E1236" s="31" t="s">
        <v>96</v>
      </c>
      <c r="F1236" s="31">
        <v>2014</v>
      </c>
      <c r="G1236" s="16">
        <v>4.1599999999999998E-2</v>
      </c>
      <c r="H1236" s="16">
        <v>1.3004465588000141E-2</v>
      </c>
      <c r="I1236" s="16">
        <v>0</v>
      </c>
      <c r="J1236" s="16">
        <v>0</v>
      </c>
      <c r="K1236" s="16">
        <v>7.4999999999999997E-3</v>
      </c>
      <c r="L1236" s="16">
        <v>2.9306773028066253E-3</v>
      </c>
      <c r="M1236" s="16">
        <v>1.0073788285193517E-2</v>
      </c>
      <c r="N1236" s="16">
        <v>0</v>
      </c>
      <c r="O1236" s="16">
        <v>0</v>
      </c>
      <c r="P1236" s="95"/>
    </row>
    <row r="1237" spans="1:16" x14ac:dyDescent="0.25">
      <c r="A1237" s="16">
        <v>44</v>
      </c>
      <c r="B1237" s="16">
        <v>437692.10856199998</v>
      </c>
      <c r="C1237" s="16">
        <v>5688750.3324180003</v>
      </c>
      <c r="D1237" s="31">
        <v>13</v>
      </c>
      <c r="E1237" s="31" t="s">
        <v>96</v>
      </c>
      <c r="F1237" s="31">
        <v>2014</v>
      </c>
      <c r="G1237" s="31" t="s">
        <v>18</v>
      </c>
      <c r="H1237" s="31" t="s">
        <v>18</v>
      </c>
      <c r="I1237" s="31" t="s">
        <v>18</v>
      </c>
      <c r="J1237" s="31" t="s">
        <v>18</v>
      </c>
      <c r="K1237" s="16">
        <v>5.3E-3</v>
      </c>
      <c r="L1237" s="16">
        <v>2.071011960650015E-3</v>
      </c>
      <c r="M1237" s="31" t="s">
        <v>18</v>
      </c>
      <c r="N1237" s="16">
        <v>0</v>
      </c>
      <c r="O1237" s="16">
        <v>0</v>
      </c>
      <c r="P1237" s="95" t="s">
        <v>105</v>
      </c>
    </row>
    <row r="1238" spans="1:16" x14ac:dyDescent="0.25">
      <c r="A1238" s="16">
        <v>45</v>
      </c>
      <c r="B1238" s="16">
        <v>437811.10856199998</v>
      </c>
      <c r="C1238" s="16">
        <v>5688750.3324180003</v>
      </c>
      <c r="D1238" s="31">
        <v>12</v>
      </c>
      <c r="E1238" s="31" t="s">
        <v>96</v>
      </c>
      <c r="F1238" s="31">
        <v>2014</v>
      </c>
      <c r="G1238" s="16">
        <v>6.6099999999999992E-2</v>
      </c>
      <c r="H1238" s="16">
        <v>1.5813064493918207E-2</v>
      </c>
      <c r="I1238" s="16">
        <v>0</v>
      </c>
      <c r="J1238" s="16">
        <v>0</v>
      </c>
      <c r="K1238" s="16">
        <v>6.7999999999999996E-3</v>
      </c>
      <c r="L1238" s="16">
        <v>2.7945893848842001E-3</v>
      </c>
      <c r="M1238" s="16">
        <v>1.3018475109034006E-2</v>
      </c>
      <c r="N1238" s="16">
        <v>0</v>
      </c>
      <c r="O1238" s="16">
        <v>0</v>
      </c>
      <c r="P1238" s="95"/>
    </row>
    <row r="1239" spans="1:16" x14ac:dyDescent="0.25">
      <c r="A1239" s="16">
        <v>46</v>
      </c>
      <c r="B1239" s="16">
        <v>437930.10856199998</v>
      </c>
      <c r="C1239" s="16">
        <v>5688750.3324180003</v>
      </c>
      <c r="D1239" s="31">
        <v>12</v>
      </c>
      <c r="E1239" s="31" t="s">
        <v>96</v>
      </c>
      <c r="F1239" s="31">
        <v>2014</v>
      </c>
      <c r="G1239" s="31" t="s">
        <v>18</v>
      </c>
      <c r="H1239" s="31" t="s">
        <v>18</v>
      </c>
      <c r="I1239" s="31" t="s">
        <v>18</v>
      </c>
      <c r="J1239" s="31" t="s">
        <v>18</v>
      </c>
      <c r="K1239" s="16">
        <v>8.4000000000000012E-3</v>
      </c>
      <c r="L1239" s="16">
        <v>3.4521398283863655E-3</v>
      </c>
      <c r="M1239" s="31" t="s">
        <v>18</v>
      </c>
      <c r="N1239" s="16">
        <v>1.5E-3</v>
      </c>
      <c r="O1239" s="16">
        <v>5.3571428571428552E-4</v>
      </c>
      <c r="P1239" s="95" t="s">
        <v>105</v>
      </c>
    </row>
    <row r="1240" spans="1:16" x14ac:dyDescent="0.25">
      <c r="A1240" s="16">
        <v>47</v>
      </c>
      <c r="B1240" s="16">
        <v>438061</v>
      </c>
      <c r="C1240" s="16">
        <v>5688779</v>
      </c>
      <c r="D1240" s="31">
        <v>12</v>
      </c>
      <c r="E1240" s="31" t="s">
        <v>96</v>
      </c>
      <c r="F1240" s="31">
        <v>2014</v>
      </c>
      <c r="G1240" s="16">
        <v>0.13569999999999999</v>
      </c>
      <c r="H1240" s="16">
        <v>3.2463431948936472E-2</v>
      </c>
      <c r="I1240" s="16">
        <v>7.6E-3</v>
      </c>
      <c r="J1240" s="16">
        <v>3.2148575240097932E-3</v>
      </c>
      <c r="K1240" s="16">
        <v>8.3000000000000001E-3</v>
      </c>
      <c r="L1240" s="16">
        <v>3.4110429256674797E-3</v>
      </c>
      <c r="M1240" s="16">
        <v>2.9052389023268992E-2</v>
      </c>
      <c r="N1240" s="16">
        <v>0</v>
      </c>
      <c r="O1240" s="16">
        <v>0</v>
      </c>
      <c r="P1240" s="95"/>
    </row>
    <row r="1241" spans="1:16" x14ac:dyDescent="0.25">
      <c r="A1241" s="35">
        <v>48</v>
      </c>
      <c r="B1241" s="35">
        <v>438168.10856199998</v>
      </c>
      <c r="C1241" s="35">
        <v>5688750.3324180003</v>
      </c>
      <c r="D1241" s="96">
        <v>13</v>
      </c>
      <c r="E1241" s="96" t="s">
        <v>96</v>
      </c>
      <c r="F1241" s="96">
        <v>2014</v>
      </c>
      <c r="G1241" s="96" t="s">
        <v>18</v>
      </c>
      <c r="H1241" s="96" t="s">
        <v>18</v>
      </c>
      <c r="I1241" s="96" t="s">
        <v>18</v>
      </c>
      <c r="J1241" s="96" t="s">
        <v>18</v>
      </c>
      <c r="K1241" s="96" t="s">
        <v>18</v>
      </c>
      <c r="L1241" s="96" t="s">
        <v>18</v>
      </c>
      <c r="M1241" s="96" t="s">
        <v>18</v>
      </c>
      <c r="N1241" s="96" t="s">
        <v>18</v>
      </c>
      <c r="O1241" s="96" t="s">
        <v>18</v>
      </c>
      <c r="P1241" s="94" t="s">
        <v>21</v>
      </c>
    </row>
    <row r="1242" spans="1:16" x14ac:dyDescent="0.25">
      <c r="A1242" s="16">
        <v>49</v>
      </c>
      <c r="B1242" s="16">
        <v>437454.10856199998</v>
      </c>
      <c r="C1242" s="16">
        <v>5688869.3324180003</v>
      </c>
      <c r="D1242" s="31">
        <v>12</v>
      </c>
      <c r="E1242" s="31" t="s">
        <v>96</v>
      </c>
      <c r="F1242" s="31">
        <v>2014</v>
      </c>
      <c r="G1242" s="16">
        <v>4.8899999999999999E-2</v>
      </c>
      <c r="H1242" s="16">
        <v>1.1698318513655074E-2</v>
      </c>
      <c r="I1242" s="16">
        <v>0</v>
      </c>
      <c r="J1242" s="16">
        <v>0</v>
      </c>
      <c r="K1242" s="16">
        <v>5.1200000000000002E-2</v>
      </c>
      <c r="L1242" s="16">
        <v>2.1041614192069274E-2</v>
      </c>
      <c r="M1242" s="16">
        <v>-9.3432956784141995E-3</v>
      </c>
      <c r="N1242" s="16">
        <v>0</v>
      </c>
      <c r="O1242" s="16">
        <v>0</v>
      </c>
      <c r="P1242" s="95"/>
    </row>
    <row r="1243" spans="1:16" x14ac:dyDescent="0.25">
      <c r="A1243" s="16">
        <v>50</v>
      </c>
      <c r="B1243" s="16">
        <v>437811.10856199998</v>
      </c>
      <c r="C1243" s="16">
        <v>5688869.3324180003</v>
      </c>
      <c r="D1243" s="31">
        <v>12</v>
      </c>
      <c r="E1243" s="31" t="s">
        <v>96</v>
      </c>
      <c r="F1243" s="31">
        <v>2014</v>
      </c>
      <c r="G1243" s="16">
        <v>6.3500000000000001E-2</v>
      </c>
      <c r="H1243" s="16">
        <v>1.5191068008529597E-2</v>
      </c>
      <c r="I1243" s="16">
        <v>0</v>
      </c>
      <c r="J1243" s="16">
        <v>0</v>
      </c>
      <c r="K1243" s="16">
        <v>8.9999999999999998E-4</v>
      </c>
      <c r="L1243" s="16">
        <v>3.6987212446996768E-4</v>
      </c>
      <c r="M1243" s="16">
        <v>1.482119588405963E-2</v>
      </c>
      <c r="N1243" s="16">
        <v>0</v>
      </c>
      <c r="O1243" s="16">
        <v>0</v>
      </c>
      <c r="P1243" s="95"/>
    </row>
    <row r="1244" spans="1:16" x14ac:dyDescent="0.25">
      <c r="A1244" s="16">
        <v>51</v>
      </c>
      <c r="B1244" s="16">
        <v>437930.10856199998</v>
      </c>
      <c r="C1244" s="16">
        <v>5688869.3324180003</v>
      </c>
      <c r="D1244" s="31">
        <v>12</v>
      </c>
      <c r="E1244" s="31" t="s">
        <v>96</v>
      </c>
      <c r="F1244" s="31">
        <v>2014</v>
      </c>
      <c r="G1244" s="16">
        <v>4.1299999999999996E-2</v>
      </c>
      <c r="H1244" s="16">
        <v>9.8801749409806669E-3</v>
      </c>
      <c r="I1244" s="16">
        <v>0</v>
      </c>
      <c r="J1244" s="16">
        <v>0</v>
      </c>
      <c r="K1244" s="16">
        <v>1.09E-2</v>
      </c>
      <c r="L1244" s="16">
        <v>4.4795623963584975E-3</v>
      </c>
      <c r="M1244" s="16">
        <v>5.4006125446221694E-3</v>
      </c>
      <c r="N1244" s="16">
        <v>0</v>
      </c>
      <c r="O1244" s="16">
        <v>0</v>
      </c>
      <c r="P1244" s="95"/>
    </row>
    <row r="1245" spans="1:16" x14ac:dyDescent="0.25">
      <c r="A1245" s="16">
        <v>52</v>
      </c>
      <c r="B1245" s="16">
        <v>438049.10856199998</v>
      </c>
      <c r="C1245" s="16">
        <v>5688869.3324180003</v>
      </c>
      <c r="D1245" s="31">
        <v>12</v>
      </c>
      <c r="E1245" s="31" t="s">
        <v>96</v>
      </c>
      <c r="F1245" s="31">
        <v>2014</v>
      </c>
      <c r="G1245" s="16">
        <v>1.1300000000000001E-2</v>
      </c>
      <c r="H1245" s="16">
        <v>2.7032924172658971E-3</v>
      </c>
      <c r="I1245" s="16">
        <v>0.1037</v>
      </c>
      <c r="J1245" s="16">
        <v>4.3865884899975727E-2</v>
      </c>
      <c r="K1245" s="16">
        <v>5.0999999999999995E-3</v>
      </c>
      <c r="L1245" s="16">
        <v>2.0959420386631499E-3</v>
      </c>
      <c r="M1245" s="16">
        <v>6.0735037860274723E-4</v>
      </c>
      <c r="N1245" s="16">
        <v>0</v>
      </c>
      <c r="O1245" s="16">
        <v>0</v>
      </c>
      <c r="P1245" s="95"/>
    </row>
    <row r="1246" spans="1:16" x14ac:dyDescent="0.25">
      <c r="A1246" s="16">
        <v>53</v>
      </c>
      <c r="B1246" s="16">
        <v>438287.10856199998</v>
      </c>
      <c r="C1246" s="16">
        <v>5688869.3324180003</v>
      </c>
      <c r="D1246" s="31">
        <v>12</v>
      </c>
      <c r="E1246" s="31" t="s">
        <v>96</v>
      </c>
      <c r="F1246" s="31">
        <v>2014</v>
      </c>
      <c r="G1246" s="16">
        <v>1.32E-2</v>
      </c>
      <c r="H1246" s="16">
        <v>3.157828310434499E-3</v>
      </c>
      <c r="I1246" s="16">
        <v>0</v>
      </c>
      <c r="J1246" s="16">
        <v>0</v>
      </c>
      <c r="K1246" s="16">
        <v>3.7000000000000002E-3</v>
      </c>
      <c r="L1246" s="16">
        <v>1.5205854005987561E-3</v>
      </c>
      <c r="M1246" s="16">
        <v>1.6372429098357429E-3</v>
      </c>
      <c r="N1246" s="16">
        <v>0</v>
      </c>
      <c r="O1246" s="16">
        <v>0</v>
      </c>
      <c r="P1246" s="95"/>
    </row>
    <row r="1247" spans="1:16" x14ac:dyDescent="0.25">
      <c r="A1247" s="16">
        <v>54</v>
      </c>
      <c r="B1247" s="16">
        <v>437454.10856199998</v>
      </c>
      <c r="C1247" s="16">
        <v>5688988.3324180003</v>
      </c>
      <c r="D1247" s="31">
        <v>12</v>
      </c>
      <c r="E1247" s="31" t="s">
        <v>96</v>
      </c>
      <c r="F1247" s="31">
        <v>2014</v>
      </c>
      <c r="G1247" s="16">
        <v>9.5299999999999996E-2</v>
      </c>
      <c r="H1247" s="16">
        <v>2.2798563483667253E-2</v>
      </c>
      <c r="I1247" s="16">
        <v>1.0500000000000001E-2</v>
      </c>
      <c r="J1247" s="16">
        <v>4.4415794739608985E-3</v>
      </c>
      <c r="K1247" s="16">
        <v>2.1600000000000001E-2</v>
      </c>
      <c r="L1247" s="16">
        <v>8.8769309872792253E-3</v>
      </c>
      <c r="M1247" s="16">
        <v>1.3921632496388028E-2</v>
      </c>
      <c r="N1247" s="16">
        <v>0</v>
      </c>
      <c r="O1247" s="16">
        <v>0</v>
      </c>
      <c r="P1247" s="95"/>
    </row>
    <row r="1248" spans="1:16" x14ac:dyDescent="0.25">
      <c r="A1248" s="16">
        <v>55</v>
      </c>
      <c r="B1248" s="16">
        <v>438049.10856199998</v>
      </c>
      <c r="C1248" s="16">
        <v>5688988.3324180003</v>
      </c>
      <c r="D1248" s="31">
        <v>12</v>
      </c>
      <c r="E1248" s="31" t="s">
        <v>96</v>
      </c>
      <c r="F1248" s="31">
        <v>2014</v>
      </c>
      <c r="G1248" s="16">
        <v>2.4E-2</v>
      </c>
      <c r="H1248" s="16">
        <v>5.7415060189718158E-3</v>
      </c>
      <c r="I1248" s="16">
        <v>0</v>
      </c>
      <c r="J1248" s="16">
        <v>0</v>
      </c>
      <c r="K1248" s="16">
        <v>8.199999999999999E-3</v>
      </c>
      <c r="L1248" s="16">
        <v>3.3699460229485939E-3</v>
      </c>
      <c r="M1248" s="16">
        <v>2.3715599960232219E-3</v>
      </c>
      <c r="N1248" s="16">
        <v>0</v>
      </c>
      <c r="O1248" s="16">
        <v>0</v>
      </c>
      <c r="P1248" s="95"/>
    </row>
    <row r="1249" spans="1:19" x14ac:dyDescent="0.25">
      <c r="A1249" s="16">
        <v>56</v>
      </c>
      <c r="B1249" s="16">
        <v>438168.10856199998</v>
      </c>
      <c r="C1249" s="16">
        <v>5688988.3324180003</v>
      </c>
      <c r="D1249" s="31">
        <v>12</v>
      </c>
      <c r="E1249" s="31" t="s">
        <v>96</v>
      </c>
      <c r="F1249" s="31">
        <v>2014</v>
      </c>
      <c r="G1249" s="16">
        <v>3.0100000000000002E-2</v>
      </c>
      <c r="H1249" s="16">
        <v>7.2008054654604864E-3</v>
      </c>
      <c r="I1249" s="16">
        <v>0</v>
      </c>
      <c r="J1249" s="16">
        <v>0</v>
      </c>
      <c r="K1249" s="16">
        <v>1.8E-3</v>
      </c>
      <c r="L1249" s="16">
        <v>7.3974424893993537E-4</v>
      </c>
      <c r="M1249" s="16">
        <v>6.4610612165205512E-3</v>
      </c>
      <c r="N1249" s="16">
        <v>0</v>
      </c>
      <c r="O1249" s="16">
        <v>0</v>
      </c>
      <c r="P1249" s="95"/>
    </row>
    <row r="1250" spans="1:19" x14ac:dyDescent="0.25">
      <c r="A1250" s="36">
        <v>57</v>
      </c>
      <c r="B1250" s="36">
        <v>438146</v>
      </c>
      <c r="C1250" s="36">
        <v>5688977</v>
      </c>
      <c r="D1250" s="99">
        <v>12</v>
      </c>
      <c r="E1250" s="99" t="s">
        <v>96</v>
      </c>
      <c r="F1250" s="99">
        <v>2014</v>
      </c>
      <c r="G1250" s="36">
        <v>0.13009999999999999</v>
      </c>
      <c r="H1250" s="36">
        <v>3.1123747211176386E-2</v>
      </c>
      <c r="I1250" s="36">
        <v>0</v>
      </c>
      <c r="J1250" s="36">
        <v>0</v>
      </c>
      <c r="K1250" s="36">
        <v>1.29E-2</v>
      </c>
      <c r="L1250" s="36">
        <v>5.3015004507362034E-3</v>
      </c>
      <c r="M1250" s="36">
        <v>2.5822246760440183E-2</v>
      </c>
      <c r="N1250" s="36">
        <v>0</v>
      </c>
      <c r="O1250" s="36">
        <v>0</v>
      </c>
      <c r="P1250" s="100"/>
    </row>
    <row r="1251" spans="1:19" x14ac:dyDescent="0.25">
      <c r="A1251" s="36">
        <v>58</v>
      </c>
      <c r="B1251" s="36">
        <v>438131</v>
      </c>
      <c r="C1251" s="36">
        <v>5688972</v>
      </c>
      <c r="D1251" s="99">
        <v>12</v>
      </c>
      <c r="E1251" s="99" t="s">
        <v>96</v>
      </c>
      <c r="F1251" s="99">
        <v>2014</v>
      </c>
      <c r="G1251" s="36">
        <v>0.31689999999999996</v>
      </c>
      <c r="H1251" s="36">
        <v>7.581180239217368E-2</v>
      </c>
      <c r="I1251" s="36">
        <v>0</v>
      </c>
      <c r="J1251" s="36">
        <v>0</v>
      </c>
      <c r="K1251" s="36">
        <v>2.5499999999999998E-2</v>
      </c>
      <c r="L1251" s="36">
        <v>1.047971019331575E-2</v>
      </c>
      <c r="M1251" s="36">
        <v>6.5332092198857925E-2</v>
      </c>
      <c r="N1251" s="36">
        <v>0</v>
      </c>
      <c r="O1251" s="36">
        <v>0</v>
      </c>
      <c r="P1251" s="100"/>
    </row>
    <row r="1252" spans="1:19" x14ac:dyDescent="0.25">
      <c r="A1252" s="36">
        <v>59</v>
      </c>
      <c r="B1252" s="36">
        <v>438089</v>
      </c>
      <c r="C1252" s="36">
        <v>5688713</v>
      </c>
      <c r="D1252" s="99">
        <v>12</v>
      </c>
      <c r="E1252" s="99" t="s">
        <v>96</v>
      </c>
      <c r="F1252" s="99">
        <v>2014</v>
      </c>
      <c r="G1252" s="36">
        <v>0.1976</v>
      </c>
      <c r="H1252" s="36">
        <v>4.7271732889534616E-2</v>
      </c>
      <c r="I1252" s="36">
        <v>0</v>
      </c>
      <c r="J1252" s="36">
        <v>0</v>
      </c>
      <c r="K1252" s="36">
        <v>7.9000000000000008E-3</v>
      </c>
      <c r="L1252" s="36">
        <v>3.2466553147919388E-3</v>
      </c>
      <c r="M1252" s="36">
        <v>4.402507757474268E-2</v>
      </c>
      <c r="N1252" s="36">
        <v>0</v>
      </c>
      <c r="O1252" s="36">
        <v>0</v>
      </c>
      <c r="P1252" s="100"/>
    </row>
    <row r="1253" spans="1:19" x14ac:dyDescent="0.25">
      <c r="A1253" s="36">
        <v>60</v>
      </c>
      <c r="B1253" s="36">
        <v>438099</v>
      </c>
      <c r="C1253" s="36">
        <v>5688719</v>
      </c>
      <c r="D1253" s="99">
        <v>12</v>
      </c>
      <c r="E1253" s="99" t="s">
        <v>96</v>
      </c>
      <c r="F1253" s="99">
        <v>2014</v>
      </c>
      <c r="G1253" s="36">
        <v>0.14859999999999998</v>
      </c>
      <c r="H1253" s="36">
        <v>3.5549491434133822E-2</v>
      </c>
      <c r="I1253" s="36">
        <v>0</v>
      </c>
      <c r="J1253" s="36">
        <v>0</v>
      </c>
      <c r="K1253" s="36">
        <v>1.2999999999999999E-3</v>
      </c>
      <c r="L1253" s="36">
        <v>5.342597353455088E-4</v>
      </c>
      <c r="M1253" s="36">
        <v>3.5015231698788313E-2</v>
      </c>
      <c r="N1253" s="36">
        <v>0</v>
      </c>
      <c r="O1253" s="36">
        <v>0</v>
      </c>
      <c r="P1253" s="100"/>
    </row>
    <row r="1254" spans="1:19" x14ac:dyDescent="0.25">
      <c r="A1254" s="16">
        <v>1</v>
      </c>
      <c r="B1254" s="16">
        <v>437930.10856199998</v>
      </c>
      <c r="C1254" s="16">
        <v>5688036.3324180003</v>
      </c>
      <c r="D1254" s="31">
        <v>22</v>
      </c>
      <c r="E1254" s="31" t="s">
        <v>33</v>
      </c>
      <c r="F1254" s="31">
        <v>2014</v>
      </c>
      <c r="G1254" s="16">
        <v>7.7999999999999996E-3</v>
      </c>
      <c r="H1254" s="16">
        <v>2.2742380652520282E-3</v>
      </c>
      <c r="I1254" s="16">
        <v>0</v>
      </c>
      <c r="J1254" s="16">
        <v>0</v>
      </c>
      <c r="K1254" s="16">
        <v>0</v>
      </c>
      <c r="L1254" s="16">
        <v>0</v>
      </c>
      <c r="M1254" s="16">
        <v>2.2742380652520282E-3</v>
      </c>
      <c r="N1254" s="16">
        <v>1.26E-2</v>
      </c>
      <c r="O1254" s="16">
        <v>6.2087145667013757E-3</v>
      </c>
      <c r="P1254" s="95" t="s">
        <v>107</v>
      </c>
      <c r="R1254" s="5">
        <f>AVERAGE(M1254:M1313)</f>
        <v>4.1592400195145356E-3</v>
      </c>
      <c r="S1254" s="5">
        <f>AVERAGE(H1254:H1313)</f>
        <v>7.7593245721312562E-3</v>
      </c>
    </row>
    <row r="1255" spans="1:19" x14ac:dyDescent="0.25">
      <c r="A1255" s="16">
        <v>2</v>
      </c>
      <c r="B1255" s="16">
        <v>437811.10856199998</v>
      </c>
      <c r="C1255" s="16">
        <v>5688155.3324180003</v>
      </c>
      <c r="D1255" s="31">
        <v>22</v>
      </c>
      <c r="E1255" s="31" t="s">
        <v>33</v>
      </c>
      <c r="F1255" s="31">
        <v>2014</v>
      </c>
      <c r="G1255" s="16">
        <v>3.73E-2</v>
      </c>
      <c r="H1255" s="16">
        <v>1.0875523055628288E-2</v>
      </c>
      <c r="I1255" s="16">
        <v>9.5999999999999992E-3</v>
      </c>
      <c r="J1255" s="16">
        <v>4.5550449741586941E-3</v>
      </c>
      <c r="K1255" s="16">
        <v>9.9000000000000008E-3</v>
      </c>
      <c r="L1255" s="16">
        <v>3.6568654992781861E-3</v>
      </c>
      <c r="M1255" s="16">
        <v>7.2186575563501021E-3</v>
      </c>
      <c r="N1255" s="16">
        <v>1.4E-3</v>
      </c>
      <c r="O1255" s="16">
        <v>6.8985717407793066E-4</v>
      </c>
      <c r="P1255" s="95" t="s">
        <v>107</v>
      </c>
    </row>
    <row r="1256" spans="1:19" x14ac:dyDescent="0.25">
      <c r="A1256" s="16">
        <v>3</v>
      </c>
      <c r="B1256" s="16">
        <v>437930.10856199998</v>
      </c>
      <c r="C1256" s="16">
        <v>5688155.3324180003</v>
      </c>
      <c r="D1256" s="31">
        <v>22</v>
      </c>
      <c r="E1256" s="31" t="s">
        <v>33</v>
      </c>
      <c r="F1256" s="31">
        <v>2014</v>
      </c>
      <c r="G1256" s="16">
        <v>6.0999999999999995E-3</v>
      </c>
      <c r="H1256" s="16">
        <v>1.7785707946201758E-3</v>
      </c>
      <c r="I1256" s="16">
        <v>5.7799999999999997E-2</v>
      </c>
      <c r="J1256" s="16">
        <v>2.7425166615247139E-2</v>
      </c>
      <c r="K1256" s="16">
        <v>7.0000000000000001E-3</v>
      </c>
      <c r="L1256" s="16">
        <v>2.5856624742371013E-3</v>
      </c>
      <c r="M1256" s="16">
        <v>-8.0709167961692547E-4</v>
      </c>
      <c r="N1256" s="16">
        <v>0</v>
      </c>
      <c r="O1256" s="16">
        <v>0</v>
      </c>
      <c r="P1256" s="95"/>
    </row>
    <row r="1257" spans="1:19" x14ac:dyDescent="0.25">
      <c r="A1257" s="16">
        <v>4</v>
      </c>
      <c r="B1257" s="16">
        <v>438049.10856199998</v>
      </c>
      <c r="C1257" s="16">
        <v>5688155.3324180003</v>
      </c>
      <c r="D1257" s="31">
        <v>22</v>
      </c>
      <c r="E1257" s="31" t="s">
        <v>33</v>
      </c>
      <c r="F1257" s="31">
        <v>2014</v>
      </c>
      <c r="G1257" s="16">
        <v>0</v>
      </c>
      <c r="H1257" s="16">
        <v>0</v>
      </c>
      <c r="I1257" s="16">
        <v>0</v>
      </c>
      <c r="J1257" s="16">
        <v>0</v>
      </c>
      <c r="K1257" s="16">
        <v>0</v>
      </c>
      <c r="L1257" s="16">
        <v>0</v>
      </c>
      <c r="M1257" s="16">
        <v>0</v>
      </c>
      <c r="N1257" s="16">
        <v>0</v>
      </c>
      <c r="O1257" s="16">
        <v>0</v>
      </c>
      <c r="P1257" s="95" t="s">
        <v>107</v>
      </c>
    </row>
    <row r="1258" spans="1:19" x14ac:dyDescent="0.25">
      <c r="A1258" s="16">
        <v>5</v>
      </c>
      <c r="B1258" s="16">
        <v>437573.10856199998</v>
      </c>
      <c r="C1258" s="16">
        <v>5688274.3324180003</v>
      </c>
      <c r="D1258" s="31">
        <v>22</v>
      </c>
      <c r="E1258" s="31" t="s">
        <v>33</v>
      </c>
      <c r="F1258" s="31">
        <v>2014</v>
      </c>
      <c r="G1258" s="16">
        <v>1.4E-3</v>
      </c>
      <c r="H1258" s="16">
        <v>4.0819657581446663E-4</v>
      </c>
      <c r="I1258" s="16">
        <v>2.2100000000000002E-2</v>
      </c>
      <c r="J1258" s="16">
        <v>1.0486093117594495E-2</v>
      </c>
      <c r="K1258" s="16">
        <v>8.0000000000000004E-4</v>
      </c>
      <c r="L1258" s="16">
        <v>2.9550428276995441E-4</v>
      </c>
      <c r="M1258" s="16">
        <v>1.1269229304451222E-4</v>
      </c>
      <c r="N1258" s="16">
        <v>0</v>
      </c>
      <c r="O1258" s="16">
        <v>0</v>
      </c>
      <c r="P1258" s="95" t="s">
        <v>107</v>
      </c>
    </row>
    <row r="1259" spans="1:19" x14ac:dyDescent="0.25">
      <c r="A1259" s="16">
        <v>6</v>
      </c>
      <c r="B1259" s="16">
        <v>437692.10856199998</v>
      </c>
      <c r="C1259" s="16">
        <v>5688274.3324180003</v>
      </c>
      <c r="D1259" s="31">
        <v>22</v>
      </c>
      <c r="E1259" s="31" t="s">
        <v>33</v>
      </c>
      <c r="F1259" s="31">
        <v>2014</v>
      </c>
      <c r="G1259" s="16">
        <v>2.7000000000000001E-3</v>
      </c>
      <c r="H1259" s="16">
        <v>7.872362533564714E-4</v>
      </c>
      <c r="I1259" s="16">
        <v>1.3099999999999999E-2</v>
      </c>
      <c r="J1259" s="16">
        <v>6.2157384543207175E-3</v>
      </c>
      <c r="K1259" s="16">
        <v>3.2000000000000002E-3</v>
      </c>
      <c r="L1259" s="16">
        <v>1.1820171310798176E-3</v>
      </c>
      <c r="M1259" s="16">
        <v>-3.9478087772334622E-4</v>
      </c>
      <c r="N1259" s="16">
        <v>6.4000000000000003E-3</v>
      </c>
      <c r="O1259" s="16">
        <v>3.153632795784826E-3</v>
      </c>
      <c r="P1259" s="95"/>
    </row>
    <row r="1260" spans="1:19" x14ac:dyDescent="0.25">
      <c r="A1260" s="16">
        <v>7</v>
      </c>
      <c r="B1260" s="16">
        <v>437811.10856199998</v>
      </c>
      <c r="C1260" s="16">
        <v>5688274.3324180003</v>
      </c>
      <c r="D1260" s="31">
        <v>22</v>
      </c>
      <c r="E1260" s="31" t="s">
        <v>33</v>
      </c>
      <c r="F1260" s="31">
        <v>2014</v>
      </c>
      <c r="G1260" s="16">
        <v>4.2000000000000006E-3</v>
      </c>
      <c r="H1260" s="16">
        <v>1.2245897274434001E-3</v>
      </c>
      <c r="I1260" s="16">
        <v>3.1699999999999999E-2</v>
      </c>
      <c r="J1260" s="16">
        <v>1.5041138091753187E-2</v>
      </c>
      <c r="K1260" s="16">
        <v>3.8999999999999998E-3</v>
      </c>
      <c r="L1260" s="16">
        <v>1.4405833785035276E-3</v>
      </c>
      <c r="M1260" s="16">
        <v>-2.1599365106012751E-4</v>
      </c>
      <c r="N1260" s="16">
        <v>1.8100000000000002E-2</v>
      </c>
      <c r="O1260" s="16">
        <v>8.9188677505789606E-3</v>
      </c>
      <c r="P1260" s="95"/>
    </row>
    <row r="1261" spans="1:19" x14ac:dyDescent="0.25">
      <c r="A1261" s="16">
        <v>8</v>
      </c>
      <c r="B1261" s="16">
        <v>437930.10856199998</v>
      </c>
      <c r="C1261" s="16">
        <v>5688274.3324180003</v>
      </c>
      <c r="D1261" s="31">
        <v>22</v>
      </c>
      <c r="E1261" s="31" t="s">
        <v>33</v>
      </c>
      <c r="F1261" s="31">
        <v>2014</v>
      </c>
      <c r="G1261" s="16">
        <v>1.3099999999999999E-2</v>
      </c>
      <c r="H1261" s="16">
        <v>3.8195536736925087E-3</v>
      </c>
      <c r="I1261" s="16">
        <v>0</v>
      </c>
      <c r="J1261" s="16">
        <v>0</v>
      </c>
      <c r="K1261" s="16">
        <v>8.6999999999999994E-3</v>
      </c>
      <c r="L1261" s="16">
        <v>3.2136090751232541E-3</v>
      </c>
      <c r="M1261" s="16">
        <v>6.0594459856925468E-4</v>
      </c>
      <c r="N1261" s="16">
        <v>0</v>
      </c>
      <c r="O1261" s="16">
        <v>0</v>
      </c>
      <c r="P1261" s="95"/>
    </row>
    <row r="1262" spans="1:19" x14ac:dyDescent="0.25">
      <c r="A1262" s="16">
        <v>9</v>
      </c>
      <c r="B1262" s="16">
        <v>438287.10856199998</v>
      </c>
      <c r="C1262" s="16">
        <v>5688274.3324180003</v>
      </c>
      <c r="D1262" s="31">
        <v>22</v>
      </c>
      <c r="E1262" s="31" t="s">
        <v>33</v>
      </c>
      <c r="F1262" s="31">
        <v>2014</v>
      </c>
      <c r="G1262" s="16">
        <v>0.10100000000000001</v>
      </c>
      <c r="H1262" s="16">
        <v>2.944846725518652E-2</v>
      </c>
      <c r="I1262" s="16">
        <v>0</v>
      </c>
      <c r="J1262" s="16">
        <v>0</v>
      </c>
      <c r="K1262" s="16">
        <v>1.5900000000000001E-2</v>
      </c>
      <c r="L1262" s="16">
        <v>5.8731476200528446E-3</v>
      </c>
      <c r="M1262" s="16">
        <v>2.3575319635133676E-2</v>
      </c>
      <c r="N1262" s="16">
        <v>0</v>
      </c>
      <c r="O1262" s="16">
        <v>0</v>
      </c>
      <c r="P1262" s="95"/>
    </row>
    <row r="1263" spans="1:19" x14ac:dyDescent="0.25">
      <c r="A1263" s="16">
        <v>10</v>
      </c>
      <c r="B1263" s="16">
        <v>438406.10856199998</v>
      </c>
      <c r="C1263" s="16">
        <v>5688274.3324180003</v>
      </c>
      <c r="D1263" s="31">
        <v>22</v>
      </c>
      <c r="E1263" s="31" t="s">
        <v>33</v>
      </c>
      <c r="F1263" s="31">
        <v>2014</v>
      </c>
      <c r="G1263" s="16">
        <v>3.5099999999999999E-2</v>
      </c>
      <c r="H1263" s="16">
        <v>1.0234071293634127E-2</v>
      </c>
      <c r="I1263" s="16">
        <v>0</v>
      </c>
      <c r="J1263" s="16">
        <v>0</v>
      </c>
      <c r="K1263" s="16">
        <v>7.4000000000000003E-3</v>
      </c>
      <c r="L1263" s="16">
        <v>2.7334146156220785E-3</v>
      </c>
      <c r="M1263" s="16">
        <v>7.5006566780120481E-3</v>
      </c>
      <c r="N1263" s="16">
        <v>0</v>
      </c>
      <c r="O1263" s="16">
        <v>0</v>
      </c>
      <c r="P1263" s="95"/>
    </row>
    <row r="1264" spans="1:19" x14ac:dyDescent="0.25">
      <c r="A1264" s="16">
        <v>11</v>
      </c>
      <c r="B1264" s="16">
        <v>437454.10856199998</v>
      </c>
      <c r="C1264" s="16">
        <v>5688393.3324180003</v>
      </c>
      <c r="D1264" s="31">
        <v>22</v>
      </c>
      <c r="E1264" s="31" t="s">
        <v>33</v>
      </c>
      <c r="F1264" s="31">
        <v>2014</v>
      </c>
      <c r="G1264" s="16">
        <v>3.5000000000000001E-3</v>
      </c>
      <c r="H1264" s="16">
        <v>1.0204914395361665E-3</v>
      </c>
      <c r="I1264" s="16">
        <v>5.4000000000000003E-3</v>
      </c>
      <c r="J1264" s="16">
        <v>2.5622127979642658E-3</v>
      </c>
      <c r="K1264" s="16">
        <v>2E-3</v>
      </c>
      <c r="L1264" s="16">
        <v>7.3876070692488601E-4</v>
      </c>
      <c r="M1264" s="16">
        <v>2.8173073261128045E-4</v>
      </c>
      <c r="N1264" s="16">
        <v>0</v>
      </c>
      <c r="O1264" s="16">
        <v>0</v>
      </c>
      <c r="P1264" s="95" t="s">
        <v>107</v>
      </c>
    </row>
    <row r="1265" spans="1:16" x14ac:dyDescent="0.25">
      <c r="A1265" s="16">
        <v>12</v>
      </c>
      <c r="B1265" s="16">
        <v>437573.10856199998</v>
      </c>
      <c r="C1265" s="16">
        <v>5688393.3324180003</v>
      </c>
      <c r="D1265" s="31">
        <v>22</v>
      </c>
      <c r="E1265" s="31" t="s">
        <v>33</v>
      </c>
      <c r="F1265" s="31">
        <v>2014</v>
      </c>
      <c r="G1265" s="16">
        <v>1.5699999999999999E-2</v>
      </c>
      <c r="H1265" s="16">
        <v>4.5776330287765178E-3</v>
      </c>
      <c r="I1265" s="16">
        <v>0</v>
      </c>
      <c r="J1265" s="16">
        <v>0</v>
      </c>
      <c r="K1265" s="16">
        <v>5.3E-3</v>
      </c>
      <c r="L1265" s="16">
        <v>1.957715873350948E-3</v>
      </c>
      <c r="M1265" s="16">
        <v>2.6199171554255698E-3</v>
      </c>
      <c r="N1265" s="16">
        <v>0</v>
      </c>
      <c r="O1265" s="16">
        <v>0</v>
      </c>
      <c r="P1265" s="95"/>
    </row>
    <row r="1266" spans="1:16" x14ac:dyDescent="0.25">
      <c r="A1266" s="16">
        <v>13</v>
      </c>
      <c r="B1266" s="16">
        <v>437692.10856199998</v>
      </c>
      <c r="C1266" s="16">
        <v>5688393.3324180003</v>
      </c>
      <c r="D1266" s="31">
        <v>22</v>
      </c>
      <c r="E1266" s="31" t="s">
        <v>33</v>
      </c>
      <c r="F1266" s="31">
        <v>2014</v>
      </c>
      <c r="G1266" s="16">
        <v>2.35E-2</v>
      </c>
      <c r="H1266" s="16">
        <v>6.8518710940285469E-3</v>
      </c>
      <c r="I1266" s="16">
        <v>0</v>
      </c>
      <c r="J1266" s="16">
        <v>0</v>
      </c>
      <c r="K1266" s="16">
        <v>1.4500000000000001E-2</v>
      </c>
      <c r="L1266" s="16">
        <v>5.3560151252054237E-3</v>
      </c>
      <c r="M1266" s="16">
        <v>1.4958559688231232E-3</v>
      </c>
      <c r="N1266" s="16">
        <v>1.3800000000000002E-2</v>
      </c>
      <c r="O1266" s="16">
        <v>6.8000207159110313E-3</v>
      </c>
      <c r="P1266" s="95"/>
    </row>
    <row r="1267" spans="1:16" x14ac:dyDescent="0.25">
      <c r="A1267" s="35">
        <v>14</v>
      </c>
      <c r="B1267" s="35">
        <v>437811.10856199998</v>
      </c>
      <c r="C1267" s="35">
        <v>5688393.3324180003</v>
      </c>
      <c r="D1267" s="96">
        <v>22</v>
      </c>
      <c r="E1267" s="96" t="s">
        <v>33</v>
      </c>
      <c r="F1267" s="96">
        <v>2014</v>
      </c>
      <c r="G1267" s="96" t="s">
        <v>18</v>
      </c>
      <c r="H1267" s="96" t="s">
        <v>18</v>
      </c>
      <c r="I1267" s="96" t="s">
        <v>18</v>
      </c>
      <c r="J1267" s="96" t="s">
        <v>18</v>
      </c>
      <c r="K1267" s="96" t="s">
        <v>18</v>
      </c>
      <c r="L1267" s="96" t="s">
        <v>18</v>
      </c>
      <c r="M1267" s="96" t="s">
        <v>18</v>
      </c>
      <c r="N1267" s="96" t="s">
        <v>18</v>
      </c>
      <c r="O1267" s="96" t="s">
        <v>18</v>
      </c>
      <c r="P1267" s="94" t="s">
        <v>21</v>
      </c>
    </row>
    <row r="1268" spans="1:16" x14ac:dyDescent="0.25">
      <c r="A1268" s="16">
        <v>15</v>
      </c>
      <c r="B1268" s="16">
        <v>437930.10856199998</v>
      </c>
      <c r="C1268" s="16">
        <v>5688393.3324180003</v>
      </c>
      <c r="D1268" s="31">
        <v>22</v>
      </c>
      <c r="E1268" s="31" t="s">
        <v>33</v>
      </c>
      <c r="F1268" s="31">
        <v>2014</v>
      </c>
      <c r="G1268" s="16">
        <v>1.5699999999999999E-2</v>
      </c>
      <c r="H1268" s="16">
        <v>4.5776330287765178E-3</v>
      </c>
      <c r="I1268" s="16">
        <v>0.15569999999999998</v>
      </c>
      <c r="J1268" s="16">
        <v>7.3877135674636316E-2</v>
      </c>
      <c r="K1268" s="16">
        <v>4.7999999999999996E-3</v>
      </c>
      <c r="L1268" s="16">
        <v>1.7730256966197264E-3</v>
      </c>
      <c r="M1268" s="16">
        <v>2.8046073321567914E-3</v>
      </c>
      <c r="N1268" s="16">
        <v>9.6999999999999986E-3</v>
      </c>
      <c r="O1268" s="16">
        <v>4.7797247061113759E-3</v>
      </c>
      <c r="P1268" s="95"/>
    </row>
    <row r="1269" spans="1:16" x14ac:dyDescent="0.25">
      <c r="A1269" s="16">
        <v>16</v>
      </c>
      <c r="B1269" s="16">
        <v>438049.10856199998</v>
      </c>
      <c r="C1269" s="16">
        <v>5688393.3324180003</v>
      </c>
      <c r="D1269" s="31">
        <v>22</v>
      </c>
      <c r="E1269" s="31" t="s">
        <v>33</v>
      </c>
      <c r="F1269" s="31">
        <v>2014</v>
      </c>
      <c r="G1269" s="16">
        <v>6.4500000000000002E-2</v>
      </c>
      <c r="H1269" s="16">
        <v>1.8806199385737927E-2</v>
      </c>
      <c r="I1269" s="16">
        <v>7.3000000000000001E-3</v>
      </c>
      <c r="J1269" s="16">
        <v>3.4637321157665072E-3</v>
      </c>
      <c r="K1269" s="16">
        <v>2.18E-2</v>
      </c>
      <c r="L1269" s="16">
        <v>8.0524917054812586E-3</v>
      </c>
      <c r="M1269" s="16">
        <v>1.0753707680256668E-2</v>
      </c>
      <c r="N1269" s="16">
        <v>8.270000000000001E-2</v>
      </c>
      <c r="O1269" s="16">
        <v>4.0750848783032048E-2</v>
      </c>
      <c r="P1269" s="95"/>
    </row>
    <row r="1270" spans="1:16" x14ac:dyDescent="0.25">
      <c r="A1270" s="16">
        <v>17</v>
      </c>
      <c r="B1270" s="16">
        <v>438168.10856199998</v>
      </c>
      <c r="C1270" s="16">
        <v>5688393.3324180003</v>
      </c>
      <c r="D1270" s="31">
        <v>22</v>
      </c>
      <c r="E1270" s="31" t="s">
        <v>33</v>
      </c>
      <c r="F1270" s="31">
        <v>2014</v>
      </c>
      <c r="G1270" s="16">
        <v>5.1999999999999998E-3</v>
      </c>
      <c r="H1270" s="16">
        <v>1.5161587101680187E-3</v>
      </c>
      <c r="I1270" s="16">
        <v>6.2100000000000002E-2</v>
      </c>
      <c r="J1270" s="16">
        <v>2.9465447176589055E-2</v>
      </c>
      <c r="K1270" s="16">
        <v>6.4000000000000003E-3</v>
      </c>
      <c r="L1270" s="16">
        <v>2.3640342621596352E-3</v>
      </c>
      <c r="M1270" s="16">
        <v>-8.4787555199161658E-4</v>
      </c>
      <c r="N1270" s="16">
        <v>0</v>
      </c>
      <c r="O1270" s="16">
        <v>0</v>
      </c>
      <c r="P1270" s="95"/>
    </row>
    <row r="1271" spans="1:16" x14ac:dyDescent="0.25">
      <c r="A1271" s="16">
        <v>18</v>
      </c>
      <c r="B1271" s="16">
        <v>438287.10856199998</v>
      </c>
      <c r="C1271" s="16">
        <v>5688393.3324180003</v>
      </c>
      <c r="D1271" s="31">
        <v>22</v>
      </c>
      <c r="E1271" s="31" t="s">
        <v>33</v>
      </c>
      <c r="F1271" s="31">
        <v>2014</v>
      </c>
      <c r="G1271" s="16">
        <v>5.4000000000000003E-3</v>
      </c>
      <c r="H1271" s="16">
        <v>1.5744725067129428E-3</v>
      </c>
      <c r="I1271" s="16">
        <v>0</v>
      </c>
      <c r="J1271" s="16">
        <v>0</v>
      </c>
      <c r="K1271" s="16">
        <v>3.3E-3</v>
      </c>
      <c r="L1271" s="16">
        <v>1.218955166426062E-3</v>
      </c>
      <c r="M1271" s="16">
        <v>3.5551734028688078E-4</v>
      </c>
      <c r="N1271" s="16">
        <v>0</v>
      </c>
      <c r="O1271" s="16">
        <v>0</v>
      </c>
      <c r="P1271" s="95"/>
    </row>
    <row r="1272" spans="1:16" x14ac:dyDescent="0.25">
      <c r="A1272" s="16">
        <v>19</v>
      </c>
      <c r="B1272" s="16">
        <v>438406.10856199998</v>
      </c>
      <c r="C1272" s="16">
        <v>5688393.3324180003</v>
      </c>
      <c r="D1272" s="31">
        <v>22</v>
      </c>
      <c r="E1272" s="31" t="s">
        <v>33</v>
      </c>
      <c r="F1272" s="31">
        <v>2014</v>
      </c>
      <c r="G1272" s="16">
        <v>2.2699999999999998E-2</v>
      </c>
      <c r="H1272" s="16">
        <v>6.6186159078488512E-3</v>
      </c>
      <c r="I1272" s="16">
        <v>0</v>
      </c>
      <c r="J1272" s="16">
        <v>0</v>
      </c>
      <c r="K1272" s="16">
        <v>4.0000000000000001E-3</v>
      </c>
      <c r="L1272" s="16">
        <v>1.477521413849772E-3</v>
      </c>
      <c r="M1272" s="16">
        <v>5.1410944939990792E-3</v>
      </c>
      <c r="N1272" s="16">
        <v>0</v>
      </c>
      <c r="O1272" s="16">
        <v>0</v>
      </c>
      <c r="P1272" s="95"/>
    </row>
    <row r="1273" spans="1:16" x14ac:dyDescent="0.25">
      <c r="A1273" s="16">
        <v>20</v>
      </c>
      <c r="B1273" s="16">
        <v>437335.10856199998</v>
      </c>
      <c r="C1273" s="16">
        <v>5688512.3324180003</v>
      </c>
      <c r="D1273" s="31">
        <v>22</v>
      </c>
      <c r="E1273" s="31" t="s">
        <v>33</v>
      </c>
      <c r="F1273" s="31">
        <v>2014</v>
      </c>
      <c r="G1273" s="16">
        <v>6.4999999999999997E-3</v>
      </c>
      <c r="H1273" s="16">
        <v>1.8951983877100234E-3</v>
      </c>
      <c r="I1273" s="16">
        <v>0</v>
      </c>
      <c r="J1273" s="16">
        <v>0</v>
      </c>
      <c r="K1273" s="16">
        <v>4.7999999999999996E-3</v>
      </c>
      <c r="L1273" s="16">
        <v>1.7730256966197264E-3</v>
      </c>
      <c r="M1273" s="16">
        <v>1.22172691090297E-4</v>
      </c>
      <c r="N1273" s="16">
        <v>0</v>
      </c>
      <c r="O1273" s="16">
        <v>0</v>
      </c>
      <c r="P1273" s="95" t="s">
        <v>107</v>
      </c>
    </row>
    <row r="1274" spans="1:16" x14ac:dyDescent="0.25">
      <c r="A1274" s="16">
        <v>21</v>
      </c>
      <c r="B1274" s="16">
        <v>437454.10856199998</v>
      </c>
      <c r="C1274" s="16">
        <v>5688512.3324180003</v>
      </c>
      <c r="D1274" s="31">
        <v>22</v>
      </c>
      <c r="E1274" s="31" t="s">
        <v>33</v>
      </c>
      <c r="F1274" s="31">
        <v>2014</v>
      </c>
      <c r="G1274" s="16">
        <v>1.9800000000000002E-2</v>
      </c>
      <c r="H1274" s="16">
        <v>5.773065857947457E-3</v>
      </c>
      <c r="I1274" s="16">
        <v>0</v>
      </c>
      <c r="J1274" s="16">
        <v>0</v>
      </c>
      <c r="K1274" s="16">
        <v>5.7000000000000002E-3</v>
      </c>
      <c r="L1274" s="16">
        <v>2.1054680147359253E-3</v>
      </c>
      <c r="M1274" s="16">
        <v>3.6675978432115317E-3</v>
      </c>
      <c r="N1274" s="16">
        <v>0</v>
      </c>
      <c r="O1274" s="16">
        <v>0</v>
      </c>
      <c r="P1274" s="95"/>
    </row>
    <row r="1275" spans="1:16" x14ac:dyDescent="0.25">
      <c r="A1275" s="16">
        <v>22</v>
      </c>
      <c r="B1275" s="16">
        <v>437573.10856199998</v>
      </c>
      <c r="C1275" s="16">
        <v>5688512.3324180003</v>
      </c>
      <c r="D1275" s="31">
        <v>22</v>
      </c>
      <c r="E1275" s="31" t="s">
        <v>33</v>
      </c>
      <c r="F1275" s="31">
        <v>2014</v>
      </c>
      <c r="G1275" s="16">
        <v>2.8199999999999999E-2</v>
      </c>
      <c r="H1275" s="16">
        <v>8.2222453128342563E-3</v>
      </c>
      <c r="I1275" s="16">
        <v>8.0999999999999996E-3</v>
      </c>
      <c r="J1275" s="16">
        <v>3.843319196946398E-3</v>
      </c>
      <c r="K1275" s="16">
        <v>1.9800000000000002E-2</v>
      </c>
      <c r="L1275" s="16">
        <v>7.3137309985563722E-3</v>
      </c>
      <c r="M1275" s="16">
        <v>9.0851431427788412E-4</v>
      </c>
      <c r="N1275" s="16">
        <v>1.5800000000000002E-2</v>
      </c>
      <c r="O1275" s="16">
        <v>7.7855309645937891E-3</v>
      </c>
      <c r="P1275" s="95"/>
    </row>
    <row r="1276" spans="1:16" x14ac:dyDescent="0.25">
      <c r="A1276" s="16">
        <v>23</v>
      </c>
      <c r="B1276" s="16">
        <v>437692.10856199998</v>
      </c>
      <c r="C1276" s="16">
        <v>5688512.3324180003</v>
      </c>
      <c r="D1276" s="31">
        <v>22</v>
      </c>
      <c r="E1276" s="31" t="s">
        <v>33</v>
      </c>
      <c r="F1276" s="31">
        <v>2014</v>
      </c>
      <c r="G1276" s="16">
        <v>3.1800000000000002E-2</v>
      </c>
      <c r="H1276" s="16">
        <v>9.2718936506428849E-3</v>
      </c>
      <c r="I1276" s="16">
        <v>0</v>
      </c>
      <c r="J1276" s="16">
        <v>0</v>
      </c>
      <c r="K1276" s="16">
        <v>6.7000000000000002E-3</v>
      </c>
      <c r="L1276" s="16">
        <v>2.4748483681983685E-3</v>
      </c>
      <c r="M1276" s="16">
        <v>6.7970452824445164E-3</v>
      </c>
      <c r="N1276" s="16">
        <v>0</v>
      </c>
      <c r="O1276" s="16">
        <v>0</v>
      </c>
      <c r="P1276" s="95"/>
    </row>
    <row r="1277" spans="1:16" x14ac:dyDescent="0.25">
      <c r="A1277" s="16">
        <v>24</v>
      </c>
      <c r="B1277" s="16">
        <v>437811.10856199998</v>
      </c>
      <c r="C1277" s="16">
        <v>5688512.3324180003</v>
      </c>
      <c r="D1277" s="31">
        <v>22</v>
      </c>
      <c r="E1277" s="31" t="s">
        <v>33</v>
      </c>
      <c r="F1277" s="31">
        <v>2014</v>
      </c>
      <c r="G1277" s="16">
        <v>1.4999999999999999E-2</v>
      </c>
      <c r="H1277" s="16">
        <v>4.3735347408692853E-3</v>
      </c>
      <c r="I1277" s="16">
        <v>0</v>
      </c>
      <c r="J1277" s="16">
        <v>0</v>
      </c>
      <c r="K1277" s="16">
        <v>1.4E-2</v>
      </c>
      <c r="L1277" s="16">
        <v>5.1713249484742025E-3</v>
      </c>
      <c r="M1277" s="16">
        <v>-7.9779020760491724E-4</v>
      </c>
      <c r="N1277" s="16">
        <v>0</v>
      </c>
      <c r="O1277" s="16">
        <v>0</v>
      </c>
      <c r="P1277" s="95"/>
    </row>
    <row r="1278" spans="1:16" x14ac:dyDescent="0.25">
      <c r="A1278" s="16">
        <v>25</v>
      </c>
      <c r="B1278" s="16">
        <v>437995</v>
      </c>
      <c r="C1278" s="16">
        <v>5688493</v>
      </c>
      <c r="D1278" s="31">
        <v>22</v>
      </c>
      <c r="E1278" s="31" t="s">
        <v>33</v>
      </c>
      <c r="F1278" s="31">
        <v>2014</v>
      </c>
      <c r="G1278" s="16">
        <v>2.63E-2</v>
      </c>
      <c r="H1278" s="16">
        <v>7.6682642456574798E-3</v>
      </c>
      <c r="I1278" s="16">
        <v>0</v>
      </c>
      <c r="J1278" s="16">
        <v>0</v>
      </c>
      <c r="K1278" s="16">
        <v>1.6800000000000002E-2</v>
      </c>
      <c r="L1278" s="16">
        <v>6.2055899381690434E-3</v>
      </c>
      <c r="M1278" s="16">
        <v>1.4626743074884364E-3</v>
      </c>
      <c r="N1278" s="16">
        <v>0</v>
      </c>
      <c r="O1278" s="16">
        <v>0</v>
      </c>
      <c r="P1278" s="95"/>
    </row>
    <row r="1279" spans="1:16" x14ac:dyDescent="0.25">
      <c r="A1279" s="16">
        <v>26</v>
      </c>
      <c r="B1279" s="16">
        <v>438112</v>
      </c>
      <c r="C1279" s="16">
        <v>5688567</v>
      </c>
      <c r="D1279" s="31">
        <v>22</v>
      </c>
      <c r="E1279" s="31" t="s">
        <v>33</v>
      </c>
      <c r="F1279" s="31">
        <v>2014</v>
      </c>
      <c r="G1279" s="16">
        <v>1.77E-2</v>
      </c>
      <c r="H1279" s="16">
        <v>5.1607709942257567E-3</v>
      </c>
      <c r="I1279" s="16">
        <v>0</v>
      </c>
      <c r="J1279" s="16">
        <v>0</v>
      </c>
      <c r="K1279" s="16">
        <v>1.61E-2</v>
      </c>
      <c r="L1279" s="16">
        <v>5.9470236907453325E-3</v>
      </c>
      <c r="M1279" s="16">
        <v>-7.8625269651957583E-4</v>
      </c>
      <c r="N1279" s="16">
        <v>0</v>
      </c>
      <c r="O1279" s="16">
        <v>0</v>
      </c>
      <c r="P1279" s="95"/>
    </row>
    <row r="1280" spans="1:16" x14ac:dyDescent="0.25">
      <c r="A1280" s="35">
        <v>27</v>
      </c>
      <c r="B1280" s="35">
        <v>438168.10856199998</v>
      </c>
      <c r="C1280" s="35">
        <v>5688512.3324180003</v>
      </c>
      <c r="D1280" s="96">
        <v>22</v>
      </c>
      <c r="E1280" s="96" t="s">
        <v>33</v>
      </c>
      <c r="F1280" s="96">
        <v>2014</v>
      </c>
      <c r="G1280" s="96" t="s">
        <v>18</v>
      </c>
      <c r="H1280" s="96" t="s">
        <v>18</v>
      </c>
      <c r="I1280" s="96" t="s">
        <v>18</v>
      </c>
      <c r="J1280" s="96" t="s">
        <v>18</v>
      </c>
      <c r="K1280" s="96" t="s">
        <v>18</v>
      </c>
      <c r="L1280" s="96" t="s">
        <v>18</v>
      </c>
      <c r="M1280" s="96" t="s">
        <v>18</v>
      </c>
      <c r="N1280" s="96" t="s">
        <v>18</v>
      </c>
      <c r="O1280" s="96" t="s">
        <v>18</v>
      </c>
      <c r="P1280" s="94" t="s">
        <v>21</v>
      </c>
    </row>
    <row r="1281" spans="1:16" x14ac:dyDescent="0.25">
      <c r="A1281" s="35">
        <v>28</v>
      </c>
      <c r="B1281" s="35">
        <v>438287.10856199998</v>
      </c>
      <c r="C1281" s="35">
        <v>5688512.3324180003</v>
      </c>
      <c r="D1281" s="96">
        <v>22</v>
      </c>
      <c r="E1281" s="96" t="s">
        <v>33</v>
      </c>
      <c r="F1281" s="96">
        <v>2014</v>
      </c>
      <c r="G1281" s="96" t="s">
        <v>18</v>
      </c>
      <c r="H1281" s="96" t="s">
        <v>18</v>
      </c>
      <c r="I1281" s="96" t="s">
        <v>18</v>
      </c>
      <c r="J1281" s="96" t="s">
        <v>18</v>
      </c>
      <c r="K1281" s="96" t="s">
        <v>18</v>
      </c>
      <c r="L1281" s="96" t="s">
        <v>18</v>
      </c>
      <c r="M1281" s="96" t="s">
        <v>18</v>
      </c>
      <c r="N1281" s="96" t="s">
        <v>18</v>
      </c>
      <c r="O1281" s="96" t="s">
        <v>18</v>
      </c>
      <c r="P1281" s="94" t="s">
        <v>21</v>
      </c>
    </row>
    <row r="1282" spans="1:16" x14ac:dyDescent="0.25">
      <c r="A1282" s="16">
        <v>29</v>
      </c>
      <c r="B1282" s="16">
        <v>438381</v>
      </c>
      <c r="C1282" s="16">
        <v>5688526</v>
      </c>
      <c r="D1282" s="31">
        <v>22</v>
      </c>
      <c r="E1282" s="31" t="s">
        <v>33</v>
      </c>
      <c r="F1282" s="31">
        <v>2014</v>
      </c>
      <c r="G1282" s="16">
        <v>3.1399999999999997E-2</v>
      </c>
      <c r="H1282" s="16">
        <v>9.1552660575530357E-3</v>
      </c>
      <c r="I1282" s="16">
        <v>0</v>
      </c>
      <c r="J1282" s="16">
        <v>0</v>
      </c>
      <c r="K1282" s="16">
        <v>5.4000000000000003E-3</v>
      </c>
      <c r="L1282" s="16">
        <v>1.9946539086971925E-3</v>
      </c>
      <c r="M1282" s="16">
        <v>7.1606121488558428E-3</v>
      </c>
      <c r="N1282" s="16">
        <v>1.4E-3</v>
      </c>
      <c r="O1282" s="16">
        <v>6.8985717407793066E-4</v>
      </c>
      <c r="P1282" s="95"/>
    </row>
    <row r="1283" spans="1:16" x14ac:dyDescent="0.25">
      <c r="A1283" s="16">
        <v>30</v>
      </c>
      <c r="B1283" s="16">
        <v>438525.10856199998</v>
      </c>
      <c r="C1283" s="16">
        <v>5688512.3324180003</v>
      </c>
      <c r="D1283" s="31">
        <v>22</v>
      </c>
      <c r="E1283" s="31" t="s">
        <v>33</v>
      </c>
      <c r="F1283" s="31">
        <v>2014</v>
      </c>
      <c r="G1283" s="16">
        <v>1.5099999999999999E-2</v>
      </c>
      <c r="H1283" s="16">
        <v>4.4026916391417467E-3</v>
      </c>
      <c r="I1283" s="16">
        <v>0</v>
      </c>
      <c r="J1283" s="16">
        <v>0</v>
      </c>
      <c r="K1283" s="16">
        <v>2.3E-3</v>
      </c>
      <c r="L1283" s="16">
        <v>8.4957481296361892E-4</v>
      </c>
      <c r="M1283" s="16">
        <v>3.5531168261781279E-3</v>
      </c>
      <c r="N1283" s="16">
        <v>0</v>
      </c>
      <c r="O1283" s="16">
        <v>0</v>
      </c>
      <c r="P1283" s="95"/>
    </row>
    <row r="1284" spans="1:16" x14ac:dyDescent="0.25">
      <c r="A1284" s="16">
        <v>31</v>
      </c>
      <c r="B1284" s="16">
        <v>437335.10856199998</v>
      </c>
      <c r="C1284" s="16">
        <v>5688631.3324180003</v>
      </c>
      <c r="D1284" s="31">
        <v>22</v>
      </c>
      <c r="E1284" s="31" t="s">
        <v>33</v>
      </c>
      <c r="F1284" s="31">
        <v>2014</v>
      </c>
      <c r="G1284" s="16">
        <v>3.0100000000000002E-2</v>
      </c>
      <c r="H1284" s="16">
        <v>8.7762263800110329E-3</v>
      </c>
      <c r="I1284" s="16">
        <v>0</v>
      </c>
      <c r="J1284" s="16">
        <v>0</v>
      </c>
      <c r="K1284" s="16">
        <v>5.5999999999999999E-3</v>
      </c>
      <c r="L1284" s="16">
        <v>2.0685299793896808E-3</v>
      </c>
      <c r="M1284" s="16">
        <v>6.707696400621352E-3</v>
      </c>
      <c r="N1284" s="16">
        <v>0</v>
      </c>
      <c r="O1284" s="16">
        <v>0</v>
      </c>
      <c r="P1284" s="95"/>
    </row>
    <row r="1285" spans="1:16" x14ac:dyDescent="0.25">
      <c r="A1285" s="16">
        <v>32</v>
      </c>
      <c r="B1285" s="16">
        <v>437454.10856199998</v>
      </c>
      <c r="C1285" s="16">
        <v>5688631.3324180003</v>
      </c>
      <c r="D1285" s="31">
        <v>22</v>
      </c>
      <c r="E1285" s="31" t="s">
        <v>33</v>
      </c>
      <c r="F1285" s="31">
        <v>2014</v>
      </c>
      <c r="G1285" s="16">
        <v>3.4700000000000002E-2</v>
      </c>
      <c r="H1285" s="16">
        <v>1.0117443700544281E-2</v>
      </c>
      <c r="I1285" s="16">
        <v>0</v>
      </c>
      <c r="J1285" s="16">
        <v>0</v>
      </c>
      <c r="K1285" s="16">
        <v>5.7999999999999996E-3</v>
      </c>
      <c r="L1285" s="16">
        <v>2.1424060500821692E-3</v>
      </c>
      <c r="M1285" s="16">
        <v>7.975037650462112E-3</v>
      </c>
      <c r="N1285" s="16">
        <v>0</v>
      </c>
      <c r="O1285" s="16">
        <v>0</v>
      </c>
      <c r="P1285" s="95"/>
    </row>
    <row r="1286" spans="1:16" x14ac:dyDescent="0.25">
      <c r="A1286" s="16">
        <v>33</v>
      </c>
      <c r="B1286" s="16">
        <v>437573.10856199998</v>
      </c>
      <c r="C1286" s="16">
        <v>5688631.3324180003</v>
      </c>
      <c r="D1286" s="31">
        <v>22</v>
      </c>
      <c r="E1286" s="31" t="s">
        <v>33</v>
      </c>
      <c r="F1286" s="31">
        <v>2014</v>
      </c>
      <c r="G1286" s="16">
        <v>1.8499999999999999E-2</v>
      </c>
      <c r="H1286" s="16">
        <v>5.3940261804054515E-3</v>
      </c>
      <c r="I1286" s="16">
        <v>0</v>
      </c>
      <c r="J1286" s="16">
        <v>0</v>
      </c>
      <c r="K1286" s="16">
        <v>5.9000000000000007E-3</v>
      </c>
      <c r="L1286" s="16">
        <v>2.1793440854284141E-3</v>
      </c>
      <c r="M1286" s="16">
        <v>3.2146820949770375E-3</v>
      </c>
      <c r="N1286" s="16">
        <v>0</v>
      </c>
      <c r="O1286" s="16">
        <v>0</v>
      </c>
      <c r="P1286" s="95"/>
    </row>
    <row r="1287" spans="1:16" x14ac:dyDescent="0.25">
      <c r="A1287" s="16">
        <v>34</v>
      </c>
      <c r="B1287" s="16">
        <v>437692.10856199998</v>
      </c>
      <c r="C1287" s="16">
        <v>5688631.3324180003</v>
      </c>
      <c r="D1287" s="31">
        <v>22</v>
      </c>
      <c r="E1287" s="31" t="s">
        <v>33</v>
      </c>
      <c r="F1287" s="31">
        <v>2014</v>
      </c>
      <c r="G1287" s="16">
        <v>2.81E-2</v>
      </c>
      <c r="H1287" s="16">
        <v>8.193088414561794E-3</v>
      </c>
      <c r="I1287" s="16">
        <v>0</v>
      </c>
      <c r="J1287" s="16">
        <v>0</v>
      </c>
      <c r="K1287" s="16">
        <v>9.5999999999999992E-3</v>
      </c>
      <c r="L1287" s="16">
        <v>3.5460513932394529E-3</v>
      </c>
      <c r="M1287" s="16">
        <v>4.6470370213223412E-3</v>
      </c>
      <c r="N1287" s="16">
        <v>0</v>
      </c>
      <c r="O1287" s="16">
        <v>0</v>
      </c>
      <c r="P1287" s="95"/>
    </row>
    <row r="1288" spans="1:16" x14ac:dyDescent="0.25">
      <c r="A1288" s="16">
        <v>35</v>
      </c>
      <c r="B1288" s="16">
        <v>437893</v>
      </c>
      <c r="C1288" s="16">
        <v>5688620</v>
      </c>
      <c r="D1288" s="31">
        <v>22</v>
      </c>
      <c r="E1288" s="31" t="s">
        <v>33</v>
      </c>
      <c r="F1288" s="31">
        <v>2014</v>
      </c>
      <c r="G1288" s="16">
        <v>3.8E-3</v>
      </c>
      <c r="H1288" s="16">
        <v>1.1079621343535523E-3</v>
      </c>
      <c r="I1288" s="16">
        <v>0</v>
      </c>
      <c r="J1288" s="16">
        <v>0</v>
      </c>
      <c r="K1288" s="16">
        <v>1.6000000000000001E-3</v>
      </c>
      <c r="L1288" s="16">
        <v>5.9100856553990881E-4</v>
      </c>
      <c r="M1288" s="16">
        <v>5.1695356881364344E-4</v>
      </c>
      <c r="N1288" s="16">
        <v>0</v>
      </c>
      <c r="O1288" s="16">
        <v>0</v>
      </c>
      <c r="P1288" s="95"/>
    </row>
    <row r="1289" spans="1:16" x14ac:dyDescent="0.25">
      <c r="A1289" s="16">
        <v>36</v>
      </c>
      <c r="B1289" s="16">
        <v>437930.10856199998</v>
      </c>
      <c r="C1289" s="16">
        <v>5688631.3324180003</v>
      </c>
      <c r="D1289" s="31">
        <v>22</v>
      </c>
      <c r="E1289" s="31" t="s">
        <v>33</v>
      </c>
      <c r="F1289" s="31">
        <v>2014</v>
      </c>
      <c r="G1289" s="16">
        <v>2.1700000000000001E-2</v>
      </c>
      <c r="H1289" s="16">
        <v>6.3270469251242327E-3</v>
      </c>
      <c r="I1289" s="16">
        <v>0</v>
      </c>
      <c r="J1289" s="16">
        <v>0</v>
      </c>
      <c r="K1289" s="16">
        <v>3.5999999999999999E-3</v>
      </c>
      <c r="L1289" s="16">
        <v>1.3297692724647948E-3</v>
      </c>
      <c r="M1289" s="16">
        <v>4.9972776526594383E-3</v>
      </c>
      <c r="N1289" s="16">
        <v>0</v>
      </c>
      <c r="O1289" s="16">
        <v>0</v>
      </c>
      <c r="P1289" s="95"/>
    </row>
    <row r="1290" spans="1:16" x14ac:dyDescent="0.25">
      <c r="A1290" s="35">
        <v>37</v>
      </c>
      <c r="B1290" s="35">
        <v>438049.10856199998</v>
      </c>
      <c r="C1290" s="35">
        <v>5688631.3324180003</v>
      </c>
      <c r="D1290" s="96">
        <v>22</v>
      </c>
      <c r="E1290" s="96" t="s">
        <v>33</v>
      </c>
      <c r="F1290" s="96">
        <v>2014</v>
      </c>
      <c r="G1290" s="96" t="s">
        <v>18</v>
      </c>
      <c r="H1290" s="96" t="s">
        <v>18</v>
      </c>
      <c r="I1290" s="96" t="s">
        <v>18</v>
      </c>
      <c r="J1290" s="96" t="s">
        <v>18</v>
      </c>
      <c r="K1290" s="96" t="s">
        <v>18</v>
      </c>
      <c r="L1290" s="96" t="s">
        <v>18</v>
      </c>
      <c r="M1290" s="96" t="s">
        <v>18</v>
      </c>
      <c r="N1290" s="96" t="s">
        <v>18</v>
      </c>
      <c r="O1290" s="96" t="s">
        <v>18</v>
      </c>
      <c r="P1290" s="94" t="s">
        <v>21</v>
      </c>
    </row>
    <row r="1291" spans="1:16" x14ac:dyDescent="0.25">
      <c r="A1291" s="16">
        <v>38</v>
      </c>
      <c r="B1291" s="16">
        <v>438067</v>
      </c>
      <c r="C1291" s="16">
        <v>5688710</v>
      </c>
      <c r="D1291" s="31">
        <v>21</v>
      </c>
      <c r="E1291" s="31" t="s">
        <v>33</v>
      </c>
      <c r="F1291" s="31">
        <v>2014</v>
      </c>
      <c r="G1291" s="16">
        <v>8.6199999999999999E-2</v>
      </c>
      <c r="H1291" s="16">
        <v>2.2239698282284462E-2</v>
      </c>
      <c r="I1291" s="16">
        <v>0</v>
      </c>
      <c r="J1291" s="16">
        <v>0</v>
      </c>
      <c r="K1291" s="16">
        <v>5.7000000000000002E-3</v>
      </c>
      <c r="L1291" s="16">
        <v>2.3859074530766383E-3</v>
      </c>
      <c r="M1291" s="16">
        <v>1.9853790829207824E-2</v>
      </c>
      <c r="N1291" s="16">
        <v>0</v>
      </c>
      <c r="O1291" s="16">
        <v>0</v>
      </c>
      <c r="P1291" s="95"/>
    </row>
    <row r="1292" spans="1:16" x14ac:dyDescent="0.25">
      <c r="A1292" s="35">
        <v>39</v>
      </c>
      <c r="B1292" s="35">
        <v>438287.10856199998</v>
      </c>
      <c r="C1292" s="35">
        <v>5688631.3324180003</v>
      </c>
      <c r="D1292" s="96">
        <v>22</v>
      </c>
      <c r="E1292" s="96" t="s">
        <v>33</v>
      </c>
      <c r="F1292" s="96">
        <v>2014</v>
      </c>
      <c r="G1292" s="96" t="s">
        <v>18</v>
      </c>
      <c r="H1292" s="96" t="s">
        <v>18</v>
      </c>
      <c r="I1292" s="96" t="s">
        <v>18</v>
      </c>
      <c r="J1292" s="96" t="s">
        <v>18</v>
      </c>
      <c r="K1292" s="96" t="s">
        <v>18</v>
      </c>
      <c r="L1292" s="96" t="s">
        <v>18</v>
      </c>
      <c r="M1292" s="96" t="s">
        <v>18</v>
      </c>
      <c r="N1292" s="96" t="s">
        <v>18</v>
      </c>
      <c r="O1292" s="96" t="s">
        <v>18</v>
      </c>
      <c r="P1292" s="94" t="s">
        <v>22</v>
      </c>
    </row>
    <row r="1293" spans="1:16" x14ac:dyDescent="0.25">
      <c r="A1293" s="16">
        <v>40</v>
      </c>
      <c r="B1293" s="16">
        <v>438406.10856199998</v>
      </c>
      <c r="C1293" s="16">
        <v>5688631.3324180003</v>
      </c>
      <c r="D1293" s="31">
        <v>22</v>
      </c>
      <c r="E1293" s="31" t="s">
        <v>33</v>
      </c>
      <c r="F1293" s="31">
        <v>2014</v>
      </c>
      <c r="G1293" s="16">
        <v>2.8399999999999998E-2</v>
      </c>
      <c r="H1293" s="16">
        <v>8.2805591093791792E-3</v>
      </c>
      <c r="I1293" s="16">
        <v>0</v>
      </c>
      <c r="J1293" s="16">
        <v>0</v>
      </c>
      <c r="K1293" s="16">
        <v>2.1000000000000003E-3</v>
      </c>
      <c r="L1293" s="16">
        <v>7.7569874227113042E-4</v>
      </c>
      <c r="M1293" s="16">
        <v>7.5048603671080492E-3</v>
      </c>
      <c r="N1293" s="16">
        <v>0</v>
      </c>
      <c r="O1293" s="16">
        <v>0</v>
      </c>
      <c r="P1293" s="95"/>
    </row>
    <row r="1294" spans="1:16" x14ac:dyDescent="0.25">
      <c r="A1294" s="16">
        <v>41</v>
      </c>
      <c r="B1294" s="16">
        <v>437310</v>
      </c>
      <c r="C1294" s="16">
        <v>5688729</v>
      </c>
      <c r="D1294" s="31">
        <v>21</v>
      </c>
      <c r="E1294" s="31" t="s">
        <v>33</v>
      </c>
      <c r="F1294" s="31">
        <v>2014</v>
      </c>
      <c r="G1294" s="16">
        <v>2.3300000000000001E-2</v>
      </c>
      <c r="H1294" s="16">
        <v>6.0114265658611134E-3</v>
      </c>
      <c r="I1294" s="16">
        <v>0</v>
      </c>
      <c r="J1294" s="16">
        <v>0</v>
      </c>
      <c r="K1294" s="16">
        <v>1.7299999999999999E-2</v>
      </c>
      <c r="L1294" s="16">
        <v>7.2414384102150592E-3</v>
      </c>
      <c r="M1294" s="16">
        <v>-1.2300118443539457E-3</v>
      </c>
      <c r="N1294" s="16">
        <v>0</v>
      </c>
      <c r="O1294" s="16">
        <v>0</v>
      </c>
      <c r="P1294" s="95"/>
    </row>
    <row r="1295" spans="1:16" x14ac:dyDescent="0.25">
      <c r="A1295" s="16">
        <v>42</v>
      </c>
      <c r="B1295" s="16">
        <v>437454.10856199998</v>
      </c>
      <c r="C1295" s="16">
        <v>5688750.3324180003</v>
      </c>
      <c r="D1295" s="31">
        <v>21</v>
      </c>
      <c r="E1295" s="31" t="s">
        <v>33</v>
      </c>
      <c r="F1295" s="31">
        <v>2014</v>
      </c>
      <c r="G1295" s="16">
        <v>4.2299999999999997E-2</v>
      </c>
      <c r="H1295" s="16">
        <v>1.0913448229009659E-2</v>
      </c>
      <c r="I1295" s="16">
        <v>0</v>
      </c>
      <c r="J1295" s="16">
        <v>0</v>
      </c>
      <c r="K1295" s="16">
        <v>1.23E-2</v>
      </c>
      <c r="L1295" s="16">
        <v>5.14853713558643E-3</v>
      </c>
      <c r="M1295" s="16">
        <v>5.7649110934232294E-3</v>
      </c>
      <c r="N1295" s="16">
        <v>7.4999999999999997E-3</v>
      </c>
      <c r="O1295" s="16">
        <v>3.6826347305389199E-3</v>
      </c>
      <c r="P1295" s="95"/>
    </row>
    <row r="1296" spans="1:16" x14ac:dyDescent="0.25">
      <c r="A1296" s="16">
        <v>43</v>
      </c>
      <c r="B1296" s="16">
        <v>437573.10856199998</v>
      </c>
      <c r="C1296" s="16">
        <v>5688750.3324180003</v>
      </c>
      <c r="D1296" s="31">
        <v>21</v>
      </c>
      <c r="E1296" s="31" t="s">
        <v>33</v>
      </c>
      <c r="F1296" s="31">
        <v>2014</v>
      </c>
      <c r="G1296" s="16">
        <v>1.26E-2</v>
      </c>
      <c r="H1296" s="16">
        <v>3.250814366087984E-3</v>
      </c>
      <c r="I1296" s="16">
        <v>0</v>
      </c>
      <c r="J1296" s="16">
        <v>0</v>
      </c>
      <c r="K1296" s="16">
        <v>1.04E-2</v>
      </c>
      <c r="L1296" s="16">
        <v>4.3532346512275503E-3</v>
      </c>
      <c r="M1296" s="16">
        <v>-1.1024202851395663E-3</v>
      </c>
      <c r="N1296" s="16">
        <v>0</v>
      </c>
      <c r="O1296" s="16">
        <v>0</v>
      </c>
      <c r="P1296" s="95"/>
    </row>
    <row r="1297" spans="1:16" x14ac:dyDescent="0.25">
      <c r="A1297" s="16">
        <v>44</v>
      </c>
      <c r="B1297" s="16">
        <v>437692.10856199998</v>
      </c>
      <c r="C1297" s="16">
        <v>5688750.3324180003</v>
      </c>
      <c r="D1297" s="31">
        <v>21</v>
      </c>
      <c r="E1297" s="31" t="s">
        <v>33</v>
      </c>
      <c r="F1297" s="31">
        <v>2014</v>
      </c>
      <c r="G1297" s="16">
        <v>1.06E-2</v>
      </c>
      <c r="H1297" s="16">
        <v>2.7348120857565582E-3</v>
      </c>
      <c r="I1297" s="16">
        <v>0</v>
      </c>
      <c r="J1297" s="16">
        <v>0</v>
      </c>
      <c r="K1297" s="16">
        <v>6.7000000000000002E-3</v>
      </c>
      <c r="L1297" s="16">
        <v>2.8044877080023642E-3</v>
      </c>
      <c r="M1297" s="16">
        <v>-6.9675622245806042E-5</v>
      </c>
      <c r="N1297" s="16">
        <v>0</v>
      </c>
      <c r="O1297" s="16">
        <v>0</v>
      </c>
      <c r="P1297" s="95"/>
    </row>
    <row r="1298" spans="1:16" x14ac:dyDescent="0.25">
      <c r="A1298" s="16">
        <v>45</v>
      </c>
      <c r="B1298" s="16">
        <v>437811.10856199998</v>
      </c>
      <c r="C1298" s="16">
        <v>5688750.3324180003</v>
      </c>
      <c r="D1298" s="31">
        <v>21</v>
      </c>
      <c r="E1298" s="31" t="s">
        <v>33</v>
      </c>
      <c r="F1298" s="31">
        <v>2014</v>
      </c>
      <c r="G1298" s="16">
        <v>1.15E-2</v>
      </c>
      <c r="H1298" s="16">
        <v>2.9670131119056997E-3</v>
      </c>
      <c r="I1298" s="16">
        <v>0</v>
      </c>
      <c r="J1298" s="16">
        <v>0</v>
      </c>
      <c r="K1298" s="16">
        <v>1.9800000000000002E-2</v>
      </c>
      <c r="L1298" s="16">
        <v>8.2878890475293759E-3</v>
      </c>
      <c r="M1298" s="16">
        <v>-5.3208759356236767E-3</v>
      </c>
      <c r="N1298" s="16">
        <v>0</v>
      </c>
      <c r="O1298" s="16">
        <v>0</v>
      </c>
      <c r="P1298" s="95"/>
    </row>
    <row r="1299" spans="1:16" x14ac:dyDescent="0.25">
      <c r="A1299" s="16">
        <v>46</v>
      </c>
      <c r="B1299" s="16">
        <v>437930.10856199998</v>
      </c>
      <c r="C1299" s="16">
        <v>5688750.3324180003</v>
      </c>
      <c r="D1299" s="31">
        <v>21</v>
      </c>
      <c r="E1299" s="31" t="s">
        <v>33</v>
      </c>
      <c r="F1299" s="31">
        <v>2014</v>
      </c>
      <c r="G1299" s="16">
        <v>4.4700000000000004E-2</v>
      </c>
      <c r="H1299" s="16">
        <v>1.1532650965407372E-2</v>
      </c>
      <c r="I1299" s="16">
        <v>6.9000000000000008E-3</v>
      </c>
      <c r="J1299" s="16">
        <v>3.2364285714285715E-3</v>
      </c>
      <c r="K1299" s="16">
        <v>1.3599999999999999E-2</v>
      </c>
      <c r="L1299" s="16">
        <v>5.6926914669898727E-3</v>
      </c>
      <c r="M1299" s="16">
        <v>5.8399594984174996E-3</v>
      </c>
      <c r="N1299" s="16">
        <v>0</v>
      </c>
      <c r="O1299" s="16">
        <v>0</v>
      </c>
      <c r="P1299" s="95"/>
    </row>
    <row r="1300" spans="1:16" x14ac:dyDescent="0.25">
      <c r="A1300" s="16">
        <v>47</v>
      </c>
      <c r="B1300" s="16">
        <v>438061</v>
      </c>
      <c r="C1300" s="16">
        <v>5688779</v>
      </c>
      <c r="D1300" s="31">
        <v>21</v>
      </c>
      <c r="E1300" s="31" t="s">
        <v>33</v>
      </c>
      <c r="F1300" s="31">
        <v>2014</v>
      </c>
      <c r="G1300" s="16">
        <v>5.4100000000000002E-2</v>
      </c>
      <c r="H1300" s="16">
        <v>1.3957861682965075E-2</v>
      </c>
      <c r="I1300" s="16">
        <v>1.44E-2</v>
      </c>
      <c r="J1300" s="16">
        <v>6.7542857142857135E-3</v>
      </c>
      <c r="K1300" s="16">
        <v>2.3999999999999998E-3</v>
      </c>
      <c r="L1300" s="16">
        <v>1.0045926118217423E-3</v>
      </c>
      <c r="M1300" s="16">
        <v>1.2953269071143332E-2</v>
      </c>
      <c r="N1300" s="16">
        <v>1.9E-3</v>
      </c>
      <c r="O1300" s="16">
        <v>9.3293413173652637E-4</v>
      </c>
      <c r="P1300" s="95"/>
    </row>
    <row r="1301" spans="1:16" x14ac:dyDescent="0.25">
      <c r="A1301" s="35">
        <v>48</v>
      </c>
      <c r="B1301" s="35">
        <v>438168.10856199998</v>
      </c>
      <c r="C1301" s="35">
        <v>5688750.3324180003</v>
      </c>
      <c r="D1301" s="96">
        <v>22</v>
      </c>
      <c r="E1301" s="96" t="s">
        <v>33</v>
      </c>
      <c r="F1301" s="96">
        <v>2014</v>
      </c>
      <c r="G1301" s="96" t="s">
        <v>18</v>
      </c>
      <c r="H1301" s="96" t="s">
        <v>18</v>
      </c>
      <c r="I1301" s="96" t="s">
        <v>18</v>
      </c>
      <c r="J1301" s="96" t="s">
        <v>18</v>
      </c>
      <c r="K1301" s="96" t="s">
        <v>18</v>
      </c>
      <c r="L1301" s="96" t="s">
        <v>18</v>
      </c>
      <c r="M1301" s="96" t="s">
        <v>18</v>
      </c>
      <c r="N1301" s="96" t="s">
        <v>18</v>
      </c>
      <c r="O1301" s="96" t="s">
        <v>18</v>
      </c>
      <c r="P1301" s="94" t="s">
        <v>21</v>
      </c>
    </row>
    <row r="1302" spans="1:16" x14ac:dyDescent="0.25">
      <c r="A1302" s="16">
        <v>49</v>
      </c>
      <c r="B1302" s="16">
        <v>437454.10856199998</v>
      </c>
      <c r="C1302" s="16">
        <v>5688869.3324180003</v>
      </c>
      <c r="D1302" s="31">
        <v>21</v>
      </c>
      <c r="E1302" s="31" t="s">
        <v>33</v>
      </c>
      <c r="F1302" s="31">
        <v>2014</v>
      </c>
      <c r="G1302" s="16">
        <v>3.9600000000000003E-2</v>
      </c>
      <c r="H1302" s="16">
        <v>1.0216845150562237E-2</v>
      </c>
      <c r="I1302" s="16">
        <v>0</v>
      </c>
      <c r="J1302" s="16">
        <v>0</v>
      </c>
      <c r="K1302" s="16">
        <v>3.4700000000000002E-2</v>
      </c>
      <c r="L1302" s="16">
        <v>1.4524734845922692E-2</v>
      </c>
      <c r="M1302" s="16">
        <v>-4.3078896953604555E-3</v>
      </c>
      <c r="N1302" s="16">
        <v>0</v>
      </c>
      <c r="O1302" s="16">
        <v>0</v>
      </c>
      <c r="P1302" s="95"/>
    </row>
    <row r="1303" spans="1:16" x14ac:dyDescent="0.25">
      <c r="A1303" s="16">
        <v>50</v>
      </c>
      <c r="B1303" s="16">
        <v>437811.10856199998</v>
      </c>
      <c r="C1303" s="16">
        <v>5688869.3324180003</v>
      </c>
      <c r="D1303" s="31">
        <v>21</v>
      </c>
      <c r="E1303" s="31" t="s">
        <v>33</v>
      </c>
      <c r="F1303" s="31">
        <v>2014</v>
      </c>
      <c r="G1303" s="16">
        <v>1.1699999999999999E-2</v>
      </c>
      <c r="H1303" s="16">
        <v>3.0186133399388421E-3</v>
      </c>
      <c r="I1303" s="16">
        <v>0</v>
      </c>
      <c r="J1303" s="16">
        <v>0</v>
      </c>
      <c r="K1303" s="16">
        <v>2E-3</v>
      </c>
      <c r="L1303" s="16">
        <v>8.3716050985145195E-4</v>
      </c>
      <c r="M1303" s="16">
        <v>2.1814528300873903E-3</v>
      </c>
      <c r="N1303" s="16">
        <v>0</v>
      </c>
      <c r="O1303" s="16">
        <v>0</v>
      </c>
      <c r="P1303" s="95"/>
    </row>
    <row r="1304" spans="1:16" x14ac:dyDescent="0.25">
      <c r="A1304" s="16">
        <v>51</v>
      </c>
      <c r="B1304" s="16">
        <v>437930.10856199998</v>
      </c>
      <c r="C1304" s="16">
        <v>5688869.3324180003</v>
      </c>
      <c r="D1304" s="31">
        <v>21</v>
      </c>
      <c r="E1304" s="31" t="s">
        <v>33</v>
      </c>
      <c r="F1304" s="31">
        <v>2014</v>
      </c>
      <c r="G1304" s="16">
        <v>4.7200000000000006E-2</v>
      </c>
      <c r="H1304" s="16">
        <v>1.2177653815821655E-2</v>
      </c>
      <c r="I1304" s="16">
        <v>0</v>
      </c>
      <c r="J1304" s="16">
        <v>0</v>
      </c>
      <c r="K1304" s="16">
        <v>9.1000000000000004E-3</v>
      </c>
      <c r="L1304" s="16">
        <v>3.8090803198241067E-3</v>
      </c>
      <c r="M1304" s="16">
        <v>8.3685734959975493E-3</v>
      </c>
      <c r="N1304" s="16">
        <v>0</v>
      </c>
      <c r="O1304" s="16">
        <v>0</v>
      </c>
      <c r="P1304" s="95"/>
    </row>
    <row r="1305" spans="1:16" x14ac:dyDescent="0.25">
      <c r="A1305" s="16">
        <v>52</v>
      </c>
      <c r="B1305" s="16">
        <v>438049.10856199998</v>
      </c>
      <c r="C1305" s="16">
        <v>5688869.3324180003</v>
      </c>
      <c r="D1305" s="31">
        <v>21</v>
      </c>
      <c r="E1305" s="31" t="s">
        <v>33</v>
      </c>
      <c r="F1305" s="31">
        <v>2014</v>
      </c>
      <c r="G1305" s="16">
        <v>1.5099999999999999E-2</v>
      </c>
      <c r="H1305" s="16">
        <v>3.8958172165022664E-3</v>
      </c>
      <c r="I1305" s="16">
        <v>0</v>
      </c>
      <c r="J1305" s="16">
        <v>0</v>
      </c>
      <c r="K1305" s="16">
        <v>8.6E-3</v>
      </c>
      <c r="L1305" s="16">
        <v>3.5997901923612435E-3</v>
      </c>
      <c r="M1305" s="16">
        <v>2.9602702414102287E-4</v>
      </c>
      <c r="N1305" s="16">
        <v>1.9E-3</v>
      </c>
      <c r="O1305" s="16">
        <v>9.3293413173652637E-4</v>
      </c>
      <c r="P1305" s="95"/>
    </row>
    <row r="1306" spans="1:16" x14ac:dyDescent="0.25">
      <c r="A1306" s="16">
        <v>53</v>
      </c>
      <c r="B1306" s="16">
        <v>438287.10856199998</v>
      </c>
      <c r="C1306" s="16">
        <v>5688869.3324180003</v>
      </c>
      <c r="D1306" s="31">
        <v>21</v>
      </c>
      <c r="E1306" s="31" t="s">
        <v>33</v>
      </c>
      <c r="F1306" s="31">
        <v>2014</v>
      </c>
      <c r="G1306" s="16">
        <v>2.1899999999999999E-2</v>
      </c>
      <c r="H1306" s="16">
        <v>5.6502249696291145E-3</v>
      </c>
      <c r="I1306" s="16">
        <v>0</v>
      </c>
      <c r="J1306" s="16">
        <v>0</v>
      </c>
      <c r="K1306" s="16">
        <v>7.7000000000000002E-3</v>
      </c>
      <c r="L1306" s="16">
        <v>3.2230679629280902E-3</v>
      </c>
      <c r="M1306" s="16">
        <v>2.4271570067010244E-3</v>
      </c>
      <c r="N1306" s="16">
        <v>0</v>
      </c>
      <c r="O1306" s="16">
        <v>0</v>
      </c>
      <c r="P1306" s="95"/>
    </row>
    <row r="1307" spans="1:16" x14ac:dyDescent="0.25">
      <c r="A1307" s="16">
        <v>54</v>
      </c>
      <c r="B1307" s="16">
        <v>437454.10856199998</v>
      </c>
      <c r="C1307" s="16">
        <v>5688988.3324180003</v>
      </c>
      <c r="D1307" s="31">
        <v>21</v>
      </c>
      <c r="E1307" s="31" t="s">
        <v>33</v>
      </c>
      <c r="F1307" s="31">
        <v>2014</v>
      </c>
      <c r="G1307" s="16">
        <v>2.2100000000000002E-2</v>
      </c>
      <c r="H1307" s="16">
        <v>5.7018251976622579E-3</v>
      </c>
      <c r="I1307" s="16">
        <v>2.1899999999999999E-2</v>
      </c>
      <c r="J1307" s="16">
        <v>1.0272142857142856E-2</v>
      </c>
      <c r="K1307" s="16">
        <v>3.1699999999999999E-2</v>
      </c>
      <c r="L1307" s="16">
        <v>1.3268994081145513E-2</v>
      </c>
      <c r="M1307" s="16">
        <v>-7.5671688834832553E-3</v>
      </c>
      <c r="N1307" s="16">
        <v>5.9000000000000007E-3</v>
      </c>
      <c r="O1307" s="16">
        <v>2.8970059880239507E-3</v>
      </c>
      <c r="P1307" s="95"/>
    </row>
    <row r="1308" spans="1:16" x14ac:dyDescent="0.25">
      <c r="A1308" s="16">
        <v>55</v>
      </c>
      <c r="B1308" s="16">
        <v>438049.10856199998</v>
      </c>
      <c r="C1308" s="16">
        <v>5688988.3324180003</v>
      </c>
      <c r="D1308" s="31">
        <v>21</v>
      </c>
      <c r="E1308" s="31" t="s">
        <v>33</v>
      </c>
      <c r="F1308" s="31">
        <v>2014</v>
      </c>
      <c r="G1308" s="16">
        <v>8.8000000000000005E-3</v>
      </c>
      <c r="H1308" s="16">
        <v>2.2704100334582748E-3</v>
      </c>
      <c r="I1308" s="16">
        <v>0</v>
      </c>
      <c r="J1308" s="16">
        <v>0</v>
      </c>
      <c r="K1308" s="16">
        <v>8.3000000000000001E-3</v>
      </c>
      <c r="L1308" s="16">
        <v>3.4742161158835259E-3</v>
      </c>
      <c r="M1308" s="16">
        <v>-1.2038060824252511E-3</v>
      </c>
      <c r="N1308" s="16">
        <v>0</v>
      </c>
      <c r="O1308" s="16">
        <v>0</v>
      </c>
      <c r="P1308" s="95"/>
    </row>
    <row r="1309" spans="1:16" x14ac:dyDescent="0.25">
      <c r="A1309" s="16">
        <v>56</v>
      </c>
      <c r="B1309" s="16">
        <v>438168.10856199998</v>
      </c>
      <c r="C1309" s="16">
        <v>5688988.3324180003</v>
      </c>
      <c r="D1309" s="31">
        <v>21</v>
      </c>
      <c r="E1309" s="31" t="s">
        <v>33</v>
      </c>
      <c r="F1309" s="31">
        <v>2014</v>
      </c>
      <c r="G1309" s="16">
        <v>3.0999999999999999E-3</v>
      </c>
      <c r="H1309" s="16">
        <v>7.9980353451371028E-4</v>
      </c>
      <c r="I1309" s="16">
        <v>0</v>
      </c>
      <c r="J1309" s="16">
        <v>0</v>
      </c>
      <c r="K1309" s="16">
        <v>8.4000000000000012E-3</v>
      </c>
      <c r="L1309" s="16">
        <v>3.5160741413760989E-3</v>
      </c>
      <c r="M1309" s="16">
        <v>-2.7162706068623887E-3</v>
      </c>
      <c r="N1309" s="16">
        <v>0</v>
      </c>
      <c r="O1309" s="16">
        <v>0</v>
      </c>
      <c r="P1309" s="95"/>
    </row>
    <row r="1310" spans="1:16" x14ac:dyDescent="0.25">
      <c r="A1310" s="36">
        <v>57</v>
      </c>
      <c r="B1310" s="36">
        <v>438146</v>
      </c>
      <c r="C1310" s="36">
        <v>5688977</v>
      </c>
      <c r="D1310" s="99">
        <v>21</v>
      </c>
      <c r="E1310" s="99" t="s">
        <v>33</v>
      </c>
      <c r="F1310" s="99">
        <v>2014</v>
      </c>
      <c r="G1310" s="36">
        <v>4.4999999999999998E-2</v>
      </c>
      <c r="H1310" s="36">
        <v>1.1610051307457086E-2</v>
      </c>
      <c r="I1310" s="36">
        <v>0</v>
      </c>
      <c r="J1310" s="36">
        <v>0</v>
      </c>
      <c r="K1310" s="36">
        <v>3.8999999999999998E-3</v>
      </c>
      <c r="L1310" s="36">
        <v>1.6324629942103314E-3</v>
      </c>
      <c r="M1310" s="36">
        <v>9.977588313246754E-3</v>
      </c>
      <c r="N1310" s="36">
        <v>0</v>
      </c>
      <c r="O1310" s="36">
        <v>0</v>
      </c>
      <c r="P1310" s="100"/>
    </row>
    <row r="1311" spans="1:16" x14ac:dyDescent="0.25">
      <c r="A1311" s="36">
        <v>58</v>
      </c>
      <c r="B1311" s="36">
        <v>438131</v>
      </c>
      <c r="C1311" s="36">
        <v>5688972</v>
      </c>
      <c r="D1311" s="99">
        <v>21</v>
      </c>
      <c r="E1311" s="99" t="s">
        <v>33</v>
      </c>
      <c r="F1311" s="99">
        <v>2014</v>
      </c>
      <c r="G1311" s="36">
        <v>4.5899999999999996E-2</v>
      </c>
      <c r="H1311" s="36">
        <v>1.1842252333606227E-2</v>
      </c>
      <c r="I1311" s="36">
        <v>0</v>
      </c>
      <c r="J1311" s="36">
        <v>0</v>
      </c>
      <c r="K1311" s="36">
        <v>8.5000000000000006E-3</v>
      </c>
      <c r="L1311" s="36">
        <v>3.557932166868671E-3</v>
      </c>
      <c r="M1311" s="36">
        <v>8.2843201667375556E-3</v>
      </c>
      <c r="N1311" s="36">
        <v>0</v>
      </c>
      <c r="O1311" s="36">
        <v>0</v>
      </c>
      <c r="P1311" s="100"/>
    </row>
    <row r="1312" spans="1:16" x14ac:dyDescent="0.25">
      <c r="A1312" s="36">
        <v>59</v>
      </c>
      <c r="B1312" s="36">
        <v>438089</v>
      </c>
      <c r="C1312" s="36">
        <v>5688713</v>
      </c>
      <c r="D1312" s="99">
        <v>21</v>
      </c>
      <c r="E1312" s="99" t="s">
        <v>33</v>
      </c>
      <c r="F1312" s="99">
        <v>2014</v>
      </c>
      <c r="G1312" s="36">
        <v>0.20130000000000001</v>
      </c>
      <c r="H1312" s="36">
        <v>5.1935629515358031E-2</v>
      </c>
      <c r="I1312" s="36">
        <v>0</v>
      </c>
      <c r="J1312" s="36">
        <v>0</v>
      </c>
      <c r="K1312" s="36">
        <v>3.2799999999999996E-2</v>
      </c>
      <c r="L1312" s="36">
        <v>1.372943236156381E-2</v>
      </c>
      <c r="M1312" s="36">
        <v>3.8206197153794225E-2</v>
      </c>
      <c r="N1312" s="36">
        <v>0</v>
      </c>
      <c r="O1312" s="36">
        <v>0</v>
      </c>
      <c r="P1312" s="100"/>
    </row>
    <row r="1313" spans="1:19" x14ac:dyDescent="0.25">
      <c r="A1313" s="36">
        <v>60</v>
      </c>
      <c r="B1313" s="36">
        <v>438099</v>
      </c>
      <c r="C1313" s="36">
        <v>5688719</v>
      </c>
      <c r="D1313" s="99">
        <v>21</v>
      </c>
      <c r="E1313" s="99" t="s">
        <v>33</v>
      </c>
      <c r="F1313" s="99">
        <v>2014</v>
      </c>
      <c r="G1313" s="36">
        <v>6.1100000000000002E-2</v>
      </c>
      <c r="H1313" s="36">
        <v>1.5763869664125067E-2</v>
      </c>
      <c r="I1313" s="36">
        <v>0</v>
      </c>
      <c r="J1313" s="36">
        <v>0</v>
      </c>
      <c r="K1313" s="36">
        <v>4.5999999999999999E-3</v>
      </c>
      <c r="L1313" s="36">
        <v>1.9254691726583394E-3</v>
      </c>
      <c r="M1313" s="36">
        <v>1.3838400491466727E-2</v>
      </c>
      <c r="N1313" s="36">
        <v>0</v>
      </c>
      <c r="O1313" s="36">
        <v>0</v>
      </c>
      <c r="P1313" s="100"/>
    </row>
    <row r="1314" spans="1:19" x14ac:dyDescent="0.25">
      <c r="A1314" s="42">
        <v>1</v>
      </c>
      <c r="B1314" s="43">
        <v>437930.10856199998</v>
      </c>
      <c r="C1314" s="43">
        <v>5688036.3324180003</v>
      </c>
      <c r="D1314" s="44">
        <v>13</v>
      </c>
      <c r="E1314" s="44" t="s">
        <v>61</v>
      </c>
      <c r="F1314" s="44">
        <v>2014</v>
      </c>
      <c r="G1314" s="44" t="s">
        <v>18</v>
      </c>
      <c r="H1314" s="44" t="s">
        <v>18</v>
      </c>
      <c r="I1314" s="44" t="s">
        <v>18</v>
      </c>
      <c r="J1314" s="44" t="s">
        <v>18</v>
      </c>
      <c r="K1314" s="44" t="s">
        <v>18</v>
      </c>
      <c r="L1314" s="44" t="s">
        <v>18</v>
      </c>
      <c r="M1314" s="44" t="s">
        <v>18</v>
      </c>
      <c r="N1314" s="44" t="s">
        <v>18</v>
      </c>
      <c r="O1314" s="44" t="s">
        <v>18</v>
      </c>
      <c r="P1314" s="102" t="s">
        <v>109</v>
      </c>
      <c r="R1314" s="5">
        <f>AVERAGE(M1314:M1373)</f>
        <v>2.3423492085140142E-2</v>
      </c>
      <c r="S1314" s="5">
        <f>AVERAGE(H1314:H1373)</f>
        <v>2.6436462561384336E-2</v>
      </c>
    </row>
    <row r="1315" spans="1:19" x14ac:dyDescent="0.25">
      <c r="A1315" s="42">
        <v>2</v>
      </c>
      <c r="B1315" s="43">
        <v>437811.10856199998</v>
      </c>
      <c r="C1315" s="43">
        <v>5688155.3324180003</v>
      </c>
      <c r="D1315" s="44">
        <v>13</v>
      </c>
      <c r="E1315" s="44" t="s">
        <v>61</v>
      </c>
      <c r="F1315" s="44">
        <v>2014</v>
      </c>
      <c r="G1315" s="44" t="s">
        <v>18</v>
      </c>
      <c r="H1315" s="44" t="s">
        <v>18</v>
      </c>
      <c r="I1315" s="44" t="s">
        <v>18</v>
      </c>
      <c r="J1315" s="44" t="s">
        <v>18</v>
      </c>
      <c r="K1315" s="44" t="s">
        <v>18</v>
      </c>
      <c r="L1315" s="44" t="s">
        <v>18</v>
      </c>
      <c r="M1315" s="44" t="s">
        <v>18</v>
      </c>
      <c r="N1315" s="44" t="s">
        <v>18</v>
      </c>
      <c r="O1315" s="44" t="s">
        <v>18</v>
      </c>
      <c r="P1315" s="102" t="s">
        <v>109</v>
      </c>
    </row>
    <row r="1316" spans="1:19" x14ac:dyDescent="0.25">
      <c r="A1316" s="29">
        <v>3</v>
      </c>
      <c r="B1316" s="30">
        <v>437930.10856199998</v>
      </c>
      <c r="C1316" s="30">
        <v>5688155.3324180003</v>
      </c>
      <c r="D1316" s="46">
        <v>13</v>
      </c>
      <c r="E1316" s="30" t="s">
        <v>61</v>
      </c>
      <c r="F1316" s="46">
        <v>2014</v>
      </c>
      <c r="G1316" s="47">
        <v>2.9399999999999999E-2</v>
      </c>
      <c r="H1316" s="47">
        <f>G1316*0.318422483116023</f>
        <v>9.3616210036110755E-3</v>
      </c>
      <c r="I1316" s="47">
        <v>3.8299999999999994E-2</v>
      </c>
      <c r="J1316" s="47">
        <f t="shared" ref="J1316:J1326" si="1">I1316*0.53</f>
        <v>2.0298999999999998E-2</v>
      </c>
      <c r="K1316" s="47">
        <v>9.300000000000001E-3</v>
      </c>
      <c r="L1316" s="47">
        <f t="shared" ref="L1316:L1326" si="2">K1316*0.40368832011176</f>
        <v>3.7543013770393683E-3</v>
      </c>
      <c r="M1316" s="47">
        <f t="shared" ref="M1316:M1373" si="3">H1316-L1316</f>
        <v>5.6073196265717072E-3</v>
      </c>
      <c r="N1316" s="47">
        <v>5.3E-3</v>
      </c>
      <c r="O1316" s="47">
        <f t="shared" ref="O1316:O1326" si="4">N1316*0.314165694057661</f>
        <v>1.6650781785056033E-3</v>
      </c>
      <c r="P1316" s="92"/>
    </row>
    <row r="1317" spans="1:19" x14ac:dyDescent="0.25">
      <c r="A1317" s="42">
        <v>4</v>
      </c>
      <c r="B1317" s="43">
        <v>438049.10856199998</v>
      </c>
      <c r="C1317" s="43">
        <v>5688155.3324180003</v>
      </c>
      <c r="D1317" s="44">
        <v>13</v>
      </c>
      <c r="E1317" s="44" t="s">
        <v>61</v>
      </c>
      <c r="F1317" s="44">
        <v>2014</v>
      </c>
      <c r="G1317" s="44" t="s">
        <v>18</v>
      </c>
      <c r="H1317" s="44" t="s">
        <v>18</v>
      </c>
      <c r="I1317" s="44" t="s">
        <v>18</v>
      </c>
      <c r="J1317" s="44" t="s">
        <v>18</v>
      </c>
      <c r="K1317" s="44" t="s">
        <v>18</v>
      </c>
      <c r="L1317" s="44" t="s">
        <v>18</v>
      </c>
      <c r="M1317" s="44" t="s">
        <v>18</v>
      </c>
      <c r="N1317" s="44" t="s">
        <v>18</v>
      </c>
      <c r="O1317" s="44" t="s">
        <v>18</v>
      </c>
      <c r="P1317" s="102" t="s">
        <v>109</v>
      </c>
    </row>
    <row r="1318" spans="1:19" x14ac:dyDescent="0.25">
      <c r="A1318" s="42">
        <v>5</v>
      </c>
      <c r="B1318" s="43">
        <v>437573.10856199998</v>
      </c>
      <c r="C1318" s="43">
        <v>5688274.3324180003</v>
      </c>
      <c r="D1318" s="44">
        <v>13</v>
      </c>
      <c r="E1318" s="44" t="s">
        <v>61</v>
      </c>
      <c r="F1318" s="44">
        <v>2014</v>
      </c>
      <c r="G1318" s="44" t="s">
        <v>18</v>
      </c>
      <c r="H1318" s="44" t="s">
        <v>18</v>
      </c>
      <c r="I1318" s="44" t="s">
        <v>18</v>
      </c>
      <c r="J1318" s="44" t="s">
        <v>18</v>
      </c>
      <c r="K1318" s="44" t="s">
        <v>18</v>
      </c>
      <c r="L1318" s="44" t="s">
        <v>18</v>
      </c>
      <c r="M1318" s="44" t="s">
        <v>18</v>
      </c>
      <c r="N1318" s="44" t="s">
        <v>18</v>
      </c>
      <c r="O1318" s="44" t="s">
        <v>18</v>
      </c>
      <c r="P1318" s="102" t="s">
        <v>109</v>
      </c>
    </row>
    <row r="1319" spans="1:19" x14ac:dyDescent="0.25">
      <c r="A1319" s="29">
        <v>6</v>
      </c>
      <c r="B1319" s="30">
        <v>437692.10856199998</v>
      </c>
      <c r="C1319" s="30">
        <v>5688274.3324180003</v>
      </c>
      <c r="D1319" s="46">
        <v>13</v>
      </c>
      <c r="E1319" s="30" t="s">
        <v>61</v>
      </c>
      <c r="F1319" s="46">
        <v>2014</v>
      </c>
      <c r="G1319" s="47">
        <v>6.3E-3</v>
      </c>
      <c r="H1319" s="47">
        <f>G1319*0.318422483116023</f>
        <v>2.0060616436309449E-3</v>
      </c>
      <c r="I1319" s="47">
        <v>8.6699999999999999E-2</v>
      </c>
      <c r="J1319" s="47">
        <f t="shared" si="1"/>
        <v>4.5950999999999999E-2</v>
      </c>
      <c r="K1319" s="47">
        <v>5.4000000000000003E-3</v>
      </c>
      <c r="L1319" s="47">
        <f t="shared" si="2"/>
        <v>2.179916928603504E-3</v>
      </c>
      <c r="M1319" s="47">
        <f t="shared" si="3"/>
        <v>-1.7385528497255911E-4</v>
      </c>
      <c r="N1319" s="47">
        <v>6.9000000000000008E-3</v>
      </c>
      <c r="O1319" s="47">
        <f t="shared" si="4"/>
        <v>2.167743288997861E-3</v>
      </c>
      <c r="P1319" s="92"/>
    </row>
    <row r="1320" spans="1:19" x14ac:dyDescent="0.25">
      <c r="A1320" s="29">
        <v>7</v>
      </c>
      <c r="B1320" s="30">
        <v>437811.10856199998</v>
      </c>
      <c r="C1320" s="30">
        <v>5688274.3324180003</v>
      </c>
      <c r="D1320" s="46">
        <v>13</v>
      </c>
      <c r="E1320" s="30" t="s">
        <v>61</v>
      </c>
      <c r="F1320" s="46">
        <v>2014</v>
      </c>
      <c r="G1320" s="46" t="s">
        <v>18</v>
      </c>
      <c r="H1320" s="46" t="s">
        <v>18</v>
      </c>
      <c r="I1320" s="46" t="s">
        <v>18</v>
      </c>
      <c r="J1320" s="46" t="s">
        <v>18</v>
      </c>
      <c r="K1320" s="47">
        <v>4.2000000000000006E-3</v>
      </c>
      <c r="L1320" s="47">
        <f t="shared" si="2"/>
        <v>1.6954909444693923E-3</v>
      </c>
      <c r="M1320" s="46" t="s">
        <v>18</v>
      </c>
      <c r="N1320" s="47">
        <v>0</v>
      </c>
      <c r="O1320" s="47">
        <f t="shared" si="4"/>
        <v>0</v>
      </c>
      <c r="P1320" s="92" t="s">
        <v>110</v>
      </c>
    </row>
    <row r="1321" spans="1:19" x14ac:dyDescent="0.25">
      <c r="A1321" s="29">
        <v>8</v>
      </c>
      <c r="B1321" s="30">
        <v>437930.10856199998</v>
      </c>
      <c r="C1321" s="30">
        <v>5688274.3324180003</v>
      </c>
      <c r="D1321" s="46">
        <v>13</v>
      </c>
      <c r="E1321" s="30" t="s">
        <v>61</v>
      </c>
      <c r="F1321" s="46">
        <v>2014</v>
      </c>
      <c r="G1321" s="47">
        <v>2.98E-2</v>
      </c>
      <c r="H1321" s="47">
        <f t="shared" ref="H1321:H1326" si="5">G1321*0.318422483116023</f>
        <v>9.4889899968574852E-3</v>
      </c>
      <c r="I1321" s="47">
        <v>0</v>
      </c>
      <c r="J1321" s="47">
        <f t="shared" si="1"/>
        <v>0</v>
      </c>
      <c r="K1321" s="47">
        <v>7.4000000000000003E-3</v>
      </c>
      <c r="L1321" s="47">
        <f t="shared" si="2"/>
        <v>2.9872935688270239E-3</v>
      </c>
      <c r="M1321" s="47">
        <f t="shared" si="3"/>
        <v>6.5016964280304613E-3</v>
      </c>
      <c r="N1321" s="47">
        <v>0</v>
      </c>
      <c r="O1321" s="47">
        <f t="shared" si="4"/>
        <v>0</v>
      </c>
      <c r="P1321" s="92"/>
    </row>
    <row r="1322" spans="1:19" x14ac:dyDescent="0.25">
      <c r="A1322" s="29">
        <v>9</v>
      </c>
      <c r="B1322" s="30">
        <v>438287.10856199998</v>
      </c>
      <c r="C1322" s="30">
        <v>5688274.3324180003</v>
      </c>
      <c r="D1322" s="46">
        <v>13</v>
      </c>
      <c r="E1322" s="30" t="s">
        <v>61</v>
      </c>
      <c r="F1322" s="46">
        <v>2014</v>
      </c>
      <c r="G1322" s="47">
        <v>9.7900000000000001E-2</v>
      </c>
      <c r="H1322" s="47">
        <f t="shared" si="5"/>
        <v>3.1173561097058652E-2</v>
      </c>
      <c r="I1322" s="47">
        <v>0</v>
      </c>
      <c r="J1322" s="47">
        <f t="shared" si="1"/>
        <v>0</v>
      </c>
      <c r="K1322" s="47">
        <v>7.3000000000000001E-3</v>
      </c>
      <c r="L1322" s="47">
        <f t="shared" si="2"/>
        <v>2.946924736815848E-3</v>
      </c>
      <c r="M1322" s="47">
        <f t="shared" si="3"/>
        <v>2.8226636360242804E-2</v>
      </c>
      <c r="N1322" s="47">
        <v>0</v>
      </c>
      <c r="O1322" s="47">
        <f t="shared" si="4"/>
        <v>0</v>
      </c>
      <c r="P1322" s="92"/>
    </row>
    <row r="1323" spans="1:19" x14ac:dyDescent="0.25">
      <c r="A1323" s="29">
        <v>10</v>
      </c>
      <c r="B1323" s="30">
        <v>438406.10856199998</v>
      </c>
      <c r="C1323" s="30">
        <v>5688274.3324180003</v>
      </c>
      <c r="D1323" s="46">
        <v>13</v>
      </c>
      <c r="E1323" s="30" t="s">
        <v>61</v>
      </c>
      <c r="F1323" s="46">
        <v>2014</v>
      </c>
      <c r="G1323" s="47">
        <v>9.0700000000000003E-2</v>
      </c>
      <c r="H1323" s="47">
        <f t="shared" si="5"/>
        <v>2.8880919218623288E-2</v>
      </c>
      <c r="I1323" s="47">
        <v>0</v>
      </c>
      <c r="J1323" s="47">
        <f t="shared" si="1"/>
        <v>0</v>
      </c>
      <c r="K1323" s="47">
        <v>6.4999999999999997E-3</v>
      </c>
      <c r="L1323" s="47">
        <f t="shared" si="2"/>
        <v>2.6239740807264397E-3</v>
      </c>
      <c r="M1323" s="47">
        <f t="shared" si="3"/>
        <v>2.6256945137896847E-2</v>
      </c>
      <c r="N1323" s="47">
        <v>0</v>
      </c>
      <c r="O1323" s="47">
        <f t="shared" si="4"/>
        <v>0</v>
      </c>
      <c r="P1323" s="92"/>
    </row>
    <row r="1324" spans="1:19" x14ac:dyDescent="0.25">
      <c r="A1324" s="42">
        <v>11</v>
      </c>
      <c r="B1324" s="43">
        <v>437454.10856199998</v>
      </c>
      <c r="C1324" s="43">
        <v>5688393.3324180003</v>
      </c>
      <c r="D1324" s="44">
        <v>13</v>
      </c>
      <c r="E1324" s="44" t="s">
        <v>61</v>
      </c>
      <c r="F1324" s="44">
        <v>2014</v>
      </c>
      <c r="G1324" s="44" t="s">
        <v>18</v>
      </c>
      <c r="H1324" s="44" t="s">
        <v>18</v>
      </c>
      <c r="I1324" s="44" t="s">
        <v>18</v>
      </c>
      <c r="J1324" s="44" t="s">
        <v>18</v>
      </c>
      <c r="K1324" s="44" t="s">
        <v>18</v>
      </c>
      <c r="L1324" s="44" t="s">
        <v>18</v>
      </c>
      <c r="M1324" s="44" t="s">
        <v>18</v>
      </c>
      <c r="N1324" s="44" t="s">
        <v>18</v>
      </c>
      <c r="O1324" s="44" t="s">
        <v>18</v>
      </c>
      <c r="P1324" s="102" t="s">
        <v>109</v>
      </c>
    </row>
    <row r="1325" spans="1:19" x14ac:dyDescent="0.25">
      <c r="A1325" s="29">
        <v>12</v>
      </c>
      <c r="B1325" s="30">
        <v>437573.10856199998</v>
      </c>
      <c r="C1325" s="30">
        <v>5688393.3324180003</v>
      </c>
      <c r="D1325" s="46">
        <v>13</v>
      </c>
      <c r="E1325" s="30" t="s">
        <v>61</v>
      </c>
      <c r="F1325" s="46">
        <v>2014</v>
      </c>
      <c r="G1325" s="47">
        <v>5.2299999999999999E-2</v>
      </c>
      <c r="H1325" s="47">
        <f t="shared" si="5"/>
        <v>1.6653495866968002E-2</v>
      </c>
      <c r="I1325" s="47">
        <v>4.3799999999999999E-2</v>
      </c>
      <c r="J1325" s="47">
        <f t="shared" si="1"/>
        <v>2.3214000000000002E-2</v>
      </c>
      <c r="K1325" s="47">
        <v>4.9000000000000007E-3</v>
      </c>
      <c r="L1325" s="47">
        <f t="shared" si="2"/>
        <v>1.978072768547624E-3</v>
      </c>
      <c r="M1325" s="47">
        <f t="shared" si="3"/>
        <v>1.4675423098420378E-2</v>
      </c>
      <c r="N1325" s="47">
        <v>0</v>
      </c>
      <c r="O1325" s="47">
        <f t="shared" si="4"/>
        <v>0</v>
      </c>
      <c r="P1325" s="92" t="s">
        <v>111</v>
      </c>
    </row>
    <row r="1326" spans="1:19" x14ac:dyDescent="0.25">
      <c r="A1326" s="29">
        <v>13</v>
      </c>
      <c r="B1326" s="30">
        <v>437692.10856199998</v>
      </c>
      <c r="C1326" s="30">
        <v>5688393.3324180003</v>
      </c>
      <c r="D1326" s="46">
        <v>13</v>
      </c>
      <c r="E1326" s="30" t="s">
        <v>61</v>
      </c>
      <c r="F1326" s="46">
        <v>2014</v>
      </c>
      <c r="G1326" s="47">
        <v>6.25E-2</v>
      </c>
      <c r="H1326" s="47">
        <f t="shared" si="5"/>
        <v>1.9901405194751438E-2</v>
      </c>
      <c r="I1326" s="47">
        <v>1.61E-2</v>
      </c>
      <c r="J1326" s="47">
        <f t="shared" si="1"/>
        <v>8.5330000000000007E-3</v>
      </c>
      <c r="K1326" s="47">
        <v>1.32E-2</v>
      </c>
      <c r="L1326" s="47">
        <f t="shared" si="2"/>
        <v>5.3286858254752321E-3</v>
      </c>
      <c r="M1326" s="47">
        <f t="shared" si="3"/>
        <v>1.4572719369276205E-2</v>
      </c>
      <c r="N1326" s="47">
        <v>7.4200000000000002E-2</v>
      </c>
      <c r="O1326" s="47">
        <f t="shared" si="4"/>
        <v>2.3311094499078446E-2</v>
      </c>
      <c r="P1326" s="92"/>
    </row>
    <row r="1327" spans="1:19" x14ac:dyDescent="0.25">
      <c r="A1327" s="32">
        <v>14</v>
      </c>
      <c r="B1327" s="33">
        <v>437811.10856199998</v>
      </c>
      <c r="C1327" s="33">
        <v>5688393.3324180003</v>
      </c>
      <c r="D1327" s="48">
        <v>13</v>
      </c>
      <c r="E1327" s="48" t="s">
        <v>61</v>
      </c>
      <c r="F1327" s="48">
        <v>2014</v>
      </c>
      <c r="G1327" s="48" t="s">
        <v>18</v>
      </c>
      <c r="H1327" s="48" t="s">
        <v>18</v>
      </c>
      <c r="I1327" s="48" t="s">
        <v>18</v>
      </c>
      <c r="J1327" s="48" t="s">
        <v>18</v>
      </c>
      <c r="K1327" s="48" t="s">
        <v>18</v>
      </c>
      <c r="L1327" s="48" t="s">
        <v>18</v>
      </c>
      <c r="M1327" s="48" t="s">
        <v>18</v>
      </c>
      <c r="N1327" s="48" t="s">
        <v>18</v>
      </c>
      <c r="O1327" s="48" t="s">
        <v>18</v>
      </c>
      <c r="P1327" s="103" t="s">
        <v>21</v>
      </c>
    </row>
    <row r="1328" spans="1:19" x14ac:dyDescent="0.25">
      <c r="A1328" s="29">
        <v>15</v>
      </c>
      <c r="B1328" s="30">
        <v>437930.10856199998</v>
      </c>
      <c r="C1328" s="30">
        <v>5688393.3324180003</v>
      </c>
      <c r="D1328" s="46">
        <v>13</v>
      </c>
      <c r="E1328" s="30" t="s">
        <v>61</v>
      </c>
      <c r="F1328" s="46">
        <v>2014</v>
      </c>
      <c r="G1328" s="47">
        <v>5.8799999999999998E-2</v>
      </c>
      <c r="H1328" s="47">
        <f>G1328*0.318422483116023</f>
        <v>1.8723242007222151E-2</v>
      </c>
      <c r="I1328" s="47">
        <v>8.0399999999999999E-2</v>
      </c>
      <c r="J1328" s="47">
        <f>I1328*0.53</f>
        <v>4.2612000000000004E-2</v>
      </c>
      <c r="K1328" s="47">
        <v>9.6999999999999986E-3</v>
      </c>
      <c r="L1328" s="47">
        <f t="shared" ref="L1328:L1338" si="6">K1328*0.40368832011176</f>
        <v>3.9157767050840711E-3</v>
      </c>
      <c r="M1328" s="47">
        <f t="shared" si="3"/>
        <v>1.4807465302138081E-2</v>
      </c>
      <c r="N1328" s="47">
        <v>2.7100000000000003E-2</v>
      </c>
      <c r="O1328" s="47">
        <f t="shared" ref="O1328:O1338" si="7">N1328*0.314165694057661</f>
        <v>8.5138903089626138E-3</v>
      </c>
      <c r="P1328" s="92"/>
    </row>
    <row r="1329" spans="1:16" x14ac:dyDescent="0.25">
      <c r="A1329" s="29">
        <v>16</v>
      </c>
      <c r="B1329" s="30">
        <v>438049.10856199998</v>
      </c>
      <c r="C1329" s="30">
        <v>5688393.3324180003</v>
      </c>
      <c r="D1329" s="46">
        <v>13</v>
      </c>
      <c r="E1329" s="30" t="s">
        <v>61</v>
      </c>
      <c r="F1329" s="46">
        <v>2014</v>
      </c>
      <c r="G1329" s="46" t="s">
        <v>18</v>
      </c>
      <c r="H1329" s="46" t="s">
        <v>18</v>
      </c>
      <c r="I1329" s="46" t="s">
        <v>18</v>
      </c>
      <c r="J1329" s="46" t="s">
        <v>18</v>
      </c>
      <c r="K1329" s="47">
        <v>1.0800000000000001E-2</v>
      </c>
      <c r="L1329" s="47">
        <f t="shared" si="6"/>
        <v>4.3598338572070081E-3</v>
      </c>
      <c r="M1329" s="46" t="s">
        <v>18</v>
      </c>
      <c r="N1329" s="47">
        <v>6.0100000000000001E-2</v>
      </c>
      <c r="O1329" s="47">
        <f t="shared" si="7"/>
        <v>1.8881358212865424E-2</v>
      </c>
      <c r="P1329" s="92" t="s">
        <v>103</v>
      </c>
    </row>
    <row r="1330" spans="1:16" x14ac:dyDescent="0.25">
      <c r="A1330" s="29">
        <v>17</v>
      </c>
      <c r="B1330" s="30">
        <v>438168.10856199998</v>
      </c>
      <c r="C1330" s="30">
        <v>5688393.3324180003</v>
      </c>
      <c r="D1330" s="46">
        <v>13</v>
      </c>
      <c r="E1330" s="30" t="s">
        <v>61</v>
      </c>
      <c r="F1330" s="46">
        <v>2014</v>
      </c>
      <c r="G1330" s="47">
        <v>2.3100000000000002E-2</v>
      </c>
      <c r="H1330" s="47">
        <f>G1330*0.318422483116023</f>
        <v>7.3555593599801319E-3</v>
      </c>
      <c r="I1330" s="47">
        <v>0</v>
      </c>
      <c r="J1330" s="47">
        <f>I1330*0.53</f>
        <v>0</v>
      </c>
      <c r="K1330" s="47">
        <v>1.6199999999999999E-2</v>
      </c>
      <c r="L1330" s="47">
        <f t="shared" si="6"/>
        <v>6.5397507858105117E-3</v>
      </c>
      <c r="M1330" s="47">
        <f t="shared" si="3"/>
        <v>8.1580857416962017E-4</v>
      </c>
      <c r="N1330" s="47">
        <v>0.12470000000000001</v>
      </c>
      <c r="O1330" s="47">
        <f t="shared" si="7"/>
        <v>3.9176462048990328E-2</v>
      </c>
      <c r="P1330" s="92"/>
    </row>
    <row r="1331" spans="1:16" x14ac:dyDescent="0.25">
      <c r="A1331" s="29">
        <v>18</v>
      </c>
      <c r="B1331" s="30">
        <v>438287.10856199998</v>
      </c>
      <c r="C1331" s="30">
        <v>5688393.3324180003</v>
      </c>
      <c r="D1331" s="46">
        <v>13</v>
      </c>
      <c r="E1331" s="30" t="s">
        <v>61</v>
      </c>
      <c r="F1331" s="46">
        <v>2014</v>
      </c>
      <c r="G1331" s="47">
        <v>2.4899999999999999E-2</v>
      </c>
      <c r="H1331" s="47">
        <f>G1331*0.318422483116023</f>
        <v>7.9287198295889729E-3</v>
      </c>
      <c r="I1331" s="47">
        <v>0</v>
      </c>
      <c r="J1331" s="47">
        <f>I1331*0.53</f>
        <v>0</v>
      </c>
      <c r="K1331" s="47">
        <v>8.3000000000000001E-3</v>
      </c>
      <c r="L1331" s="47">
        <f t="shared" si="6"/>
        <v>3.3506130569276077E-3</v>
      </c>
      <c r="M1331" s="47">
        <f t="shared" si="3"/>
        <v>4.5781067726613656E-3</v>
      </c>
      <c r="N1331" s="47">
        <v>0</v>
      </c>
      <c r="O1331" s="47">
        <f t="shared" si="7"/>
        <v>0</v>
      </c>
      <c r="P1331" s="92"/>
    </row>
    <row r="1332" spans="1:16" x14ac:dyDescent="0.25">
      <c r="A1332" s="29">
        <v>19</v>
      </c>
      <c r="B1332" s="30">
        <v>438406.10856199998</v>
      </c>
      <c r="C1332" s="30">
        <v>5688393.3324180003</v>
      </c>
      <c r="D1332" s="46">
        <v>13</v>
      </c>
      <c r="E1332" s="30" t="s">
        <v>61</v>
      </c>
      <c r="F1332" s="46">
        <v>2014</v>
      </c>
      <c r="G1332" s="47">
        <v>5.45E-2</v>
      </c>
      <c r="H1332" s="47">
        <f>G1332*0.318422483116023</f>
        <v>1.7354025329823254E-2</v>
      </c>
      <c r="I1332" s="47">
        <v>2.8999999999999998E-3</v>
      </c>
      <c r="J1332" s="47">
        <f>I1332*0.53</f>
        <v>1.537E-3</v>
      </c>
      <c r="K1332" s="47">
        <v>1.1900000000000001E-2</v>
      </c>
      <c r="L1332" s="47">
        <f t="shared" si="6"/>
        <v>4.8038910093299442E-3</v>
      </c>
      <c r="M1332" s="47">
        <f t="shared" si="3"/>
        <v>1.255013432049331E-2</v>
      </c>
      <c r="N1332" s="47">
        <v>6.1999999999999998E-3</v>
      </c>
      <c r="O1332" s="47">
        <f t="shared" si="7"/>
        <v>1.9478273031574981E-3</v>
      </c>
      <c r="P1332" s="92"/>
    </row>
    <row r="1333" spans="1:16" x14ac:dyDescent="0.25">
      <c r="A1333" s="42">
        <v>20</v>
      </c>
      <c r="B1333" s="43">
        <v>437335.10856199998</v>
      </c>
      <c r="C1333" s="43">
        <v>5688512.3324180003</v>
      </c>
      <c r="D1333" s="44">
        <v>13</v>
      </c>
      <c r="E1333" s="44" t="s">
        <v>61</v>
      </c>
      <c r="F1333" s="44">
        <v>2014</v>
      </c>
      <c r="G1333" s="44" t="s">
        <v>18</v>
      </c>
      <c r="H1333" s="44" t="s">
        <v>18</v>
      </c>
      <c r="I1333" s="44" t="s">
        <v>18</v>
      </c>
      <c r="J1333" s="44" t="s">
        <v>18</v>
      </c>
      <c r="K1333" s="44" t="s">
        <v>18</v>
      </c>
      <c r="L1333" s="44" t="s">
        <v>18</v>
      </c>
      <c r="M1333" s="44" t="s">
        <v>18</v>
      </c>
      <c r="N1333" s="44" t="s">
        <v>18</v>
      </c>
      <c r="O1333" s="44" t="s">
        <v>18</v>
      </c>
      <c r="P1333" s="102" t="s">
        <v>109</v>
      </c>
    </row>
    <row r="1334" spans="1:16" x14ac:dyDescent="0.25">
      <c r="A1334" s="29">
        <v>21</v>
      </c>
      <c r="B1334" s="30">
        <v>437454.10856199998</v>
      </c>
      <c r="C1334" s="30">
        <v>5688512.3324180003</v>
      </c>
      <c r="D1334" s="46">
        <v>13</v>
      </c>
      <c r="E1334" s="30" t="s">
        <v>61</v>
      </c>
      <c r="F1334" s="46">
        <v>2014</v>
      </c>
      <c r="G1334" s="47">
        <v>2.53E-2</v>
      </c>
      <c r="H1334" s="47">
        <f>G1334*0.318422483116023</f>
        <v>8.0560888228353826E-3</v>
      </c>
      <c r="I1334" s="47">
        <v>0</v>
      </c>
      <c r="J1334" s="47">
        <f>I1334*0.53</f>
        <v>0</v>
      </c>
      <c r="K1334" s="47">
        <v>7.4999999999999997E-3</v>
      </c>
      <c r="L1334" s="47">
        <f t="shared" si="6"/>
        <v>3.0276624008381998E-3</v>
      </c>
      <c r="M1334" s="47">
        <f t="shared" si="3"/>
        <v>5.0284264219971828E-3</v>
      </c>
      <c r="N1334" s="47">
        <v>0</v>
      </c>
      <c r="O1334" s="47">
        <f t="shared" si="7"/>
        <v>0</v>
      </c>
      <c r="P1334" s="92"/>
    </row>
    <row r="1335" spans="1:16" x14ac:dyDescent="0.25">
      <c r="A1335" s="29">
        <v>22</v>
      </c>
      <c r="B1335" s="30">
        <v>437573.10856199998</v>
      </c>
      <c r="C1335" s="30">
        <v>5688512.3324180003</v>
      </c>
      <c r="D1335" s="46">
        <v>13</v>
      </c>
      <c r="E1335" s="30" t="s">
        <v>61</v>
      </c>
      <c r="F1335" s="46">
        <v>2014</v>
      </c>
      <c r="G1335" s="46" t="s">
        <v>18</v>
      </c>
      <c r="H1335" s="46" t="s">
        <v>18</v>
      </c>
      <c r="I1335" s="46" t="s">
        <v>18</v>
      </c>
      <c r="J1335" s="46" t="s">
        <v>18</v>
      </c>
      <c r="K1335" s="47">
        <v>4.3700000000000003E-2</v>
      </c>
      <c r="L1335" s="47">
        <f t="shared" si="6"/>
        <v>1.7641179588883914E-2</v>
      </c>
      <c r="M1335" s="46" t="s">
        <v>18</v>
      </c>
      <c r="N1335" s="47">
        <v>5.0500000000000003E-2</v>
      </c>
      <c r="O1335" s="47">
        <f t="shared" si="7"/>
        <v>1.5865367549911882E-2</v>
      </c>
      <c r="P1335" s="92" t="s">
        <v>103</v>
      </c>
    </row>
    <row r="1336" spans="1:16" x14ac:dyDescent="0.25">
      <c r="A1336" s="29">
        <v>23</v>
      </c>
      <c r="B1336" s="30">
        <v>437692.10856199998</v>
      </c>
      <c r="C1336" s="30">
        <v>5688512.3324180003</v>
      </c>
      <c r="D1336" s="46">
        <v>13</v>
      </c>
      <c r="E1336" s="30" t="s">
        <v>61</v>
      </c>
      <c r="F1336" s="46">
        <v>2014</v>
      </c>
      <c r="G1336" s="47">
        <v>2.52E-2</v>
      </c>
      <c r="H1336" s="47">
        <f>G1336*0.318422483116023</f>
        <v>8.0242465745237797E-3</v>
      </c>
      <c r="I1336" s="47">
        <v>0</v>
      </c>
      <c r="J1336" s="47">
        <f>I1336*0.53</f>
        <v>0</v>
      </c>
      <c r="K1336" s="47">
        <v>2.3999999999999998E-3</v>
      </c>
      <c r="L1336" s="47">
        <f t="shared" si="6"/>
        <v>9.6885196826822391E-4</v>
      </c>
      <c r="M1336" s="47">
        <f t="shared" si="3"/>
        <v>7.0553946062555557E-3</v>
      </c>
      <c r="N1336" s="47">
        <v>1.12E-2</v>
      </c>
      <c r="O1336" s="47">
        <f t="shared" si="7"/>
        <v>3.5186557734458029E-3</v>
      </c>
      <c r="P1336" s="92"/>
    </row>
    <row r="1337" spans="1:16" x14ac:dyDescent="0.25">
      <c r="A1337" s="29">
        <v>24</v>
      </c>
      <c r="B1337" s="30">
        <v>437811.10856199998</v>
      </c>
      <c r="C1337" s="30">
        <v>5688512.3324180003</v>
      </c>
      <c r="D1337" s="46">
        <v>13</v>
      </c>
      <c r="E1337" s="30" t="s">
        <v>61</v>
      </c>
      <c r="F1337" s="46">
        <v>2014</v>
      </c>
      <c r="G1337" s="47">
        <v>7.51E-2</v>
      </c>
      <c r="H1337" s="47">
        <f>G1337*0.318422483116023</f>
        <v>2.3913528482013328E-2</v>
      </c>
      <c r="I1337" s="47">
        <v>0</v>
      </c>
      <c r="J1337" s="47">
        <f>I1337*0.53</f>
        <v>0</v>
      </c>
      <c r="K1337" s="47">
        <v>1.26E-2</v>
      </c>
      <c r="L1337" s="47">
        <f t="shared" si="6"/>
        <v>5.0864728334081757E-3</v>
      </c>
      <c r="M1337" s="47">
        <f t="shared" si="3"/>
        <v>1.8827055648605151E-2</v>
      </c>
      <c r="N1337" s="47">
        <v>0</v>
      </c>
      <c r="O1337" s="47">
        <f t="shared" si="7"/>
        <v>0</v>
      </c>
      <c r="P1337" s="92"/>
    </row>
    <row r="1338" spans="1:16" x14ac:dyDescent="0.25">
      <c r="A1338" s="29">
        <v>25</v>
      </c>
      <c r="B1338" s="46">
        <v>437995</v>
      </c>
      <c r="C1338" s="46">
        <v>5688493</v>
      </c>
      <c r="D1338" s="46">
        <v>13</v>
      </c>
      <c r="E1338" s="30" t="s">
        <v>61</v>
      </c>
      <c r="F1338" s="46">
        <v>2014</v>
      </c>
      <c r="G1338" s="47">
        <v>4.2000000000000003E-2</v>
      </c>
      <c r="H1338" s="47">
        <f>G1338*0.318422483116023</f>
        <v>1.3373744290872966E-2</v>
      </c>
      <c r="I1338" s="47">
        <v>0</v>
      </c>
      <c r="J1338" s="47">
        <f>I1338*0.53</f>
        <v>0</v>
      </c>
      <c r="K1338" s="47">
        <v>8.0000000000000004E-4</v>
      </c>
      <c r="L1338" s="47">
        <f t="shared" si="6"/>
        <v>3.2295065608940802E-4</v>
      </c>
      <c r="M1338" s="47">
        <f t="shared" si="3"/>
        <v>1.3050793634783559E-2</v>
      </c>
      <c r="N1338" s="47">
        <v>0</v>
      </c>
      <c r="O1338" s="47">
        <f t="shared" si="7"/>
        <v>0</v>
      </c>
      <c r="P1338" s="92"/>
    </row>
    <row r="1339" spans="1:16" x14ac:dyDescent="0.25">
      <c r="A1339" s="29">
        <v>26</v>
      </c>
      <c r="B1339" s="46">
        <v>438112</v>
      </c>
      <c r="C1339" s="46">
        <v>5688567</v>
      </c>
      <c r="D1339" s="46">
        <v>12</v>
      </c>
      <c r="E1339" s="30" t="s">
        <v>61</v>
      </c>
      <c r="F1339" s="46">
        <v>2014</v>
      </c>
      <c r="G1339" s="47">
        <v>6.8500000000000005E-2</v>
      </c>
      <c r="H1339" s="47">
        <f>G1339*0.386132285465734</f>
        <v>2.6450061554402785E-2</v>
      </c>
      <c r="I1339" s="47">
        <v>0</v>
      </c>
      <c r="J1339" s="47">
        <f>I1339*0.449471645905318</f>
        <v>0</v>
      </c>
      <c r="K1339" s="47">
        <v>2.2200000000000001E-2</v>
      </c>
      <c r="L1339" s="47">
        <f>K1339*0.45325953929042</f>
        <v>1.0062361772247324E-2</v>
      </c>
      <c r="M1339" s="47">
        <f t="shared" si="3"/>
        <v>1.6387699782155461E-2</v>
      </c>
      <c r="N1339" s="47">
        <v>0</v>
      </c>
      <c r="O1339" s="47">
        <f>N1339*0.51810955833202</f>
        <v>0</v>
      </c>
      <c r="P1339" s="92"/>
    </row>
    <row r="1340" spans="1:16" x14ac:dyDescent="0.25">
      <c r="A1340" s="32">
        <v>27</v>
      </c>
      <c r="B1340" s="33">
        <v>438168.10856199998</v>
      </c>
      <c r="C1340" s="33">
        <v>5688512.3324180003</v>
      </c>
      <c r="D1340" s="48">
        <v>13</v>
      </c>
      <c r="E1340" s="48" t="s">
        <v>61</v>
      </c>
      <c r="F1340" s="48">
        <v>2014</v>
      </c>
      <c r="G1340" s="48" t="s">
        <v>18</v>
      </c>
      <c r="H1340" s="48" t="s">
        <v>18</v>
      </c>
      <c r="I1340" s="48" t="s">
        <v>18</v>
      </c>
      <c r="J1340" s="48" t="s">
        <v>18</v>
      </c>
      <c r="K1340" s="48" t="s">
        <v>18</v>
      </c>
      <c r="L1340" s="48" t="s">
        <v>18</v>
      </c>
      <c r="M1340" s="48" t="s">
        <v>18</v>
      </c>
      <c r="N1340" s="48" t="s">
        <v>18</v>
      </c>
      <c r="O1340" s="48" t="s">
        <v>18</v>
      </c>
      <c r="P1340" s="103" t="s">
        <v>21</v>
      </c>
    </row>
    <row r="1341" spans="1:16" x14ac:dyDescent="0.25">
      <c r="A1341" s="32">
        <v>28</v>
      </c>
      <c r="B1341" s="33">
        <v>438287.10856199998</v>
      </c>
      <c r="C1341" s="33">
        <v>5688512.3324180003</v>
      </c>
      <c r="D1341" s="48">
        <v>13</v>
      </c>
      <c r="E1341" s="48" t="s">
        <v>61</v>
      </c>
      <c r="F1341" s="48">
        <v>2014</v>
      </c>
      <c r="G1341" s="48" t="s">
        <v>18</v>
      </c>
      <c r="H1341" s="48" t="s">
        <v>18</v>
      </c>
      <c r="I1341" s="48" t="s">
        <v>18</v>
      </c>
      <c r="J1341" s="48" t="s">
        <v>18</v>
      </c>
      <c r="K1341" s="48" t="s">
        <v>18</v>
      </c>
      <c r="L1341" s="48" t="s">
        <v>18</v>
      </c>
      <c r="M1341" s="48" t="s">
        <v>18</v>
      </c>
      <c r="N1341" s="48" t="s">
        <v>18</v>
      </c>
      <c r="O1341" s="48" t="s">
        <v>18</v>
      </c>
      <c r="P1341" s="103" t="s">
        <v>21</v>
      </c>
    </row>
    <row r="1342" spans="1:16" x14ac:dyDescent="0.25">
      <c r="A1342" s="29">
        <v>29</v>
      </c>
      <c r="B1342" s="30">
        <v>438381</v>
      </c>
      <c r="C1342" s="30">
        <v>5688526</v>
      </c>
      <c r="D1342" s="46">
        <v>12</v>
      </c>
      <c r="E1342" s="30" t="s">
        <v>61</v>
      </c>
      <c r="F1342" s="46">
        <v>2014</v>
      </c>
      <c r="G1342" s="47">
        <v>6.4599999999999991E-2</v>
      </c>
      <c r="H1342" s="47">
        <f>G1342*0.386132285465734</f>
        <v>2.4944145641086414E-2</v>
      </c>
      <c r="I1342" s="47">
        <v>0</v>
      </c>
      <c r="J1342" s="47">
        <f>I1342*0.449471645905318</f>
        <v>0</v>
      </c>
      <c r="K1342" s="47">
        <v>9.8000000000000014E-3</v>
      </c>
      <c r="L1342" s="47">
        <f>K1342*0.45325953929042</f>
        <v>4.4419434850461164E-3</v>
      </c>
      <c r="M1342" s="47">
        <f t="shared" si="3"/>
        <v>2.0502202156040296E-2</v>
      </c>
      <c r="N1342" s="47">
        <v>0</v>
      </c>
      <c r="O1342" s="47">
        <f>N1342*0.51810955833202</f>
        <v>0</v>
      </c>
      <c r="P1342" s="92"/>
    </row>
    <row r="1343" spans="1:16" x14ac:dyDescent="0.25">
      <c r="A1343" s="29">
        <v>30</v>
      </c>
      <c r="B1343" s="30">
        <v>438525.10856199998</v>
      </c>
      <c r="C1343" s="30">
        <v>5688512.3324180003</v>
      </c>
      <c r="D1343" s="46">
        <v>12</v>
      </c>
      <c r="E1343" s="30" t="s">
        <v>61</v>
      </c>
      <c r="F1343" s="46">
        <v>2014</v>
      </c>
      <c r="G1343" s="47">
        <v>3.4200000000000001E-2</v>
      </c>
      <c r="H1343" s="47">
        <f>G1343*0.386132285465734</f>
        <v>1.3205724162928104E-2</v>
      </c>
      <c r="I1343" s="47">
        <v>0</v>
      </c>
      <c r="J1343" s="47">
        <f>I1343*0.449471645905318</f>
        <v>0</v>
      </c>
      <c r="K1343" s="47">
        <v>1E-3</v>
      </c>
      <c r="L1343" s="47">
        <f>K1343*0.45325953929042</f>
        <v>4.5325953929042001E-4</v>
      </c>
      <c r="M1343" s="47">
        <f t="shared" si="3"/>
        <v>1.2752464623637683E-2</v>
      </c>
      <c r="N1343" s="47">
        <v>0</v>
      </c>
      <c r="O1343" s="47">
        <f>N1343*0.51810955833202</f>
        <v>0</v>
      </c>
      <c r="P1343" s="92"/>
    </row>
    <row r="1344" spans="1:16" x14ac:dyDescent="0.25">
      <c r="A1344" s="29">
        <v>31</v>
      </c>
      <c r="B1344" s="30">
        <v>437335.10856199998</v>
      </c>
      <c r="C1344" s="30">
        <v>5688631.3324180003</v>
      </c>
      <c r="D1344" s="46">
        <v>13</v>
      </c>
      <c r="E1344" s="30" t="s">
        <v>61</v>
      </c>
      <c r="F1344" s="46">
        <v>2014</v>
      </c>
      <c r="G1344" s="47">
        <v>8.3099999999999993E-2</v>
      </c>
      <c r="H1344" s="47">
        <f t="shared" ref="H1344:H1349" si="8">G1344*0.318422483116023</f>
        <v>2.6460908346941509E-2</v>
      </c>
      <c r="I1344" s="47">
        <v>0</v>
      </c>
      <c r="J1344" s="47">
        <f t="shared" ref="J1344:J1349" si="9">I1344*0.53</f>
        <v>0</v>
      </c>
      <c r="K1344" s="47">
        <v>2.3E-3</v>
      </c>
      <c r="L1344" s="47">
        <f t="shared" ref="L1344:L1349" si="10">K1344*0.40368832011176</f>
        <v>9.2848313625704798E-4</v>
      </c>
      <c r="M1344" s="47">
        <f t="shared" si="3"/>
        <v>2.553242521068446E-2</v>
      </c>
      <c r="N1344" s="47">
        <v>0</v>
      </c>
      <c r="O1344" s="47">
        <f t="shared" ref="O1344:O1349" si="11">N1344*0.314165694057661</f>
        <v>0</v>
      </c>
      <c r="P1344" s="92"/>
    </row>
    <row r="1345" spans="1:16" x14ac:dyDescent="0.25">
      <c r="A1345" s="29">
        <v>32</v>
      </c>
      <c r="B1345" s="30">
        <v>437454.10856199998</v>
      </c>
      <c r="C1345" s="30">
        <v>5688631.3324180003</v>
      </c>
      <c r="D1345" s="46">
        <v>13</v>
      </c>
      <c r="E1345" s="30" t="s">
        <v>61</v>
      </c>
      <c r="F1345" s="46">
        <v>2014</v>
      </c>
      <c r="G1345" s="47">
        <v>6.9199999999999998E-2</v>
      </c>
      <c r="H1345" s="47">
        <f t="shared" si="8"/>
        <v>2.2034835831628793E-2</v>
      </c>
      <c r="I1345" s="47">
        <v>0</v>
      </c>
      <c r="J1345" s="47">
        <f t="shared" si="9"/>
        <v>0</v>
      </c>
      <c r="K1345" s="47">
        <v>1.1699999999999999E-2</v>
      </c>
      <c r="L1345" s="47">
        <f t="shared" si="10"/>
        <v>4.7231533453075914E-3</v>
      </c>
      <c r="M1345" s="47">
        <f t="shared" si="3"/>
        <v>1.73116824863212E-2</v>
      </c>
      <c r="N1345" s="47">
        <v>0</v>
      </c>
      <c r="O1345" s="47">
        <f t="shared" si="11"/>
        <v>0</v>
      </c>
      <c r="P1345" s="92"/>
    </row>
    <row r="1346" spans="1:16" x14ac:dyDescent="0.25">
      <c r="A1346" s="29">
        <v>33</v>
      </c>
      <c r="B1346" s="30">
        <v>437573.10856199998</v>
      </c>
      <c r="C1346" s="30">
        <v>5688631.3324180003</v>
      </c>
      <c r="D1346" s="46">
        <v>13</v>
      </c>
      <c r="E1346" s="30" t="s">
        <v>61</v>
      </c>
      <c r="F1346" s="46">
        <v>2014</v>
      </c>
      <c r="G1346" s="47">
        <v>5.96E-2</v>
      </c>
      <c r="H1346" s="47">
        <f t="shared" si="8"/>
        <v>1.897797999371497E-2</v>
      </c>
      <c r="I1346" s="47">
        <v>0</v>
      </c>
      <c r="J1346" s="47">
        <f t="shared" si="9"/>
        <v>0</v>
      </c>
      <c r="K1346" s="47">
        <v>1.09E-2</v>
      </c>
      <c r="L1346" s="47">
        <f t="shared" si="10"/>
        <v>4.400202689218184E-3</v>
      </c>
      <c r="M1346" s="47">
        <f t="shared" si="3"/>
        <v>1.4577777304496786E-2</v>
      </c>
      <c r="N1346" s="47">
        <v>0</v>
      </c>
      <c r="O1346" s="47">
        <f t="shared" si="11"/>
        <v>0</v>
      </c>
      <c r="P1346" s="92"/>
    </row>
    <row r="1347" spans="1:16" x14ac:dyDescent="0.25">
      <c r="A1347" s="29">
        <v>34</v>
      </c>
      <c r="B1347" s="30">
        <v>437692.10856199998</v>
      </c>
      <c r="C1347" s="30">
        <v>5688631.3324180003</v>
      </c>
      <c r="D1347" s="46">
        <v>13</v>
      </c>
      <c r="E1347" s="30" t="s">
        <v>61</v>
      </c>
      <c r="F1347" s="46">
        <v>2014</v>
      </c>
      <c r="G1347" s="47">
        <v>9.4400000000000012E-2</v>
      </c>
      <c r="H1347" s="47">
        <f t="shared" si="8"/>
        <v>3.0059082406152574E-2</v>
      </c>
      <c r="I1347" s="47">
        <v>0</v>
      </c>
      <c r="J1347" s="47">
        <f t="shared" si="9"/>
        <v>0</v>
      </c>
      <c r="K1347" s="47">
        <v>1.32E-2</v>
      </c>
      <c r="L1347" s="47">
        <f t="shared" si="10"/>
        <v>5.3286858254752321E-3</v>
      </c>
      <c r="M1347" s="47">
        <f t="shared" si="3"/>
        <v>2.4730396580677341E-2</v>
      </c>
      <c r="N1347" s="47">
        <v>0</v>
      </c>
      <c r="O1347" s="47">
        <f t="shared" si="11"/>
        <v>0</v>
      </c>
      <c r="P1347" s="92"/>
    </row>
    <row r="1348" spans="1:16" x14ac:dyDescent="0.25">
      <c r="A1348" s="29">
        <v>35</v>
      </c>
      <c r="B1348" s="30">
        <v>437893</v>
      </c>
      <c r="C1348" s="30">
        <v>5688620</v>
      </c>
      <c r="D1348" s="46">
        <v>13</v>
      </c>
      <c r="E1348" s="30" t="s">
        <v>61</v>
      </c>
      <c r="F1348" s="46">
        <v>2014</v>
      </c>
      <c r="G1348" s="47">
        <v>3.4700000000000002E-2</v>
      </c>
      <c r="H1348" s="47">
        <f t="shared" si="8"/>
        <v>1.1049260164125999E-2</v>
      </c>
      <c r="I1348" s="47">
        <v>0</v>
      </c>
      <c r="J1348" s="47">
        <f t="shared" si="9"/>
        <v>0</v>
      </c>
      <c r="K1348" s="47">
        <v>4.2000000000000006E-3</v>
      </c>
      <c r="L1348" s="47">
        <f t="shared" si="10"/>
        <v>1.6954909444693923E-3</v>
      </c>
      <c r="M1348" s="47">
        <f t="shared" si="3"/>
        <v>9.3537692196566068E-3</v>
      </c>
      <c r="N1348" s="47">
        <v>0</v>
      </c>
      <c r="O1348" s="47">
        <f t="shared" si="11"/>
        <v>0</v>
      </c>
      <c r="P1348" s="92"/>
    </row>
    <row r="1349" spans="1:16" x14ac:dyDescent="0.25">
      <c r="A1349" s="29">
        <v>36</v>
      </c>
      <c r="B1349" s="30">
        <v>437930.10856199998</v>
      </c>
      <c r="C1349" s="30">
        <v>5688631.3324180003</v>
      </c>
      <c r="D1349" s="46">
        <v>13</v>
      </c>
      <c r="E1349" s="30" t="s">
        <v>61</v>
      </c>
      <c r="F1349" s="46">
        <v>2014</v>
      </c>
      <c r="G1349" s="47">
        <v>4.2099999999999999E-2</v>
      </c>
      <c r="H1349" s="47">
        <f t="shared" si="8"/>
        <v>1.3405586539184567E-2</v>
      </c>
      <c r="I1349" s="47">
        <v>0</v>
      </c>
      <c r="J1349" s="47">
        <f t="shared" si="9"/>
        <v>0</v>
      </c>
      <c r="K1349" s="47">
        <v>4.7000000000000002E-3</v>
      </c>
      <c r="L1349" s="47">
        <f t="shared" si="10"/>
        <v>1.8973351045252719E-3</v>
      </c>
      <c r="M1349" s="47">
        <f t="shared" si="3"/>
        <v>1.1508251434659295E-2</v>
      </c>
      <c r="N1349" s="47">
        <v>0</v>
      </c>
      <c r="O1349" s="47">
        <f t="shared" si="11"/>
        <v>0</v>
      </c>
      <c r="P1349" s="92"/>
    </row>
    <row r="1350" spans="1:16" x14ac:dyDescent="0.25">
      <c r="A1350" s="32">
        <v>37</v>
      </c>
      <c r="B1350" s="33">
        <v>438049.10856199998</v>
      </c>
      <c r="C1350" s="33">
        <v>5688631.3324180003</v>
      </c>
      <c r="D1350" s="48">
        <v>13</v>
      </c>
      <c r="E1350" s="48" t="s">
        <v>61</v>
      </c>
      <c r="F1350" s="48">
        <v>2014</v>
      </c>
      <c r="G1350" s="48" t="s">
        <v>18</v>
      </c>
      <c r="H1350" s="48" t="s">
        <v>18</v>
      </c>
      <c r="I1350" s="48" t="s">
        <v>18</v>
      </c>
      <c r="J1350" s="48" t="s">
        <v>18</v>
      </c>
      <c r="K1350" s="48" t="s">
        <v>18</v>
      </c>
      <c r="L1350" s="48" t="s">
        <v>18</v>
      </c>
      <c r="M1350" s="48" t="s">
        <v>18</v>
      </c>
      <c r="N1350" s="48" t="s">
        <v>18</v>
      </c>
      <c r="O1350" s="48" t="s">
        <v>18</v>
      </c>
      <c r="P1350" s="103" t="s">
        <v>21</v>
      </c>
    </row>
    <row r="1351" spans="1:16" x14ac:dyDescent="0.25">
      <c r="A1351" s="29">
        <v>38</v>
      </c>
      <c r="B1351" s="30">
        <v>438067</v>
      </c>
      <c r="C1351" s="30">
        <v>5688710</v>
      </c>
      <c r="D1351" s="46">
        <v>12</v>
      </c>
      <c r="E1351" s="30" t="s">
        <v>61</v>
      </c>
      <c r="F1351" s="46">
        <v>2014</v>
      </c>
      <c r="G1351" s="47">
        <v>9.9599999999999994E-2</v>
      </c>
      <c r="H1351" s="47">
        <f>G1351*0.386132285465734</f>
        <v>3.8458775632387109E-2</v>
      </c>
      <c r="I1351" s="47">
        <v>0</v>
      </c>
      <c r="J1351" s="47">
        <f>I1351*0.449471645905318</f>
        <v>0</v>
      </c>
      <c r="K1351" s="47">
        <v>2.8E-3</v>
      </c>
      <c r="L1351" s="47">
        <f>K1351*0.45325953929042</f>
        <v>1.2691267100131761E-3</v>
      </c>
      <c r="M1351" s="47">
        <f t="shared" si="3"/>
        <v>3.7189648922373933E-2</v>
      </c>
      <c r="N1351" s="47">
        <v>0</v>
      </c>
      <c r="O1351" s="47">
        <f>N1351*0.51810955833202</f>
        <v>0</v>
      </c>
      <c r="P1351" s="92"/>
    </row>
    <row r="1352" spans="1:16" x14ac:dyDescent="0.25">
      <c r="A1352" s="32">
        <v>39</v>
      </c>
      <c r="B1352" s="33">
        <v>438287.10856199998</v>
      </c>
      <c r="C1352" s="33">
        <v>5688631.3324180003</v>
      </c>
      <c r="D1352" s="48">
        <v>13</v>
      </c>
      <c r="E1352" s="48" t="s">
        <v>61</v>
      </c>
      <c r="F1352" s="48">
        <v>2014</v>
      </c>
      <c r="G1352" s="48" t="s">
        <v>18</v>
      </c>
      <c r="H1352" s="48" t="s">
        <v>18</v>
      </c>
      <c r="I1352" s="48" t="s">
        <v>18</v>
      </c>
      <c r="J1352" s="48" t="s">
        <v>18</v>
      </c>
      <c r="K1352" s="48" t="s">
        <v>18</v>
      </c>
      <c r="L1352" s="48" t="s">
        <v>18</v>
      </c>
      <c r="M1352" s="48" t="s">
        <v>18</v>
      </c>
      <c r="N1352" s="48" t="s">
        <v>18</v>
      </c>
      <c r="O1352" s="48" t="s">
        <v>18</v>
      </c>
      <c r="P1352" s="94" t="s">
        <v>22</v>
      </c>
    </row>
    <row r="1353" spans="1:16" x14ac:dyDescent="0.25">
      <c r="A1353" s="29">
        <v>40</v>
      </c>
      <c r="B1353" s="30">
        <v>438406.10856199998</v>
      </c>
      <c r="C1353" s="30">
        <v>5688631.3324180003</v>
      </c>
      <c r="D1353" s="46">
        <v>12</v>
      </c>
      <c r="E1353" s="30" t="s">
        <v>61</v>
      </c>
      <c r="F1353" s="46">
        <v>2014</v>
      </c>
      <c r="G1353" s="47">
        <v>2.8199999999999999E-2</v>
      </c>
      <c r="H1353" s="47">
        <f>G1353*0.386132285465734</f>
        <v>1.0888930450133699E-2</v>
      </c>
      <c r="I1353" s="47">
        <v>0</v>
      </c>
      <c r="J1353" s="47">
        <f>I1353*0.449471645905318</f>
        <v>0</v>
      </c>
      <c r="K1353" s="47">
        <v>9.4999999999999998E-3</v>
      </c>
      <c r="L1353" s="47">
        <f>K1353*0.45325953929042</f>
        <v>4.3059656232589897E-3</v>
      </c>
      <c r="M1353" s="47">
        <f t="shared" si="3"/>
        <v>6.5829648268747095E-3</v>
      </c>
      <c r="N1353" s="47">
        <v>0</v>
      </c>
      <c r="O1353" s="47">
        <f>N1353*0.51810955833202</f>
        <v>0</v>
      </c>
      <c r="P1353" s="92"/>
    </row>
    <row r="1354" spans="1:16" x14ac:dyDescent="0.25">
      <c r="A1354" s="29">
        <v>41</v>
      </c>
      <c r="B1354" s="30">
        <v>437310</v>
      </c>
      <c r="C1354" s="30">
        <v>5688729</v>
      </c>
      <c r="D1354" s="46">
        <v>13</v>
      </c>
      <c r="E1354" s="30" t="s">
        <v>61</v>
      </c>
      <c r="F1354" s="46">
        <v>2014</v>
      </c>
      <c r="G1354" s="47">
        <v>8.6499999999999994E-2</v>
      </c>
      <c r="H1354" s="47">
        <f>G1354*0.318422483116023</f>
        <v>2.7543544789535988E-2</v>
      </c>
      <c r="I1354" s="47">
        <v>0</v>
      </c>
      <c r="J1354" s="47">
        <f>I1354*0.53</f>
        <v>0</v>
      </c>
      <c r="K1354" s="47">
        <v>4.4999999999999997E-3</v>
      </c>
      <c r="L1354" s="47">
        <f>K1354*0.40368832011176</f>
        <v>1.8165974405029198E-3</v>
      </c>
      <c r="M1354" s="47">
        <f t="shared" si="3"/>
        <v>2.572694734903307E-2</v>
      </c>
      <c r="N1354" s="47">
        <v>0</v>
      </c>
      <c r="O1354" s="47">
        <f>N1354*0.314165694057661</f>
        <v>0</v>
      </c>
      <c r="P1354" s="92"/>
    </row>
    <row r="1355" spans="1:16" x14ac:dyDescent="0.25">
      <c r="A1355" s="29">
        <v>42</v>
      </c>
      <c r="B1355" s="30">
        <v>437454.10856199998</v>
      </c>
      <c r="C1355" s="30">
        <v>5688750.3324180003</v>
      </c>
      <c r="D1355" s="46">
        <v>13</v>
      </c>
      <c r="E1355" s="30" t="s">
        <v>61</v>
      </c>
      <c r="F1355" s="46">
        <v>2014</v>
      </c>
      <c r="G1355" s="47">
        <v>8.0700000000000008E-2</v>
      </c>
      <c r="H1355" s="47">
        <f>G1355*0.318422483116023</f>
        <v>2.5696694387463057E-2</v>
      </c>
      <c r="I1355" s="47">
        <v>1.6300000000000002E-2</v>
      </c>
      <c r="J1355" s="47">
        <f>I1355*0.53</f>
        <v>8.6390000000000008E-3</v>
      </c>
      <c r="K1355" s="47">
        <v>4.9000000000000007E-3</v>
      </c>
      <c r="L1355" s="47">
        <f>K1355*0.40368832011176</f>
        <v>1.978072768547624E-3</v>
      </c>
      <c r="M1355" s="47">
        <f t="shared" si="3"/>
        <v>2.3718621618915435E-2</v>
      </c>
      <c r="N1355" s="47">
        <v>0</v>
      </c>
      <c r="O1355" s="47">
        <f>N1355*0.314165694057661</f>
        <v>0</v>
      </c>
      <c r="P1355" s="92"/>
    </row>
    <row r="1356" spans="1:16" x14ac:dyDescent="0.25">
      <c r="A1356" s="29">
        <v>43</v>
      </c>
      <c r="B1356" s="30">
        <v>437573.10856199998</v>
      </c>
      <c r="C1356" s="30">
        <v>5688750.3324180003</v>
      </c>
      <c r="D1356" s="46">
        <v>13</v>
      </c>
      <c r="E1356" s="30" t="s">
        <v>61</v>
      </c>
      <c r="F1356" s="46">
        <v>2014</v>
      </c>
      <c r="G1356" s="47">
        <v>2.81E-2</v>
      </c>
      <c r="H1356" s="47">
        <f>G1356*0.318422483116023</f>
        <v>8.947671775560247E-3</v>
      </c>
      <c r="I1356" s="47">
        <v>0</v>
      </c>
      <c r="J1356" s="47">
        <f>I1356*0.53</f>
        <v>0</v>
      </c>
      <c r="K1356" s="47">
        <v>4.7999999999999996E-3</v>
      </c>
      <c r="L1356" s="47">
        <f>K1356*0.40368832011176</f>
        <v>1.9377039365364478E-3</v>
      </c>
      <c r="M1356" s="47">
        <f t="shared" si="3"/>
        <v>7.009967839023799E-3</v>
      </c>
      <c r="N1356" s="47">
        <v>0</v>
      </c>
      <c r="O1356" s="47">
        <f>N1356*0.314165694057661</f>
        <v>0</v>
      </c>
      <c r="P1356" s="92"/>
    </row>
    <row r="1357" spans="1:16" x14ac:dyDescent="0.25">
      <c r="A1357" s="29">
        <v>44</v>
      </c>
      <c r="B1357" s="30">
        <v>437692.10856199998</v>
      </c>
      <c r="C1357" s="30">
        <v>5688750.3324180003</v>
      </c>
      <c r="D1357" s="46">
        <v>13</v>
      </c>
      <c r="E1357" s="30" t="s">
        <v>61</v>
      </c>
      <c r="F1357" s="46">
        <v>2014</v>
      </c>
      <c r="G1357" s="47">
        <v>4.3700000000000003E-2</v>
      </c>
      <c r="H1357" s="47">
        <f>G1357*0.318422483116023</f>
        <v>1.3915062512170206E-2</v>
      </c>
      <c r="I1357" s="47">
        <v>0</v>
      </c>
      <c r="J1357" s="47">
        <f>I1357*0.53</f>
        <v>0</v>
      </c>
      <c r="K1357" s="47">
        <v>9.4000000000000004E-3</v>
      </c>
      <c r="L1357" s="47">
        <f>K1357*0.40368832011176</f>
        <v>3.7946702090505438E-3</v>
      </c>
      <c r="M1357" s="47">
        <f t="shared" si="3"/>
        <v>1.0120392303119662E-2</v>
      </c>
      <c r="N1357" s="47">
        <v>0</v>
      </c>
      <c r="O1357" s="47">
        <f>N1357*0.314165694057661</f>
        <v>0</v>
      </c>
      <c r="P1357" s="92"/>
    </row>
    <row r="1358" spans="1:16" x14ac:dyDescent="0.25">
      <c r="A1358" s="29">
        <v>45</v>
      </c>
      <c r="B1358" s="30">
        <v>437811.10856199998</v>
      </c>
      <c r="C1358" s="30">
        <v>5688750.3324180003</v>
      </c>
      <c r="D1358" s="46">
        <v>12</v>
      </c>
      <c r="E1358" s="30" t="s">
        <v>61</v>
      </c>
      <c r="F1358" s="46">
        <v>2014</v>
      </c>
      <c r="G1358" s="47">
        <v>3.5900000000000001E-2</v>
      </c>
      <c r="H1358" s="47">
        <f>G1358*0.386132285465734</f>
        <v>1.3862149048219852E-2</v>
      </c>
      <c r="I1358" s="47">
        <v>0</v>
      </c>
      <c r="J1358" s="47">
        <f>I1358*0.449471645905318</f>
        <v>0</v>
      </c>
      <c r="K1358" s="47">
        <v>6.7999999999999996E-3</v>
      </c>
      <c r="L1358" s="47">
        <f>K1358*0.45325953929042</f>
        <v>3.0821648671748559E-3</v>
      </c>
      <c r="M1358" s="47">
        <f t="shared" si="3"/>
        <v>1.0779984181044996E-2</v>
      </c>
      <c r="N1358" s="47">
        <v>0</v>
      </c>
      <c r="O1358" s="47">
        <f>N1358*0.51810955833202</f>
        <v>0</v>
      </c>
      <c r="P1358" s="92"/>
    </row>
    <row r="1359" spans="1:16" x14ac:dyDescent="0.25">
      <c r="A1359" s="29">
        <v>46</v>
      </c>
      <c r="B1359" s="30">
        <v>437930.10856199998</v>
      </c>
      <c r="C1359" s="30">
        <v>5688750.3324180003</v>
      </c>
      <c r="D1359" s="46">
        <v>12</v>
      </c>
      <c r="E1359" s="30" t="s">
        <v>61</v>
      </c>
      <c r="F1359" s="46">
        <v>2014</v>
      </c>
      <c r="G1359" s="47">
        <v>5.4399999999999997E-2</v>
      </c>
      <c r="H1359" s="47">
        <f>G1359*0.386132285465734</f>
        <v>2.1005596329335931E-2</v>
      </c>
      <c r="I1359" s="47">
        <v>8.3000000000000001E-3</v>
      </c>
      <c r="J1359" s="47">
        <f>I1359*0.449471645905318</f>
        <v>3.7306146610141394E-3</v>
      </c>
      <c r="K1359" s="47">
        <v>2.5999999999999999E-3</v>
      </c>
      <c r="L1359" s="47">
        <f>K1359*0.45325953929042</f>
        <v>1.178474802155092E-3</v>
      </c>
      <c r="M1359" s="47">
        <f t="shared" si="3"/>
        <v>1.982712152718084E-2</v>
      </c>
      <c r="N1359" s="47">
        <v>0</v>
      </c>
      <c r="O1359" s="47">
        <f>N1359*0.51810955833202</f>
        <v>0</v>
      </c>
      <c r="P1359" s="92"/>
    </row>
    <row r="1360" spans="1:16" x14ac:dyDescent="0.25">
      <c r="A1360" s="29">
        <v>47</v>
      </c>
      <c r="B1360" s="30">
        <v>438061</v>
      </c>
      <c r="C1360" s="30">
        <v>5688779</v>
      </c>
      <c r="D1360" s="46">
        <v>12</v>
      </c>
      <c r="E1360" s="30" t="s">
        <v>61</v>
      </c>
      <c r="F1360" s="46">
        <v>2014</v>
      </c>
      <c r="G1360" s="47">
        <v>0.1095</v>
      </c>
      <c r="H1360" s="47">
        <f>G1360*0.386132285465734</f>
        <v>4.2281485258497876E-2</v>
      </c>
      <c r="I1360" s="47">
        <v>0</v>
      </c>
      <c r="J1360" s="47">
        <f>I1360*0.449471645905318</f>
        <v>0</v>
      </c>
      <c r="K1360" s="47">
        <v>3.2000000000000002E-3</v>
      </c>
      <c r="L1360" s="47">
        <f>K1360*0.45325953929042</f>
        <v>1.4504305257293441E-3</v>
      </c>
      <c r="M1360" s="47">
        <f t="shared" si="3"/>
        <v>4.0831054732768532E-2</v>
      </c>
      <c r="N1360" s="47">
        <v>0</v>
      </c>
      <c r="O1360" s="47">
        <f>N1360*0.51810955833202</f>
        <v>0</v>
      </c>
      <c r="P1360" s="92"/>
    </row>
    <row r="1361" spans="1:19" x14ac:dyDescent="0.25">
      <c r="A1361" s="32">
        <v>48</v>
      </c>
      <c r="B1361" s="33">
        <v>438168.10856199998</v>
      </c>
      <c r="C1361" s="33">
        <v>5688750.3324180003</v>
      </c>
      <c r="D1361" s="48">
        <v>13</v>
      </c>
      <c r="E1361" s="48" t="s">
        <v>61</v>
      </c>
      <c r="F1361" s="48">
        <v>2014</v>
      </c>
      <c r="G1361" s="48" t="s">
        <v>18</v>
      </c>
      <c r="H1361" s="48" t="s">
        <v>18</v>
      </c>
      <c r="I1361" s="48" t="s">
        <v>18</v>
      </c>
      <c r="J1361" s="48" t="s">
        <v>18</v>
      </c>
      <c r="K1361" s="48" t="s">
        <v>18</v>
      </c>
      <c r="L1361" s="48" t="s">
        <v>18</v>
      </c>
      <c r="M1361" s="48" t="s">
        <v>18</v>
      </c>
      <c r="N1361" s="48" t="s">
        <v>18</v>
      </c>
      <c r="O1361" s="48" t="s">
        <v>18</v>
      </c>
      <c r="P1361" s="103" t="s">
        <v>21</v>
      </c>
    </row>
    <row r="1362" spans="1:19" x14ac:dyDescent="0.25">
      <c r="A1362" s="29">
        <v>49</v>
      </c>
      <c r="B1362" s="30">
        <v>437454.10856199998</v>
      </c>
      <c r="C1362" s="30">
        <v>5688869.3324180003</v>
      </c>
      <c r="D1362" s="46">
        <v>12</v>
      </c>
      <c r="E1362" s="30" t="s">
        <v>61</v>
      </c>
      <c r="F1362" s="46">
        <v>2014</v>
      </c>
      <c r="G1362" s="47">
        <v>9.6700000000000008E-2</v>
      </c>
      <c r="H1362" s="47">
        <f>G1362*0.386132285465734</f>
        <v>3.7338992004536484E-2</v>
      </c>
      <c r="I1362" s="47">
        <v>0</v>
      </c>
      <c r="J1362" s="47">
        <f t="shared" ref="J1362:J1373" si="12">I1362*0.449471645905318</f>
        <v>0</v>
      </c>
      <c r="K1362" s="47">
        <v>5.7000000000000002E-3</v>
      </c>
      <c r="L1362" s="47">
        <f t="shared" ref="L1362:L1373" si="13">K1362*0.45325953929042</f>
        <v>2.5835793739553943E-3</v>
      </c>
      <c r="M1362" s="47">
        <f t="shared" si="3"/>
        <v>3.4755412630581087E-2</v>
      </c>
      <c r="N1362" s="47">
        <v>0</v>
      </c>
      <c r="O1362" s="47">
        <f t="shared" ref="O1362:O1373" si="14">N1362*0.51810955833202</f>
        <v>0</v>
      </c>
      <c r="P1362" s="92"/>
    </row>
    <row r="1363" spans="1:19" x14ac:dyDescent="0.25">
      <c r="A1363" s="29">
        <v>50</v>
      </c>
      <c r="B1363" s="30">
        <v>437811.10856199998</v>
      </c>
      <c r="C1363" s="30">
        <v>5688869.3324180003</v>
      </c>
      <c r="D1363" s="46">
        <v>12</v>
      </c>
      <c r="E1363" s="30" t="s">
        <v>61</v>
      </c>
      <c r="F1363" s="46">
        <v>2014</v>
      </c>
      <c r="G1363" s="47">
        <v>1.2199999999999999E-2</v>
      </c>
      <c r="H1363" s="47">
        <f>G1363*0.386132285465734</f>
        <v>4.7108138826819548E-3</v>
      </c>
      <c r="I1363" s="47">
        <v>0</v>
      </c>
      <c r="J1363" s="47">
        <f t="shared" si="12"/>
        <v>0</v>
      </c>
      <c r="K1363" s="47">
        <v>1.9E-3</v>
      </c>
      <c r="L1363" s="47">
        <f t="shared" si="13"/>
        <v>8.61193124651798E-4</v>
      </c>
      <c r="M1363" s="47">
        <f t="shared" si="3"/>
        <v>3.8496207580301567E-3</v>
      </c>
      <c r="N1363" s="47">
        <v>0</v>
      </c>
      <c r="O1363" s="47">
        <f t="shared" si="14"/>
        <v>0</v>
      </c>
      <c r="P1363" s="92"/>
    </row>
    <row r="1364" spans="1:19" x14ac:dyDescent="0.25">
      <c r="A1364" s="29">
        <v>51</v>
      </c>
      <c r="B1364" s="30">
        <v>437930.10856199998</v>
      </c>
      <c r="C1364" s="30">
        <v>5688869.3324180003</v>
      </c>
      <c r="D1364" s="46">
        <v>12</v>
      </c>
      <c r="E1364" s="30" t="s">
        <v>61</v>
      </c>
      <c r="F1364" s="46">
        <v>2014</v>
      </c>
      <c r="G1364" s="47">
        <v>5.6500000000000002E-2</v>
      </c>
      <c r="H1364" s="47">
        <f>G1364*0.386132285465734</f>
        <v>2.1816474128813972E-2</v>
      </c>
      <c r="I1364" s="47">
        <v>0</v>
      </c>
      <c r="J1364" s="47">
        <f t="shared" si="12"/>
        <v>0</v>
      </c>
      <c r="K1364" s="47">
        <v>4.9000000000000007E-3</v>
      </c>
      <c r="L1364" s="47">
        <f t="shared" si="13"/>
        <v>2.2209717425230582E-3</v>
      </c>
      <c r="M1364" s="47">
        <f t="shared" si="3"/>
        <v>1.9595502386290913E-2</v>
      </c>
      <c r="N1364" s="47">
        <v>0</v>
      </c>
      <c r="O1364" s="47">
        <f t="shared" si="14"/>
        <v>0</v>
      </c>
      <c r="P1364" s="92"/>
    </row>
    <row r="1365" spans="1:19" x14ac:dyDescent="0.25">
      <c r="A1365" s="29">
        <v>52</v>
      </c>
      <c r="B1365" s="30">
        <v>438049.10856199998</v>
      </c>
      <c r="C1365" s="30">
        <v>5688869.3324180003</v>
      </c>
      <c r="D1365" s="46">
        <v>12</v>
      </c>
      <c r="E1365" s="30" t="s">
        <v>61</v>
      </c>
      <c r="F1365" s="46">
        <v>2014</v>
      </c>
      <c r="G1365" s="46" t="s">
        <v>18</v>
      </c>
      <c r="H1365" s="46" t="s">
        <v>18</v>
      </c>
      <c r="I1365" s="46" t="s">
        <v>18</v>
      </c>
      <c r="J1365" s="46" t="s">
        <v>18</v>
      </c>
      <c r="K1365" s="47">
        <v>9.6999999999999986E-3</v>
      </c>
      <c r="L1365" s="47">
        <f t="shared" si="13"/>
        <v>4.3966175311170733E-3</v>
      </c>
      <c r="M1365" s="46" t="s">
        <v>18</v>
      </c>
      <c r="N1365" s="47">
        <v>0.24640000000000001</v>
      </c>
      <c r="O1365" s="47">
        <f t="shared" si="14"/>
        <v>0.12766219517300972</v>
      </c>
      <c r="P1365" s="92" t="s">
        <v>112</v>
      </c>
    </row>
    <row r="1366" spans="1:19" x14ac:dyDescent="0.25">
      <c r="A1366" s="29">
        <v>53</v>
      </c>
      <c r="B1366" s="30">
        <v>438287.10856199998</v>
      </c>
      <c r="C1366" s="30">
        <v>5688869.3324180003</v>
      </c>
      <c r="D1366" s="46">
        <v>12</v>
      </c>
      <c r="E1366" s="30" t="s">
        <v>61</v>
      </c>
      <c r="F1366" s="46">
        <v>2014</v>
      </c>
      <c r="G1366" s="47">
        <v>1.83E-2</v>
      </c>
      <c r="H1366" s="47">
        <f t="shared" ref="H1366:H1373" si="15">G1366*0.386132285465734</f>
        <v>7.066220824022933E-3</v>
      </c>
      <c r="I1366" s="47">
        <v>0</v>
      </c>
      <c r="J1366" s="47">
        <f t="shared" si="12"/>
        <v>0</v>
      </c>
      <c r="K1366" s="47">
        <v>1.06E-2</v>
      </c>
      <c r="L1366" s="47">
        <f t="shared" si="13"/>
        <v>4.8045511164784525E-3</v>
      </c>
      <c r="M1366" s="47">
        <f t="shared" si="3"/>
        <v>2.2616697075444805E-3</v>
      </c>
      <c r="N1366" s="47">
        <v>0</v>
      </c>
      <c r="O1366" s="47">
        <f t="shared" si="14"/>
        <v>0</v>
      </c>
      <c r="P1366" s="92"/>
    </row>
    <row r="1367" spans="1:19" x14ac:dyDescent="0.25">
      <c r="A1367" s="29">
        <v>54</v>
      </c>
      <c r="B1367" s="30">
        <v>437454.10856199998</v>
      </c>
      <c r="C1367" s="30">
        <v>5688988.3324180003</v>
      </c>
      <c r="D1367" s="46">
        <v>12</v>
      </c>
      <c r="E1367" s="30" t="s">
        <v>61</v>
      </c>
      <c r="F1367" s="46">
        <v>2014</v>
      </c>
      <c r="G1367" s="47">
        <v>6.93E-2</v>
      </c>
      <c r="H1367" s="47">
        <f t="shared" si="15"/>
        <v>2.6758967382775369E-2</v>
      </c>
      <c r="I1367" s="47">
        <v>2.2200000000000001E-2</v>
      </c>
      <c r="J1367" s="47">
        <f t="shared" si="12"/>
        <v>9.9782705390980605E-3</v>
      </c>
      <c r="K1367" s="47">
        <v>2.5999999999999999E-3</v>
      </c>
      <c r="L1367" s="47">
        <f t="shared" si="13"/>
        <v>1.178474802155092E-3</v>
      </c>
      <c r="M1367" s="47">
        <f t="shared" si="3"/>
        <v>2.5580492580620277E-2</v>
      </c>
      <c r="N1367" s="47">
        <v>0</v>
      </c>
      <c r="O1367" s="47">
        <f t="shared" si="14"/>
        <v>0</v>
      </c>
      <c r="P1367" s="92"/>
    </row>
    <row r="1368" spans="1:19" x14ac:dyDescent="0.25">
      <c r="A1368" s="29">
        <v>55</v>
      </c>
      <c r="B1368" s="30">
        <v>438049.10856199998</v>
      </c>
      <c r="C1368" s="30">
        <v>5688988.3324180003</v>
      </c>
      <c r="D1368" s="46">
        <v>12</v>
      </c>
      <c r="E1368" s="30" t="s">
        <v>61</v>
      </c>
      <c r="F1368" s="46">
        <v>2014</v>
      </c>
      <c r="G1368" s="47">
        <v>3.9399999999999998E-2</v>
      </c>
      <c r="H1368" s="47">
        <f t="shared" si="15"/>
        <v>1.521361204734992E-2</v>
      </c>
      <c r="I1368" s="47">
        <v>0</v>
      </c>
      <c r="J1368" s="47">
        <f t="shared" si="12"/>
        <v>0</v>
      </c>
      <c r="K1368" s="47">
        <v>6.7000000000000002E-3</v>
      </c>
      <c r="L1368" s="47">
        <f t="shared" si="13"/>
        <v>3.0368389132458141E-3</v>
      </c>
      <c r="M1368" s="47">
        <f t="shared" si="3"/>
        <v>1.2176773134104106E-2</v>
      </c>
      <c r="N1368" s="47">
        <v>0</v>
      </c>
      <c r="O1368" s="47">
        <f t="shared" si="14"/>
        <v>0</v>
      </c>
      <c r="P1368" s="92"/>
    </row>
    <row r="1369" spans="1:19" x14ac:dyDescent="0.25">
      <c r="A1369" s="29">
        <v>56</v>
      </c>
      <c r="B1369" s="30">
        <v>438168.10856199998</v>
      </c>
      <c r="C1369" s="30">
        <v>5688988.3324180003</v>
      </c>
      <c r="D1369" s="46">
        <v>12</v>
      </c>
      <c r="E1369" s="30" t="s">
        <v>61</v>
      </c>
      <c r="F1369" s="46">
        <v>2014</v>
      </c>
      <c r="G1369" s="47">
        <v>0.19259999999999999</v>
      </c>
      <c r="H1369" s="47">
        <f t="shared" si="15"/>
        <v>7.4369078180700376E-2</v>
      </c>
      <c r="I1369" s="47">
        <v>0</v>
      </c>
      <c r="J1369" s="47">
        <f t="shared" si="12"/>
        <v>0</v>
      </c>
      <c r="K1369" s="47">
        <v>8.9999999999999998E-4</v>
      </c>
      <c r="L1369" s="47">
        <f t="shared" si="13"/>
        <v>4.0793358536137799E-4</v>
      </c>
      <c r="M1369" s="47">
        <f t="shared" si="3"/>
        <v>7.3961144595338993E-2</v>
      </c>
      <c r="N1369" s="47">
        <v>0</v>
      </c>
      <c r="O1369" s="47">
        <f t="shared" si="14"/>
        <v>0</v>
      </c>
      <c r="P1369" s="92"/>
    </row>
    <row r="1370" spans="1:19" x14ac:dyDescent="0.25">
      <c r="A1370" s="40">
        <v>57</v>
      </c>
      <c r="B1370" s="41">
        <v>438146</v>
      </c>
      <c r="C1370" s="41">
        <v>5688977</v>
      </c>
      <c r="D1370" s="50">
        <v>12</v>
      </c>
      <c r="E1370" s="41" t="s">
        <v>61</v>
      </c>
      <c r="F1370" s="50">
        <v>2014</v>
      </c>
      <c r="G1370" s="51">
        <v>0.19690000000000002</v>
      </c>
      <c r="H1370" s="51">
        <f t="shared" si="15"/>
        <v>7.6029447008203035E-2</v>
      </c>
      <c r="I1370" s="51">
        <v>0</v>
      </c>
      <c r="J1370" s="51">
        <f t="shared" si="12"/>
        <v>0</v>
      </c>
      <c r="K1370" s="51">
        <v>1.9E-3</v>
      </c>
      <c r="L1370" s="51">
        <f t="shared" si="13"/>
        <v>8.61193124651798E-4</v>
      </c>
      <c r="M1370" s="51">
        <f t="shared" si="3"/>
        <v>7.5168253883551236E-2</v>
      </c>
      <c r="N1370" s="51">
        <v>0</v>
      </c>
      <c r="O1370" s="51">
        <f t="shared" si="14"/>
        <v>0</v>
      </c>
      <c r="P1370" s="101"/>
    </row>
    <row r="1371" spans="1:19" x14ac:dyDescent="0.25">
      <c r="A1371" s="40">
        <v>58</v>
      </c>
      <c r="B1371" s="41">
        <v>438131</v>
      </c>
      <c r="C1371" s="41">
        <v>5688972</v>
      </c>
      <c r="D1371" s="50">
        <v>12</v>
      </c>
      <c r="E1371" s="41" t="s">
        <v>61</v>
      </c>
      <c r="F1371" s="50">
        <v>2014</v>
      </c>
      <c r="G1371" s="51">
        <v>0.34910000000000002</v>
      </c>
      <c r="H1371" s="51">
        <f t="shared" si="15"/>
        <v>0.13479878085608776</v>
      </c>
      <c r="I1371" s="51">
        <v>0</v>
      </c>
      <c r="J1371" s="51">
        <f t="shared" si="12"/>
        <v>0</v>
      </c>
      <c r="K1371" s="51">
        <v>8.0000000000000004E-4</v>
      </c>
      <c r="L1371" s="51">
        <f t="shared" si="13"/>
        <v>3.6260763143233603E-4</v>
      </c>
      <c r="M1371" s="51">
        <f t="shared" si="3"/>
        <v>0.13443617322465543</v>
      </c>
      <c r="N1371" s="51">
        <v>0</v>
      </c>
      <c r="O1371" s="51">
        <f t="shared" si="14"/>
        <v>0</v>
      </c>
      <c r="P1371" s="101"/>
    </row>
    <row r="1372" spans="1:19" x14ac:dyDescent="0.25">
      <c r="A1372" s="40">
        <v>59</v>
      </c>
      <c r="B1372" s="41">
        <v>438089</v>
      </c>
      <c r="C1372" s="41">
        <v>5688713</v>
      </c>
      <c r="D1372" s="50">
        <v>12</v>
      </c>
      <c r="E1372" s="41" t="s">
        <v>61</v>
      </c>
      <c r="F1372" s="50">
        <v>2014</v>
      </c>
      <c r="G1372" s="51">
        <v>0.23519999999999999</v>
      </c>
      <c r="H1372" s="51">
        <f t="shared" si="15"/>
        <v>9.0818313541540643E-2</v>
      </c>
      <c r="I1372" s="51">
        <v>0</v>
      </c>
      <c r="J1372" s="51">
        <f t="shared" si="12"/>
        <v>0</v>
      </c>
      <c r="K1372" s="51">
        <v>1.77E-2</v>
      </c>
      <c r="L1372" s="51">
        <f t="shared" si="13"/>
        <v>8.0226938454404338E-3</v>
      </c>
      <c r="M1372" s="51">
        <f t="shared" si="3"/>
        <v>8.2795619696100206E-2</v>
      </c>
      <c r="N1372" s="51">
        <v>0</v>
      </c>
      <c r="O1372" s="51">
        <f t="shared" si="14"/>
        <v>0</v>
      </c>
      <c r="P1372" s="101"/>
    </row>
    <row r="1373" spans="1:19" x14ac:dyDescent="0.25">
      <c r="A1373" s="40">
        <v>60</v>
      </c>
      <c r="B1373" s="41">
        <v>438099</v>
      </c>
      <c r="C1373" s="41">
        <v>5688719</v>
      </c>
      <c r="D1373" s="50">
        <v>12</v>
      </c>
      <c r="E1373" s="41" t="s">
        <v>61</v>
      </c>
      <c r="F1373" s="50">
        <v>2014</v>
      </c>
      <c r="G1373" s="51">
        <v>0.16290000000000002</v>
      </c>
      <c r="H1373" s="51">
        <f t="shared" si="15"/>
        <v>6.2900949302368073E-2</v>
      </c>
      <c r="I1373" s="51">
        <v>0</v>
      </c>
      <c r="J1373" s="51">
        <f t="shared" si="12"/>
        <v>0</v>
      </c>
      <c r="K1373" s="51">
        <v>8.0999999999999996E-3</v>
      </c>
      <c r="L1373" s="51">
        <f t="shared" si="13"/>
        <v>3.6714022682524019E-3</v>
      </c>
      <c r="M1373" s="51">
        <f t="shared" si="3"/>
        <v>5.9229547034115669E-2</v>
      </c>
      <c r="N1373" s="51">
        <v>0</v>
      </c>
      <c r="O1373" s="51">
        <f t="shared" si="14"/>
        <v>0</v>
      </c>
      <c r="P1373" s="101"/>
    </row>
    <row r="1374" spans="1:19" x14ac:dyDescent="0.25">
      <c r="A1374" s="42">
        <v>1</v>
      </c>
      <c r="B1374" s="43">
        <v>437930.10856199998</v>
      </c>
      <c r="C1374" s="43">
        <v>5688036.3324180003</v>
      </c>
      <c r="D1374" s="44">
        <v>2</v>
      </c>
      <c r="E1374" s="44" t="s">
        <v>64</v>
      </c>
      <c r="F1374" s="44">
        <v>2015</v>
      </c>
      <c r="G1374" s="44" t="s">
        <v>18</v>
      </c>
      <c r="H1374" s="44" t="s">
        <v>18</v>
      </c>
      <c r="I1374" s="44" t="s">
        <v>18</v>
      </c>
      <c r="J1374" s="44" t="s">
        <v>18</v>
      </c>
      <c r="K1374" s="44" t="s">
        <v>18</v>
      </c>
      <c r="L1374" s="44" t="s">
        <v>18</v>
      </c>
      <c r="M1374" s="44" t="s">
        <v>18</v>
      </c>
      <c r="N1374" s="44" t="s">
        <v>18</v>
      </c>
      <c r="O1374" s="44" t="s">
        <v>18</v>
      </c>
      <c r="P1374" s="102" t="s">
        <v>109</v>
      </c>
      <c r="R1374" s="5">
        <f>AVERAGE(M1374:M1433)</f>
        <v>8.2464510121798059E-3</v>
      </c>
      <c r="S1374" s="5">
        <f>AVERAGE(H1374:H1433)</f>
        <v>1.0151407453577168E-2</v>
      </c>
    </row>
    <row r="1375" spans="1:19" x14ac:dyDescent="0.25">
      <c r="A1375" s="42">
        <v>2</v>
      </c>
      <c r="B1375" s="43">
        <v>437811.10856199998</v>
      </c>
      <c r="C1375" s="43">
        <v>5688155.3324180003</v>
      </c>
      <c r="D1375" s="44">
        <v>2</v>
      </c>
      <c r="E1375" s="44" t="s">
        <v>64</v>
      </c>
      <c r="F1375" s="44">
        <v>2015</v>
      </c>
      <c r="G1375" s="44" t="s">
        <v>18</v>
      </c>
      <c r="H1375" s="44" t="s">
        <v>18</v>
      </c>
      <c r="I1375" s="44" t="s">
        <v>18</v>
      </c>
      <c r="J1375" s="44" t="s">
        <v>18</v>
      </c>
      <c r="K1375" s="44" t="s">
        <v>18</v>
      </c>
      <c r="L1375" s="44" t="s">
        <v>18</v>
      </c>
      <c r="M1375" s="44" t="s">
        <v>18</v>
      </c>
      <c r="N1375" s="44" t="s">
        <v>18</v>
      </c>
      <c r="O1375" s="44" t="s">
        <v>18</v>
      </c>
      <c r="P1375" s="102" t="s">
        <v>109</v>
      </c>
    </row>
    <row r="1376" spans="1:19" x14ac:dyDescent="0.25">
      <c r="A1376" s="29">
        <v>3</v>
      </c>
      <c r="B1376" s="30">
        <v>437930.10856199998</v>
      </c>
      <c r="C1376" s="30">
        <v>5688155.3324180003</v>
      </c>
      <c r="D1376" s="46">
        <v>2</v>
      </c>
      <c r="E1376" s="30" t="s">
        <v>64</v>
      </c>
      <c r="F1376" s="46">
        <v>2015</v>
      </c>
      <c r="G1376" s="47">
        <v>1.0800000000000001E-2</v>
      </c>
      <c r="H1376" s="47">
        <f>G1376*0.427625959585177</f>
        <v>4.6183603635199123E-3</v>
      </c>
      <c r="I1376" s="47">
        <v>0</v>
      </c>
      <c r="J1376" s="47">
        <f>I1376*0.463143362191458</f>
        <v>0</v>
      </c>
      <c r="K1376" s="47">
        <v>1.6999999999999999E-3</v>
      </c>
      <c r="L1376" s="47">
        <f>K1376*0.48228950079742</f>
        <v>8.1989215135561393E-4</v>
      </c>
      <c r="M1376" s="47">
        <f>H1376-L1376</f>
        <v>3.7984682121642984E-3</v>
      </c>
      <c r="N1376" s="47">
        <v>0</v>
      </c>
      <c r="O1376" s="47">
        <f>N1376*0.477598300428196</f>
        <v>0</v>
      </c>
      <c r="P1376" s="92"/>
    </row>
    <row r="1377" spans="1:16" x14ac:dyDescent="0.25">
      <c r="A1377" s="42">
        <v>4</v>
      </c>
      <c r="B1377" s="43">
        <v>438049.10856199998</v>
      </c>
      <c r="C1377" s="43">
        <v>5688155.3324180003</v>
      </c>
      <c r="D1377" s="44">
        <v>2</v>
      </c>
      <c r="E1377" s="44" t="s">
        <v>64</v>
      </c>
      <c r="F1377" s="44">
        <v>2015</v>
      </c>
      <c r="G1377" s="44" t="s">
        <v>18</v>
      </c>
      <c r="H1377" s="44" t="s">
        <v>18</v>
      </c>
      <c r="I1377" s="44" t="s">
        <v>18</v>
      </c>
      <c r="J1377" s="44" t="s">
        <v>18</v>
      </c>
      <c r="K1377" s="44" t="s">
        <v>18</v>
      </c>
      <c r="L1377" s="44" t="s">
        <v>18</v>
      </c>
      <c r="M1377" s="44" t="s">
        <v>18</v>
      </c>
      <c r="N1377" s="44" t="s">
        <v>18</v>
      </c>
      <c r="O1377" s="44" t="s">
        <v>18</v>
      </c>
      <c r="P1377" s="102" t="s">
        <v>109</v>
      </c>
    </row>
    <row r="1378" spans="1:16" x14ac:dyDescent="0.25">
      <c r="A1378" s="42">
        <v>5</v>
      </c>
      <c r="B1378" s="43">
        <v>437573.10856199998</v>
      </c>
      <c r="C1378" s="43">
        <v>5688274.3324180003</v>
      </c>
      <c r="D1378" s="44">
        <v>2</v>
      </c>
      <c r="E1378" s="44" t="s">
        <v>64</v>
      </c>
      <c r="F1378" s="44">
        <v>2015</v>
      </c>
      <c r="G1378" s="44" t="s">
        <v>18</v>
      </c>
      <c r="H1378" s="44" t="s">
        <v>18</v>
      </c>
      <c r="I1378" s="44" t="s">
        <v>18</v>
      </c>
      <c r="J1378" s="44" t="s">
        <v>18</v>
      </c>
      <c r="K1378" s="44" t="s">
        <v>18</v>
      </c>
      <c r="L1378" s="44" t="s">
        <v>18</v>
      </c>
      <c r="M1378" s="44" t="s">
        <v>18</v>
      </c>
      <c r="N1378" s="44" t="s">
        <v>18</v>
      </c>
      <c r="O1378" s="44" t="s">
        <v>18</v>
      </c>
      <c r="P1378" s="102" t="s">
        <v>109</v>
      </c>
    </row>
    <row r="1379" spans="1:16" x14ac:dyDescent="0.25">
      <c r="A1379" s="29">
        <v>6</v>
      </c>
      <c r="B1379" s="30">
        <v>437692.10856199998</v>
      </c>
      <c r="C1379" s="30">
        <v>5688274.3324180003</v>
      </c>
      <c r="D1379" s="46">
        <v>2</v>
      </c>
      <c r="E1379" s="30" t="s">
        <v>64</v>
      </c>
      <c r="F1379" s="46">
        <v>2015</v>
      </c>
      <c r="G1379" s="47">
        <v>0</v>
      </c>
      <c r="H1379" s="47">
        <f t="shared" ref="H1379:H1433" si="16">G1379*0.427625959585177</f>
        <v>0</v>
      </c>
      <c r="I1379" s="47">
        <v>3.1399999999999997E-2</v>
      </c>
      <c r="J1379" s="46">
        <f t="shared" ref="J1379:J1433" si="17">I1379*0.463143362191458</f>
        <v>1.4542701572811781E-2</v>
      </c>
      <c r="K1379" s="52">
        <v>3.8E-3</v>
      </c>
      <c r="L1379" s="47">
        <f>K1379*0.48228950079742</f>
        <v>1.832700103030196E-3</v>
      </c>
      <c r="M1379" s="47">
        <f>H1379-L1379</f>
        <v>-1.832700103030196E-3</v>
      </c>
      <c r="N1379" s="47">
        <v>9.4900000000000012E-2</v>
      </c>
      <c r="O1379" s="47">
        <f t="shared" ref="O1379:O1433" si="18">N1379*0.477598300428196</f>
        <v>4.5324078710635804E-2</v>
      </c>
      <c r="P1379" s="92" t="s">
        <v>114</v>
      </c>
    </row>
    <row r="1380" spans="1:16" x14ac:dyDescent="0.25">
      <c r="A1380" s="29">
        <v>7</v>
      </c>
      <c r="B1380" s="30">
        <v>437811.10856199998</v>
      </c>
      <c r="C1380" s="30">
        <v>5688274.3324180003</v>
      </c>
      <c r="D1380" s="46">
        <v>2</v>
      </c>
      <c r="E1380" s="30" t="s">
        <v>64</v>
      </c>
      <c r="F1380" s="46">
        <v>2015</v>
      </c>
      <c r="G1380" s="47">
        <v>1.1999999999999999E-3</v>
      </c>
      <c r="H1380" s="47">
        <f t="shared" si="16"/>
        <v>5.1315115150221235E-4</v>
      </c>
      <c r="I1380" s="47">
        <v>7.3000000000000001E-3</v>
      </c>
      <c r="J1380" s="47">
        <f t="shared" si="17"/>
        <v>3.3809465439976435E-3</v>
      </c>
      <c r="K1380" s="47">
        <v>0</v>
      </c>
      <c r="L1380" s="47">
        <f t="shared" ref="L1380:L1433" si="19">K1380*0.48228950079742</f>
        <v>0</v>
      </c>
      <c r="M1380" s="47">
        <f>H1380-L1380</f>
        <v>5.1315115150221235E-4</v>
      </c>
      <c r="N1380" s="47">
        <v>0</v>
      </c>
      <c r="O1380" s="47">
        <f t="shared" si="18"/>
        <v>0</v>
      </c>
      <c r="P1380" s="92" t="s">
        <v>115</v>
      </c>
    </row>
    <row r="1381" spans="1:16" x14ac:dyDescent="0.25">
      <c r="A1381" s="29">
        <v>8</v>
      </c>
      <c r="B1381" s="30">
        <v>437930.10856199998</v>
      </c>
      <c r="C1381" s="30">
        <v>5688274.3324180003</v>
      </c>
      <c r="D1381" s="46">
        <v>2</v>
      </c>
      <c r="E1381" s="30" t="s">
        <v>64</v>
      </c>
      <c r="F1381" s="46">
        <v>2015</v>
      </c>
      <c r="G1381" s="5">
        <v>1.01E-2</v>
      </c>
      <c r="H1381" s="47">
        <f t="shared" si="16"/>
        <v>4.3190221918102878E-3</v>
      </c>
      <c r="I1381" s="47">
        <v>0</v>
      </c>
      <c r="J1381" s="47">
        <f t="shared" si="17"/>
        <v>0</v>
      </c>
      <c r="K1381" s="47">
        <v>1.1000000000000001E-3</v>
      </c>
      <c r="L1381" s="47">
        <f t="shared" si="19"/>
        <v>5.30518450877162E-4</v>
      </c>
      <c r="M1381" s="47">
        <f t="shared" ref="M1381:M1433" si="20">H1381-L1381</f>
        <v>3.788503740933126E-3</v>
      </c>
      <c r="N1381" s="47">
        <v>0</v>
      </c>
      <c r="O1381" s="47">
        <f t="shared" si="18"/>
        <v>0</v>
      </c>
      <c r="P1381" s="92"/>
    </row>
    <row r="1382" spans="1:16" x14ac:dyDescent="0.25">
      <c r="A1382" s="29">
        <v>9</v>
      </c>
      <c r="B1382" s="30">
        <v>438287.10856199998</v>
      </c>
      <c r="C1382" s="30">
        <v>5688274.3324180003</v>
      </c>
      <c r="D1382" s="46">
        <v>2</v>
      </c>
      <c r="E1382" s="30" t="s">
        <v>64</v>
      </c>
      <c r="F1382" s="46">
        <v>2015</v>
      </c>
      <c r="G1382" s="47">
        <v>2.81E-2</v>
      </c>
      <c r="H1382" s="47">
        <f t="shared" si="16"/>
        <v>1.2016289464343475E-2</v>
      </c>
      <c r="I1382" s="47">
        <v>0</v>
      </c>
      <c r="J1382" s="47">
        <f t="shared" si="17"/>
        <v>0</v>
      </c>
      <c r="K1382" s="47">
        <v>5.3E-3</v>
      </c>
      <c r="L1382" s="47">
        <f t="shared" si="19"/>
        <v>2.5561343542263261E-3</v>
      </c>
      <c r="M1382" s="47">
        <f t="shared" si="20"/>
        <v>9.4601551101171494E-3</v>
      </c>
      <c r="N1382" s="47">
        <v>0</v>
      </c>
      <c r="O1382" s="47">
        <f t="shared" si="18"/>
        <v>0</v>
      </c>
      <c r="P1382" s="92"/>
    </row>
    <row r="1383" spans="1:16" x14ac:dyDescent="0.25">
      <c r="A1383" s="29">
        <v>10</v>
      </c>
      <c r="B1383" s="30">
        <v>438406.10856199998</v>
      </c>
      <c r="C1383" s="30">
        <v>5688274.3324180003</v>
      </c>
      <c r="D1383" s="46">
        <v>2</v>
      </c>
      <c r="E1383" s="30" t="s">
        <v>64</v>
      </c>
      <c r="F1383" s="46">
        <v>2015</v>
      </c>
      <c r="G1383" s="47">
        <v>5.2999999999999999E-2</v>
      </c>
      <c r="H1383" s="47">
        <f t="shared" si="16"/>
        <v>2.266417585801438E-2</v>
      </c>
      <c r="I1383" s="47">
        <v>0</v>
      </c>
      <c r="J1383" s="47">
        <f t="shared" si="17"/>
        <v>0</v>
      </c>
      <c r="K1383" s="47">
        <v>2.8E-3</v>
      </c>
      <c r="L1383" s="47">
        <f t="shared" si="19"/>
        <v>1.350410602232776E-3</v>
      </c>
      <c r="M1383" s="47">
        <f t="shared" si="20"/>
        <v>2.1313765255781603E-2</v>
      </c>
      <c r="N1383" s="47">
        <v>2.3E-3</v>
      </c>
      <c r="O1383" s="47">
        <f t="shared" si="18"/>
        <v>1.0984760909848509E-3</v>
      </c>
      <c r="P1383" s="92"/>
    </row>
    <row r="1384" spans="1:16" x14ac:dyDescent="0.25">
      <c r="A1384" s="42">
        <v>11</v>
      </c>
      <c r="B1384" s="43">
        <v>437454.10856199998</v>
      </c>
      <c r="C1384" s="43">
        <v>5688393.3324180003</v>
      </c>
      <c r="D1384" s="44">
        <v>2</v>
      </c>
      <c r="E1384" s="44" t="s">
        <v>64</v>
      </c>
      <c r="F1384" s="44">
        <v>2015</v>
      </c>
      <c r="G1384" s="44" t="s">
        <v>18</v>
      </c>
      <c r="H1384" s="44" t="s">
        <v>18</v>
      </c>
      <c r="I1384" s="44" t="s">
        <v>18</v>
      </c>
      <c r="J1384" s="44" t="s">
        <v>18</v>
      </c>
      <c r="K1384" s="44" t="s">
        <v>18</v>
      </c>
      <c r="L1384" s="44" t="s">
        <v>18</v>
      </c>
      <c r="M1384" s="44" t="s">
        <v>18</v>
      </c>
      <c r="N1384" s="44" t="s">
        <v>18</v>
      </c>
      <c r="O1384" s="44" t="s">
        <v>18</v>
      </c>
      <c r="P1384" s="102" t="s">
        <v>109</v>
      </c>
    </row>
    <row r="1385" spans="1:16" x14ac:dyDescent="0.25">
      <c r="A1385" s="29">
        <v>12</v>
      </c>
      <c r="B1385" s="30">
        <v>437573.10856199998</v>
      </c>
      <c r="C1385" s="30">
        <v>5688393.3324180003</v>
      </c>
      <c r="D1385" s="46">
        <v>2</v>
      </c>
      <c r="E1385" s="30" t="s">
        <v>64</v>
      </c>
      <c r="F1385" s="46">
        <v>2015</v>
      </c>
      <c r="G1385" s="47">
        <v>2.1000000000000003E-3</v>
      </c>
      <c r="H1385" s="47">
        <f t="shared" si="16"/>
        <v>8.9801451512887189E-4</v>
      </c>
      <c r="I1385" s="47">
        <v>2.47E-2</v>
      </c>
      <c r="J1385" s="47">
        <f t="shared" si="17"/>
        <v>1.1439641046129012E-2</v>
      </c>
      <c r="K1385" s="47">
        <v>4.0000000000000002E-4</v>
      </c>
      <c r="L1385" s="47">
        <f t="shared" si="19"/>
        <v>1.9291580031896802E-4</v>
      </c>
      <c r="M1385" s="47">
        <f t="shared" si="20"/>
        <v>7.050987148099039E-4</v>
      </c>
      <c r="N1385" s="47">
        <v>1.46E-2</v>
      </c>
      <c r="O1385" s="47">
        <f t="shared" si="18"/>
        <v>6.9729351862516621E-3</v>
      </c>
      <c r="P1385" s="92"/>
    </row>
    <row r="1386" spans="1:16" x14ac:dyDescent="0.25">
      <c r="A1386" s="29">
        <v>13</v>
      </c>
      <c r="B1386" s="30">
        <v>437692.10856199998</v>
      </c>
      <c r="C1386" s="30">
        <v>5688393.3324180003</v>
      </c>
      <c r="D1386" s="46">
        <v>2</v>
      </c>
      <c r="E1386" s="30" t="s">
        <v>64</v>
      </c>
      <c r="F1386" s="46">
        <v>2015</v>
      </c>
      <c r="G1386" s="47">
        <v>1.0999999999999999E-2</v>
      </c>
      <c r="H1386" s="47">
        <f t="shared" si="16"/>
        <v>4.703885555436947E-3</v>
      </c>
      <c r="I1386" s="47">
        <v>5.5899999999999998E-2</v>
      </c>
      <c r="J1386" s="47">
        <f t="shared" si="17"/>
        <v>2.5889713946502503E-2</v>
      </c>
      <c r="K1386" s="47">
        <v>3.8999999999999998E-3</v>
      </c>
      <c r="L1386" s="47">
        <f t="shared" si="19"/>
        <v>1.8809290531099378E-3</v>
      </c>
      <c r="M1386" s="47">
        <f t="shared" si="20"/>
        <v>2.8229565023270091E-3</v>
      </c>
      <c r="N1386" s="47">
        <v>4.5499999999999999E-2</v>
      </c>
      <c r="O1386" s="47">
        <f t="shared" si="18"/>
        <v>2.1730722669482918E-2</v>
      </c>
      <c r="P1386" s="92"/>
    </row>
    <row r="1387" spans="1:16" x14ac:dyDescent="0.25">
      <c r="A1387" s="32">
        <v>14</v>
      </c>
      <c r="B1387" s="33">
        <v>437811.10856199998</v>
      </c>
      <c r="C1387" s="33">
        <v>5688393.3324180003</v>
      </c>
      <c r="D1387" s="48">
        <v>3</v>
      </c>
      <c r="E1387" s="48" t="s">
        <v>64</v>
      </c>
      <c r="F1387" s="48">
        <v>2015</v>
      </c>
      <c r="G1387" s="48" t="s">
        <v>18</v>
      </c>
      <c r="H1387" s="48" t="s">
        <v>18</v>
      </c>
      <c r="I1387" s="48" t="s">
        <v>18</v>
      </c>
      <c r="J1387" s="48" t="s">
        <v>18</v>
      </c>
      <c r="K1387" s="48" t="s">
        <v>18</v>
      </c>
      <c r="L1387" s="48" t="s">
        <v>18</v>
      </c>
      <c r="M1387" s="48" t="s">
        <v>18</v>
      </c>
      <c r="N1387" s="48" t="s">
        <v>18</v>
      </c>
      <c r="O1387" s="48" t="s">
        <v>18</v>
      </c>
      <c r="P1387" s="103" t="s">
        <v>21</v>
      </c>
    </row>
    <row r="1388" spans="1:16" x14ac:dyDescent="0.25">
      <c r="A1388" s="29">
        <v>15</v>
      </c>
      <c r="B1388" s="30">
        <v>437930.10856199998</v>
      </c>
      <c r="C1388" s="30">
        <v>5688393.3324180003</v>
      </c>
      <c r="D1388" s="46">
        <v>2</v>
      </c>
      <c r="E1388" s="30" t="s">
        <v>64</v>
      </c>
      <c r="F1388" s="46">
        <v>2015</v>
      </c>
      <c r="G1388" s="47">
        <v>4.0299999999999996E-2</v>
      </c>
      <c r="H1388" s="47">
        <f t="shared" si="16"/>
        <v>1.7233326171282631E-2</v>
      </c>
      <c r="I1388" s="47">
        <v>0.10199999999999999</v>
      </c>
      <c r="J1388" s="47">
        <f t="shared" si="17"/>
        <v>4.7240622943528716E-2</v>
      </c>
      <c r="K1388" s="47">
        <v>6.6E-3</v>
      </c>
      <c r="L1388" s="47">
        <f t="shared" si="19"/>
        <v>3.183110705262972E-3</v>
      </c>
      <c r="M1388" s="47">
        <f t="shared" si="20"/>
        <v>1.4050215466019658E-2</v>
      </c>
      <c r="N1388" s="47">
        <v>5.2600000000000001E-2</v>
      </c>
      <c r="O1388" s="47">
        <f t="shared" si="18"/>
        <v>2.512167060252311E-2</v>
      </c>
      <c r="P1388" s="92"/>
    </row>
    <row r="1389" spans="1:16" x14ac:dyDescent="0.25">
      <c r="A1389" s="29">
        <v>16</v>
      </c>
      <c r="B1389" s="30">
        <v>438049.10856199998</v>
      </c>
      <c r="C1389" s="30">
        <v>5688393.3324180003</v>
      </c>
      <c r="D1389" s="46">
        <v>2</v>
      </c>
      <c r="E1389" s="30" t="s">
        <v>64</v>
      </c>
      <c r="F1389" s="46">
        <v>2015</v>
      </c>
      <c r="G1389" s="47">
        <v>2.93E-2</v>
      </c>
      <c r="H1389" s="47">
        <f t="shared" si="16"/>
        <v>1.2529440615845686E-2</v>
      </c>
      <c r="I1389" s="47">
        <v>0.18190000000000001</v>
      </c>
      <c r="J1389" s="47">
        <f t="shared" si="17"/>
        <v>8.4245777582626219E-2</v>
      </c>
      <c r="K1389" s="47">
        <v>3.7000000000000002E-3</v>
      </c>
      <c r="L1389" s="47">
        <f t="shared" si="19"/>
        <v>1.7844711529504541E-3</v>
      </c>
      <c r="M1389" s="47">
        <f t="shared" si="20"/>
        <v>1.0744969462895233E-2</v>
      </c>
      <c r="N1389" s="47">
        <v>7.4900000000000008E-2</v>
      </c>
      <c r="O1389" s="47">
        <f t="shared" si="18"/>
        <v>3.5772112702071888E-2</v>
      </c>
      <c r="P1389" s="92"/>
    </row>
    <row r="1390" spans="1:16" x14ac:dyDescent="0.25">
      <c r="A1390" s="29">
        <v>17</v>
      </c>
      <c r="B1390" s="30">
        <v>438168.10856199998</v>
      </c>
      <c r="C1390" s="30">
        <v>5688393.3324180003</v>
      </c>
      <c r="D1390" s="46">
        <v>2</v>
      </c>
      <c r="E1390" s="30" t="s">
        <v>64</v>
      </c>
      <c r="F1390" s="46">
        <v>2015</v>
      </c>
      <c r="G1390" s="47">
        <v>1.5900000000000001E-2</v>
      </c>
      <c r="H1390" s="47">
        <f t="shared" si="16"/>
        <v>6.799252757404315E-3</v>
      </c>
      <c r="I1390" s="47">
        <v>4.5600000000000002E-2</v>
      </c>
      <c r="J1390" s="47">
        <f t="shared" si="17"/>
        <v>2.1119337315930485E-2</v>
      </c>
      <c r="K1390" s="47">
        <v>1.04E-2</v>
      </c>
      <c r="L1390" s="47">
        <f t="shared" si="19"/>
        <v>5.0158108082931675E-3</v>
      </c>
      <c r="M1390" s="47">
        <f t="shared" si="20"/>
        <v>1.7834419491111475E-3</v>
      </c>
      <c r="N1390" s="47">
        <v>1.89E-2</v>
      </c>
      <c r="O1390" s="47">
        <f t="shared" si="18"/>
        <v>9.0266078780929047E-3</v>
      </c>
      <c r="P1390" s="92"/>
    </row>
    <row r="1391" spans="1:16" x14ac:dyDescent="0.25">
      <c r="A1391" s="29">
        <v>18</v>
      </c>
      <c r="B1391" s="30">
        <v>438287.10856199998</v>
      </c>
      <c r="C1391" s="30">
        <v>5688393.3324180003</v>
      </c>
      <c r="D1391" s="46">
        <v>2</v>
      </c>
      <c r="E1391" s="30" t="s">
        <v>64</v>
      </c>
      <c r="F1391" s="46">
        <v>2015</v>
      </c>
      <c r="G1391" s="47">
        <v>2.0300000000000002E-2</v>
      </c>
      <c r="H1391" s="47">
        <f t="shared" si="16"/>
        <v>8.6808069795790942E-3</v>
      </c>
      <c r="I1391" s="47">
        <v>0</v>
      </c>
      <c r="J1391" s="47">
        <f t="shared" si="17"/>
        <v>0</v>
      </c>
      <c r="K1391" s="47">
        <v>4.4000000000000003E-3</v>
      </c>
      <c r="L1391" s="47">
        <f t="shared" si="19"/>
        <v>2.122073803508648E-3</v>
      </c>
      <c r="M1391" s="47">
        <f t="shared" si="20"/>
        <v>6.5587331760704462E-3</v>
      </c>
      <c r="N1391" s="47">
        <v>0</v>
      </c>
      <c r="O1391" s="47">
        <f t="shared" si="18"/>
        <v>0</v>
      </c>
      <c r="P1391" s="92"/>
    </row>
    <row r="1392" spans="1:16" x14ac:dyDescent="0.25">
      <c r="A1392" s="29">
        <v>19</v>
      </c>
      <c r="B1392" s="30">
        <v>438406.10856199998</v>
      </c>
      <c r="C1392" s="30">
        <v>5688393.3324180003</v>
      </c>
      <c r="D1392" s="46">
        <v>2</v>
      </c>
      <c r="E1392" s="30" t="s">
        <v>64</v>
      </c>
      <c r="F1392" s="46">
        <v>2015</v>
      </c>
      <c r="G1392" s="47">
        <v>2.6199999999999998E-2</v>
      </c>
      <c r="H1392" s="47">
        <f t="shared" si="16"/>
        <v>1.1203800141131637E-2</v>
      </c>
      <c r="I1392" s="47">
        <v>0</v>
      </c>
      <c r="J1392" s="47">
        <f t="shared" si="17"/>
        <v>0</v>
      </c>
      <c r="K1392" s="47">
        <v>4.5999999999999999E-3</v>
      </c>
      <c r="L1392" s="47">
        <f t="shared" si="19"/>
        <v>2.2185317036681322E-3</v>
      </c>
      <c r="M1392" s="47">
        <f t="shared" si="20"/>
        <v>8.9852684374635058E-3</v>
      </c>
      <c r="N1392" s="47">
        <v>0</v>
      </c>
      <c r="O1392" s="47">
        <f t="shared" si="18"/>
        <v>0</v>
      </c>
      <c r="P1392" s="92"/>
    </row>
    <row r="1393" spans="1:16" x14ac:dyDescent="0.25">
      <c r="A1393" s="42">
        <v>20</v>
      </c>
      <c r="B1393" s="43">
        <v>437335.10856199998</v>
      </c>
      <c r="C1393" s="43">
        <v>5688512.3324180003</v>
      </c>
      <c r="D1393" s="44">
        <v>2</v>
      </c>
      <c r="E1393" s="44" t="s">
        <v>64</v>
      </c>
      <c r="F1393" s="44">
        <v>2015</v>
      </c>
      <c r="G1393" s="44" t="s">
        <v>18</v>
      </c>
      <c r="H1393" s="44" t="s">
        <v>18</v>
      </c>
      <c r="I1393" s="44" t="s">
        <v>18</v>
      </c>
      <c r="J1393" s="44" t="s">
        <v>18</v>
      </c>
      <c r="K1393" s="44" t="s">
        <v>18</v>
      </c>
      <c r="L1393" s="44" t="s">
        <v>18</v>
      </c>
      <c r="M1393" s="44" t="s">
        <v>18</v>
      </c>
      <c r="N1393" s="44" t="s">
        <v>18</v>
      </c>
      <c r="O1393" s="44" t="s">
        <v>18</v>
      </c>
      <c r="P1393" s="102" t="s">
        <v>109</v>
      </c>
    </row>
    <row r="1394" spans="1:16" x14ac:dyDescent="0.25">
      <c r="A1394" s="29">
        <v>21</v>
      </c>
      <c r="B1394" s="30">
        <v>437454.10856199998</v>
      </c>
      <c r="C1394" s="30">
        <v>5688512.3324180003</v>
      </c>
      <c r="D1394" s="46">
        <v>2</v>
      </c>
      <c r="E1394" s="30" t="s">
        <v>64</v>
      </c>
      <c r="F1394" s="46">
        <v>2015</v>
      </c>
      <c r="G1394" s="47">
        <v>1.41E-2</v>
      </c>
      <c r="H1394" s="47">
        <f t="shared" si="16"/>
        <v>6.0295260301509957E-3</v>
      </c>
      <c r="I1394" s="47">
        <v>0</v>
      </c>
      <c r="J1394" s="47">
        <f t="shared" si="17"/>
        <v>0</v>
      </c>
      <c r="K1394" s="53">
        <v>4.0000000000000001E-3</v>
      </c>
      <c r="L1394" s="47">
        <f t="shared" si="19"/>
        <v>1.9291580031896801E-3</v>
      </c>
      <c r="M1394" s="47">
        <f t="shared" si="20"/>
        <v>4.1003680269613152E-3</v>
      </c>
      <c r="N1394" s="47">
        <v>0</v>
      </c>
      <c r="O1394" s="47">
        <f t="shared" si="18"/>
        <v>0</v>
      </c>
      <c r="P1394" s="92"/>
    </row>
    <row r="1395" spans="1:16" x14ac:dyDescent="0.25">
      <c r="A1395" s="29">
        <v>22</v>
      </c>
      <c r="B1395" s="30">
        <v>437573.10856199998</v>
      </c>
      <c r="C1395" s="30">
        <v>5688512.3324180003</v>
      </c>
      <c r="D1395" s="46">
        <v>2</v>
      </c>
      <c r="E1395" s="30" t="s">
        <v>64</v>
      </c>
      <c r="F1395" s="46">
        <v>2015</v>
      </c>
      <c r="G1395" s="47">
        <v>5.2499999999999998E-2</v>
      </c>
      <c r="H1395" s="47">
        <f t="shared" si="16"/>
        <v>2.2450362878221792E-2</v>
      </c>
      <c r="I1395" s="47">
        <v>0.432</v>
      </c>
      <c r="J1395" s="47">
        <f t="shared" si="17"/>
        <v>0.20007793246670985</v>
      </c>
      <c r="K1395" s="47">
        <v>5.5999999999999999E-3</v>
      </c>
      <c r="L1395" s="47">
        <f t="shared" si="19"/>
        <v>2.7008212044655521E-3</v>
      </c>
      <c r="M1395" s="47">
        <f t="shared" si="20"/>
        <v>1.9749541673756241E-2</v>
      </c>
      <c r="N1395" s="47">
        <v>0.10050000000000001</v>
      </c>
      <c r="O1395" s="47">
        <f t="shared" si="18"/>
        <v>4.7998629193033701E-2</v>
      </c>
      <c r="P1395" s="92"/>
    </row>
    <row r="1396" spans="1:16" x14ac:dyDescent="0.25">
      <c r="A1396" s="29">
        <v>23</v>
      </c>
      <c r="B1396" s="30">
        <v>437692.10856199998</v>
      </c>
      <c r="C1396" s="30">
        <v>5688512.3324180003</v>
      </c>
      <c r="D1396" s="46">
        <v>2</v>
      </c>
      <c r="E1396" s="30" t="s">
        <v>64</v>
      </c>
      <c r="F1396" s="46">
        <v>2015</v>
      </c>
      <c r="G1396" s="47">
        <v>9.300000000000001E-3</v>
      </c>
      <c r="H1396" s="47">
        <f t="shared" si="16"/>
        <v>3.9769214241421463E-3</v>
      </c>
      <c r="I1396" s="47">
        <v>0</v>
      </c>
      <c r="J1396" s="47">
        <f t="shared" si="17"/>
        <v>0</v>
      </c>
      <c r="K1396" s="47">
        <v>4.4000000000000003E-3</v>
      </c>
      <c r="L1396" s="47">
        <f t="shared" si="19"/>
        <v>2.122073803508648E-3</v>
      </c>
      <c r="M1396" s="47">
        <f t="shared" si="20"/>
        <v>1.8548476206334983E-3</v>
      </c>
      <c r="N1396" s="47">
        <v>0</v>
      </c>
      <c r="O1396" s="47">
        <f t="shared" si="18"/>
        <v>0</v>
      </c>
      <c r="P1396" s="92"/>
    </row>
    <row r="1397" spans="1:16" x14ac:dyDescent="0.25">
      <c r="A1397" s="29">
        <v>24</v>
      </c>
      <c r="B1397" s="30">
        <v>437811.10856199998</v>
      </c>
      <c r="C1397" s="30">
        <v>5688512.3324180003</v>
      </c>
      <c r="D1397" s="46">
        <v>2</v>
      </c>
      <c r="E1397" s="30" t="s">
        <v>64</v>
      </c>
      <c r="F1397" s="46">
        <v>2015</v>
      </c>
      <c r="G1397" s="47">
        <v>4.99E-2</v>
      </c>
      <c r="H1397" s="47">
        <f t="shared" si="16"/>
        <v>2.1338535383300335E-2</v>
      </c>
      <c r="I1397" s="47">
        <v>0</v>
      </c>
      <c r="J1397" s="47">
        <f t="shared" si="17"/>
        <v>0</v>
      </c>
      <c r="K1397" s="47">
        <v>7.4999999999999997E-3</v>
      </c>
      <c r="L1397" s="47">
        <f t="shared" si="19"/>
        <v>3.6171712559806501E-3</v>
      </c>
      <c r="M1397" s="47">
        <f t="shared" si="20"/>
        <v>1.7721364127319686E-2</v>
      </c>
      <c r="N1397" s="47">
        <v>0</v>
      </c>
      <c r="O1397" s="47">
        <f t="shared" si="18"/>
        <v>0</v>
      </c>
      <c r="P1397" s="92"/>
    </row>
    <row r="1398" spans="1:16" x14ac:dyDescent="0.25">
      <c r="A1398" s="29">
        <v>25</v>
      </c>
      <c r="B1398" s="46">
        <v>437995</v>
      </c>
      <c r="C1398" s="46">
        <v>5688493</v>
      </c>
      <c r="D1398" s="46">
        <v>2</v>
      </c>
      <c r="E1398" s="30" t="s">
        <v>64</v>
      </c>
      <c r="F1398" s="46">
        <v>2015</v>
      </c>
      <c r="G1398" s="47">
        <v>9.8000000000000014E-3</v>
      </c>
      <c r="H1398" s="47">
        <f t="shared" si="16"/>
        <v>4.1907344039347353E-3</v>
      </c>
      <c r="I1398" s="47">
        <v>0</v>
      </c>
      <c r="J1398" s="47">
        <f t="shared" si="17"/>
        <v>0</v>
      </c>
      <c r="K1398" s="47">
        <v>4.5999999999999999E-3</v>
      </c>
      <c r="L1398" s="47">
        <f t="shared" si="19"/>
        <v>2.2185317036681322E-3</v>
      </c>
      <c r="M1398" s="47">
        <f t="shared" si="20"/>
        <v>1.9722027002666031E-3</v>
      </c>
      <c r="N1398" s="47">
        <v>0</v>
      </c>
      <c r="O1398" s="47">
        <f t="shared" si="18"/>
        <v>0</v>
      </c>
      <c r="P1398" s="92"/>
    </row>
    <row r="1399" spans="1:16" x14ac:dyDescent="0.25">
      <c r="A1399" s="29">
        <v>26</v>
      </c>
      <c r="B1399" s="46">
        <v>438112</v>
      </c>
      <c r="C1399" s="46">
        <v>5688567</v>
      </c>
      <c r="D1399" s="46">
        <v>2</v>
      </c>
      <c r="E1399" s="30" t="s">
        <v>64</v>
      </c>
      <c r="F1399" s="46">
        <v>2015</v>
      </c>
      <c r="G1399" s="47">
        <v>3.0300000000000001E-2</v>
      </c>
      <c r="H1399" s="47">
        <f t="shared" si="16"/>
        <v>1.2957066575430864E-2</v>
      </c>
      <c r="I1399" s="47">
        <v>8.6999999999999994E-3</v>
      </c>
      <c r="J1399" s="47">
        <f t="shared" si="17"/>
        <v>4.0293472510656847E-3</v>
      </c>
      <c r="K1399" s="47">
        <v>9.9000000000000008E-3</v>
      </c>
      <c r="L1399" s="47">
        <f t="shared" si="19"/>
        <v>4.7746660578944587E-3</v>
      </c>
      <c r="M1399" s="47">
        <f t="shared" si="20"/>
        <v>8.1824005175364055E-3</v>
      </c>
      <c r="N1399" s="47">
        <v>0</v>
      </c>
      <c r="O1399" s="47">
        <f t="shared" si="18"/>
        <v>0</v>
      </c>
      <c r="P1399" s="92"/>
    </row>
    <row r="1400" spans="1:16" x14ac:dyDescent="0.25">
      <c r="A1400" s="32">
        <v>27</v>
      </c>
      <c r="B1400" s="33">
        <v>438168.10856199998</v>
      </c>
      <c r="C1400" s="33">
        <v>5688512.3324180003</v>
      </c>
      <c r="D1400" s="48">
        <v>3</v>
      </c>
      <c r="E1400" s="48" t="s">
        <v>64</v>
      </c>
      <c r="F1400" s="48">
        <v>2015</v>
      </c>
      <c r="G1400" s="48" t="s">
        <v>18</v>
      </c>
      <c r="H1400" s="48" t="s">
        <v>18</v>
      </c>
      <c r="I1400" s="48" t="s">
        <v>18</v>
      </c>
      <c r="J1400" s="48" t="s">
        <v>18</v>
      </c>
      <c r="K1400" s="48" t="s">
        <v>18</v>
      </c>
      <c r="L1400" s="48" t="s">
        <v>18</v>
      </c>
      <c r="M1400" s="48" t="s">
        <v>18</v>
      </c>
      <c r="N1400" s="48" t="s">
        <v>18</v>
      </c>
      <c r="O1400" s="48" t="s">
        <v>18</v>
      </c>
      <c r="P1400" s="103" t="s">
        <v>21</v>
      </c>
    </row>
    <row r="1401" spans="1:16" x14ac:dyDescent="0.25">
      <c r="A1401" s="32">
        <v>28</v>
      </c>
      <c r="B1401" s="33">
        <v>438287.10856199998</v>
      </c>
      <c r="C1401" s="33">
        <v>5688512.3324180003</v>
      </c>
      <c r="D1401" s="48">
        <v>3</v>
      </c>
      <c r="E1401" s="48" t="s">
        <v>64</v>
      </c>
      <c r="F1401" s="48">
        <v>2015</v>
      </c>
      <c r="G1401" s="48" t="s">
        <v>18</v>
      </c>
      <c r="H1401" s="48" t="s">
        <v>18</v>
      </c>
      <c r="I1401" s="48" t="s">
        <v>18</v>
      </c>
      <c r="J1401" s="48" t="s">
        <v>18</v>
      </c>
      <c r="K1401" s="48" t="s">
        <v>18</v>
      </c>
      <c r="L1401" s="48" t="s">
        <v>18</v>
      </c>
      <c r="M1401" s="48" t="s">
        <v>18</v>
      </c>
      <c r="N1401" s="48" t="s">
        <v>18</v>
      </c>
      <c r="O1401" s="48" t="s">
        <v>18</v>
      </c>
      <c r="P1401" s="103" t="s">
        <v>21</v>
      </c>
    </row>
    <row r="1402" spans="1:16" x14ac:dyDescent="0.25">
      <c r="A1402" s="29">
        <v>29</v>
      </c>
      <c r="B1402" s="30">
        <v>438381</v>
      </c>
      <c r="C1402" s="30">
        <v>5688526</v>
      </c>
      <c r="D1402" s="46">
        <v>2</v>
      </c>
      <c r="E1402" s="30" t="s">
        <v>64</v>
      </c>
      <c r="F1402" s="46">
        <v>2015</v>
      </c>
      <c r="G1402" s="47">
        <v>2.0399999999999998E-2</v>
      </c>
      <c r="H1402" s="47">
        <f t="shared" si="16"/>
        <v>8.7235695755376111E-3</v>
      </c>
      <c r="I1402" s="47">
        <v>0</v>
      </c>
      <c r="J1402" s="47">
        <f t="shared" si="17"/>
        <v>0</v>
      </c>
      <c r="K1402" s="47">
        <v>4.0999999999999995E-3</v>
      </c>
      <c r="L1402" s="47">
        <f t="shared" si="19"/>
        <v>1.9773869532694215E-3</v>
      </c>
      <c r="M1402" s="47">
        <f t="shared" si="20"/>
        <v>6.74618262226819E-3</v>
      </c>
      <c r="N1402" s="47">
        <v>0</v>
      </c>
      <c r="O1402" s="47">
        <f t="shared" si="18"/>
        <v>0</v>
      </c>
      <c r="P1402" s="92"/>
    </row>
    <row r="1403" spans="1:16" x14ac:dyDescent="0.25">
      <c r="A1403" s="29">
        <v>30</v>
      </c>
      <c r="B1403" s="30">
        <v>438525.10856199998</v>
      </c>
      <c r="C1403" s="30">
        <v>5688512.3324180003</v>
      </c>
      <c r="D1403" s="46">
        <v>2</v>
      </c>
      <c r="E1403" s="30" t="s">
        <v>64</v>
      </c>
      <c r="F1403" s="46">
        <v>2015</v>
      </c>
      <c r="G1403" s="47">
        <v>2.0199999999999999E-2</v>
      </c>
      <c r="H1403" s="47">
        <f t="shared" si="16"/>
        <v>8.6380443836205755E-3</v>
      </c>
      <c r="I1403" s="47">
        <v>0</v>
      </c>
      <c r="J1403" s="47">
        <f t="shared" si="17"/>
        <v>0</v>
      </c>
      <c r="K1403" s="47">
        <v>2E-3</v>
      </c>
      <c r="L1403" s="47">
        <f t="shared" si="19"/>
        <v>9.6457900159484006E-4</v>
      </c>
      <c r="M1403" s="47">
        <f t="shared" si="20"/>
        <v>7.6734653820257357E-3</v>
      </c>
      <c r="N1403" s="47">
        <v>0</v>
      </c>
      <c r="O1403" s="47">
        <f t="shared" si="18"/>
        <v>0</v>
      </c>
      <c r="P1403" s="92"/>
    </row>
    <row r="1404" spans="1:16" x14ac:dyDescent="0.25">
      <c r="A1404" s="29">
        <v>31</v>
      </c>
      <c r="B1404" s="30">
        <v>437335.10856199998</v>
      </c>
      <c r="C1404" s="30">
        <v>5688631.3324180003</v>
      </c>
      <c r="D1404" s="46">
        <v>2</v>
      </c>
      <c r="E1404" s="30" t="s">
        <v>64</v>
      </c>
      <c r="F1404" s="46">
        <v>2015</v>
      </c>
      <c r="G1404" s="47">
        <v>1.52E-2</v>
      </c>
      <c r="H1404" s="47">
        <f t="shared" si="16"/>
        <v>6.4999145856946905E-3</v>
      </c>
      <c r="I1404" s="47">
        <v>0</v>
      </c>
      <c r="J1404" s="47">
        <f t="shared" si="17"/>
        <v>0</v>
      </c>
      <c r="K1404" s="47">
        <v>2.8999999999999998E-3</v>
      </c>
      <c r="L1404" s="47">
        <f t="shared" si="19"/>
        <v>1.3986395523125179E-3</v>
      </c>
      <c r="M1404" s="47">
        <f t="shared" si="20"/>
        <v>5.1012750333821726E-3</v>
      </c>
      <c r="N1404" s="47">
        <v>0</v>
      </c>
      <c r="O1404" s="47">
        <f t="shared" si="18"/>
        <v>0</v>
      </c>
      <c r="P1404" s="92"/>
    </row>
    <row r="1405" spans="1:16" x14ac:dyDescent="0.25">
      <c r="A1405" s="29">
        <v>32</v>
      </c>
      <c r="B1405" s="30">
        <v>437454.10856199998</v>
      </c>
      <c r="C1405" s="30">
        <v>5688631.3324180003</v>
      </c>
      <c r="D1405" s="46">
        <v>2</v>
      </c>
      <c r="E1405" s="30" t="s">
        <v>64</v>
      </c>
      <c r="F1405" s="46">
        <v>2015</v>
      </c>
      <c r="G1405" s="47">
        <v>1.8800000000000001E-2</v>
      </c>
      <c r="H1405" s="47">
        <f t="shared" si="16"/>
        <v>8.0393680402013282E-3</v>
      </c>
      <c r="I1405" s="47">
        <v>0</v>
      </c>
      <c r="J1405" s="47">
        <f t="shared" si="17"/>
        <v>0</v>
      </c>
      <c r="K1405" s="47">
        <v>7.9000000000000008E-3</v>
      </c>
      <c r="L1405" s="47">
        <f t="shared" si="19"/>
        <v>3.8100870562996184E-3</v>
      </c>
      <c r="M1405" s="47">
        <f t="shared" si="20"/>
        <v>4.2292809839017103E-3</v>
      </c>
      <c r="N1405" s="47">
        <v>0</v>
      </c>
      <c r="O1405" s="47">
        <f t="shared" si="18"/>
        <v>0</v>
      </c>
      <c r="P1405" s="92"/>
    </row>
    <row r="1406" spans="1:16" x14ac:dyDescent="0.25">
      <c r="A1406" s="29">
        <v>33</v>
      </c>
      <c r="B1406" s="30">
        <v>437573.10856199998</v>
      </c>
      <c r="C1406" s="30">
        <v>5688631.3324180003</v>
      </c>
      <c r="D1406" s="46">
        <v>2</v>
      </c>
      <c r="E1406" s="30" t="s">
        <v>64</v>
      </c>
      <c r="F1406" s="46">
        <v>2015</v>
      </c>
      <c r="G1406" s="47">
        <v>3.5000000000000001E-3</v>
      </c>
      <c r="H1406" s="47">
        <f t="shared" si="16"/>
        <v>1.4966908585481195E-3</v>
      </c>
      <c r="I1406" s="47">
        <v>0</v>
      </c>
      <c r="J1406" s="47">
        <f t="shared" si="17"/>
        <v>0</v>
      </c>
      <c r="K1406" s="47">
        <v>2.8E-3</v>
      </c>
      <c r="L1406" s="47">
        <f t="shared" si="19"/>
        <v>1.350410602232776E-3</v>
      </c>
      <c r="M1406" s="47">
        <f t="shared" si="20"/>
        <v>1.4628025631534345E-4</v>
      </c>
      <c r="N1406" s="47">
        <v>0</v>
      </c>
      <c r="O1406" s="47">
        <f t="shared" si="18"/>
        <v>0</v>
      </c>
      <c r="P1406" s="92"/>
    </row>
    <row r="1407" spans="1:16" x14ac:dyDescent="0.25">
      <c r="A1407" s="29">
        <v>34</v>
      </c>
      <c r="B1407" s="30">
        <v>437692.10856199998</v>
      </c>
      <c r="C1407" s="30">
        <v>5688631.3324180003</v>
      </c>
      <c r="D1407" s="46">
        <v>2</v>
      </c>
      <c r="E1407" s="30" t="s">
        <v>64</v>
      </c>
      <c r="F1407" s="46">
        <v>2015</v>
      </c>
      <c r="G1407" s="47">
        <v>2.8000000000000001E-2</v>
      </c>
      <c r="H1407" s="47">
        <f t="shared" si="16"/>
        <v>1.1973526868384956E-2</v>
      </c>
      <c r="I1407" s="47">
        <v>0</v>
      </c>
      <c r="J1407" s="47">
        <f t="shared" si="17"/>
        <v>0</v>
      </c>
      <c r="K1407" s="47">
        <v>4.4999999999999997E-3</v>
      </c>
      <c r="L1407" s="47">
        <f t="shared" si="19"/>
        <v>2.1703027535883899E-3</v>
      </c>
      <c r="M1407" s="47">
        <f t="shared" si="20"/>
        <v>9.8032241147965656E-3</v>
      </c>
      <c r="N1407" s="47">
        <v>0</v>
      </c>
      <c r="O1407" s="47">
        <f t="shared" si="18"/>
        <v>0</v>
      </c>
      <c r="P1407" s="92"/>
    </row>
    <row r="1408" spans="1:16" x14ac:dyDescent="0.25">
      <c r="A1408" s="29">
        <v>35</v>
      </c>
      <c r="B1408" s="30">
        <v>437893</v>
      </c>
      <c r="C1408" s="30">
        <v>5688620</v>
      </c>
      <c r="D1408" s="46">
        <v>2</v>
      </c>
      <c r="E1408" s="30" t="s">
        <v>64</v>
      </c>
      <c r="F1408" s="46">
        <v>2015</v>
      </c>
      <c r="G1408" s="47">
        <v>2.23E-2</v>
      </c>
      <c r="H1408" s="47">
        <f t="shared" si="16"/>
        <v>9.5360588987494482E-3</v>
      </c>
      <c r="I1408" s="47">
        <v>0</v>
      </c>
      <c r="J1408" s="47">
        <f t="shared" si="17"/>
        <v>0</v>
      </c>
      <c r="K1408" s="47">
        <v>2E-3</v>
      </c>
      <c r="L1408" s="47">
        <f t="shared" si="19"/>
        <v>9.6457900159484006E-4</v>
      </c>
      <c r="M1408" s="47">
        <f t="shared" si="20"/>
        <v>8.5714798971546075E-3</v>
      </c>
      <c r="N1408" s="47">
        <v>0</v>
      </c>
      <c r="O1408" s="47">
        <f t="shared" si="18"/>
        <v>0</v>
      </c>
      <c r="P1408" s="92"/>
    </row>
    <row r="1409" spans="1:16" x14ac:dyDescent="0.25">
      <c r="A1409" s="29">
        <v>36</v>
      </c>
      <c r="B1409" s="30">
        <v>437930.10856199998</v>
      </c>
      <c r="C1409" s="30">
        <v>5688631.3324180003</v>
      </c>
      <c r="D1409" s="46">
        <v>2</v>
      </c>
      <c r="E1409" s="30" t="s">
        <v>64</v>
      </c>
      <c r="F1409" s="46">
        <v>2015</v>
      </c>
      <c r="G1409" s="47">
        <v>1.32E-2</v>
      </c>
      <c r="H1409" s="47">
        <f t="shared" si="16"/>
        <v>5.6446626665243365E-3</v>
      </c>
      <c r="I1409" s="47">
        <v>0</v>
      </c>
      <c r="J1409" s="47">
        <f t="shared" si="17"/>
        <v>0</v>
      </c>
      <c r="K1409" s="47">
        <v>2E-3</v>
      </c>
      <c r="L1409" s="47">
        <f t="shared" si="19"/>
        <v>9.6457900159484006E-4</v>
      </c>
      <c r="M1409" s="47">
        <f t="shared" si="20"/>
        <v>4.6800836649294967E-3</v>
      </c>
      <c r="N1409" s="47">
        <v>0</v>
      </c>
      <c r="O1409" s="47">
        <f t="shared" si="18"/>
        <v>0</v>
      </c>
      <c r="P1409" s="92"/>
    </row>
    <row r="1410" spans="1:16" x14ac:dyDescent="0.25">
      <c r="A1410" s="32">
        <v>37</v>
      </c>
      <c r="B1410" s="33">
        <v>438049.10856199998</v>
      </c>
      <c r="C1410" s="33">
        <v>5688631.3324180003</v>
      </c>
      <c r="D1410" s="48">
        <v>3</v>
      </c>
      <c r="E1410" s="48" t="s">
        <v>64</v>
      </c>
      <c r="F1410" s="48">
        <v>2015</v>
      </c>
      <c r="G1410" s="48" t="s">
        <v>18</v>
      </c>
      <c r="H1410" s="48" t="s">
        <v>18</v>
      </c>
      <c r="I1410" s="48" t="s">
        <v>18</v>
      </c>
      <c r="J1410" s="48" t="s">
        <v>18</v>
      </c>
      <c r="K1410" s="48" t="s">
        <v>18</v>
      </c>
      <c r="L1410" s="48" t="s">
        <v>18</v>
      </c>
      <c r="M1410" s="48" t="s">
        <v>18</v>
      </c>
      <c r="N1410" s="48" t="s">
        <v>18</v>
      </c>
      <c r="O1410" s="48" t="s">
        <v>18</v>
      </c>
      <c r="P1410" s="103" t="s">
        <v>21</v>
      </c>
    </row>
    <row r="1411" spans="1:16" x14ac:dyDescent="0.25">
      <c r="A1411" s="29">
        <v>38</v>
      </c>
      <c r="B1411" s="30">
        <v>438067</v>
      </c>
      <c r="C1411" s="30">
        <v>5688710</v>
      </c>
      <c r="D1411" s="46">
        <v>2</v>
      </c>
      <c r="E1411" s="30" t="s">
        <v>64</v>
      </c>
      <c r="F1411" s="46">
        <v>2015</v>
      </c>
      <c r="G1411" s="47">
        <v>1.0999999999999999E-2</v>
      </c>
      <c r="H1411" s="47">
        <f t="shared" si="16"/>
        <v>4.703885555436947E-3</v>
      </c>
      <c r="I1411" s="47">
        <v>0</v>
      </c>
      <c r="J1411" s="47">
        <f t="shared" si="17"/>
        <v>0</v>
      </c>
      <c r="K1411" s="47">
        <v>2.3999999999999998E-3</v>
      </c>
      <c r="L1411" s="47">
        <f t="shared" si="19"/>
        <v>1.1574948019138079E-3</v>
      </c>
      <c r="M1411" s="47">
        <f t="shared" si="20"/>
        <v>3.5463907535231388E-3</v>
      </c>
      <c r="N1411" s="47">
        <v>0</v>
      </c>
      <c r="O1411" s="47">
        <f t="shared" si="18"/>
        <v>0</v>
      </c>
      <c r="P1411" s="92"/>
    </row>
    <row r="1412" spans="1:16" x14ac:dyDescent="0.25">
      <c r="A1412" s="32">
        <v>39</v>
      </c>
      <c r="B1412" s="33">
        <v>438287.10856199998</v>
      </c>
      <c r="C1412" s="33">
        <v>5688631.3324180003</v>
      </c>
      <c r="D1412" s="48">
        <v>3</v>
      </c>
      <c r="E1412" s="48" t="s">
        <v>64</v>
      </c>
      <c r="F1412" s="48">
        <v>2015</v>
      </c>
      <c r="G1412" s="48" t="s">
        <v>18</v>
      </c>
      <c r="H1412" s="48" t="s">
        <v>18</v>
      </c>
      <c r="I1412" s="48" t="s">
        <v>18</v>
      </c>
      <c r="J1412" s="48" t="s">
        <v>18</v>
      </c>
      <c r="K1412" s="48" t="s">
        <v>18</v>
      </c>
      <c r="L1412" s="48" t="s">
        <v>18</v>
      </c>
      <c r="M1412" s="48" t="s">
        <v>18</v>
      </c>
      <c r="N1412" s="48" t="s">
        <v>18</v>
      </c>
      <c r="O1412" s="48" t="s">
        <v>18</v>
      </c>
      <c r="P1412" s="94" t="s">
        <v>22</v>
      </c>
    </row>
    <row r="1413" spans="1:16" x14ac:dyDescent="0.25">
      <c r="A1413" s="29">
        <v>40</v>
      </c>
      <c r="B1413" s="30">
        <v>438406.10856199998</v>
      </c>
      <c r="C1413" s="30">
        <v>5688631.3324180003</v>
      </c>
      <c r="D1413" s="46">
        <v>2</v>
      </c>
      <c r="E1413" s="30" t="s">
        <v>64</v>
      </c>
      <c r="F1413" s="46">
        <v>2015</v>
      </c>
      <c r="G1413" s="54">
        <v>3.5499999999999997E-2</v>
      </c>
      <c r="H1413" s="54">
        <f t="shared" si="16"/>
        <v>1.5180721565273782E-2</v>
      </c>
      <c r="I1413" s="47">
        <v>0</v>
      </c>
      <c r="J1413" s="47">
        <f t="shared" si="17"/>
        <v>0</v>
      </c>
      <c r="K1413" s="47">
        <v>2.7000000000000001E-3</v>
      </c>
      <c r="L1413" s="47">
        <f t="shared" si="19"/>
        <v>1.3021816521530342E-3</v>
      </c>
      <c r="M1413" s="47">
        <f t="shared" si="20"/>
        <v>1.3878539913120748E-2</v>
      </c>
      <c r="N1413" s="47">
        <v>0</v>
      </c>
      <c r="O1413" s="47">
        <f t="shared" si="18"/>
        <v>0</v>
      </c>
      <c r="P1413" s="92"/>
    </row>
    <row r="1414" spans="1:16" x14ac:dyDescent="0.25">
      <c r="A1414" s="29">
        <v>41</v>
      </c>
      <c r="B1414" s="30">
        <v>437310</v>
      </c>
      <c r="C1414" s="30">
        <v>5688729</v>
      </c>
      <c r="D1414" s="46">
        <v>2</v>
      </c>
      <c r="E1414" s="30" t="s">
        <v>64</v>
      </c>
      <c r="F1414" s="46">
        <v>2015</v>
      </c>
      <c r="G1414" s="52">
        <v>2.4300000000000002E-2</v>
      </c>
      <c r="H1414" s="54">
        <f t="shared" si="16"/>
        <v>1.0391310817919802E-2</v>
      </c>
      <c r="I1414" s="47">
        <v>6.7000000000000002E-3</v>
      </c>
      <c r="J1414" s="47">
        <f t="shared" si="17"/>
        <v>3.1030605266827689E-3</v>
      </c>
      <c r="K1414" s="47">
        <v>4.7000000000000002E-3</v>
      </c>
      <c r="L1414" s="47">
        <f t="shared" si="19"/>
        <v>2.266760653747874E-3</v>
      </c>
      <c r="M1414" s="47">
        <f t="shared" si="20"/>
        <v>8.1245501641719273E-3</v>
      </c>
      <c r="N1414" s="47">
        <v>0</v>
      </c>
      <c r="O1414" s="47">
        <f t="shared" si="18"/>
        <v>0</v>
      </c>
      <c r="P1414" s="92"/>
    </row>
    <row r="1415" spans="1:16" x14ac:dyDescent="0.25">
      <c r="A1415" s="29">
        <v>42</v>
      </c>
      <c r="B1415" s="30">
        <v>437454.10856199998</v>
      </c>
      <c r="C1415" s="30">
        <v>5688750.3324180003</v>
      </c>
      <c r="D1415" s="46">
        <v>2</v>
      </c>
      <c r="E1415" s="30" t="s">
        <v>64</v>
      </c>
      <c r="F1415" s="46">
        <v>2015</v>
      </c>
      <c r="G1415" s="54">
        <v>2.0799999999999999E-2</v>
      </c>
      <c r="H1415" s="54">
        <f t="shared" si="16"/>
        <v>8.8946199593716822E-3</v>
      </c>
      <c r="I1415" s="47">
        <v>1E-4</v>
      </c>
      <c r="J1415" s="47">
        <f t="shared" si="17"/>
        <v>4.6314336219145804E-5</v>
      </c>
      <c r="K1415" s="47">
        <v>3.2000000000000002E-3</v>
      </c>
      <c r="L1415" s="47">
        <f t="shared" si="19"/>
        <v>1.5433264025517441E-3</v>
      </c>
      <c r="M1415" s="47">
        <f t="shared" si="20"/>
        <v>7.3512935568199383E-3</v>
      </c>
      <c r="N1415" s="47">
        <v>2.3999999999999998E-3</v>
      </c>
      <c r="O1415" s="47">
        <f t="shared" si="18"/>
        <v>1.1462359210276704E-3</v>
      </c>
      <c r="P1415" s="92"/>
    </row>
    <row r="1416" spans="1:16" x14ac:dyDescent="0.25">
      <c r="A1416" s="29">
        <v>43</v>
      </c>
      <c r="B1416" s="30">
        <v>437573.10856199998</v>
      </c>
      <c r="C1416" s="30">
        <v>5688750.3324180003</v>
      </c>
      <c r="D1416" s="46">
        <v>2</v>
      </c>
      <c r="E1416" s="30" t="s">
        <v>64</v>
      </c>
      <c r="F1416" s="46">
        <v>2015</v>
      </c>
      <c r="G1416" s="54">
        <v>1.0699999999999999E-2</v>
      </c>
      <c r="H1416" s="54">
        <f t="shared" si="16"/>
        <v>4.5755977675613936E-3</v>
      </c>
      <c r="I1416" s="47">
        <v>0</v>
      </c>
      <c r="J1416" s="47">
        <f t="shared" si="17"/>
        <v>0</v>
      </c>
      <c r="K1416" s="47">
        <v>4.4999999999999997E-3</v>
      </c>
      <c r="L1416" s="47">
        <f t="shared" si="19"/>
        <v>2.1703027535883899E-3</v>
      </c>
      <c r="M1416" s="47">
        <f t="shared" si="20"/>
        <v>2.4052950139730037E-3</v>
      </c>
      <c r="N1416" s="47">
        <v>6.7999999999999996E-3</v>
      </c>
      <c r="O1416" s="47">
        <f t="shared" si="18"/>
        <v>3.2476684429117329E-3</v>
      </c>
      <c r="P1416" s="92"/>
    </row>
    <row r="1417" spans="1:16" x14ac:dyDescent="0.25">
      <c r="A1417" s="29">
        <v>44</v>
      </c>
      <c r="B1417" s="30">
        <v>437692.10856199998</v>
      </c>
      <c r="C1417" s="30">
        <v>5688750.3324180003</v>
      </c>
      <c r="D1417" s="46">
        <v>2</v>
      </c>
      <c r="E1417" s="30" t="s">
        <v>64</v>
      </c>
      <c r="F1417" s="46">
        <v>2015</v>
      </c>
      <c r="G1417" s="54">
        <v>1.8600000000000002E-2</v>
      </c>
      <c r="H1417" s="54">
        <f t="shared" si="16"/>
        <v>7.9538428482842927E-3</v>
      </c>
      <c r="I1417" s="47">
        <v>0</v>
      </c>
      <c r="J1417" s="47">
        <f t="shared" si="17"/>
        <v>0</v>
      </c>
      <c r="K1417" s="47">
        <v>6.0000000000000001E-3</v>
      </c>
      <c r="L1417" s="47">
        <f t="shared" si="19"/>
        <v>2.89373700478452E-3</v>
      </c>
      <c r="M1417" s="47">
        <f t="shared" si="20"/>
        <v>5.0601058434997723E-3</v>
      </c>
      <c r="N1417" s="47">
        <v>0</v>
      </c>
      <c r="O1417" s="47">
        <f t="shared" si="18"/>
        <v>0</v>
      </c>
      <c r="P1417" s="92"/>
    </row>
    <row r="1418" spans="1:16" x14ac:dyDescent="0.25">
      <c r="A1418" s="29">
        <v>45</v>
      </c>
      <c r="B1418" s="30">
        <v>437811.10856199998</v>
      </c>
      <c r="C1418" s="30">
        <v>5688750.3324180003</v>
      </c>
      <c r="D1418" s="46">
        <v>2</v>
      </c>
      <c r="E1418" s="30" t="s">
        <v>64</v>
      </c>
      <c r="F1418" s="46">
        <v>2015</v>
      </c>
      <c r="G1418" s="47">
        <v>1.23E-2</v>
      </c>
      <c r="H1418" s="47">
        <f t="shared" si="16"/>
        <v>5.2597993028976773E-3</v>
      </c>
      <c r="I1418" s="47">
        <v>1.3800000000000002E-2</v>
      </c>
      <c r="J1418" s="47">
        <f t="shared" si="17"/>
        <v>6.3913783982421212E-3</v>
      </c>
      <c r="K1418" s="47">
        <v>7.9000000000000008E-3</v>
      </c>
      <c r="L1418" s="47">
        <f t="shared" si="19"/>
        <v>3.8100870562996184E-3</v>
      </c>
      <c r="M1418" s="47">
        <f t="shared" si="20"/>
        <v>1.4497122465980589E-3</v>
      </c>
      <c r="N1418" s="47">
        <v>0</v>
      </c>
      <c r="O1418" s="47">
        <f t="shared" si="18"/>
        <v>0</v>
      </c>
      <c r="P1418" s="92"/>
    </row>
    <row r="1419" spans="1:16" x14ac:dyDescent="0.25">
      <c r="A1419" s="29">
        <v>46</v>
      </c>
      <c r="B1419" s="30">
        <v>437930.10856199998</v>
      </c>
      <c r="C1419" s="30">
        <v>5688750.3324180003</v>
      </c>
      <c r="D1419" s="46">
        <v>2</v>
      </c>
      <c r="E1419" s="30" t="s">
        <v>64</v>
      </c>
      <c r="F1419" s="46">
        <v>2015</v>
      </c>
      <c r="G1419" s="5">
        <v>2.2800000000000001E-2</v>
      </c>
      <c r="H1419" s="47">
        <f t="shared" si="16"/>
        <v>9.7498718785420362E-3</v>
      </c>
      <c r="I1419" s="47">
        <v>0</v>
      </c>
      <c r="J1419" s="47">
        <f t="shared" si="17"/>
        <v>0</v>
      </c>
      <c r="K1419" s="47">
        <v>1.9E-3</v>
      </c>
      <c r="L1419" s="47">
        <f t="shared" si="19"/>
        <v>9.1635005151509798E-4</v>
      </c>
      <c r="M1419" s="47">
        <f t="shared" si="20"/>
        <v>8.8335218270269387E-3</v>
      </c>
      <c r="N1419" s="47">
        <v>0</v>
      </c>
      <c r="O1419" s="47">
        <f t="shared" si="18"/>
        <v>0</v>
      </c>
      <c r="P1419" s="92"/>
    </row>
    <row r="1420" spans="1:16" x14ac:dyDescent="0.25">
      <c r="A1420" s="29">
        <v>47</v>
      </c>
      <c r="B1420" s="30">
        <v>438061</v>
      </c>
      <c r="C1420" s="30">
        <v>5688779</v>
      </c>
      <c r="D1420" s="46">
        <v>2</v>
      </c>
      <c r="E1420" s="30" t="s">
        <v>64</v>
      </c>
      <c r="F1420" s="46">
        <v>2015</v>
      </c>
      <c r="G1420" s="47">
        <v>1.7500000000000002E-2</v>
      </c>
      <c r="H1420" s="47">
        <f t="shared" si="16"/>
        <v>7.4834542927405987E-3</v>
      </c>
      <c r="I1420" s="47">
        <v>0</v>
      </c>
      <c r="J1420" s="47">
        <f t="shared" si="17"/>
        <v>0</v>
      </c>
      <c r="K1420" s="47">
        <v>3.5000000000000001E-3</v>
      </c>
      <c r="L1420" s="47">
        <f t="shared" si="19"/>
        <v>1.6880132527909699E-3</v>
      </c>
      <c r="M1420" s="47">
        <f t="shared" si="20"/>
        <v>5.7954410399496288E-3</v>
      </c>
      <c r="N1420" s="47">
        <v>0</v>
      </c>
      <c r="O1420" s="47">
        <f t="shared" si="18"/>
        <v>0</v>
      </c>
      <c r="P1420" s="92"/>
    </row>
    <row r="1421" spans="1:16" x14ac:dyDescent="0.25">
      <c r="A1421" s="32">
        <v>48</v>
      </c>
      <c r="B1421" s="33">
        <v>438168.10856199998</v>
      </c>
      <c r="C1421" s="33">
        <v>5688750.3324180003</v>
      </c>
      <c r="D1421" s="48">
        <v>3</v>
      </c>
      <c r="E1421" s="48" t="s">
        <v>64</v>
      </c>
      <c r="F1421" s="48">
        <v>2015</v>
      </c>
      <c r="G1421" s="48" t="s">
        <v>18</v>
      </c>
      <c r="H1421" s="48" t="s">
        <v>18</v>
      </c>
      <c r="I1421" s="48" t="s">
        <v>18</v>
      </c>
      <c r="J1421" s="48" t="s">
        <v>18</v>
      </c>
      <c r="K1421" s="48" t="s">
        <v>18</v>
      </c>
      <c r="L1421" s="48" t="s">
        <v>18</v>
      </c>
      <c r="M1421" s="48" t="s">
        <v>18</v>
      </c>
      <c r="N1421" s="48" t="s">
        <v>18</v>
      </c>
      <c r="O1421" s="48" t="s">
        <v>18</v>
      </c>
      <c r="P1421" s="103" t="s">
        <v>21</v>
      </c>
    </row>
    <row r="1422" spans="1:16" x14ac:dyDescent="0.25">
      <c r="A1422" s="29">
        <v>49</v>
      </c>
      <c r="B1422" s="30">
        <v>437454.10856199998</v>
      </c>
      <c r="C1422" s="30">
        <v>5688869.3324180003</v>
      </c>
      <c r="D1422" s="46">
        <v>3</v>
      </c>
      <c r="E1422" s="30" t="s">
        <v>64</v>
      </c>
      <c r="F1422" s="46">
        <v>2015</v>
      </c>
      <c r="G1422" s="47">
        <v>1.7000000000000001E-2</v>
      </c>
      <c r="H1422" s="47">
        <f>G1422*0.388392857142857</f>
        <v>6.6026785714285692E-3</v>
      </c>
      <c r="I1422" s="47">
        <v>0</v>
      </c>
      <c r="J1422" s="47">
        <f t="shared" si="17"/>
        <v>0</v>
      </c>
      <c r="K1422" s="47">
        <v>5.4000000000000003E-3</v>
      </c>
      <c r="L1422" s="47">
        <f>K1422*0.579439252336449</f>
        <v>3.1289719626168247E-3</v>
      </c>
      <c r="M1422" s="47">
        <f t="shared" si="20"/>
        <v>3.4737066088117445E-3</v>
      </c>
      <c r="N1422" s="47">
        <v>0</v>
      </c>
      <c r="O1422" s="47">
        <f t="shared" si="18"/>
        <v>0</v>
      </c>
      <c r="P1422" s="92"/>
    </row>
    <row r="1423" spans="1:16" x14ac:dyDescent="0.25">
      <c r="A1423" s="29">
        <v>50</v>
      </c>
      <c r="B1423" s="30">
        <v>437811.10856199998</v>
      </c>
      <c r="C1423" s="30">
        <v>5688869.3324180003</v>
      </c>
      <c r="D1423" s="46">
        <v>2</v>
      </c>
      <c r="E1423" s="30" t="s">
        <v>64</v>
      </c>
      <c r="F1423" s="46">
        <v>2015</v>
      </c>
      <c r="G1423" s="47">
        <v>6.0999999999999995E-3</v>
      </c>
      <c r="H1423" s="47">
        <f t="shared" si="16"/>
        <v>2.6085183534695798E-3</v>
      </c>
      <c r="I1423" s="47">
        <v>0</v>
      </c>
      <c r="J1423" s="47">
        <f t="shared" si="17"/>
        <v>0</v>
      </c>
      <c r="K1423" s="47">
        <v>1.5E-3</v>
      </c>
      <c r="L1423" s="47">
        <f t="shared" si="19"/>
        <v>7.2343425119612999E-4</v>
      </c>
      <c r="M1423" s="47">
        <f t="shared" si="20"/>
        <v>1.8850841022734497E-3</v>
      </c>
      <c r="N1423" s="47">
        <v>0</v>
      </c>
      <c r="O1423" s="47">
        <f t="shared" si="18"/>
        <v>0</v>
      </c>
      <c r="P1423" s="92"/>
    </row>
    <row r="1424" spans="1:16" x14ac:dyDescent="0.25">
      <c r="A1424" s="29">
        <v>51</v>
      </c>
      <c r="B1424" s="30">
        <v>437930.10856199998</v>
      </c>
      <c r="C1424" s="30">
        <v>5688869.3324180003</v>
      </c>
      <c r="D1424" s="46">
        <v>2</v>
      </c>
      <c r="E1424" s="30" t="s">
        <v>64</v>
      </c>
      <c r="F1424" s="46">
        <v>2015</v>
      </c>
      <c r="G1424" s="47">
        <v>7.7000000000000002E-3</v>
      </c>
      <c r="H1424" s="47">
        <f t="shared" si="16"/>
        <v>3.2927198888058631E-3</v>
      </c>
      <c r="I1424" s="47">
        <v>0</v>
      </c>
      <c r="J1424" s="47">
        <f t="shared" si="17"/>
        <v>0</v>
      </c>
      <c r="K1424" s="47">
        <v>2.1000000000000003E-3</v>
      </c>
      <c r="L1424" s="47">
        <f t="shared" si="19"/>
        <v>1.0128079516745821E-3</v>
      </c>
      <c r="M1424" s="47">
        <f t="shared" si="20"/>
        <v>2.2799119371312809E-3</v>
      </c>
      <c r="N1424" s="47">
        <v>0</v>
      </c>
      <c r="O1424" s="47">
        <f t="shared" si="18"/>
        <v>0</v>
      </c>
      <c r="P1424" s="92"/>
    </row>
    <row r="1425" spans="1:19" x14ac:dyDescent="0.25">
      <c r="A1425" s="29">
        <v>52</v>
      </c>
      <c r="B1425" s="30">
        <v>438049.10856199998</v>
      </c>
      <c r="C1425" s="30">
        <v>5688869.3324180003</v>
      </c>
      <c r="D1425" s="46">
        <v>2</v>
      </c>
      <c r="E1425" s="30" t="s">
        <v>64</v>
      </c>
      <c r="F1425" s="46">
        <v>2015</v>
      </c>
      <c r="G1425" s="47">
        <v>1.34E-2</v>
      </c>
      <c r="H1425" s="47">
        <f t="shared" si="16"/>
        <v>5.7301878584413721E-3</v>
      </c>
      <c r="I1425" s="47">
        <v>0.2447</v>
      </c>
      <c r="J1425" s="47">
        <f t="shared" si="17"/>
        <v>0.11333118072824978</v>
      </c>
      <c r="K1425" s="47">
        <v>6.9999999999999999E-4</v>
      </c>
      <c r="L1425" s="47">
        <f t="shared" si="19"/>
        <v>3.3760265055819401E-4</v>
      </c>
      <c r="M1425" s="47">
        <f t="shared" si="20"/>
        <v>5.3925852078831778E-3</v>
      </c>
      <c r="N1425" s="47">
        <v>3.49E-2</v>
      </c>
      <c r="O1425" s="47">
        <f t="shared" si="18"/>
        <v>1.666818068494404E-2</v>
      </c>
      <c r="P1425" s="92"/>
    </row>
    <row r="1426" spans="1:19" x14ac:dyDescent="0.25">
      <c r="A1426" s="29">
        <v>53</v>
      </c>
      <c r="B1426" s="30">
        <v>438287.10856199998</v>
      </c>
      <c r="C1426" s="30">
        <v>5688869.3324180003</v>
      </c>
      <c r="D1426" s="46">
        <v>2</v>
      </c>
      <c r="E1426" s="30" t="s">
        <v>64</v>
      </c>
      <c r="F1426" s="46">
        <v>2015</v>
      </c>
      <c r="G1426" s="47">
        <v>1.11E-2</v>
      </c>
      <c r="H1426" s="47">
        <f t="shared" si="16"/>
        <v>4.7466481513954648E-3</v>
      </c>
      <c r="I1426" s="47">
        <v>0</v>
      </c>
      <c r="J1426" s="47">
        <f t="shared" si="17"/>
        <v>0</v>
      </c>
      <c r="K1426" s="47">
        <v>4.0000000000000001E-3</v>
      </c>
      <c r="L1426" s="47">
        <f t="shared" si="19"/>
        <v>1.9291580031896801E-3</v>
      </c>
      <c r="M1426" s="47">
        <f t="shared" si="20"/>
        <v>2.8174901482057846E-3</v>
      </c>
      <c r="N1426" s="47">
        <v>0</v>
      </c>
      <c r="O1426" s="47">
        <f t="shared" si="18"/>
        <v>0</v>
      </c>
      <c r="P1426" s="92"/>
    </row>
    <row r="1427" spans="1:19" x14ac:dyDescent="0.25">
      <c r="A1427" s="29">
        <v>54</v>
      </c>
      <c r="B1427" s="30">
        <v>437454.10856199998</v>
      </c>
      <c r="C1427" s="30">
        <v>5688988.3324180003</v>
      </c>
      <c r="D1427" s="46">
        <v>3</v>
      </c>
      <c r="E1427" s="30" t="s">
        <v>64</v>
      </c>
      <c r="F1427" s="46">
        <v>2015</v>
      </c>
      <c r="G1427" s="47">
        <v>2.8000000000000001E-2</v>
      </c>
      <c r="H1427" s="47">
        <f>G1427*0.388392857142857</f>
        <v>1.0874999999999996E-2</v>
      </c>
      <c r="I1427" s="47">
        <v>0</v>
      </c>
      <c r="J1427" s="47">
        <f t="shared" si="17"/>
        <v>0</v>
      </c>
      <c r="K1427" s="47">
        <v>2.5000000000000001E-3</v>
      </c>
      <c r="L1427" s="47">
        <f>K1427*0.579439252336449</f>
        <v>1.4485981308411226E-3</v>
      </c>
      <c r="M1427" s="47">
        <f t="shared" si="20"/>
        <v>9.4264018691588725E-3</v>
      </c>
      <c r="N1427" s="47">
        <v>2.1399999999999999E-2</v>
      </c>
      <c r="O1427" s="47">
        <f>N1427*0.382716049382716</f>
        <v>8.1901234567901219E-3</v>
      </c>
      <c r="P1427" s="92"/>
    </row>
    <row r="1428" spans="1:19" x14ac:dyDescent="0.25">
      <c r="A1428" s="29">
        <v>55</v>
      </c>
      <c r="B1428" s="30">
        <v>438049.10856199998</v>
      </c>
      <c r="C1428" s="30">
        <v>5688988.3324180003</v>
      </c>
      <c r="D1428" s="46">
        <v>2</v>
      </c>
      <c r="E1428" s="30" t="s">
        <v>64</v>
      </c>
      <c r="F1428" s="46">
        <v>2015</v>
      </c>
      <c r="G1428" s="47">
        <v>1.01E-2</v>
      </c>
      <c r="H1428" s="47">
        <f t="shared" si="16"/>
        <v>4.3190221918102878E-3</v>
      </c>
      <c r="I1428" s="47">
        <v>0</v>
      </c>
      <c r="J1428" s="47">
        <f t="shared" si="17"/>
        <v>0</v>
      </c>
      <c r="K1428" s="47">
        <v>4.0000000000000001E-3</v>
      </c>
      <c r="L1428" s="47">
        <f t="shared" si="19"/>
        <v>1.9291580031896801E-3</v>
      </c>
      <c r="M1428" s="47">
        <f t="shared" si="20"/>
        <v>2.3898641886206076E-3</v>
      </c>
      <c r="N1428" s="47">
        <v>0</v>
      </c>
      <c r="O1428" s="47">
        <f t="shared" si="18"/>
        <v>0</v>
      </c>
      <c r="P1428" s="92"/>
    </row>
    <row r="1429" spans="1:19" x14ac:dyDescent="0.25">
      <c r="A1429" s="29">
        <v>56</v>
      </c>
      <c r="B1429" s="30">
        <v>438168.10856199998</v>
      </c>
      <c r="C1429" s="30">
        <v>5688988.3324180003</v>
      </c>
      <c r="D1429" s="46">
        <v>2</v>
      </c>
      <c r="E1429" s="30" t="s">
        <v>64</v>
      </c>
      <c r="F1429" s="46">
        <v>2015</v>
      </c>
      <c r="G1429" s="47">
        <v>5.9299999999999999E-2</v>
      </c>
      <c r="H1429" s="47">
        <f t="shared" si="16"/>
        <v>2.5358219403400998E-2</v>
      </c>
      <c r="I1429" s="47">
        <v>0</v>
      </c>
      <c r="J1429" s="47">
        <f t="shared" si="17"/>
        <v>0</v>
      </c>
      <c r="K1429" s="47">
        <v>1.8E-3</v>
      </c>
      <c r="L1429" s="47">
        <f t="shared" si="19"/>
        <v>8.6812110143535601E-4</v>
      </c>
      <c r="M1429" s="47">
        <f t="shared" si="20"/>
        <v>2.4490098301965642E-2</v>
      </c>
      <c r="N1429" s="47">
        <v>0</v>
      </c>
      <c r="O1429" s="47">
        <f t="shared" si="18"/>
        <v>0</v>
      </c>
      <c r="P1429" s="92"/>
    </row>
    <row r="1430" spans="1:19" x14ac:dyDescent="0.25">
      <c r="A1430" s="40">
        <v>57</v>
      </c>
      <c r="B1430" s="41">
        <v>438146</v>
      </c>
      <c r="C1430" s="41">
        <v>5688977</v>
      </c>
      <c r="D1430" s="50">
        <v>2</v>
      </c>
      <c r="E1430" s="41" t="s">
        <v>64</v>
      </c>
      <c r="F1430" s="50">
        <v>2015</v>
      </c>
      <c r="G1430" s="37">
        <v>9.2999999999999999E-2</v>
      </c>
      <c r="H1430" s="51">
        <f t="shared" si="16"/>
        <v>3.9769214241421463E-2</v>
      </c>
      <c r="I1430" s="51">
        <v>0</v>
      </c>
      <c r="J1430" s="51">
        <f t="shared" si="17"/>
        <v>0</v>
      </c>
      <c r="K1430" s="51">
        <v>1.1999999999999999E-3</v>
      </c>
      <c r="L1430" s="51">
        <f t="shared" si="19"/>
        <v>5.7874740095690397E-4</v>
      </c>
      <c r="M1430" s="51">
        <f t="shared" si="20"/>
        <v>3.9190466840464559E-2</v>
      </c>
      <c r="N1430" s="51">
        <v>0</v>
      </c>
      <c r="O1430" s="51">
        <f t="shared" si="18"/>
        <v>0</v>
      </c>
      <c r="P1430" s="101"/>
    </row>
    <row r="1431" spans="1:19" x14ac:dyDescent="0.25">
      <c r="A1431" s="40">
        <v>58</v>
      </c>
      <c r="B1431" s="41">
        <v>438131</v>
      </c>
      <c r="C1431" s="41">
        <v>5688972</v>
      </c>
      <c r="D1431" s="50">
        <v>2</v>
      </c>
      <c r="E1431" s="41" t="s">
        <v>64</v>
      </c>
      <c r="F1431" s="50">
        <v>2015</v>
      </c>
      <c r="G1431" s="51">
        <v>5.6799999999999996E-2</v>
      </c>
      <c r="H1431" s="51">
        <f t="shared" si="16"/>
        <v>2.4289154504438054E-2</v>
      </c>
      <c r="I1431" s="51">
        <v>0</v>
      </c>
      <c r="J1431" s="51">
        <f t="shared" si="17"/>
        <v>0</v>
      </c>
      <c r="K1431" s="51">
        <v>5.9999999999999995E-4</v>
      </c>
      <c r="L1431" s="51">
        <f t="shared" si="19"/>
        <v>2.8937370047845199E-4</v>
      </c>
      <c r="M1431" s="51">
        <f t="shared" si="20"/>
        <v>2.3999780803959602E-2</v>
      </c>
      <c r="N1431" s="51">
        <v>4.0000000000000001E-3</v>
      </c>
      <c r="O1431" s="51">
        <f>N1431*0.382716049382716</f>
        <v>1.5308641975308639E-3</v>
      </c>
      <c r="P1431" s="101"/>
    </row>
    <row r="1432" spans="1:19" x14ac:dyDescent="0.25">
      <c r="A1432" s="40">
        <v>59</v>
      </c>
      <c r="B1432" s="41">
        <v>438089</v>
      </c>
      <c r="C1432" s="41">
        <v>5688713</v>
      </c>
      <c r="D1432" s="50">
        <v>2</v>
      </c>
      <c r="E1432" s="41" t="s">
        <v>64</v>
      </c>
      <c r="F1432" s="50">
        <v>2015</v>
      </c>
      <c r="G1432" s="51">
        <v>2.7300000000000001E-2</v>
      </c>
      <c r="H1432" s="51">
        <f t="shared" si="16"/>
        <v>1.1674188696675334E-2</v>
      </c>
      <c r="I1432" s="51">
        <v>0</v>
      </c>
      <c r="J1432" s="51">
        <f t="shared" si="17"/>
        <v>0</v>
      </c>
      <c r="K1432" s="51">
        <v>8.6E-3</v>
      </c>
      <c r="L1432" s="51">
        <f t="shared" si="19"/>
        <v>4.1476897068578123E-3</v>
      </c>
      <c r="M1432" s="51">
        <f t="shared" si="20"/>
        <v>7.5264989898175217E-3</v>
      </c>
      <c r="N1432" s="51">
        <v>0</v>
      </c>
      <c r="O1432" s="51">
        <f t="shared" si="18"/>
        <v>0</v>
      </c>
      <c r="P1432" s="101"/>
    </row>
    <row r="1433" spans="1:19" x14ac:dyDescent="0.25">
      <c r="A1433" s="40">
        <v>60</v>
      </c>
      <c r="B1433" s="41">
        <v>438099</v>
      </c>
      <c r="C1433" s="41">
        <v>5688719</v>
      </c>
      <c r="D1433" s="50">
        <v>2</v>
      </c>
      <c r="E1433" s="41" t="s">
        <v>64</v>
      </c>
      <c r="F1433" s="50">
        <v>2015</v>
      </c>
      <c r="G1433" s="51">
        <v>8.4500000000000006E-2</v>
      </c>
      <c r="H1433" s="51">
        <f t="shared" si="16"/>
        <v>3.6134393584947459E-2</v>
      </c>
      <c r="I1433" s="51">
        <v>0</v>
      </c>
      <c r="J1433" s="51">
        <f t="shared" si="17"/>
        <v>0</v>
      </c>
      <c r="K1433" s="51">
        <v>5.9000000000000007E-3</v>
      </c>
      <c r="L1433" s="51">
        <f t="shared" si="19"/>
        <v>2.8455080547047785E-3</v>
      </c>
      <c r="M1433" s="51">
        <f t="shared" si="20"/>
        <v>3.328888553024268E-2</v>
      </c>
      <c r="N1433" s="51">
        <v>0</v>
      </c>
      <c r="O1433" s="51">
        <f t="shared" si="18"/>
        <v>0</v>
      </c>
      <c r="P1433" s="101"/>
    </row>
    <row r="1434" spans="1:19" x14ac:dyDescent="0.25">
      <c r="A1434" s="42">
        <v>1</v>
      </c>
      <c r="B1434" s="43">
        <v>437930.10856199998</v>
      </c>
      <c r="C1434" s="43">
        <v>5688036.3324180003</v>
      </c>
      <c r="D1434" s="44">
        <v>20</v>
      </c>
      <c r="E1434" s="44" t="s">
        <v>24</v>
      </c>
      <c r="F1434" s="44">
        <v>2015</v>
      </c>
      <c r="G1434" s="44" t="s">
        <v>18</v>
      </c>
      <c r="H1434" s="44" t="s">
        <v>18</v>
      </c>
      <c r="I1434" s="44" t="s">
        <v>18</v>
      </c>
      <c r="J1434" s="44" t="s">
        <v>18</v>
      </c>
      <c r="K1434" s="44" t="s">
        <v>18</v>
      </c>
      <c r="L1434" s="44" t="s">
        <v>18</v>
      </c>
      <c r="M1434" s="44" t="s">
        <v>18</v>
      </c>
      <c r="N1434" s="44" t="s">
        <v>18</v>
      </c>
      <c r="O1434" s="44" t="s">
        <v>18</v>
      </c>
      <c r="P1434" s="102" t="s">
        <v>109</v>
      </c>
      <c r="R1434" s="5">
        <f>AVERAGE(M1434:M1493)</f>
        <v>7.9837114865601733E-3</v>
      </c>
      <c r="S1434" s="5">
        <f>AVERAGE(H1434:H1493)</f>
        <v>1.209700380453483E-2</v>
      </c>
    </row>
    <row r="1435" spans="1:19" x14ac:dyDescent="0.25">
      <c r="A1435" s="42">
        <v>2</v>
      </c>
      <c r="B1435" s="43">
        <v>437811.10856199998</v>
      </c>
      <c r="C1435" s="43">
        <v>5688155.3324180003</v>
      </c>
      <c r="D1435" s="44">
        <v>20</v>
      </c>
      <c r="E1435" s="44" t="s">
        <v>24</v>
      </c>
      <c r="F1435" s="44">
        <v>2015</v>
      </c>
      <c r="G1435" s="44" t="s">
        <v>18</v>
      </c>
      <c r="H1435" s="44" t="s">
        <v>18</v>
      </c>
      <c r="I1435" s="44" t="s">
        <v>18</v>
      </c>
      <c r="J1435" s="44" t="s">
        <v>18</v>
      </c>
      <c r="K1435" s="44" t="s">
        <v>18</v>
      </c>
      <c r="L1435" s="44" t="s">
        <v>18</v>
      </c>
      <c r="M1435" s="44" t="s">
        <v>18</v>
      </c>
      <c r="N1435" s="44" t="s">
        <v>18</v>
      </c>
      <c r="O1435" s="44" t="s">
        <v>18</v>
      </c>
      <c r="P1435" s="102" t="s">
        <v>109</v>
      </c>
    </row>
    <row r="1436" spans="1:19" x14ac:dyDescent="0.25">
      <c r="A1436" s="29">
        <v>3</v>
      </c>
      <c r="B1436" s="30">
        <v>437930.10856199998</v>
      </c>
      <c r="C1436" s="30">
        <v>5688155.3324180003</v>
      </c>
      <c r="D1436" s="46">
        <v>20</v>
      </c>
      <c r="E1436" s="30" t="s">
        <v>24</v>
      </c>
      <c r="F1436" s="46">
        <v>2015</v>
      </c>
      <c r="G1436" s="47">
        <v>6.8099999999999994E-2</v>
      </c>
      <c r="H1436" s="47">
        <f>G1436*0.289397247522715</f>
        <v>1.9707952556296891E-2</v>
      </c>
      <c r="I1436" s="47">
        <v>2.29E-2</v>
      </c>
      <c r="J1436" s="47">
        <f>I1436*0.42163055391715</f>
        <v>9.6553396847027344E-3</v>
      </c>
      <c r="K1436" s="47">
        <v>4.5999999999999999E-3</v>
      </c>
      <c r="L1436" s="47">
        <f>K1436*0.417922900950942</f>
        <v>1.9224453443743331E-3</v>
      </c>
      <c r="M1436" s="47">
        <f>H1436-L1436</f>
        <v>1.7785507211922558E-2</v>
      </c>
      <c r="N1436" s="47">
        <v>0</v>
      </c>
      <c r="O1436" s="47">
        <f>N1436*0.442177506381837</f>
        <v>0</v>
      </c>
      <c r="P1436" s="92"/>
    </row>
    <row r="1437" spans="1:19" x14ac:dyDescent="0.25">
      <c r="A1437" s="42">
        <v>4</v>
      </c>
      <c r="B1437" s="43">
        <v>438049.10856199998</v>
      </c>
      <c r="C1437" s="43">
        <v>5688155.3324180003</v>
      </c>
      <c r="D1437" s="44">
        <v>20</v>
      </c>
      <c r="E1437" s="44" t="s">
        <v>24</v>
      </c>
      <c r="F1437" s="44">
        <v>2015</v>
      </c>
      <c r="G1437" s="44" t="s">
        <v>18</v>
      </c>
      <c r="H1437" s="44" t="s">
        <v>18</v>
      </c>
      <c r="I1437" s="44" t="s">
        <v>18</v>
      </c>
      <c r="J1437" s="44" t="s">
        <v>18</v>
      </c>
      <c r="K1437" s="44" t="s">
        <v>18</v>
      </c>
      <c r="L1437" s="44" t="s">
        <v>18</v>
      </c>
      <c r="M1437" s="44" t="s">
        <v>18</v>
      </c>
      <c r="N1437" s="44" t="s">
        <v>18</v>
      </c>
      <c r="O1437" s="44" t="s">
        <v>18</v>
      </c>
      <c r="P1437" s="102" t="s">
        <v>109</v>
      </c>
    </row>
    <row r="1438" spans="1:19" x14ac:dyDescent="0.25">
      <c r="A1438" s="42">
        <v>5</v>
      </c>
      <c r="B1438" s="43">
        <v>437573.10856199998</v>
      </c>
      <c r="C1438" s="43">
        <v>5688274.3324180003</v>
      </c>
      <c r="D1438" s="44">
        <v>20</v>
      </c>
      <c r="E1438" s="44" t="s">
        <v>24</v>
      </c>
      <c r="F1438" s="44">
        <v>2015</v>
      </c>
      <c r="G1438" s="44" t="s">
        <v>18</v>
      </c>
      <c r="H1438" s="44" t="s">
        <v>18</v>
      </c>
      <c r="I1438" s="44" t="s">
        <v>18</v>
      </c>
      <c r="J1438" s="44" t="s">
        <v>18</v>
      </c>
      <c r="K1438" s="44" t="s">
        <v>18</v>
      </c>
      <c r="L1438" s="44" t="s">
        <v>18</v>
      </c>
      <c r="M1438" s="44" t="s">
        <v>18</v>
      </c>
      <c r="N1438" s="44" t="s">
        <v>18</v>
      </c>
      <c r="O1438" s="44" t="s">
        <v>18</v>
      </c>
      <c r="P1438" s="102" t="s">
        <v>109</v>
      </c>
    </row>
    <row r="1439" spans="1:19" x14ac:dyDescent="0.25">
      <c r="A1439" s="29">
        <v>6</v>
      </c>
      <c r="B1439" s="30">
        <v>437692.10856199998</v>
      </c>
      <c r="C1439" s="30">
        <v>5688274.3324180003</v>
      </c>
      <c r="D1439" s="46">
        <v>20</v>
      </c>
      <c r="E1439" s="30" t="s">
        <v>24</v>
      </c>
      <c r="F1439" s="46">
        <v>2015</v>
      </c>
      <c r="G1439" s="47">
        <v>0</v>
      </c>
      <c r="H1439" s="47">
        <f>G1439*0.289397247522715</f>
        <v>0</v>
      </c>
      <c r="I1439" s="47">
        <v>5.0999999999999997E-2</v>
      </c>
      <c r="J1439" s="47">
        <f>I1439*0.42163055391715</f>
        <v>2.1503158249774647E-2</v>
      </c>
      <c r="K1439" s="52">
        <v>9.4000000000000004E-3</v>
      </c>
      <c r="L1439" s="47">
        <f>K1439*0.417922900950942</f>
        <v>3.9284752689388545E-3</v>
      </c>
      <c r="M1439" s="47">
        <f>H1439-L1439</f>
        <v>-3.9284752689388545E-3</v>
      </c>
      <c r="N1439" s="47">
        <v>6.2799999999999995E-2</v>
      </c>
      <c r="O1439" s="47">
        <f>N1439*0.442177506381837</f>
        <v>2.7768747400779361E-2</v>
      </c>
      <c r="P1439" s="92"/>
    </row>
    <row r="1440" spans="1:19" x14ac:dyDescent="0.25">
      <c r="A1440" s="29">
        <v>7</v>
      </c>
      <c r="B1440" s="30">
        <v>437811.10856199998</v>
      </c>
      <c r="C1440" s="30">
        <v>5688274.3324180003</v>
      </c>
      <c r="D1440" s="46">
        <v>20</v>
      </c>
      <c r="E1440" s="30" t="s">
        <v>24</v>
      </c>
      <c r="F1440" s="46">
        <v>2015</v>
      </c>
      <c r="G1440" s="47">
        <v>1.5099999999999999E-2</v>
      </c>
      <c r="H1440" s="47">
        <f>G1440*0.289397247522715</f>
        <v>4.3698984375929962E-3</v>
      </c>
      <c r="I1440" s="47">
        <v>9.6999999999999986E-3</v>
      </c>
      <c r="J1440" s="47">
        <f>I1440*0.42163055391715</f>
        <v>4.0898163729963539E-3</v>
      </c>
      <c r="K1440" s="47">
        <v>2.3999999999999998E-3</v>
      </c>
      <c r="L1440" s="47">
        <f>K1440*0.417922900950942</f>
        <v>1.0030149622822606E-3</v>
      </c>
      <c r="M1440" s="47">
        <f>H1440-L1440</f>
        <v>3.3668834753107354E-3</v>
      </c>
      <c r="N1440" s="47">
        <v>0</v>
      </c>
      <c r="O1440" s="47">
        <f>N1440*0.442177506381837</f>
        <v>0</v>
      </c>
      <c r="P1440" s="92"/>
    </row>
    <row r="1441" spans="1:16" x14ac:dyDescent="0.25">
      <c r="A1441" s="29">
        <v>8</v>
      </c>
      <c r="B1441" s="30">
        <v>437930.10856199998</v>
      </c>
      <c r="C1441" s="30">
        <v>5688274.3324180003</v>
      </c>
      <c r="D1441" s="46">
        <v>20</v>
      </c>
      <c r="E1441" s="30" t="s">
        <v>24</v>
      </c>
      <c r="F1441" s="46">
        <v>2015</v>
      </c>
      <c r="G1441" s="5">
        <v>0</v>
      </c>
      <c r="H1441" s="47">
        <f>G1441*0.289397247522715</f>
        <v>0</v>
      </c>
      <c r="I1441" s="47">
        <v>1.0800000000000001E-2</v>
      </c>
      <c r="J1441" s="47">
        <f>I1441*0.42163055391715</f>
        <v>4.5536099823052199E-3</v>
      </c>
      <c r="K1441" s="47">
        <v>5.9999999999999995E-4</v>
      </c>
      <c r="L1441" s="47">
        <f>K1441*0.417922900950942</f>
        <v>2.5075374057056515E-4</v>
      </c>
      <c r="M1441" s="47">
        <f t="shared" ref="M1441:M1493" si="21">H1441-L1441</f>
        <v>-2.5075374057056515E-4</v>
      </c>
      <c r="N1441" s="47">
        <v>0</v>
      </c>
      <c r="O1441" s="47">
        <f>N1441*0.442177506381837</f>
        <v>0</v>
      </c>
      <c r="P1441" s="92"/>
    </row>
    <row r="1442" spans="1:16" x14ac:dyDescent="0.25">
      <c r="A1442" s="29">
        <v>9</v>
      </c>
      <c r="B1442" s="30">
        <v>438287.10856199998</v>
      </c>
      <c r="C1442" s="30">
        <v>5688274.3324180003</v>
      </c>
      <c r="D1442" s="46">
        <v>20</v>
      </c>
      <c r="E1442" s="30" t="s">
        <v>24</v>
      </c>
      <c r="F1442" s="46">
        <v>2015</v>
      </c>
      <c r="G1442" s="47">
        <v>9.7599999999999992E-2</v>
      </c>
      <c r="H1442" s="47">
        <f>G1442*0.289397247522715</f>
        <v>2.8245171358216983E-2</v>
      </c>
      <c r="I1442" s="47">
        <v>0</v>
      </c>
      <c r="J1442" s="47">
        <f>I1442*0.42163055391715</f>
        <v>0</v>
      </c>
      <c r="K1442" s="47">
        <v>2.35E-2</v>
      </c>
      <c r="L1442" s="47">
        <f>K1442*0.417922900950942</f>
        <v>9.8211881723471364E-3</v>
      </c>
      <c r="M1442" s="47">
        <f t="shared" si="21"/>
        <v>1.8423983185869845E-2</v>
      </c>
      <c r="N1442" s="47">
        <v>0</v>
      </c>
      <c r="O1442" s="47">
        <f>N1442*0.442177506381837</f>
        <v>0</v>
      </c>
      <c r="P1442" s="92"/>
    </row>
    <row r="1443" spans="1:16" x14ac:dyDescent="0.25">
      <c r="A1443" s="29">
        <v>10</v>
      </c>
      <c r="B1443" s="30">
        <v>438406.10856199998</v>
      </c>
      <c r="C1443" s="30">
        <v>5688274.3324180003</v>
      </c>
      <c r="D1443" s="46">
        <v>20</v>
      </c>
      <c r="E1443" s="30" t="s">
        <v>24</v>
      </c>
      <c r="F1443" s="46">
        <v>2015</v>
      </c>
      <c r="G1443" s="47">
        <v>6.5599999999999992E-2</v>
      </c>
      <c r="H1443" s="47">
        <f>G1443*0.289397247522715</f>
        <v>1.8984459437490102E-2</v>
      </c>
      <c r="I1443" s="47">
        <v>0</v>
      </c>
      <c r="J1443" s="47">
        <f>I1443*0.42163055391715</f>
        <v>0</v>
      </c>
      <c r="K1443" s="47">
        <v>6.4000000000000003E-3</v>
      </c>
      <c r="L1443" s="47">
        <f>K1443*0.417922900950942</f>
        <v>2.674706566086029E-3</v>
      </c>
      <c r="M1443" s="47">
        <f t="shared" si="21"/>
        <v>1.6309752871404074E-2</v>
      </c>
      <c r="N1443" s="47">
        <v>0</v>
      </c>
      <c r="O1443" s="47">
        <f>N1443*0.442177506381837</f>
        <v>0</v>
      </c>
      <c r="P1443" s="92"/>
    </row>
    <row r="1444" spans="1:16" x14ac:dyDescent="0.25">
      <c r="A1444" s="42">
        <v>11</v>
      </c>
      <c r="B1444" s="43">
        <v>437454.10856199998</v>
      </c>
      <c r="C1444" s="43">
        <v>5688393.3324180003</v>
      </c>
      <c r="D1444" s="44">
        <v>20</v>
      </c>
      <c r="E1444" s="44" t="s">
        <v>24</v>
      </c>
      <c r="F1444" s="44">
        <v>2015</v>
      </c>
      <c r="G1444" s="44" t="s">
        <v>18</v>
      </c>
      <c r="H1444" s="44" t="s">
        <v>18</v>
      </c>
      <c r="I1444" s="44" t="s">
        <v>18</v>
      </c>
      <c r="J1444" s="44" t="s">
        <v>18</v>
      </c>
      <c r="K1444" s="44" t="s">
        <v>18</v>
      </c>
      <c r="L1444" s="44" t="s">
        <v>18</v>
      </c>
      <c r="M1444" s="44" t="s">
        <v>18</v>
      </c>
      <c r="N1444" s="44" t="s">
        <v>18</v>
      </c>
      <c r="O1444" s="44" t="s">
        <v>18</v>
      </c>
      <c r="P1444" s="102" t="s">
        <v>109</v>
      </c>
    </row>
    <row r="1445" spans="1:16" x14ac:dyDescent="0.25">
      <c r="A1445" s="29">
        <v>12</v>
      </c>
      <c r="B1445" s="30">
        <v>437573.10856199998</v>
      </c>
      <c r="C1445" s="30">
        <v>5688393.3324180003</v>
      </c>
      <c r="D1445" s="46">
        <v>20</v>
      </c>
      <c r="E1445" s="30" t="s">
        <v>24</v>
      </c>
      <c r="F1445" s="46">
        <v>2015</v>
      </c>
      <c r="G1445" s="47">
        <v>4.4000000000000003E-3</v>
      </c>
      <c r="H1445" s="47">
        <f>G1445*0.289397247522715</f>
        <v>1.2733478890999462E-3</v>
      </c>
      <c r="I1445" s="47">
        <v>1.52E-2</v>
      </c>
      <c r="J1445" s="47">
        <f>I1445*0.42163055391715</f>
        <v>6.4087844195406798E-3</v>
      </c>
      <c r="K1445" s="47">
        <v>2.3999999999999998E-3</v>
      </c>
      <c r="L1445" s="47">
        <f>K1445*0.417922900950942</f>
        <v>1.0030149622822606E-3</v>
      </c>
      <c r="M1445" s="47">
        <f t="shared" si="21"/>
        <v>2.7033292681768561E-4</v>
      </c>
      <c r="N1445" s="47">
        <v>7.1999999999999998E-3</v>
      </c>
      <c r="O1445" s="47">
        <f>N1445*0.442177506381837</f>
        <v>3.1836780459492263E-3</v>
      </c>
      <c r="P1445" s="92"/>
    </row>
    <row r="1446" spans="1:16" x14ac:dyDescent="0.25">
      <c r="A1446" s="29">
        <v>13</v>
      </c>
      <c r="B1446" s="30">
        <v>437692.10856199998</v>
      </c>
      <c r="C1446" s="30">
        <v>5688393.3324180003</v>
      </c>
      <c r="D1446" s="46">
        <v>20</v>
      </c>
      <c r="E1446" s="30" t="s">
        <v>24</v>
      </c>
      <c r="F1446" s="46">
        <v>2015</v>
      </c>
      <c r="G1446" s="47">
        <v>1.7999999999999999E-2</v>
      </c>
      <c r="H1446" s="47">
        <f>G1446*0.289397247522715</f>
        <v>5.2091504554088695E-3</v>
      </c>
      <c r="I1446" s="47">
        <v>3.3299999999999996E-2</v>
      </c>
      <c r="J1446" s="47">
        <f>I1446*0.42163055391715</f>
        <v>1.4040297445441092E-2</v>
      </c>
      <c r="K1446" s="47">
        <v>3.5000000000000001E-3</v>
      </c>
      <c r="L1446" s="47">
        <f>K1446*0.417922900950942</f>
        <v>1.4627301533282969E-3</v>
      </c>
      <c r="M1446" s="47">
        <f t="shared" si="21"/>
        <v>3.7464203020805727E-3</v>
      </c>
      <c r="N1446" s="47">
        <v>2.64E-2</v>
      </c>
      <c r="O1446" s="47">
        <f>N1446*0.442177506381837</f>
        <v>1.1673486168480497E-2</v>
      </c>
      <c r="P1446" s="92"/>
    </row>
    <row r="1447" spans="1:16" x14ac:dyDescent="0.25">
      <c r="A1447" s="32">
        <v>14</v>
      </c>
      <c r="B1447" s="33">
        <v>437811.10856199998</v>
      </c>
      <c r="C1447" s="33">
        <v>5688393.3324180003</v>
      </c>
      <c r="D1447" s="48">
        <v>20</v>
      </c>
      <c r="E1447" s="48" t="s">
        <v>24</v>
      </c>
      <c r="F1447" s="48">
        <v>2015</v>
      </c>
      <c r="G1447" s="48" t="s">
        <v>18</v>
      </c>
      <c r="H1447" s="48" t="s">
        <v>18</v>
      </c>
      <c r="I1447" s="48" t="s">
        <v>18</v>
      </c>
      <c r="J1447" s="48" t="s">
        <v>18</v>
      </c>
      <c r="K1447" s="48" t="s">
        <v>18</v>
      </c>
      <c r="L1447" s="48" t="s">
        <v>18</v>
      </c>
      <c r="M1447" s="48" t="s">
        <v>18</v>
      </c>
      <c r="N1447" s="48" t="s">
        <v>18</v>
      </c>
      <c r="O1447" s="48" t="s">
        <v>18</v>
      </c>
      <c r="P1447" s="103" t="s">
        <v>21</v>
      </c>
    </row>
    <row r="1448" spans="1:16" x14ac:dyDescent="0.25">
      <c r="A1448" s="29">
        <v>15</v>
      </c>
      <c r="B1448" s="30">
        <v>437930.10856199998</v>
      </c>
      <c r="C1448" s="30">
        <v>5688393.3324180003</v>
      </c>
      <c r="D1448" s="46">
        <v>20</v>
      </c>
      <c r="E1448" s="30" t="s">
        <v>24</v>
      </c>
      <c r="F1448" s="46">
        <v>2015</v>
      </c>
      <c r="G1448" s="47">
        <v>3.1E-2</v>
      </c>
      <c r="H1448" s="47">
        <f>G1448*0.289397247522715</f>
        <v>8.9713146732041654E-3</v>
      </c>
      <c r="I1448" s="47">
        <v>0.1013</v>
      </c>
      <c r="J1448" s="47">
        <f>I1448*0.42163055391715</f>
        <v>4.2711175111807297E-2</v>
      </c>
      <c r="K1448" s="47">
        <v>2.01E-2</v>
      </c>
      <c r="L1448" s="47">
        <f>K1448*0.417922900950942</f>
        <v>8.4002503091139338E-3</v>
      </c>
      <c r="M1448" s="47">
        <f t="shared" si="21"/>
        <v>5.7106436409023152E-4</v>
      </c>
      <c r="N1448" s="47">
        <v>0</v>
      </c>
      <c r="O1448" s="47">
        <f>N1448*0.442177506381837</f>
        <v>0</v>
      </c>
      <c r="P1448" s="92"/>
    </row>
    <row r="1449" spans="1:16" x14ac:dyDescent="0.25">
      <c r="A1449" s="29">
        <v>16</v>
      </c>
      <c r="B1449" s="30">
        <v>438049.10856199998</v>
      </c>
      <c r="C1449" s="30">
        <v>5688393.3324180003</v>
      </c>
      <c r="D1449" s="46">
        <v>20</v>
      </c>
      <c r="E1449" s="30" t="s">
        <v>24</v>
      </c>
      <c r="F1449" s="46">
        <v>2015</v>
      </c>
      <c r="G1449" s="47">
        <v>3.3299999999999996E-2</v>
      </c>
      <c r="H1449" s="47">
        <f>G1449*0.289397247522715</f>
        <v>9.6369283425064081E-3</v>
      </c>
      <c r="I1449" s="47">
        <v>9.7099999999999992E-2</v>
      </c>
      <c r="J1449" s="47">
        <f>I1449*0.42163055391715</f>
        <v>4.0940326785355259E-2</v>
      </c>
      <c r="K1449" s="47">
        <v>1.9800000000000002E-2</v>
      </c>
      <c r="L1449" s="47">
        <f>K1449*0.417922900950942</f>
        <v>8.2748734388286525E-3</v>
      </c>
      <c r="M1449" s="47">
        <f>H1449-L1449</f>
        <v>1.3620549036777556E-3</v>
      </c>
      <c r="N1449" s="47">
        <v>4.7E-2</v>
      </c>
      <c r="O1449" s="47">
        <f>N1449*0.442177506381837</f>
        <v>2.0782342799946341E-2</v>
      </c>
      <c r="P1449" s="92"/>
    </row>
    <row r="1450" spans="1:16" x14ac:dyDescent="0.25">
      <c r="A1450" s="29">
        <v>17</v>
      </c>
      <c r="B1450" s="30">
        <v>438168.10856199998</v>
      </c>
      <c r="C1450" s="30">
        <v>5688393.3324180003</v>
      </c>
      <c r="D1450" s="46">
        <v>20</v>
      </c>
      <c r="E1450" s="30" t="s">
        <v>24</v>
      </c>
      <c r="F1450" s="46">
        <v>2015</v>
      </c>
      <c r="G1450" s="47">
        <v>1.5E-3</v>
      </c>
      <c r="H1450" s="47">
        <f>G1450*0.289397247522715</f>
        <v>4.3409587128407252E-4</v>
      </c>
      <c r="I1450" s="47">
        <v>0</v>
      </c>
      <c r="J1450" s="47">
        <f>I1450*0.42163055391715</f>
        <v>0</v>
      </c>
      <c r="K1450" s="47">
        <v>2.8000000000000001E-2</v>
      </c>
      <c r="L1450" s="47">
        <f>K1450*0.417922900950942</f>
        <v>1.1701841226626375E-2</v>
      </c>
      <c r="M1450" s="47">
        <f t="shared" si="21"/>
        <v>-1.1267745355342302E-2</v>
      </c>
      <c r="N1450" s="47">
        <v>3.1199999999999999E-2</v>
      </c>
      <c r="O1450" s="47">
        <f>N1450*0.442177506381837</f>
        <v>1.3795938199113313E-2</v>
      </c>
      <c r="P1450" s="92"/>
    </row>
    <row r="1451" spans="1:16" x14ac:dyDescent="0.25">
      <c r="A1451" s="29">
        <v>18</v>
      </c>
      <c r="B1451" s="30">
        <v>438287.10856199998</v>
      </c>
      <c r="C1451" s="30">
        <v>5688393.3324180003</v>
      </c>
      <c r="D1451" s="46">
        <v>20</v>
      </c>
      <c r="E1451" s="30" t="s">
        <v>24</v>
      </c>
      <c r="F1451" s="46">
        <v>2015</v>
      </c>
      <c r="G1451" s="47">
        <v>1.44E-2</v>
      </c>
      <c r="H1451" s="47">
        <f>G1451*0.289397247522715</f>
        <v>4.1673203643270958E-3</v>
      </c>
      <c r="I1451" s="47">
        <v>0</v>
      </c>
      <c r="J1451" s="47">
        <f>I1451*0.42163055391715</f>
        <v>0</v>
      </c>
      <c r="K1451" s="47">
        <v>1.0800000000000001E-2</v>
      </c>
      <c r="L1451" s="47">
        <f>K1451*0.417922900950942</f>
        <v>4.5135673302701736E-3</v>
      </c>
      <c r="M1451" s="47">
        <f t="shared" si="21"/>
        <v>-3.4624696594307783E-4</v>
      </c>
      <c r="N1451" s="47">
        <v>0</v>
      </c>
      <c r="O1451" s="47">
        <f>N1451*0.442177506381837</f>
        <v>0</v>
      </c>
      <c r="P1451" s="92"/>
    </row>
    <row r="1452" spans="1:16" x14ac:dyDescent="0.25">
      <c r="A1452" s="29">
        <v>19</v>
      </c>
      <c r="B1452" s="30">
        <v>438406.10856199998</v>
      </c>
      <c r="C1452" s="30">
        <v>5688393.3324180003</v>
      </c>
      <c r="D1452" s="46">
        <v>20</v>
      </c>
      <c r="E1452" s="30" t="s">
        <v>24</v>
      </c>
      <c r="F1452" s="46">
        <v>2015</v>
      </c>
      <c r="G1452" s="47">
        <v>3.2399999999999998E-2</v>
      </c>
      <c r="H1452" s="47">
        <f>G1452*0.289397247522715</f>
        <v>9.3764708197359662E-3</v>
      </c>
      <c r="I1452" s="47">
        <v>0</v>
      </c>
      <c r="J1452" s="47">
        <f>I1452*0.42163055391715</f>
        <v>0</v>
      </c>
      <c r="K1452" s="47">
        <v>4.4000000000000003E-3</v>
      </c>
      <c r="L1452" s="47">
        <f>K1452*0.417922900950942</f>
        <v>1.8388607641841449E-3</v>
      </c>
      <c r="M1452" s="47">
        <f t="shared" si="21"/>
        <v>7.5376100555518211E-3</v>
      </c>
      <c r="N1452" s="47">
        <v>0</v>
      </c>
      <c r="O1452" s="47">
        <f>N1452*0.442177506381837</f>
        <v>0</v>
      </c>
      <c r="P1452" s="92"/>
    </row>
    <row r="1453" spans="1:16" x14ac:dyDescent="0.25">
      <c r="A1453" s="42">
        <v>20</v>
      </c>
      <c r="B1453" s="43">
        <v>437335.10856199998</v>
      </c>
      <c r="C1453" s="43">
        <v>5688512.3324180003</v>
      </c>
      <c r="D1453" s="44">
        <v>20</v>
      </c>
      <c r="E1453" s="44" t="s">
        <v>24</v>
      </c>
      <c r="F1453" s="44">
        <v>2015</v>
      </c>
      <c r="G1453" s="44" t="s">
        <v>18</v>
      </c>
      <c r="H1453" s="44" t="s">
        <v>18</v>
      </c>
      <c r="I1453" s="44" t="s">
        <v>18</v>
      </c>
      <c r="J1453" s="44" t="s">
        <v>18</v>
      </c>
      <c r="K1453" s="44" t="s">
        <v>18</v>
      </c>
      <c r="L1453" s="44" t="s">
        <v>18</v>
      </c>
      <c r="M1453" s="44" t="s">
        <v>18</v>
      </c>
      <c r="N1453" s="44" t="s">
        <v>18</v>
      </c>
      <c r="O1453" s="44" t="s">
        <v>18</v>
      </c>
      <c r="P1453" s="102" t="s">
        <v>109</v>
      </c>
    </row>
    <row r="1454" spans="1:16" x14ac:dyDescent="0.25">
      <c r="A1454" s="29">
        <v>21</v>
      </c>
      <c r="B1454" s="30">
        <v>437454.10856199998</v>
      </c>
      <c r="C1454" s="30">
        <v>5688512.3324180003</v>
      </c>
      <c r="D1454" s="46">
        <v>20</v>
      </c>
      <c r="E1454" s="30" t="s">
        <v>24</v>
      </c>
      <c r="F1454" s="46">
        <v>2015</v>
      </c>
      <c r="G1454" s="47">
        <v>4.6600000000000003E-2</v>
      </c>
      <c r="H1454" s="47">
        <f t="shared" ref="H1454:H1459" si="22">G1454*0.289397247522715</f>
        <v>1.348591173455852E-2</v>
      </c>
      <c r="I1454" s="47">
        <v>0</v>
      </c>
      <c r="J1454" s="47">
        <f t="shared" ref="J1454:J1459" si="23">I1454*0.42163055391715</f>
        <v>0</v>
      </c>
      <c r="K1454" s="5">
        <v>4.3E-3</v>
      </c>
      <c r="L1454" s="47">
        <f t="shared" ref="L1454:L1459" si="24">K1454*0.417922900950942</f>
        <v>1.7970684740890505E-3</v>
      </c>
      <c r="M1454" s="47">
        <f t="shared" si="21"/>
        <v>1.168884326046947E-2</v>
      </c>
      <c r="N1454" s="47">
        <v>0</v>
      </c>
      <c r="O1454" s="47">
        <f t="shared" ref="O1454:O1459" si="25">N1454*0.442177506381837</f>
        <v>0</v>
      </c>
      <c r="P1454" s="92"/>
    </row>
    <row r="1455" spans="1:16" x14ac:dyDescent="0.25">
      <c r="A1455" s="29">
        <v>22</v>
      </c>
      <c r="B1455" s="30">
        <v>437573.10856199998</v>
      </c>
      <c r="C1455" s="30">
        <v>5688512.3324180003</v>
      </c>
      <c r="D1455" s="46">
        <v>20</v>
      </c>
      <c r="E1455" s="30" t="s">
        <v>24</v>
      </c>
      <c r="F1455" s="46">
        <v>2015</v>
      </c>
      <c r="G1455" s="47">
        <v>5.7799999999999997E-2</v>
      </c>
      <c r="H1455" s="47">
        <f t="shared" si="22"/>
        <v>1.6727160906812928E-2</v>
      </c>
      <c r="I1455" s="47">
        <v>0.2646</v>
      </c>
      <c r="J1455" s="47">
        <f t="shared" si="23"/>
        <v>0.11156344456647789</v>
      </c>
      <c r="K1455" s="47">
        <v>5.5999999999999999E-3</v>
      </c>
      <c r="L1455" s="47">
        <f t="shared" si="24"/>
        <v>2.3403682453252751E-3</v>
      </c>
      <c r="M1455" s="47">
        <f>H1455-L1455</f>
        <v>1.4386792661487654E-2</v>
      </c>
      <c r="N1455" s="47">
        <v>1.3699999999999999E-2</v>
      </c>
      <c r="O1455" s="47">
        <f t="shared" si="25"/>
        <v>6.0578318374311666E-3</v>
      </c>
      <c r="P1455" s="92"/>
    </row>
    <row r="1456" spans="1:16" x14ac:dyDescent="0.25">
      <c r="A1456" s="29">
        <v>23</v>
      </c>
      <c r="B1456" s="30">
        <v>437692.10856199998</v>
      </c>
      <c r="C1456" s="30">
        <v>5688512.3324180003</v>
      </c>
      <c r="D1456" s="46">
        <v>20</v>
      </c>
      <c r="E1456" s="30" t="s">
        <v>24</v>
      </c>
      <c r="F1456" s="46">
        <v>2015</v>
      </c>
      <c r="G1456" s="47">
        <v>1.44E-2</v>
      </c>
      <c r="H1456" s="47">
        <f t="shared" si="22"/>
        <v>4.1673203643270958E-3</v>
      </c>
      <c r="I1456" s="47">
        <v>0</v>
      </c>
      <c r="J1456" s="47">
        <f t="shared" si="23"/>
        <v>0</v>
      </c>
      <c r="K1456" s="47">
        <v>2.18E-2</v>
      </c>
      <c r="L1456" s="47">
        <f t="shared" si="24"/>
        <v>9.1107192407305342E-3</v>
      </c>
      <c r="M1456" s="47">
        <f t="shared" si="21"/>
        <v>-4.9433988764034384E-3</v>
      </c>
      <c r="N1456" s="47">
        <v>0</v>
      </c>
      <c r="O1456" s="47">
        <f t="shared" si="25"/>
        <v>0</v>
      </c>
      <c r="P1456" s="92"/>
    </row>
    <row r="1457" spans="1:16" x14ac:dyDescent="0.25">
      <c r="A1457" s="29">
        <v>24</v>
      </c>
      <c r="B1457" s="30">
        <v>437811.10856199998</v>
      </c>
      <c r="C1457" s="30">
        <v>5688512.3324180003</v>
      </c>
      <c r="D1457" s="46">
        <v>20</v>
      </c>
      <c r="E1457" s="30" t="s">
        <v>24</v>
      </c>
      <c r="F1457" s="46">
        <v>2015</v>
      </c>
      <c r="G1457" s="47">
        <v>4.2900000000000001E-2</v>
      </c>
      <c r="H1457" s="47">
        <f t="shared" si="22"/>
        <v>1.2415141918724474E-2</v>
      </c>
      <c r="I1457" s="47">
        <v>0</v>
      </c>
      <c r="J1457" s="47">
        <f t="shared" si="23"/>
        <v>0</v>
      </c>
      <c r="K1457" s="47">
        <v>4.2299999999999997E-2</v>
      </c>
      <c r="L1457" s="47">
        <f t="shared" si="24"/>
        <v>1.7678138710224844E-2</v>
      </c>
      <c r="M1457" s="47">
        <f t="shared" si="21"/>
        <v>-5.2629967915003694E-3</v>
      </c>
      <c r="N1457" s="47">
        <v>0</v>
      </c>
      <c r="O1457" s="47">
        <f t="shared" si="25"/>
        <v>0</v>
      </c>
      <c r="P1457" s="92"/>
    </row>
    <row r="1458" spans="1:16" x14ac:dyDescent="0.25">
      <c r="A1458" s="29">
        <v>25</v>
      </c>
      <c r="B1458" s="46">
        <v>437995</v>
      </c>
      <c r="C1458" s="46">
        <v>5688493</v>
      </c>
      <c r="D1458" s="46">
        <v>20</v>
      </c>
      <c r="E1458" s="30" t="s">
        <v>24</v>
      </c>
      <c r="F1458" s="46">
        <v>2015</v>
      </c>
      <c r="G1458" s="47">
        <v>5.5600000000000004E-2</v>
      </c>
      <c r="H1458" s="47">
        <f t="shared" si="22"/>
        <v>1.6090486962262954E-2</v>
      </c>
      <c r="I1458" s="47">
        <v>0</v>
      </c>
      <c r="J1458" s="47">
        <f t="shared" si="23"/>
        <v>0</v>
      </c>
      <c r="K1458" s="47">
        <v>4.0999999999999995E-3</v>
      </c>
      <c r="L1458" s="47">
        <f t="shared" si="24"/>
        <v>1.7134838938988619E-3</v>
      </c>
      <c r="M1458" s="47">
        <f t="shared" si="21"/>
        <v>1.4377003068364093E-2</v>
      </c>
      <c r="N1458" s="47">
        <v>0</v>
      </c>
      <c r="O1458" s="47">
        <f t="shared" si="25"/>
        <v>0</v>
      </c>
      <c r="P1458" s="92"/>
    </row>
    <row r="1459" spans="1:16" x14ac:dyDescent="0.25">
      <c r="A1459" s="29">
        <v>26</v>
      </c>
      <c r="B1459" s="46">
        <v>438112</v>
      </c>
      <c r="C1459" s="46">
        <v>5688567</v>
      </c>
      <c r="D1459" s="46">
        <v>20</v>
      </c>
      <c r="E1459" s="30" t="s">
        <v>24</v>
      </c>
      <c r="F1459" s="46">
        <v>2015</v>
      </c>
      <c r="G1459" s="47">
        <v>6.1600000000000002E-2</v>
      </c>
      <c r="H1459" s="47">
        <f t="shared" si="22"/>
        <v>1.7826870447399244E-2</v>
      </c>
      <c r="I1459" s="47">
        <v>0</v>
      </c>
      <c r="J1459" s="47">
        <f t="shared" si="23"/>
        <v>0</v>
      </c>
      <c r="K1459" s="47">
        <v>1.6300000000000002E-2</v>
      </c>
      <c r="L1459" s="47">
        <f t="shared" si="24"/>
        <v>6.8121432855003548E-3</v>
      </c>
      <c r="M1459" s="47">
        <f t="shared" si="21"/>
        <v>1.1014727161898889E-2</v>
      </c>
      <c r="N1459" s="47">
        <v>0</v>
      </c>
      <c r="O1459" s="47">
        <f t="shared" si="25"/>
        <v>0</v>
      </c>
      <c r="P1459" s="92"/>
    </row>
    <row r="1460" spans="1:16" x14ac:dyDescent="0.25">
      <c r="A1460" s="32">
        <v>27</v>
      </c>
      <c r="B1460" s="33">
        <v>438168.10856199998</v>
      </c>
      <c r="C1460" s="33">
        <v>5688512.3324180003</v>
      </c>
      <c r="D1460" s="48">
        <v>20</v>
      </c>
      <c r="E1460" s="48" t="s">
        <v>24</v>
      </c>
      <c r="F1460" s="48">
        <v>2015</v>
      </c>
      <c r="G1460" s="48" t="s">
        <v>18</v>
      </c>
      <c r="H1460" s="48" t="s">
        <v>18</v>
      </c>
      <c r="I1460" s="48" t="s">
        <v>18</v>
      </c>
      <c r="J1460" s="48" t="s">
        <v>18</v>
      </c>
      <c r="K1460" s="48" t="s">
        <v>18</v>
      </c>
      <c r="L1460" s="48" t="s">
        <v>18</v>
      </c>
      <c r="M1460" s="48" t="s">
        <v>18</v>
      </c>
      <c r="N1460" s="48" t="s">
        <v>18</v>
      </c>
      <c r="O1460" s="48" t="s">
        <v>18</v>
      </c>
      <c r="P1460" s="103" t="s">
        <v>21</v>
      </c>
    </row>
    <row r="1461" spans="1:16" x14ac:dyDescent="0.25">
      <c r="A1461" s="32">
        <v>28</v>
      </c>
      <c r="B1461" s="33">
        <v>438287.10856199998</v>
      </c>
      <c r="C1461" s="33">
        <v>5688512.3324180003</v>
      </c>
      <c r="D1461" s="48">
        <v>20</v>
      </c>
      <c r="E1461" s="48" t="s">
        <v>24</v>
      </c>
      <c r="F1461" s="48">
        <v>2015</v>
      </c>
      <c r="G1461" s="48" t="s">
        <v>18</v>
      </c>
      <c r="H1461" s="48" t="s">
        <v>18</v>
      </c>
      <c r="I1461" s="48" t="s">
        <v>18</v>
      </c>
      <c r="J1461" s="48" t="s">
        <v>18</v>
      </c>
      <c r="K1461" s="48" t="s">
        <v>18</v>
      </c>
      <c r="L1461" s="48" t="s">
        <v>18</v>
      </c>
      <c r="M1461" s="48" t="s">
        <v>18</v>
      </c>
      <c r="N1461" s="48" t="s">
        <v>18</v>
      </c>
      <c r="O1461" s="48" t="s">
        <v>18</v>
      </c>
      <c r="P1461" s="103" t="s">
        <v>21</v>
      </c>
    </row>
    <row r="1462" spans="1:16" x14ac:dyDescent="0.25">
      <c r="A1462" s="29">
        <v>29</v>
      </c>
      <c r="B1462" s="30">
        <v>438381</v>
      </c>
      <c r="C1462" s="30">
        <v>5688526</v>
      </c>
      <c r="D1462" s="46">
        <v>20</v>
      </c>
      <c r="E1462" s="30" t="s">
        <v>24</v>
      </c>
      <c r="F1462" s="46">
        <v>2015</v>
      </c>
      <c r="G1462" s="47">
        <v>6.5200000000000008E-2</v>
      </c>
      <c r="H1462" s="47">
        <f t="shared" ref="H1462:H1469" si="26">G1462*0.289397247522715</f>
        <v>1.8868700538481022E-2</v>
      </c>
      <c r="I1462" s="47">
        <v>0</v>
      </c>
      <c r="J1462" s="47">
        <f t="shared" ref="J1462:J1469" si="27">I1462*0.42163055391715</f>
        <v>0</v>
      </c>
      <c r="K1462" s="47">
        <v>3.2000000000000002E-3</v>
      </c>
      <c r="L1462" s="47">
        <f t="shared" ref="L1462:L1469" si="28">K1462*0.417922900950942</f>
        <v>1.3373532830430145E-3</v>
      </c>
      <c r="M1462" s="47">
        <f t="shared" si="21"/>
        <v>1.7531347255438007E-2</v>
      </c>
      <c r="N1462" s="47">
        <v>0</v>
      </c>
      <c r="O1462" s="47">
        <f t="shared" ref="O1462:O1469" si="29">N1462*0.442177506381837</f>
        <v>0</v>
      </c>
      <c r="P1462" s="92"/>
    </row>
    <row r="1463" spans="1:16" x14ac:dyDescent="0.25">
      <c r="A1463" s="29">
        <v>30</v>
      </c>
      <c r="B1463" s="30">
        <v>438525.10856199998</v>
      </c>
      <c r="C1463" s="30">
        <v>5688512.3324180003</v>
      </c>
      <c r="D1463" s="46">
        <v>20</v>
      </c>
      <c r="E1463" s="30" t="s">
        <v>24</v>
      </c>
      <c r="F1463" s="46">
        <v>2015</v>
      </c>
      <c r="G1463" s="47">
        <v>1.8499999999999999E-2</v>
      </c>
      <c r="H1463" s="47">
        <f t="shared" si="26"/>
        <v>5.3538490791702276E-3</v>
      </c>
      <c r="I1463" s="47">
        <v>0</v>
      </c>
      <c r="J1463" s="47">
        <f t="shared" si="27"/>
        <v>0</v>
      </c>
      <c r="K1463" s="47">
        <v>9.4999999999999998E-3</v>
      </c>
      <c r="L1463" s="47">
        <f t="shared" si="28"/>
        <v>3.9702675590339489E-3</v>
      </c>
      <c r="M1463" s="47">
        <f t="shared" si="21"/>
        <v>1.3835815201362787E-3</v>
      </c>
      <c r="N1463" s="47">
        <v>0</v>
      </c>
      <c r="O1463" s="47">
        <f t="shared" si="29"/>
        <v>0</v>
      </c>
      <c r="P1463" s="92"/>
    </row>
    <row r="1464" spans="1:16" x14ac:dyDescent="0.25">
      <c r="A1464" s="29">
        <v>31</v>
      </c>
      <c r="B1464" s="30">
        <v>437335.10856199998</v>
      </c>
      <c r="C1464" s="30">
        <v>5688631.3324180003</v>
      </c>
      <c r="D1464" s="46">
        <v>20</v>
      </c>
      <c r="E1464" s="30" t="s">
        <v>24</v>
      </c>
      <c r="F1464" s="46">
        <v>2015</v>
      </c>
      <c r="G1464" s="47">
        <v>5.6899999999999999E-2</v>
      </c>
      <c r="H1464" s="47">
        <f t="shared" si="26"/>
        <v>1.6466703384042485E-2</v>
      </c>
      <c r="I1464" s="47">
        <v>0</v>
      </c>
      <c r="J1464" s="47">
        <f t="shared" si="27"/>
        <v>0</v>
      </c>
      <c r="K1464" s="47">
        <v>8.199999999999999E-3</v>
      </c>
      <c r="L1464" s="47">
        <f t="shared" si="28"/>
        <v>3.4269677877977237E-3</v>
      </c>
      <c r="M1464" s="47">
        <f t="shared" si="21"/>
        <v>1.303973559624476E-2</v>
      </c>
      <c r="N1464" s="47">
        <v>0</v>
      </c>
      <c r="O1464" s="47">
        <f t="shared" si="29"/>
        <v>0</v>
      </c>
      <c r="P1464" s="92"/>
    </row>
    <row r="1465" spans="1:16" x14ac:dyDescent="0.25">
      <c r="A1465" s="29">
        <v>32</v>
      </c>
      <c r="B1465" s="30">
        <v>437454.10856199998</v>
      </c>
      <c r="C1465" s="30">
        <v>5688631.3324180003</v>
      </c>
      <c r="D1465" s="46">
        <v>20</v>
      </c>
      <c r="E1465" s="30" t="s">
        <v>24</v>
      </c>
      <c r="F1465" s="46">
        <v>2015</v>
      </c>
      <c r="G1465" s="47">
        <v>5.8900000000000001E-2</v>
      </c>
      <c r="H1465" s="47">
        <f t="shared" si="26"/>
        <v>1.7045497879087913E-2</v>
      </c>
      <c r="I1465" s="47">
        <v>0</v>
      </c>
      <c r="J1465" s="47">
        <f t="shared" si="27"/>
        <v>0</v>
      </c>
      <c r="K1465" s="47">
        <v>1.8499999999999999E-2</v>
      </c>
      <c r="L1465" s="47">
        <f t="shared" si="28"/>
        <v>7.731573667592426E-3</v>
      </c>
      <c r="M1465" s="47">
        <f t="shared" si="21"/>
        <v>9.3139242114954873E-3</v>
      </c>
      <c r="N1465" s="47">
        <v>0</v>
      </c>
      <c r="O1465" s="47">
        <f t="shared" si="29"/>
        <v>0</v>
      </c>
      <c r="P1465" s="92"/>
    </row>
    <row r="1466" spans="1:16" x14ac:dyDescent="0.25">
      <c r="A1466" s="29">
        <v>33</v>
      </c>
      <c r="B1466" s="30">
        <v>437573.10856199998</v>
      </c>
      <c r="C1466" s="30">
        <v>5688631.3324180003</v>
      </c>
      <c r="D1466" s="46">
        <v>20</v>
      </c>
      <c r="E1466" s="30" t="s">
        <v>24</v>
      </c>
      <c r="F1466" s="46">
        <v>2015</v>
      </c>
      <c r="G1466" s="47">
        <v>4.3700000000000003E-2</v>
      </c>
      <c r="H1466" s="47">
        <f t="shared" si="26"/>
        <v>1.2646659716742647E-2</v>
      </c>
      <c r="I1466" s="47">
        <v>0</v>
      </c>
      <c r="J1466" s="47">
        <f t="shared" si="27"/>
        <v>0</v>
      </c>
      <c r="K1466" s="47">
        <v>1.21E-2</v>
      </c>
      <c r="L1466" s="47">
        <f t="shared" si="28"/>
        <v>5.0568671015063975E-3</v>
      </c>
      <c r="M1466" s="47">
        <f t="shared" si="21"/>
        <v>7.5897926152362497E-3</v>
      </c>
      <c r="N1466" s="47">
        <v>0</v>
      </c>
      <c r="O1466" s="47">
        <f t="shared" si="29"/>
        <v>0</v>
      </c>
      <c r="P1466" s="92"/>
    </row>
    <row r="1467" spans="1:16" x14ac:dyDescent="0.25">
      <c r="A1467" s="29">
        <v>34</v>
      </c>
      <c r="B1467" s="30">
        <v>437692.10856199998</v>
      </c>
      <c r="C1467" s="30">
        <v>5688631.3324180003</v>
      </c>
      <c r="D1467" s="46">
        <v>20</v>
      </c>
      <c r="E1467" s="30" t="s">
        <v>24</v>
      </c>
      <c r="F1467" s="46">
        <v>2015</v>
      </c>
      <c r="G1467" s="47">
        <v>4.9299999999999997E-2</v>
      </c>
      <c r="H1467" s="47">
        <f t="shared" si="26"/>
        <v>1.4267284302869849E-2</v>
      </c>
      <c r="I1467" s="47">
        <v>0</v>
      </c>
      <c r="J1467" s="47">
        <f t="shared" si="27"/>
        <v>0</v>
      </c>
      <c r="K1467" s="47">
        <v>6.9000000000000008E-3</v>
      </c>
      <c r="L1467" s="47">
        <f t="shared" si="28"/>
        <v>2.8836680165614998E-3</v>
      </c>
      <c r="M1467" s="47">
        <f t="shared" si="21"/>
        <v>1.1383616286308349E-2</v>
      </c>
      <c r="N1467" s="47">
        <v>0</v>
      </c>
      <c r="O1467" s="47">
        <f t="shared" si="29"/>
        <v>0</v>
      </c>
      <c r="P1467" s="92"/>
    </row>
    <row r="1468" spans="1:16" x14ac:dyDescent="0.25">
      <c r="A1468" s="29">
        <v>35</v>
      </c>
      <c r="B1468" s="30">
        <v>437893</v>
      </c>
      <c r="C1468" s="30">
        <v>5688620</v>
      </c>
      <c r="D1468" s="46">
        <v>20</v>
      </c>
      <c r="E1468" s="30" t="s">
        <v>24</v>
      </c>
      <c r="F1468" s="46">
        <v>2015</v>
      </c>
      <c r="G1468" s="47">
        <v>2.5600000000000001E-2</v>
      </c>
      <c r="H1468" s="47">
        <f t="shared" si="26"/>
        <v>7.4085695365815043E-3</v>
      </c>
      <c r="I1468" s="47">
        <v>0</v>
      </c>
      <c r="J1468" s="47">
        <f t="shared" si="27"/>
        <v>0</v>
      </c>
      <c r="K1468" s="47">
        <v>4.0000000000000001E-3</v>
      </c>
      <c r="L1468" s="47">
        <f t="shared" si="28"/>
        <v>1.6716916038037679E-3</v>
      </c>
      <c r="M1468" s="47">
        <f t="shared" si="21"/>
        <v>5.7368779327777366E-3</v>
      </c>
      <c r="N1468" s="47">
        <v>0</v>
      </c>
      <c r="O1468" s="47">
        <f t="shared" si="29"/>
        <v>0</v>
      </c>
      <c r="P1468" s="92"/>
    </row>
    <row r="1469" spans="1:16" x14ac:dyDescent="0.25">
      <c r="A1469" s="29">
        <v>36</v>
      </c>
      <c r="B1469" s="30">
        <v>437930.10856199998</v>
      </c>
      <c r="C1469" s="30">
        <v>5688631.3324180003</v>
      </c>
      <c r="D1469" s="46">
        <v>20</v>
      </c>
      <c r="E1469" s="30" t="s">
        <v>24</v>
      </c>
      <c r="F1469" s="46">
        <v>2015</v>
      </c>
      <c r="G1469" s="47">
        <v>3.5099999999999999E-2</v>
      </c>
      <c r="H1469" s="47">
        <f t="shared" si="26"/>
        <v>1.0157843388047297E-2</v>
      </c>
      <c r="I1469" s="47">
        <v>0</v>
      </c>
      <c r="J1469" s="47">
        <f t="shared" si="27"/>
        <v>0</v>
      </c>
      <c r="K1469" s="47">
        <v>5.9000000000000007E-3</v>
      </c>
      <c r="L1469" s="47">
        <f t="shared" si="28"/>
        <v>2.4657451156105581E-3</v>
      </c>
      <c r="M1469" s="47">
        <f t="shared" si="21"/>
        <v>7.6920982724367395E-3</v>
      </c>
      <c r="N1469" s="47">
        <v>0</v>
      </c>
      <c r="O1469" s="47">
        <f t="shared" si="29"/>
        <v>0</v>
      </c>
      <c r="P1469" s="92"/>
    </row>
    <row r="1470" spans="1:16" x14ac:dyDescent="0.25">
      <c r="A1470" s="32">
        <v>37</v>
      </c>
      <c r="B1470" s="33">
        <v>438049.10856199998</v>
      </c>
      <c r="C1470" s="33">
        <v>5688631.3324180003</v>
      </c>
      <c r="D1470" s="48">
        <v>20</v>
      </c>
      <c r="E1470" s="48" t="s">
        <v>24</v>
      </c>
      <c r="F1470" s="48">
        <v>2015</v>
      </c>
      <c r="G1470" s="48" t="s">
        <v>18</v>
      </c>
      <c r="H1470" s="48" t="s">
        <v>18</v>
      </c>
      <c r="I1470" s="48" t="s">
        <v>18</v>
      </c>
      <c r="J1470" s="48" t="s">
        <v>18</v>
      </c>
      <c r="K1470" s="48" t="s">
        <v>18</v>
      </c>
      <c r="L1470" s="48" t="s">
        <v>18</v>
      </c>
      <c r="M1470" s="48" t="s">
        <v>18</v>
      </c>
      <c r="N1470" s="48" t="s">
        <v>18</v>
      </c>
      <c r="O1470" s="48" t="s">
        <v>18</v>
      </c>
      <c r="P1470" s="103" t="s">
        <v>21</v>
      </c>
    </row>
    <row r="1471" spans="1:16" x14ac:dyDescent="0.25">
      <c r="A1471" s="29">
        <v>38</v>
      </c>
      <c r="B1471" s="30">
        <v>438067</v>
      </c>
      <c r="C1471" s="30">
        <v>5688710</v>
      </c>
      <c r="D1471" s="46">
        <v>19</v>
      </c>
      <c r="E1471" s="30" t="s">
        <v>24</v>
      </c>
      <c r="F1471" s="46">
        <v>2015</v>
      </c>
      <c r="G1471" s="47">
        <v>2.12E-2</v>
      </c>
      <c r="H1471" s="47">
        <f>G1471*0.261391280426668</f>
        <v>5.5414951450453616E-3</v>
      </c>
      <c r="I1471" s="47">
        <v>0</v>
      </c>
      <c r="J1471" s="47">
        <f>I1471*0.467391304347826</f>
        <v>0</v>
      </c>
      <c r="K1471" s="47">
        <v>1.3300000000000001E-2</v>
      </c>
      <c r="L1471" s="47">
        <f>K1471*0.414050841519276</f>
        <v>5.5068761922063714E-3</v>
      </c>
      <c r="M1471" s="47">
        <f t="shared" si="21"/>
        <v>3.461895283899015E-5</v>
      </c>
      <c r="N1471" s="47">
        <v>0</v>
      </c>
      <c r="O1471" s="47">
        <f>N1471</f>
        <v>0</v>
      </c>
      <c r="P1471" s="92"/>
    </row>
    <row r="1472" spans="1:16" x14ac:dyDescent="0.25">
      <c r="A1472" s="32">
        <v>39</v>
      </c>
      <c r="B1472" s="33">
        <v>438287.10856199998</v>
      </c>
      <c r="C1472" s="33">
        <v>5688631.3324180003</v>
      </c>
      <c r="D1472" s="48">
        <v>20</v>
      </c>
      <c r="E1472" s="48" t="s">
        <v>24</v>
      </c>
      <c r="F1472" s="48">
        <v>2015</v>
      </c>
      <c r="G1472" s="48" t="s">
        <v>18</v>
      </c>
      <c r="H1472" s="48" t="s">
        <v>18</v>
      </c>
      <c r="I1472" s="48" t="s">
        <v>18</v>
      </c>
      <c r="J1472" s="48" t="s">
        <v>18</v>
      </c>
      <c r="K1472" s="48" t="s">
        <v>18</v>
      </c>
      <c r="L1472" s="48" t="s">
        <v>18</v>
      </c>
      <c r="M1472" s="48" t="s">
        <v>18</v>
      </c>
      <c r="N1472" s="48" t="s">
        <v>18</v>
      </c>
      <c r="O1472" s="48" t="s">
        <v>18</v>
      </c>
      <c r="P1472" s="94" t="s">
        <v>22</v>
      </c>
    </row>
    <row r="1473" spans="1:16" x14ac:dyDescent="0.25">
      <c r="A1473" s="29">
        <v>40</v>
      </c>
      <c r="B1473" s="30">
        <v>438406.10856199998</v>
      </c>
      <c r="C1473" s="30">
        <v>5688631.3324180003</v>
      </c>
      <c r="D1473" s="46">
        <v>20</v>
      </c>
      <c r="E1473" s="30" t="s">
        <v>24</v>
      </c>
      <c r="F1473" s="46">
        <v>2015</v>
      </c>
      <c r="G1473" s="54">
        <v>4.1200000000000001E-2</v>
      </c>
      <c r="H1473" s="47">
        <f>G1473*0.289397247522715</f>
        <v>1.1923166597935858E-2</v>
      </c>
      <c r="I1473" s="47">
        <v>0</v>
      </c>
      <c r="J1473" s="47">
        <f>I1473*0.42163055391715</f>
        <v>0</v>
      </c>
      <c r="K1473" s="47">
        <v>5.9999999999999995E-4</v>
      </c>
      <c r="L1473" s="47">
        <f>K1473*0.417922900950942</f>
        <v>2.5075374057056515E-4</v>
      </c>
      <c r="M1473" s="47">
        <f t="shared" si="21"/>
        <v>1.1672412857365293E-2</v>
      </c>
      <c r="N1473" s="47">
        <v>0</v>
      </c>
      <c r="O1473" s="47">
        <f t="shared" ref="O1473:O1480" si="30">N1473</f>
        <v>0</v>
      </c>
      <c r="P1473" s="92"/>
    </row>
    <row r="1474" spans="1:16" x14ac:dyDescent="0.25">
      <c r="A1474" s="29">
        <v>41</v>
      </c>
      <c r="B1474" s="30">
        <v>437310</v>
      </c>
      <c r="C1474" s="30">
        <v>5688729</v>
      </c>
      <c r="D1474" s="46">
        <v>20</v>
      </c>
      <c r="E1474" s="30" t="s">
        <v>24</v>
      </c>
      <c r="F1474" s="46">
        <v>2015</v>
      </c>
      <c r="G1474" s="52">
        <v>4.2000000000000003E-2</v>
      </c>
      <c r="H1474" s="47">
        <f>G1474*0.289397247522715</f>
        <v>1.2154684395954031E-2</v>
      </c>
      <c r="I1474" s="47">
        <v>0</v>
      </c>
      <c r="J1474" s="47">
        <f>I1474*0.42163055391715</f>
        <v>0</v>
      </c>
      <c r="K1474" s="47">
        <v>7.3000000000000001E-3</v>
      </c>
      <c r="L1474" s="47">
        <f>K1474*0.417922900950942</f>
        <v>3.0508371769418763E-3</v>
      </c>
      <c r="M1474" s="47">
        <f t="shared" si="21"/>
        <v>9.1038472190121539E-3</v>
      </c>
      <c r="N1474" s="47">
        <v>0</v>
      </c>
      <c r="O1474" s="47">
        <f t="shared" si="30"/>
        <v>0</v>
      </c>
      <c r="P1474" s="92"/>
    </row>
    <row r="1475" spans="1:16" x14ac:dyDescent="0.25">
      <c r="A1475" s="29">
        <v>42</v>
      </c>
      <c r="B1475" s="30">
        <v>437454.10856199998</v>
      </c>
      <c r="C1475" s="30">
        <v>5688750.3324180003</v>
      </c>
      <c r="D1475" s="46">
        <v>20</v>
      </c>
      <c r="E1475" s="30" t="s">
        <v>24</v>
      </c>
      <c r="F1475" s="46">
        <v>2015</v>
      </c>
      <c r="G1475" s="54">
        <v>2.2800000000000001E-2</v>
      </c>
      <c r="H1475" s="47">
        <f>G1475*0.289397247522715</f>
        <v>6.5982572435179026E-3</v>
      </c>
      <c r="I1475" s="47">
        <v>0</v>
      </c>
      <c r="J1475" s="47">
        <f>I1475*0.42163055391715</f>
        <v>0</v>
      </c>
      <c r="K1475" s="47">
        <v>1.6899999999999998E-2</v>
      </c>
      <c r="L1475" s="47">
        <f>K1475*0.417922900950942</f>
        <v>7.0628970260709191E-3</v>
      </c>
      <c r="M1475" s="47">
        <f t="shared" si="21"/>
        <v>-4.6463978255301651E-4</v>
      </c>
      <c r="N1475" s="47">
        <v>0</v>
      </c>
      <c r="O1475" s="47">
        <f t="shared" si="30"/>
        <v>0</v>
      </c>
      <c r="P1475" s="92"/>
    </row>
    <row r="1476" spans="1:16" x14ac:dyDescent="0.25">
      <c r="A1476" s="29">
        <v>43</v>
      </c>
      <c r="B1476" s="30">
        <v>437573.10856199998</v>
      </c>
      <c r="C1476" s="30">
        <v>5688750.3324180003</v>
      </c>
      <c r="D1476" s="46">
        <v>20</v>
      </c>
      <c r="E1476" s="30" t="s">
        <v>24</v>
      </c>
      <c r="F1476" s="46">
        <v>2015</v>
      </c>
      <c r="G1476" s="54">
        <v>1.83E-2</v>
      </c>
      <c r="H1476" s="47">
        <f>G1476*0.289397247522715</f>
        <v>5.2959696296656844E-3</v>
      </c>
      <c r="I1476" s="47">
        <v>0</v>
      </c>
      <c r="J1476" s="47">
        <f>I1476*0.42163055391715</f>
        <v>0</v>
      </c>
      <c r="K1476" s="47">
        <v>2.2000000000000001E-3</v>
      </c>
      <c r="L1476" s="47">
        <f>K1476*0.417922900950942</f>
        <v>9.1943038209207244E-4</v>
      </c>
      <c r="M1476" s="47">
        <f t="shared" si="21"/>
        <v>4.3765392475736123E-3</v>
      </c>
      <c r="N1476" s="47">
        <v>0</v>
      </c>
      <c r="O1476" s="47">
        <f t="shared" si="30"/>
        <v>0</v>
      </c>
      <c r="P1476" s="92"/>
    </row>
    <row r="1477" spans="1:16" x14ac:dyDescent="0.25">
      <c r="A1477" s="29">
        <v>44</v>
      </c>
      <c r="B1477" s="30">
        <v>437692.10856199998</v>
      </c>
      <c r="C1477" s="30">
        <v>5688750.3324180003</v>
      </c>
      <c r="D1477" s="46">
        <v>19</v>
      </c>
      <c r="E1477" s="30" t="s">
        <v>24</v>
      </c>
      <c r="F1477" s="46">
        <v>2015</v>
      </c>
      <c r="G1477" s="54">
        <v>2.5000000000000001E-2</v>
      </c>
      <c r="H1477" s="47">
        <f>G1477*0.261391280426668</f>
        <v>6.5347820106666996E-3</v>
      </c>
      <c r="I1477" s="47">
        <v>0</v>
      </c>
      <c r="J1477" s="47">
        <f>I1477*0.467391304347826</f>
        <v>0</v>
      </c>
      <c r="K1477" s="47">
        <v>4.9000000000000007E-3</v>
      </c>
      <c r="L1477" s="47">
        <f>K1477*0.414050841519276</f>
        <v>2.0288491234444527E-3</v>
      </c>
      <c r="M1477" s="47">
        <f t="shared" si="21"/>
        <v>4.5059328872222469E-3</v>
      </c>
      <c r="N1477" s="47">
        <v>0</v>
      </c>
      <c r="O1477" s="47">
        <f t="shared" si="30"/>
        <v>0</v>
      </c>
      <c r="P1477" s="92"/>
    </row>
    <row r="1478" spans="1:16" x14ac:dyDescent="0.25">
      <c r="A1478" s="29">
        <v>45</v>
      </c>
      <c r="B1478" s="30">
        <v>437811.10856199998</v>
      </c>
      <c r="C1478" s="30">
        <v>5688750.3324180003</v>
      </c>
      <c r="D1478" s="46">
        <v>19</v>
      </c>
      <c r="E1478" s="30" t="s">
        <v>24</v>
      </c>
      <c r="F1478" s="46">
        <v>2015</v>
      </c>
      <c r="G1478" s="47">
        <v>2.9000000000000001E-2</v>
      </c>
      <c r="H1478" s="47">
        <f>G1478*0.261391280426668</f>
        <v>7.5803471323733721E-3</v>
      </c>
      <c r="I1478" s="47">
        <v>0</v>
      </c>
      <c r="J1478" s="47">
        <f>I1478*0.467391304347826</f>
        <v>0</v>
      </c>
      <c r="K1478" s="47">
        <v>1.0699999999999999E-2</v>
      </c>
      <c r="L1478" s="47">
        <f>K1478*0.414050841519276</f>
        <v>4.4303440042562535E-3</v>
      </c>
      <c r="M1478" s="47">
        <f t="shared" si="21"/>
        <v>3.1500031281171187E-3</v>
      </c>
      <c r="N1478" s="47">
        <v>0</v>
      </c>
      <c r="O1478" s="47">
        <f t="shared" si="30"/>
        <v>0</v>
      </c>
      <c r="P1478" s="92"/>
    </row>
    <row r="1479" spans="1:16" x14ac:dyDescent="0.25">
      <c r="A1479" s="29">
        <v>46</v>
      </c>
      <c r="B1479" s="30">
        <v>437930.10856199998</v>
      </c>
      <c r="C1479" s="30">
        <v>5688750.3324180003</v>
      </c>
      <c r="D1479" s="46">
        <v>19</v>
      </c>
      <c r="E1479" s="30" t="s">
        <v>24</v>
      </c>
      <c r="F1479" s="46">
        <v>2015</v>
      </c>
      <c r="G1479" s="47">
        <v>1.8200000000000001E-2</v>
      </c>
      <c r="H1479" s="47">
        <f>G1479*0.261391280426668</f>
        <v>4.7573213037653576E-3</v>
      </c>
      <c r="I1479" s="47">
        <v>0</v>
      </c>
      <c r="J1479" s="47">
        <f>I1479*0.467391304347826</f>
        <v>0</v>
      </c>
      <c r="K1479" s="47">
        <v>2.7000000000000001E-3</v>
      </c>
      <c r="L1479" s="47">
        <f>K1479*0.414050841519276</f>
        <v>1.1179372721020454E-3</v>
      </c>
      <c r="M1479" s="47">
        <f t="shared" si="21"/>
        <v>3.6393840316633124E-3</v>
      </c>
      <c r="N1479" s="47">
        <v>0</v>
      </c>
      <c r="O1479" s="47">
        <f t="shared" si="30"/>
        <v>0</v>
      </c>
      <c r="P1479" s="92"/>
    </row>
    <row r="1480" spans="1:16" x14ac:dyDescent="0.25">
      <c r="A1480" s="29">
        <v>47</v>
      </c>
      <c r="B1480" s="30">
        <v>438061</v>
      </c>
      <c r="C1480" s="30">
        <v>5688779</v>
      </c>
      <c r="D1480" s="46">
        <v>19</v>
      </c>
      <c r="E1480" s="30" t="s">
        <v>24</v>
      </c>
      <c r="F1480" s="46">
        <v>2015</v>
      </c>
      <c r="G1480" s="47">
        <v>5.0999999999999997E-2</v>
      </c>
      <c r="H1480" s="47">
        <f>G1480*0.261391280426668</f>
        <v>1.3330955301760067E-2</v>
      </c>
      <c r="I1480" s="47">
        <v>0</v>
      </c>
      <c r="J1480" s="47">
        <f>I1480*0.467391304347826</f>
        <v>0</v>
      </c>
      <c r="K1480" s="47">
        <v>2.8300000000000002E-2</v>
      </c>
      <c r="L1480" s="47">
        <f>K1480*0.414050841519276</f>
        <v>1.1717638814995513E-2</v>
      </c>
      <c r="M1480" s="47">
        <f t="shared" si="21"/>
        <v>1.6133164867645541E-3</v>
      </c>
      <c r="N1480" s="47">
        <v>0</v>
      </c>
      <c r="O1480" s="47">
        <f t="shared" si="30"/>
        <v>0</v>
      </c>
      <c r="P1480" s="92"/>
    </row>
    <row r="1481" spans="1:16" x14ac:dyDescent="0.25">
      <c r="A1481" s="32">
        <v>48</v>
      </c>
      <c r="B1481" s="33">
        <v>438168.10856199998</v>
      </c>
      <c r="C1481" s="33">
        <v>5688750.3324180003</v>
      </c>
      <c r="D1481" s="48">
        <v>20</v>
      </c>
      <c r="E1481" s="48" t="s">
        <v>24</v>
      </c>
      <c r="F1481" s="48">
        <v>2015</v>
      </c>
      <c r="G1481" s="48" t="s">
        <v>18</v>
      </c>
      <c r="H1481" s="48" t="s">
        <v>18</v>
      </c>
      <c r="I1481" s="48" t="s">
        <v>18</v>
      </c>
      <c r="J1481" s="48" t="s">
        <v>18</v>
      </c>
      <c r="K1481" s="48" t="s">
        <v>18</v>
      </c>
      <c r="L1481" s="48" t="s">
        <v>18</v>
      </c>
      <c r="M1481" s="48" t="s">
        <v>18</v>
      </c>
      <c r="N1481" s="48" t="s">
        <v>18</v>
      </c>
      <c r="O1481" s="48" t="s">
        <v>18</v>
      </c>
      <c r="P1481" s="103" t="s">
        <v>21</v>
      </c>
    </row>
    <row r="1482" spans="1:16" x14ac:dyDescent="0.25">
      <c r="A1482" s="29">
        <v>49</v>
      </c>
      <c r="B1482" s="30">
        <v>437454.10856199998</v>
      </c>
      <c r="C1482" s="30">
        <v>5688869.3324180003</v>
      </c>
      <c r="D1482" s="46">
        <v>19</v>
      </c>
      <c r="E1482" s="30" t="s">
        <v>24</v>
      </c>
      <c r="F1482" s="46">
        <v>2015</v>
      </c>
      <c r="G1482" s="47">
        <v>5.04E-2</v>
      </c>
      <c r="H1482" s="47">
        <f t="shared" ref="H1482:H1493" si="31">G1482*0.261391280426668</f>
        <v>1.3174120533504067E-2</v>
      </c>
      <c r="I1482" s="47">
        <v>0</v>
      </c>
      <c r="J1482" s="47">
        <f t="shared" ref="J1482:J1493" si="32">I1482*0.467391304347826</f>
        <v>0</v>
      </c>
      <c r="K1482" s="47">
        <v>6.3E-3</v>
      </c>
      <c r="L1482" s="47">
        <f t="shared" ref="L1482:L1493" si="33">K1482*0.414050841519276</f>
        <v>2.6085203015714389E-3</v>
      </c>
      <c r="M1482" s="47">
        <f t="shared" si="21"/>
        <v>1.0565600231932627E-2</v>
      </c>
      <c r="N1482" s="47">
        <v>0</v>
      </c>
      <c r="O1482" s="47">
        <f t="shared" ref="O1482:O1493" si="34">N1482</f>
        <v>0</v>
      </c>
      <c r="P1482" s="92"/>
    </row>
    <row r="1483" spans="1:16" x14ac:dyDescent="0.25">
      <c r="A1483" s="29">
        <v>50</v>
      </c>
      <c r="B1483" s="30">
        <v>437811.10856199998</v>
      </c>
      <c r="C1483" s="30">
        <v>5688869.3324180003</v>
      </c>
      <c r="D1483" s="46">
        <v>19</v>
      </c>
      <c r="E1483" s="30" t="s">
        <v>24</v>
      </c>
      <c r="F1483" s="46">
        <v>2015</v>
      </c>
      <c r="G1483" s="47">
        <v>9.4000000000000004E-3</v>
      </c>
      <c r="H1483" s="47">
        <f t="shared" si="31"/>
        <v>2.4570780360106789E-3</v>
      </c>
      <c r="I1483" s="47">
        <v>0</v>
      </c>
      <c r="J1483" s="47">
        <f t="shared" si="32"/>
        <v>0</v>
      </c>
      <c r="K1483" s="47">
        <v>1.6000000000000001E-3</v>
      </c>
      <c r="L1483" s="47">
        <f t="shared" si="33"/>
        <v>6.6248134643084162E-4</v>
      </c>
      <c r="M1483" s="47">
        <f t="shared" si="21"/>
        <v>1.7945966895798373E-3</v>
      </c>
      <c r="N1483" s="47">
        <v>0</v>
      </c>
      <c r="O1483" s="47">
        <f t="shared" si="34"/>
        <v>0</v>
      </c>
      <c r="P1483" s="92"/>
    </row>
    <row r="1484" spans="1:16" x14ac:dyDescent="0.25">
      <c r="A1484" s="29">
        <v>51</v>
      </c>
      <c r="B1484" s="30">
        <v>437930.10856199998</v>
      </c>
      <c r="C1484" s="30">
        <v>5688869.3324180003</v>
      </c>
      <c r="D1484" s="46">
        <v>19</v>
      </c>
      <c r="E1484" s="30" t="s">
        <v>24</v>
      </c>
      <c r="F1484" s="46">
        <v>2015</v>
      </c>
      <c r="G1484" s="47">
        <v>5.1700000000000003E-2</v>
      </c>
      <c r="H1484" s="47">
        <f t="shared" si="31"/>
        <v>1.3513929198058735E-2</v>
      </c>
      <c r="I1484" s="47">
        <v>0</v>
      </c>
      <c r="J1484" s="47">
        <f t="shared" si="32"/>
        <v>0</v>
      </c>
      <c r="K1484" s="47">
        <v>5.7999999999999996E-3</v>
      </c>
      <c r="L1484" s="47">
        <f t="shared" si="33"/>
        <v>2.4014948808118008E-3</v>
      </c>
      <c r="M1484" s="47">
        <f t="shared" si="21"/>
        <v>1.1112434317246934E-2</v>
      </c>
      <c r="N1484" s="47">
        <v>0</v>
      </c>
      <c r="O1484" s="47">
        <f t="shared" si="34"/>
        <v>0</v>
      </c>
      <c r="P1484" s="92"/>
    </row>
    <row r="1485" spans="1:16" x14ac:dyDescent="0.25">
      <c r="A1485" s="29">
        <v>52</v>
      </c>
      <c r="B1485" s="30">
        <v>438049.10856199998</v>
      </c>
      <c r="C1485" s="30">
        <v>5688869.3324180003</v>
      </c>
      <c r="D1485" s="46">
        <v>19</v>
      </c>
      <c r="E1485" s="30" t="s">
        <v>24</v>
      </c>
      <c r="F1485" s="46">
        <v>2015</v>
      </c>
      <c r="G1485" s="47">
        <v>8.6999999999999994E-3</v>
      </c>
      <c r="H1485" s="47">
        <f t="shared" si="31"/>
        <v>2.2741041397120114E-3</v>
      </c>
      <c r="I1485" s="47">
        <v>4.0799999999999996E-2</v>
      </c>
      <c r="J1485" s="47">
        <f t="shared" si="32"/>
        <v>1.90695652173913E-2</v>
      </c>
      <c r="K1485" s="47">
        <v>2.2000000000000001E-3</v>
      </c>
      <c r="L1485" s="47">
        <f t="shared" si="33"/>
        <v>9.109118513424073E-4</v>
      </c>
      <c r="M1485" s="47">
        <f>H1485-L1485</f>
        <v>1.3631922883696041E-3</v>
      </c>
      <c r="N1485" s="47">
        <v>0</v>
      </c>
      <c r="O1485" s="47">
        <f t="shared" si="34"/>
        <v>0</v>
      </c>
      <c r="P1485" s="92"/>
    </row>
    <row r="1486" spans="1:16" x14ac:dyDescent="0.25">
      <c r="A1486" s="29">
        <v>53</v>
      </c>
      <c r="B1486" s="30">
        <v>438287.10856199998</v>
      </c>
      <c r="C1486" s="30">
        <v>5688869.3324180003</v>
      </c>
      <c r="D1486" s="46">
        <v>19</v>
      </c>
      <c r="E1486" s="30" t="s">
        <v>24</v>
      </c>
      <c r="F1486" s="46">
        <v>2015</v>
      </c>
      <c r="G1486" s="47">
        <v>2.92E-2</v>
      </c>
      <c r="H1486" s="47">
        <f t="shared" si="31"/>
        <v>7.632625388458705E-3</v>
      </c>
      <c r="I1486" s="47">
        <v>0</v>
      </c>
      <c r="J1486" s="47">
        <f t="shared" si="32"/>
        <v>0</v>
      </c>
      <c r="K1486" s="47">
        <v>7.1999999999999998E-3</v>
      </c>
      <c r="L1486" s="47">
        <f t="shared" si="33"/>
        <v>2.9811660589387874E-3</v>
      </c>
      <c r="M1486" s="47">
        <f t="shared" si="21"/>
        <v>4.6514593295199176E-3</v>
      </c>
      <c r="N1486" s="47">
        <v>0</v>
      </c>
      <c r="O1486" s="47">
        <f t="shared" si="34"/>
        <v>0</v>
      </c>
      <c r="P1486" s="92"/>
    </row>
    <row r="1487" spans="1:16" x14ac:dyDescent="0.25">
      <c r="A1487" s="29">
        <v>54</v>
      </c>
      <c r="B1487" s="30">
        <v>437454.10856199998</v>
      </c>
      <c r="C1487" s="30">
        <v>5688988.3324180003</v>
      </c>
      <c r="D1487" s="46">
        <v>19</v>
      </c>
      <c r="E1487" s="30" t="s">
        <v>24</v>
      </c>
      <c r="F1487" s="46">
        <v>2015</v>
      </c>
      <c r="G1487" s="47">
        <v>4.19E-2</v>
      </c>
      <c r="H1487" s="47">
        <f t="shared" si="31"/>
        <v>1.0952294649877388E-2</v>
      </c>
      <c r="I1487" s="47">
        <v>6.0000000000000001E-3</v>
      </c>
      <c r="J1487" s="47">
        <f t="shared" si="32"/>
        <v>2.8043478260869562E-3</v>
      </c>
      <c r="K1487" s="47">
        <v>1.15E-2</v>
      </c>
      <c r="L1487" s="47">
        <f t="shared" si="33"/>
        <v>4.7615846774716744E-3</v>
      </c>
      <c r="M1487" s="47">
        <f t="shared" si="21"/>
        <v>6.1907099724057132E-3</v>
      </c>
      <c r="N1487" s="47">
        <v>0</v>
      </c>
      <c r="O1487" s="47">
        <f t="shared" si="34"/>
        <v>0</v>
      </c>
      <c r="P1487" s="92"/>
    </row>
    <row r="1488" spans="1:16" x14ac:dyDescent="0.25">
      <c r="A1488" s="29">
        <v>55</v>
      </c>
      <c r="B1488" s="30">
        <v>438049.10856199998</v>
      </c>
      <c r="C1488" s="30">
        <v>5688988.3324180003</v>
      </c>
      <c r="D1488" s="46">
        <v>19</v>
      </c>
      <c r="E1488" s="30" t="s">
        <v>24</v>
      </c>
      <c r="F1488" s="46">
        <v>2015</v>
      </c>
      <c r="G1488" s="47">
        <v>3.73E-2</v>
      </c>
      <c r="H1488" s="47">
        <f t="shared" si="31"/>
        <v>9.7498947599147165E-3</v>
      </c>
      <c r="I1488" s="47">
        <v>0</v>
      </c>
      <c r="J1488" s="47">
        <f t="shared" si="32"/>
        <v>0</v>
      </c>
      <c r="K1488" s="47">
        <v>6.4000000000000003E-3</v>
      </c>
      <c r="L1488" s="47">
        <f t="shared" si="33"/>
        <v>2.6499253857233665E-3</v>
      </c>
      <c r="M1488" s="47">
        <f t="shared" si="21"/>
        <v>7.09996937419135E-3</v>
      </c>
      <c r="N1488" s="47">
        <v>0</v>
      </c>
      <c r="O1488" s="47">
        <f t="shared" si="34"/>
        <v>0</v>
      </c>
      <c r="P1488" s="92"/>
    </row>
    <row r="1489" spans="1:19" x14ac:dyDescent="0.25">
      <c r="A1489" s="29">
        <v>56</v>
      </c>
      <c r="B1489" s="30">
        <v>438168.10856199998</v>
      </c>
      <c r="C1489" s="30">
        <v>5688988.3324180003</v>
      </c>
      <c r="D1489" s="46">
        <v>19</v>
      </c>
      <c r="E1489" s="30" t="s">
        <v>24</v>
      </c>
      <c r="F1489" s="46">
        <v>2015</v>
      </c>
      <c r="G1489" s="47">
        <v>5.4999999999999997E-3</v>
      </c>
      <c r="H1489" s="47">
        <f t="shared" si="31"/>
        <v>1.4376520423466739E-3</v>
      </c>
      <c r="I1489" s="47">
        <v>0</v>
      </c>
      <c r="J1489" s="47">
        <f t="shared" si="32"/>
        <v>0</v>
      </c>
      <c r="K1489" s="47">
        <v>2.8E-3</v>
      </c>
      <c r="L1489" s="47">
        <f t="shared" si="33"/>
        <v>1.1593423562539728E-3</v>
      </c>
      <c r="M1489" s="47">
        <f t="shared" si="21"/>
        <v>2.7830968609270112E-4</v>
      </c>
      <c r="N1489" s="47">
        <v>0</v>
      </c>
      <c r="O1489" s="47">
        <f t="shared" si="34"/>
        <v>0</v>
      </c>
      <c r="P1489" s="92"/>
    </row>
    <row r="1490" spans="1:19" x14ac:dyDescent="0.25">
      <c r="A1490" s="40">
        <v>57</v>
      </c>
      <c r="B1490" s="41">
        <v>438146</v>
      </c>
      <c r="C1490" s="41">
        <v>5688977</v>
      </c>
      <c r="D1490" s="50">
        <v>19</v>
      </c>
      <c r="E1490" s="41" t="s">
        <v>24</v>
      </c>
      <c r="F1490" s="50">
        <v>2015</v>
      </c>
      <c r="G1490" s="37">
        <v>7.0199999999999999E-2</v>
      </c>
      <c r="H1490" s="51">
        <f t="shared" si="31"/>
        <v>1.8349667885952093E-2</v>
      </c>
      <c r="I1490" s="51">
        <v>0</v>
      </c>
      <c r="J1490" s="51">
        <f t="shared" si="32"/>
        <v>0</v>
      </c>
      <c r="K1490" s="51">
        <v>3.2000000000000002E-3</v>
      </c>
      <c r="L1490" s="51">
        <f t="shared" si="33"/>
        <v>1.3249626928616832E-3</v>
      </c>
      <c r="M1490" s="51">
        <f t="shared" si="21"/>
        <v>1.7024705193090409E-2</v>
      </c>
      <c r="N1490" s="51">
        <v>0</v>
      </c>
      <c r="O1490" s="51">
        <f t="shared" si="34"/>
        <v>0</v>
      </c>
      <c r="P1490" s="101"/>
    </row>
    <row r="1491" spans="1:19" x14ac:dyDescent="0.25">
      <c r="A1491" s="40">
        <v>58</v>
      </c>
      <c r="B1491" s="41">
        <v>438131</v>
      </c>
      <c r="C1491" s="41">
        <v>5688972</v>
      </c>
      <c r="D1491" s="50">
        <v>19</v>
      </c>
      <c r="E1491" s="41" t="s">
        <v>24</v>
      </c>
      <c r="F1491" s="50">
        <v>2015</v>
      </c>
      <c r="G1491" s="51">
        <v>0.1759</v>
      </c>
      <c r="H1491" s="51">
        <f t="shared" si="31"/>
        <v>4.5978726227050896E-2</v>
      </c>
      <c r="I1491" s="51">
        <v>0</v>
      </c>
      <c r="J1491" s="51">
        <f t="shared" si="32"/>
        <v>0</v>
      </c>
      <c r="K1491" s="51">
        <v>7.7999999999999996E-3</v>
      </c>
      <c r="L1491" s="51">
        <f t="shared" si="33"/>
        <v>3.2295965638503526E-3</v>
      </c>
      <c r="M1491" s="51">
        <f t="shared" si="21"/>
        <v>4.2749129663200547E-2</v>
      </c>
      <c r="N1491" s="51">
        <v>0</v>
      </c>
      <c r="O1491" s="51">
        <f t="shared" si="34"/>
        <v>0</v>
      </c>
      <c r="P1491" s="101"/>
    </row>
    <row r="1492" spans="1:19" x14ac:dyDescent="0.25">
      <c r="A1492" s="40">
        <v>59</v>
      </c>
      <c r="B1492" s="41">
        <v>438089</v>
      </c>
      <c r="C1492" s="41">
        <v>5688713</v>
      </c>
      <c r="D1492" s="50">
        <v>19</v>
      </c>
      <c r="E1492" s="41" t="s">
        <v>24</v>
      </c>
      <c r="F1492" s="50">
        <v>2015</v>
      </c>
      <c r="G1492" s="51">
        <v>0.2291</v>
      </c>
      <c r="H1492" s="51">
        <f t="shared" si="31"/>
        <v>5.9884742345749635E-2</v>
      </c>
      <c r="I1492" s="51">
        <v>0</v>
      </c>
      <c r="J1492" s="51">
        <f t="shared" si="32"/>
        <v>0</v>
      </c>
      <c r="K1492" s="51">
        <v>2.47E-2</v>
      </c>
      <c r="L1492" s="51">
        <f t="shared" si="33"/>
        <v>1.0227055785526117E-2</v>
      </c>
      <c r="M1492" s="51">
        <f t="shared" si="21"/>
        <v>4.965768656022352E-2</v>
      </c>
      <c r="N1492" s="51">
        <v>0</v>
      </c>
      <c r="O1492" s="51">
        <f t="shared" si="34"/>
        <v>0</v>
      </c>
      <c r="P1492" s="101"/>
    </row>
    <row r="1493" spans="1:19" x14ac:dyDescent="0.25">
      <c r="A1493" s="40">
        <v>60</v>
      </c>
      <c r="B1493" s="41">
        <v>438099</v>
      </c>
      <c r="C1493" s="41">
        <v>5688719</v>
      </c>
      <c r="D1493" s="50">
        <v>19</v>
      </c>
      <c r="E1493" s="41" t="s">
        <v>24</v>
      </c>
      <c r="F1493" s="50">
        <v>2015</v>
      </c>
      <c r="G1493" s="51">
        <v>0.108</v>
      </c>
      <c r="H1493" s="51">
        <f t="shared" si="31"/>
        <v>2.8230258286080143E-2</v>
      </c>
      <c r="I1493" s="51">
        <v>0</v>
      </c>
      <c r="J1493" s="51">
        <f t="shared" si="32"/>
        <v>0</v>
      </c>
      <c r="K1493" s="51">
        <v>8.8000000000000005E-3</v>
      </c>
      <c r="L1493" s="51">
        <f t="shared" si="33"/>
        <v>3.6436474053696292E-3</v>
      </c>
      <c r="M1493" s="51">
        <f t="shared" si="21"/>
        <v>2.4586610880710513E-2</v>
      </c>
      <c r="N1493" s="51">
        <v>0</v>
      </c>
      <c r="O1493" s="51">
        <f t="shared" si="34"/>
        <v>0</v>
      </c>
      <c r="P1493" s="101"/>
    </row>
    <row r="1494" spans="1:19" x14ac:dyDescent="0.25">
      <c r="A1494" s="42">
        <v>1</v>
      </c>
      <c r="B1494" s="43">
        <v>437930.10856199998</v>
      </c>
      <c r="C1494" s="43">
        <v>5688036.3324180003</v>
      </c>
      <c r="D1494" s="44">
        <v>20</v>
      </c>
      <c r="E1494" s="44" t="s">
        <v>33</v>
      </c>
      <c r="F1494" s="44">
        <v>2015</v>
      </c>
      <c r="G1494" s="44" t="s">
        <v>18</v>
      </c>
      <c r="H1494" s="44" t="s">
        <v>18</v>
      </c>
      <c r="I1494" s="44" t="s">
        <v>18</v>
      </c>
      <c r="J1494" s="44" t="s">
        <v>18</v>
      </c>
      <c r="K1494" s="44" t="s">
        <v>18</v>
      </c>
      <c r="L1494" s="44" t="s">
        <v>18</v>
      </c>
      <c r="M1494" s="44" t="s">
        <v>18</v>
      </c>
      <c r="N1494" s="44" t="s">
        <v>18</v>
      </c>
      <c r="O1494" s="44" t="s">
        <v>18</v>
      </c>
      <c r="P1494" s="102" t="s">
        <v>109</v>
      </c>
      <c r="R1494" s="5">
        <f>AVERAGE(M1494:M1553)</f>
        <v>4.3261216708766898E-3</v>
      </c>
      <c r="S1494" s="5">
        <f>AVERAGE(H1494:H1553)</f>
        <v>6.8674664768375235E-3</v>
      </c>
    </row>
    <row r="1495" spans="1:19" x14ac:dyDescent="0.25">
      <c r="A1495" s="42">
        <v>2</v>
      </c>
      <c r="B1495" s="43">
        <v>437811.10856199998</v>
      </c>
      <c r="C1495" s="43">
        <v>5688155.3324180003</v>
      </c>
      <c r="D1495" s="44">
        <v>20</v>
      </c>
      <c r="E1495" s="44" t="s">
        <v>33</v>
      </c>
      <c r="F1495" s="44">
        <v>2015</v>
      </c>
      <c r="G1495" s="44" t="s">
        <v>18</v>
      </c>
      <c r="H1495" s="44" t="s">
        <v>18</v>
      </c>
      <c r="I1495" s="44" t="s">
        <v>18</v>
      </c>
      <c r="J1495" s="44" t="s">
        <v>18</v>
      </c>
      <c r="K1495" s="44" t="s">
        <v>18</v>
      </c>
      <c r="L1495" s="44" t="s">
        <v>18</v>
      </c>
      <c r="M1495" s="44" t="s">
        <v>18</v>
      </c>
      <c r="N1495" s="44" t="s">
        <v>18</v>
      </c>
      <c r="O1495" s="44" t="s">
        <v>18</v>
      </c>
      <c r="P1495" s="102" t="s">
        <v>109</v>
      </c>
    </row>
    <row r="1496" spans="1:19" x14ac:dyDescent="0.25">
      <c r="A1496" s="29">
        <v>3</v>
      </c>
      <c r="B1496" s="30">
        <v>437930.10856199998</v>
      </c>
      <c r="C1496" s="30">
        <v>5688155.3324180003</v>
      </c>
      <c r="D1496" s="46">
        <v>20</v>
      </c>
      <c r="E1496" s="30" t="s">
        <v>33</v>
      </c>
      <c r="F1496" s="46">
        <v>2015</v>
      </c>
      <c r="G1496" s="47">
        <v>1.6999999999999999E-3</v>
      </c>
      <c r="H1496" s="47">
        <f>G1496*0.289397247522715</f>
        <v>4.9197532078861547E-4</v>
      </c>
      <c r="I1496" s="47">
        <v>3.0999999999999999E-3</v>
      </c>
      <c r="J1496" s="47">
        <f>I1496*0.554280972633781</f>
        <v>1.718271015164721E-3</v>
      </c>
      <c r="K1496" s="47">
        <v>5.4000000000000003E-3</v>
      </c>
      <c r="L1496" s="47">
        <f>K1496*0.455566526512975</f>
        <v>2.4600592431700654E-3</v>
      </c>
      <c r="M1496" s="47">
        <f>H1496-L1496</f>
        <v>-1.9680839223814497E-3</v>
      </c>
      <c r="N1496" s="47">
        <v>1.1000000000000001E-3</v>
      </c>
      <c r="O1496" s="47">
        <f>N1496*0.58676920753004</f>
        <v>6.4544612828304406E-4</v>
      </c>
      <c r="P1496" s="92"/>
    </row>
    <row r="1497" spans="1:19" x14ac:dyDescent="0.25">
      <c r="A1497" s="42">
        <v>4</v>
      </c>
      <c r="B1497" s="43">
        <v>438049.10856199998</v>
      </c>
      <c r="C1497" s="43">
        <v>5688155.3324180003</v>
      </c>
      <c r="D1497" s="44">
        <v>20</v>
      </c>
      <c r="E1497" s="44" t="s">
        <v>33</v>
      </c>
      <c r="F1497" s="44">
        <v>2015</v>
      </c>
      <c r="G1497" s="44" t="s">
        <v>18</v>
      </c>
      <c r="H1497" s="44" t="s">
        <v>18</v>
      </c>
      <c r="I1497" s="44" t="s">
        <v>18</v>
      </c>
      <c r="J1497" s="44" t="s">
        <v>18</v>
      </c>
      <c r="K1497" s="44" t="s">
        <v>18</v>
      </c>
      <c r="L1497" s="44" t="s">
        <v>18</v>
      </c>
      <c r="M1497" s="44" t="s">
        <v>18</v>
      </c>
      <c r="N1497" s="44" t="s">
        <v>18</v>
      </c>
      <c r="O1497" s="44" t="s">
        <v>18</v>
      </c>
      <c r="P1497" s="102" t="s">
        <v>109</v>
      </c>
    </row>
    <row r="1498" spans="1:19" x14ac:dyDescent="0.25">
      <c r="A1498" s="42">
        <v>5</v>
      </c>
      <c r="B1498" s="43">
        <v>437573.10856199998</v>
      </c>
      <c r="C1498" s="43">
        <v>5688274.3324180003</v>
      </c>
      <c r="D1498" s="44">
        <v>20</v>
      </c>
      <c r="E1498" s="44" t="s">
        <v>33</v>
      </c>
      <c r="F1498" s="44">
        <v>2015</v>
      </c>
      <c r="G1498" s="44" t="s">
        <v>18</v>
      </c>
      <c r="H1498" s="44" t="s">
        <v>18</v>
      </c>
      <c r="I1498" s="44" t="s">
        <v>18</v>
      </c>
      <c r="J1498" s="44" t="s">
        <v>18</v>
      </c>
      <c r="K1498" s="44" t="s">
        <v>18</v>
      </c>
      <c r="L1498" s="44" t="s">
        <v>18</v>
      </c>
      <c r="M1498" s="44" t="s">
        <v>18</v>
      </c>
      <c r="N1498" s="44" t="s">
        <v>18</v>
      </c>
      <c r="O1498" s="44" t="s">
        <v>18</v>
      </c>
      <c r="P1498" s="102" t="s">
        <v>109</v>
      </c>
    </row>
    <row r="1499" spans="1:19" x14ac:dyDescent="0.25">
      <c r="A1499" s="29">
        <v>6</v>
      </c>
      <c r="B1499" s="30">
        <v>437692.10856199998</v>
      </c>
      <c r="C1499" s="30">
        <v>5688274.3324180003</v>
      </c>
      <c r="D1499" s="46">
        <v>20</v>
      </c>
      <c r="E1499" s="30" t="s">
        <v>33</v>
      </c>
      <c r="F1499" s="46">
        <v>2015</v>
      </c>
      <c r="G1499" s="47">
        <v>1.6999999999999999E-3</v>
      </c>
      <c r="H1499" s="47">
        <f>G1499*0.289397247522715</f>
        <v>4.9197532078861547E-4</v>
      </c>
      <c r="I1499" s="47">
        <v>5.8999999999999997E-2</v>
      </c>
      <c r="J1499" s="47">
        <f t="shared" ref="J1499:J1540" si="35">I1499*0.554280972633781</f>
        <v>3.2702577385393075E-2</v>
      </c>
      <c r="K1499" s="52">
        <v>1.8E-3</v>
      </c>
      <c r="L1499" s="47">
        <f t="shared" ref="L1499:L1540" si="36">K1499*0.455566526512975</f>
        <v>8.2001974772335498E-4</v>
      </c>
      <c r="M1499" s="47">
        <f>H1499-L1499</f>
        <v>-3.2804442693473951E-4</v>
      </c>
      <c r="N1499" s="47">
        <v>3.1399999999999997E-2</v>
      </c>
      <c r="O1499" s="47">
        <f t="shared" ref="O1499:O1540" si="37">N1499*0.58676920753004</f>
        <v>1.8424553116443254E-2</v>
      </c>
      <c r="P1499" s="92"/>
    </row>
    <row r="1500" spans="1:19" x14ac:dyDescent="0.25">
      <c r="A1500" s="29">
        <v>7</v>
      </c>
      <c r="B1500" s="30">
        <v>437811.10856199998</v>
      </c>
      <c r="C1500" s="30">
        <v>5688274.3324180003</v>
      </c>
      <c r="D1500" s="46">
        <v>20</v>
      </c>
      <c r="E1500" s="30" t="s">
        <v>33</v>
      </c>
      <c r="F1500" s="46">
        <v>2015</v>
      </c>
      <c r="G1500" s="47">
        <v>3.5999999999999999E-3</v>
      </c>
      <c r="H1500" s="47">
        <f>G1500*0.289397247522715</f>
        <v>1.041830091081774E-3</v>
      </c>
      <c r="I1500" s="47">
        <v>1.14E-2</v>
      </c>
      <c r="J1500" s="47">
        <f t="shared" si="35"/>
        <v>6.3188030880251033E-3</v>
      </c>
      <c r="K1500" s="47">
        <v>8.0000000000000004E-4</v>
      </c>
      <c r="L1500" s="47">
        <f t="shared" si="36"/>
        <v>3.6445322121038003E-4</v>
      </c>
      <c r="M1500" s="47">
        <f>H1500-L1500</f>
        <v>6.7737686987139392E-4</v>
      </c>
      <c r="N1500" s="47">
        <v>7.7000000000000002E-3</v>
      </c>
      <c r="O1500" s="47">
        <f t="shared" si="37"/>
        <v>4.5181228979813085E-3</v>
      </c>
      <c r="P1500" s="92"/>
    </row>
    <row r="1501" spans="1:19" x14ac:dyDescent="0.25">
      <c r="A1501" s="29">
        <v>8</v>
      </c>
      <c r="B1501" s="30">
        <v>437930.10856199998</v>
      </c>
      <c r="C1501" s="30">
        <v>5688274.3324180003</v>
      </c>
      <c r="D1501" s="46">
        <v>20</v>
      </c>
      <c r="E1501" s="30" t="s">
        <v>33</v>
      </c>
      <c r="F1501" s="46">
        <v>2015</v>
      </c>
      <c r="G1501" s="47">
        <v>7.0999999999999995E-3</v>
      </c>
      <c r="H1501" s="47">
        <f>G1501*0.289397247522715</f>
        <v>2.0547204574112763E-3</v>
      </c>
      <c r="I1501" s="47">
        <v>0</v>
      </c>
      <c r="J1501" s="47">
        <f t="shared" si="35"/>
        <v>0</v>
      </c>
      <c r="K1501" s="47">
        <v>0</v>
      </c>
      <c r="L1501" s="47">
        <f t="shared" si="36"/>
        <v>0</v>
      </c>
      <c r="M1501" s="47">
        <f t="shared" ref="M1501:M1553" si="38">H1501-L1501</f>
        <v>2.0547204574112763E-3</v>
      </c>
      <c r="N1501" s="47">
        <v>0</v>
      </c>
      <c r="O1501" s="47">
        <f t="shared" si="37"/>
        <v>0</v>
      </c>
      <c r="P1501" s="92"/>
    </row>
    <row r="1502" spans="1:19" x14ac:dyDescent="0.25">
      <c r="A1502" s="29">
        <v>9</v>
      </c>
      <c r="B1502" s="30">
        <v>438287.10856199998</v>
      </c>
      <c r="C1502" s="30">
        <v>5688274.3324180003</v>
      </c>
      <c r="D1502" s="46">
        <v>20</v>
      </c>
      <c r="E1502" s="30" t="s">
        <v>33</v>
      </c>
      <c r="F1502" s="46">
        <v>2015</v>
      </c>
      <c r="G1502" s="47">
        <v>2.8799999999999999E-2</v>
      </c>
      <c r="H1502" s="47">
        <f>G1502*0.289397247522715</f>
        <v>8.3346407286541916E-3</v>
      </c>
      <c r="I1502" s="47">
        <v>6.7999999999999996E-3</v>
      </c>
      <c r="J1502" s="47">
        <f t="shared" si="35"/>
        <v>3.7691106139097104E-3</v>
      </c>
      <c r="K1502" s="47">
        <v>4.4999999999999997E-3</v>
      </c>
      <c r="L1502" s="47">
        <f t="shared" si="36"/>
        <v>2.0500493693083877E-3</v>
      </c>
      <c r="M1502" s="47">
        <f t="shared" si="38"/>
        <v>6.2845913593458039E-3</v>
      </c>
      <c r="N1502" s="47">
        <v>7.0000000000000001E-3</v>
      </c>
      <c r="O1502" s="47">
        <f t="shared" si="37"/>
        <v>4.1073844527102802E-3</v>
      </c>
      <c r="P1502" s="92"/>
    </row>
    <row r="1503" spans="1:19" x14ac:dyDescent="0.25">
      <c r="A1503" s="29">
        <v>10</v>
      </c>
      <c r="B1503" s="30">
        <v>438406.10856199998</v>
      </c>
      <c r="C1503" s="30">
        <v>5688274.3324180003</v>
      </c>
      <c r="D1503" s="46">
        <v>20</v>
      </c>
      <c r="E1503" s="30" t="s">
        <v>33</v>
      </c>
      <c r="F1503" s="46">
        <v>2015</v>
      </c>
      <c r="G1503" s="47">
        <v>3.56E-2</v>
      </c>
      <c r="H1503" s="47">
        <f>G1503*0.289397247522715</f>
        <v>1.0302542011808654E-2</v>
      </c>
      <c r="I1503" s="47">
        <v>0</v>
      </c>
      <c r="J1503" s="47">
        <f t="shared" si="35"/>
        <v>0</v>
      </c>
      <c r="K1503" s="47">
        <v>7.0000000000000001E-3</v>
      </c>
      <c r="L1503" s="47">
        <f t="shared" si="36"/>
        <v>3.1889656855908252E-3</v>
      </c>
      <c r="M1503" s="47">
        <f t="shared" si="38"/>
        <v>7.1135763262178287E-3</v>
      </c>
      <c r="N1503" s="47">
        <v>0</v>
      </c>
      <c r="O1503" s="47">
        <f t="shared" si="37"/>
        <v>0</v>
      </c>
      <c r="P1503" s="92"/>
    </row>
    <row r="1504" spans="1:19" x14ac:dyDescent="0.25">
      <c r="A1504" s="42">
        <v>11</v>
      </c>
      <c r="B1504" s="43">
        <v>437454.10856199998</v>
      </c>
      <c r="C1504" s="43">
        <v>5688393.3324180003</v>
      </c>
      <c r="D1504" s="44">
        <v>20</v>
      </c>
      <c r="E1504" s="44" t="s">
        <v>33</v>
      </c>
      <c r="F1504" s="44">
        <v>2015</v>
      </c>
      <c r="G1504" s="44" t="s">
        <v>18</v>
      </c>
      <c r="H1504" s="44" t="s">
        <v>18</v>
      </c>
      <c r="I1504" s="44" t="s">
        <v>18</v>
      </c>
      <c r="J1504" s="44" t="s">
        <v>18</v>
      </c>
      <c r="K1504" s="44" t="s">
        <v>18</v>
      </c>
      <c r="L1504" s="44" t="s">
        <v>18</v>
      </c>
      <c r="M1504" s="44" t="s">
        <v>18</v>
      </c>
      <c r="N1504" s="44" t="s">
        <v>18</v>
      </c>
      <c r="O1504" s="44" t="s">
        <v>18</v>
      </c>
      <c r="P1504" s="102" t="s">
        <v>109</v>
      </c>
    </row>
    <row r="1505" spans="1:16" x14ac:dyDescent="0.25">
      <c r="A1505" s="29">
        <v>12</v>
      </c>
      <c r="B1505" s="30">
        <v>437573.10856199998</v>
      </c>
      <c r="C1505" s="30">
        <v>5688393.3324180003</v>
      </c>
      <c r="D1505" s="46">
        <v>20</v>
      </c>
      <c r="E1505" s="30" t="s">
        <v>33</v>
      </c>
      <c r="F1505" s="46">
        <v>2015</v>
      </c>
      <c r="G1505" s="47">
        <v>9.5999999999999992E-3</v>
      </c>
      <c r="H1505" s="47">
        <f>G1505*0.289397247522715</f>
        <v>2.778213576218064E-3</v>
      </c>
      <c r="I1505" s="47">
        <v>0</v>
      </c>
      <c r="J1505" s="47">
        <f t="shared" si="35"/>
        <v>0</v>
      </c>
      <c r="K1505" s="47">
        <v>2.1000000000000003E-3</v>
      </c>
      <c r="L1505" s="47">
        <f t="shared" si="36"/>
        <v>9.5668970567724769E-4</v>
      </c>
      <c r="M1505" s="47">
        <f t="shared" si="38"/>
        <v>1.8215238705408163E-3</v>
      </c>
      <c r="N1505" s="47">
        <v>0</v>
      </c>
      <c r="O1505" s="47">
        <f t="shared" si="37"/>
        <v>0</v>
      </c>
      <c r="P1505" s="92"/>
    </row>
    <row r="1506" spans="1:16" x14ac:dyDescent="0.25">
      <c r="A1506" s="29">
        <v>13</v>
      </c>
      <c r="B1506" s="30">
        <v>437692.10856199998</v>
      </c>
      <c r="C1506" s="30">
        <v>5688393.3324180003</v>
      </c>
      <c r="D1506" s="46">
        <v>20</v>
      </c>
      <c r="E1506" s="30" t="s">
        <v>33</v>
      </c>
      <c r="F1506" s="46">
        <v>2015</v>
      </c>
      <c r="G1506" s="47">
        <v>9.8000000000000014E-3</v>
      </c>
      <c r="H1506" s="47">
        <f>G1506*0.333524215359988</f>
        <v>3.2685373105278827E-3</v>
      </c>
      <c r="I1506" s="47">
        <v>2.0500000000000001E-2</v>
      </c>
      <c r="J1506" s="47">
        <f t="shared" si="35"/>
        <v>1.1362759938992511E-2</v>
      </c>
      <c r="K1506" s="47">
        <v>1.12E-2</v>
      </c>
      <c r="L1506" s="47">
        <f t="shared" si="36"/>
        <v>5.1023450969453201E-3</v>
      </c>
      <c r="M1506" s="47">
        <f t="shared" si="38"/>
        <v>-1.8338077864174375E-3</v>
      </c>
      <c r="N1506" s="47">
        <v>3.44E-2</v>
      </c>
      <c r="O1506" s="47">
        <f t="shared" si="37"/>
        <v>2.0184860739033379E-2</v>
      </c>
      <c r="P1506" s="92"/>
    </row>
    <row r="1507" spans="1:16" x14ac:dyDescent="0.25">
      <c r="A1507" s="32">
        <v>14</v>
      </c>
      <c r="B1507" s="33">
        <v>437811.10856199998</v>
      </c>
      <c r="C1507" s="33">
        <v>5688393.3324180003</v>
      </c>
      <c r="D1507" s="48">
        <v>20</v>
      </c>
      <c r="E1507" s="48" t="s">
        <v>33</v>
      </c>
      <c r="F1507" s="48">
        <v>2015</v>
      </c>
      <c r="G1507" s="48" t="s">
        <v>18</v>
      </c>
      <c r="H1507" s="48" t="s">
        <v>18</v>
      </c>
      <c r="I1507" s="48" t="s">
        <v>18</v>
      </c>
      <c r="J1507" s="48" t="s">
        <v>18</v>
      </c>
      <c r="K1507" s="48" t="s">
        <v>18</v>
      </c>
      <c r="L1507" s="48" t="s">
        <v>18</v>
      </c>
      <c r="M1507" s="48" t="s">
        <v>18</v>
      </c>
      <c r="N1507" s="48" t="s">
        <v>18</v>
      </c>
      <c r="O1507" s="48" t="s">
        <v>18</v>
      </c>
      <c r="P1507" s="103" t="s">
        <v>21</v>
      </c>
    </row>
    <row r="1508" spans="1:16" x14ac:dyDescent="0.25">
      <c r="A1508" s="29">
        <v>15</v>
      </c>
      <c r="B1508" s="30">
        <v>437930.10856199998</v>
      </c>
      <c r="C1508" s="30">
        <v>5688393.3324180003</v>
      </c>
      <c r="D1508" s="46">
        <v>20</v>
      </c>
      <c r="E1508" s="30" t="s">
        <v>33</v>
      </c>
      <c r="F1508" s="46">
        <v>2015</v>
      </c>
      <c r="G1508" s="47">
        <v>2.3899999999999998E-2</v>
      </c>
      <c r="H1508" s="47">
        <f t="shared" ref="H1508:H1540" si="39">G1508*0.333524215359988</f>
        <v>7.9712287471037126E-3</v>
      </c>
      <c r="I1508" s="47">
        <v>2.47E-2</v>
      </c>
      <c r="J1508" s="47">
        <f t="shared" si="35"/>
        <v>1.369074002405439E-2</v>
      </c>
      <c r="K1508" s="47">
        <v>1.67E-2</v>
      </c>
      <c r="L1508" s="47">
        <f t="shared" si="36"/>
        <v>7.6079609927666826E-3</v>
      </c>
      <c r="M1508" s="47">
        <f t="shared" si="38"/>
        <v>3.6326775433702992E-4</v>
      </c>
      <c r="N1508" s="47">
        <v>3.5700000000000003E-2</v>
      </c>
      <c r="O1508" s="47">
        <f t="shared" si="37"/>
        <v>2.0947660708822431E-2</v>
      </c>
      <c r="P1508" s="92"/>
    </row>
    <row r="1509" spans="1:16" x14ac:dyDescent="0.25">
      <c r="A1509" s="29">
        <v>16</v>
      </c>
      <c r="B1509" s="30">
        <v>438049.10856199998</v>
      </c>
      <c r="C1509" s="30">
        <v>5688393.3324180003</v>
      </c>
      <c r="D1509" s="46">
        <v>20</v>
      </c>
      <c r="E1509" s="30" t="s">
        <v>33</v>
      </c>
      <c r="F1509" s="46">
        <v>2015</v>
      </c>
      <c r="G1509" s="47">
        <v>1.34E-2</v>
      </c>
      <c r="H1509" s="47">
        <f t="shared" si="39"/>
        <v>4.4692244858238394E-3</v>
      </c>
      <c r="I1509" s="47">
        <v>3.8999999999999998E-3</v>
      </c>
      <c r="J1509" s="47">
        <f t="shared" si="35"/>
        <v>2.1616957932717455E-3</v>
      </c>
      <c r="K1509" s="47">
        <v>1.61E-2</v>
      </c>
      <c r="L1509" s="47">
        <f t="shared" si="36"/>
        <v>7.3346210768588981E-3</v>
      </c>
      <c r="M1509" s="47">
        <f>H1509-L1509</f>
        <v>-2.8653965910350587E-3</v>
      </c>
      <c r="N1509" s="47">
        <v>1.0500000000000001E-2</v>
      </c>
      <c r="O1509" s="47">
        <f t="shared" si="37"/>
        <v>6.1610766790654208E-3</v>
      </c>
      <c r="P1509" s="92"/>
    </row>
    <row r="1510" spans="1:16" x14ac:dyDescent="0.25">
      <c r="A1510" s="29">
        <v>17</v>
      </c>
      <c r="B1510" s="30">
        <v>438168.10856199998</v>
      </c>
      <c r="C1510" s="30">
        <v>5688393.3324180003</v>
      </c>
      <c r="D1510" s="46">
        <v>20</v>
      </c>
      <c r="E1510" s="30" t="s">
        <v>33</v>
      </c>
      <c r="F1510" s="46">
        <v>2015</v>
      </c>
      <c r="G1510" s="47">
        <v>1.2699999999999999E-2</v>
      </c>
      <c r="H1510" s="47">
        <f t="shared" si="39"/>
        <v>4.2357575350718477E-3</v>
      </c>
      <c r="I1510" s="47">
        <v>0</v>
      </c>
      <c r="J1510" s="47">
        <f t="shared" si="35"/>
        <v>0</v>
      </c>
      <c r="K1510" s="47">
        <v>5.4000000000000003E-3</v>
      </c>
      <c r="L1510" s="47">
        <f t="shared" si="36"/>
        <v>2.4600592431700654E-3</v>
      </c>
      <c r="M1510" s="47">
        <f t="shared" si="38"/>
        <v>1.7756982919017823E-3</v>
      </c>
      <c r="N1510" s="47">
        <v>0</v>
      </c>
      <c r="O1510" s="47">
        <f t="shared" si="37"/>
        <v>0</v>
      </c>
      <c r="P1510" s="92"/>
    </row>
    <row r="1511" spans="1:16" x14ac:dyDescent="0.25">
      <c r="A1511" s="29">
        <v>18</v>
      </c>
      <c r="B1511" s="30">
        <v>438287.10856199998</v>
      </c>
      <c r="C1511" s="30">
        <v>5688393.3324180003</v>
      </c>
      <c r="D1511" s="46">
        <v>20</v>
      </c>
      <c r="E1511" s="30" t="s">
        <v>33</v>
      </c>
      <c r="F1511" s="46">
        <v>2015</v>
      </c>
      <c r="G1511" s="47">
        <v>1.0699999999999999E-2</v>
      </c>
      <c r="H1511" s="47">
        <f t="shared" si="39"/>
        <v>3.5687091043518715E-3</v>
      </c>
      <c r="I1511" s="47">
        <v>0</v>
      </c>
      <c r="J1511" s="47">
        <f t="shared" si="35"/>
        <v>0</v>
      </c>
      <c r="K1511" s="47">
        <v>3.0000000000000001E-3</v>
      </c>
      <c r="L1511" s="47">
        <f t="shared" si="36"/>
        <v>1.3666995795389252E-3</v>
      </c>
      <c r="M1511" s="47">
        <f t="shared" si="38"/>
        <v>2.2020095248129461E-3</v>
      </c>
      <c r="N1511" s="47">
        <v>0</v>
      </c>
      <c r="O1511" s="47">
        <f t="shared" si="37"/>
        <v>0</v>
      </c>
      <c r="P1511" s="92"/>
    </row>
    <row r="1512" spans="1:16" x14ac:dyDescent="0.25">
      <c r="A1512" s="29">
        <v>19</v>
      </c>
      <c r="B1512" s="30">
        <v>438406.10856199998</v>
      </c>
      <c r="C1512" s="30">
        <v>5688393.3324180003</v>
      </c>
      <c r="D1512" s="46">
        <v>20</v>
      </c>
      <c r="E1512" s="30" t="s">
        <v>33</v>
      </c>
      <c r="F1512" s="46">
        <v>2015</v>
      </c>
      <c r="G1512" s="47">
        <v>1.47E-2</v>
      </c>
      <c r="H1512" s="47">
        <f t="shared" si="39"/>
        <v>4.9028059657918238E-3</v>
      </c>
      <c r="I1512" s="47">
        <v>0</v>
      </c>
      <c r="J1512" s="47">
        <f t="shared" si="35"/>
        <v>0</v>
      </c>
      <c r="K1512" s="47">
        <v>2.8E-3</v>
      </c>
      <c r="L1512" s="47">
        <f t="shared" si="36"/>
        <v>1.27558627423633E-3</v>
      </c>
      <c r="M1512" s="47">
        <f t="shared" si="38"/>
        <v>3.6272196915554935E-3</v>
      </c>
      <c r="N1512" s="47">
        <v>0</v>
      </c>
      <c r="O1512" s="47">
        <f t="shared" si="37"/>
        <v>0</v>
      </c>
      <c r="P1512" s="92"/>
    </row>
    <row r="1513" spans="1:16" x14ac:dyDescent="0.25">
      <c r="A1513" s="42">
        <v>20</v>
      </c>
      <c r="B1513" s="43">
        <v>437335.10856199998</v>
      </c>
      <c r="C1513" s="43">
        <v>5688512.3324180003</v>
      </c>
      <c r="D1513" s="44">
        <v>20</v>
      </c>
      <c r="E1513" s="44" t="s">
        <v>33</v>
      </c>
      <c r="F1513" s="44" t="s">
        <v>18</v>
      </c>
      <c r="G1513" s="44" t="s">
        <v>18</v>
      </c>
      <c r="H1513" s="44" t="s">
        <v>18</v>
      </c>
      <c r="I1513" s="44" t="s">
        <v>18</v>
      </c>
      <c r="J1513" s="44" t="s">
        <v>18</v>
      </c>
      <c r="K1513" s="44" t="s">
        <v>18</v>
      </c>
      <c r="L1513" s="44" t="s">
        <v>18</v>
      </c>
      <c r="M1513" s="44" t="s">
        <v>18</v>
      </c>
      <c r="N1513" s="44" t="s">
        <v>18</v>
      </c>
      <c r="O1513" s="44" t="s">
        <v>18</v>
      </c>
      <c r="P1513" s="102" t="s">
        <v>109</v>
      </c>
    </row>
    <row r="1514" spans="1:16" x14ac:dyDescent="0.25">
      <c r="A1514" s="29">
        <v>21</v>
      </c>
      <c r="B1514" s="30">
        <v>437454.10856199998</v>
      </c>
      <c r="C1514" s="30">
        <v>5688512.3324180003</v>
      </c>
      <c r="D1514" s="46">
        <v>20</v>
      </c>
      <c r="E1514" s="30" t="s">
        <v>33</v>
      </c>
      <c r="F1514" s="46">
        <v>2015</v>
      </c>
      <c r="G1514" s="47">
        <v>2.6199999999999998E-2</v>
      </c>
      <c r="H1514" s="47">
        <f t="shared" si="39"/>
        <v>8.7383344424316854E-3</v>
      </c>
      <c r="I1514" s="47">
        <v>0</v>
      </c>
      <c r="J1514" s="47">
        <f t="shared" si="35"/>
        <v>0</v>
      </c>
      <c r="K1514" s="5">
        <v>3.3E-3</v>
      </c>
      <c r="L1514" s="47">
        <f t="shared" si="36"/>
        <v>1.5033695374928177E-3</v>
      </c>
      <c r="M1514" s="47">
        <f t="shared" si="38"/>
        <v>7.2349649049388677E-3</v>
      </c>
      <c r="N1514" s="47">
        <v>0</v>
      </c>
      <c r="O1514" s="47">
        <f t="shared" si="37"/>
        <v>0</v>
      </c>
      <c r="P1514" s="92"/>
    </row>
    <row r="1515" spans="1:16" x14ac:dyDescent="0.25">
      <c r="A1515" s="29">
        <v>22</v>
      </c>
      <c r="B1515" s="30">
        <v>437573.10856199998</v>
      </c>
      <c r="C1515" s="30">
        <v>5688512.3324180003</v>
      </c>
      <c r="D1515" s="46">
        <v>20</v>
      </c>
      <c r="E1515" s="30" t="s">
        <v>33</v>
      </c>
      <c r="F1515" s="46">
        <v>2015</v>
      </c>
      <c r="G1515" s="47">
        <v>4.7399999999999998E-2</v>
      </c>
      <c r="H1515" s="47">
        <f t="shared" si="39"/>
        <v>1.5809047808063432E-2</v>
      </c>
      <c r="I1515" s="47">
        <v>2.2000000000000001E-3</v>
      </c>
      <c r="J1515" s="47">
        <f t="shared" si="35"/>
        <v>1.2194181397943182E-3</v>
      </c>
      <c r="K1515" s="47">
        <v>1.2999999999999999E-3</v>
      </c>
      <c r="L1515" s="47">
        <f t="shared" si="36"/>
        <v>5.9223648446686756E-4</v>
      </c>
      <c r="M1515" s="47">
        <f>H1515-L1515</f>
        <v>1.5216811323596565E-2</v>
      </c>
      <c r="N1515" s="47">
        <v>1.34E-2</v>
      </c>
      <c r="O1515" s="47">
        <f t="shared" si="37"/>
        <v>7.862707380902537E-3</v>
      </c>
      <c r="P1515" s="92"/>
    </row>
    <row r="1516" spans="1:16" x14ac:dyDescent="0.25">
      <c r="A1516" s="29">
        <v>23</v>
      </c>
      <c r="B1516" s="30">
        <v>437692.10856199998</v>
      </c>
      <c r="C1516" s="30">
        <v>5688512.3324180003</v>
      </c>
      <c r="D1516" s="46">
        <v>20</v>
      </c>
      <c r="E1516" s="30" t="s">
        <v>33</v>
      </c>
      <c r="F1516" s="46">
        <v>2015</v>
      </c>
      <c r="G1516" s="47">
        <v>5.7000000000000002E-3</v>
      </c>
      <c r="H1516" s="47">
        <f t="shared" si="39"/>
        <v>1.9010880275519317E-3</v>
      </c>
      <c r="I1516" s="47">
        <v>0</v>
      </c>
      <c r="J1516" s="47">
        <f t="shared" si="35"/>
        <v>0</v>
      </c>
      <c r="K1516" s="47">
        <v>5.3E-3</v>
      </c>
      <c r="L1516" s="47">
        <f t="shared" si="36"/>
        <v>2.4145025905187678E-3</v>
      </c>
      <c r="M1516" s="47">
        <f t="shared" si="38"/>
        <v>-5.1341456296683614E-4</v>
      </c>
      <c r="N1516" s="47">
        <v>0</v>
      </c>
      <c r="O1516" s="47">
        <f t="shared" si="37"/>
        <v>0</v>
      </c>
      <c r="P1516" s="92"/>
    </row>
    <row r="1517" spans="1:16" x14ac:dyDescent="0.25">
      <c r="A1517" s="29">
        <v>24</v>
      </c>
      <c r="B1517" s="30">
        <v>437811.10856199998</v>
      </c>
      <c r="C1517" s="30">
        <v>5688512.3324180003</v>
      </c>
      <c r="D1517" s="46">
        <v>20</v>
      </c>
      <c r="E1517" s="30" t="s">
        <v>33</v>
      </c>
      <c r="F1517" s="46">
        <v>2015</v>
      </c>
      <c r="G1517" s="47">
        <v>8.72E-2</v>
      </c>
      <c r="H1517" s="47">
        <f t="shared" si="39"/>
        <v>2.9083311579390952E-2</v>
      </c>
      <c r="I1517" s="47">
        <v>0</v>
      </c>
      <c r="J1517" s="47">
        <f t="shared" si="35"/>
        <v>0</v>
      </c>
      <c r="K1517" s="47">
        <v>5.7000000000000002E-3</v>
      </c>
      <c r="L1517" s="47">
        <f t="shared" si="36"/>
        <v>2.5967292011239576E-3</v>
      </c>
      <c r="M1517" s="47">
        <f t="shared" si="38"/>
        <v>2.6486582378266996E-2</v>
      </c>
      <c r="N1517" s="47">
        <v>0</v>
      </c>
      <c r="O1517" s="47">
        <f t="shared" si="37"/>
        <v>0</v>
      </c>
      <c r="P1517" s="92"/>
    </row>
    <row r="1518" spans="1:16" x14ac:dyDescent="0.25">
      <c r="A1518" s="29">
        <v>25</v>
      </c>
      <c r="B1518" s="46">
        <v>437995</v>
      </c>
      <c r="C1518" s="46">
        <v>5688493</v>
      </c>
      <c r="D1518" s="46">
        <v>20</v>
      </c>
      <c r="E1518" s="30" t="s">
        <v>33</v>
      </c>
      <c r="F1518" s="46">
        <v>2015</v>
      </c>
      <c r="G1518" s="47">
        <v>2.2600000000000002E-2</v>
      </c>
      <c r="H1518" s="47">
        <f t="shared" si="39"/>
        <v>7.5376472671357291E-3</v>
      </c>
      <c r="I1518" s="47">
        <v>0</v>
      </c>
      <c r="J1518" s="47">
        <f t="shared" si="35"/>
        <v>0</v>
      </c>
      <c r="K1518" s="47">
        <v>2.8E-3</v>
      </c>
      <c r="L1518" s="47">
        <f t="shared" si="36"/>
        <v>1.27558627423633E-3</v>
      </c>
      <c r="M1518" s="47">
        <f t="shared" si="38"/>
        <v>6.2620609928993988E-3</v>
      </c>
      <c r="N1518" s="47">
        <v>0</v>
      </c>
      <c r="O1518" s="47">
        <f t="shared" si="37"/>
        <v>0</v>
      </c>
      <c r="P1518" s="92"/>
    </row>
    <row r="1519" spans="1:16" x14ac:dyDescent="0.25">
      <c r="A1519" s="29">
        <v>26</v>
      </c>
      <c r="B1519" s="46">
        <v>438112</v>
      </c>
      <c r="C1519" s="46">
        <v>5688567</v>
      </c>
      <c r="D1519" s="46">
        <v>20</v>
      </c>
      <c r="E1519" s="30" t="s">
        <v>33</v>
      </c>
      <c r="F1519" s="46">
        <v>2015</v>
      </c>
      <c r="G1519" s="47">
        <v>2.1000000000000001E-2</v>
      </c>
      <c r="H1519" s="47">
        <f t="shared" si="39"/>
        <v>7.004008522559748E-3</v>
      </c>
      <c r="I1519" s="47">
        <v>0</v>
      </c>
      <c r="J1519" s="47">
        <f t="shared" si="35"/>
        <v>0</v>
      </c>
      <c r="K1519" s="47">
        <v>4.0000000000000001E-3</v>
      </c>
      <c r="L1519" s="47">
        <f t="shared" si="36"/>
        <v>1.8222661060519002E-3</v>
      </c>
      <c r="M1519" s="47">
        <f t="shared" si="38"/>
        <v>5.1817424165078478E-3</v>
      </c>
      <c r="N1519" s="47">
        <v>0</v>
      </c>
      <c r="O1519" s="47">
        <f t="shared" si="37"/>
        <v>0</v>
      </c>
      <c r="P1519" s="92"/>
    </row>
    <row r="1520" spans="1:16" x14ac:dyDescent="0.25">
      <c r="A1520" s="32">
        <v>27</v>
      </c>
      <c r="B1520" s="33">
        <v>438168.10856199998</v>
      </c>
      <c r="C1520" s="33">
        <v>5688512.3324180003</v>
      </c>
      <c r="D1520" s="48">
        <v>20</v>
      </c>
      <c r="E1520" s="48" t="s">
        <v>33</v>
      </c>
      <c r="F1520" s="48">
        <v>2015</v>
      </c>
      <c r="G1520" s="48" t="s">
        <v>18</v>
      </c>
      <c r="H1520" s="48" t="s">
        <v>18</v>
      </c>
      <c r="I1520" s="48" t="s">
        <v>18</v>
      </c>
      <c r="J1520" s="48" t="s">
        <v>18</v>
      </c>
      <c r="K1520" s="48" t="s">
        <v>18</v>
      </c>
      <c r="L1520" s="48" t="s">
        <v>18</v>
      </c>
      <c r="M1520" s="48" t="s">
        <v>18</v>
      </c>
      <c r="N1520" s="48" t="s">
        <v>18</v>
      </c>
      <c r="O1520" s="48" t="s">
        <v>18</v>
      </c>
      <c r="P1520" s="103" t="s">
        <v>21</v>
      </c>
    </row>
    <row r="1521" spans="1:16" x14ac:dyDescent="0.25">
      <c r="A1521" s="32">
        <v>28</v>
      </c>
      <c r="B1521" s="33">
        <v>438287.10856199998</v>
      </c>
      <c r="C1521" s="33">
        <v>5688512.3324180003</v>
      </c>
      <c r="D1521" s="48">
        <v>20</v>
      </c>
      <c r="E1521" s="48" t="s">
        <v>33</v>
      </c>
      <c r="F1521" s="48">
        <v>2015</v>
      </c>
      <c r="G1521" s="48" t="s">
        <v>18</v>
      </c>
      <c r="H1521" s="48" t="s">
        <v>18</v>
      </c>
      <c r="I1521" s="48" t="s">
        <v>18</v>
      </c>
      <c r="J1521" s="48" t="s">
        <v>18</v>
      </c>
      <c r="K1521" s="48" t="s">
        <v>18</v>
      </c>
      <c r="L1521" s="48" t="s">
        <v>18</v>
      </c>
      <c r="M1521" s="48" t="s">
        <v>18</v>
      </c>
      <c r="N1521" s="48" t="s">
        <v>18</v>
      </c>
      <c r="O1521" s="48" t="s">
        <v>18</v>
      </c>
      <c r="P1521" s="103" t="s">
        <v>21</v>
      </c>
    </row>
    <row r="1522" spans="1:16" x14ac:dyDescent="0.25">
      <c r="A1522" s="29">
        <v>29</v>
      </c>
      <c r="B1522" s="30">
        <v>438381</v>
      </c>
      <c r="C1522" s="30">
        <v>5688526</v>
      </c>
      <c r="D1522" s="46">
        <v>20</v>
      </c>
      <c r="E1522" s="30" t="s">
        <v>33</v>
      </c>
      <c r="F1522" s="46">
        <v>2015</v>
      </c>
      <c r="G1522" s="47">
        <v>3.39E-2</v>
      </c>
      <c r="H1522" s="47">
        <f t="shared" si="39"/>
        <v>1.1306470900703592E-2</v>
      </c>
      <c r="I1522" s="47">
        <v>0</v>
      </c>
      <c r="J1522" s="47">
        <f t="shared" si="35"/>
        <v>0</v>
      </c>
      <c r="K1522" s="47">
        <v>4.9000000000000007E-3</v>
      </c>
      <c r="L1522" s="47">
        <f t="shared" si="36"/>
        <v>2.2322759799135779E-3</v>
      </c>
      <c r="M1522" s="47">
        <f t="shared" si="38"/>
        <v>9.0741949207900144E-3</v>
      </c>
      <c r="N1522" s="47">
        <v>0</v>
      </c>
      <c r="O1522" s="47">
        <f t="shared" si="37"/>
        <v>0</v>
      </c>
      <c r="P1522" s="92"/>
    </row>
    <row r="1523" spans="1:16" x14ac:dyDescent="0.25">
      <c r="A1523" s="29">
        <v>30</v>
      </c>
      <c r="B1523" s="30">
        <v>438525.10856199998</v>
      </c>
      <c r="C1523" s="30">
        <v>5688512.3324180003</v>
      </c>
      <c r="D1523" s="46">
        <v>20</v>
      </c>
      <c r="E1523" s="30" t="s">
        <v>33</v>
      </c>
      <c r="F1523" s="46">
        <v>2015</v>
      </c>
      <c r="G1523" s="47">
        <v>1.1300000000000001E-2</v>
      </c>
      <c r="H1523" s="47">
        <f t="shared" si="39"/>
        <v>3.7688236335678645E-3</v>
      </c>
      <c r="I1523" s="47">
        <v>0</v>
      </c>
      <c r="J1523" s="47">
        <f t="shared" si="35"/>
        <v>0</v>
      </c>
      <c r="K1523" s="47">
        <v>8.0000000000000004E-4</v>
      </c>
      <c r="L1523" s="47">
        <f t="shared" si="36"/>
        <v>3.6445322121038003E-4</v>
      </c>
      <c r="M1523" s="47">
        <f t="shared" si="38"/>
        <v>3.4043704123574844E-3</v>
      </c>
      <c r="N1523" s="47">
        <v>0</v>
      </c>
      <c r="O1523" s="47">
        <f t="shared" si="37"/>
        <v>0</v>
      </c>
      <c r="P1523" s="92"/>
    </row>
    <row r="1524" spans="1:16" x14ac:dyDescent="0.25">
      <c r="A1524" s="29">
        <v>31</v>
      </c>
      <c r="B1524" s="30">
        <v>437335.10856199998</v>
      </c>
      <c r="C1524" s="30">
        <v>5688631.3324180003</v>
      </c>
      <c r="D1524" s="46">
        <v>20</v>
      </c>
      <c r="E1524" s="30" t="s">
        <v>33</v>
      </c>
      <c r="F1524" s="46">
        <v>2015</v>
      </c>
      <c r="G1524" s="47">
        <v>8.5000000000000006E-3</v>
      </c>
      <c r="H1524" s="47">
        <f t="shared" si="39"/>
        <v>2.8349558305598983E-3</v>
      </c>
      <c r="I1524" s="47">
        <v>0</v>
      </c>
      <c r="J1524" s="47">
        <f t="shared" si="35"/>
        <v>0</v>
      </c>
      <c r="K1524" s="47">
        <v>1.6000000000000001E-3</v>
      </c>
      <c r="L1524" s="47">
        <f t="shared" si="36"/>
        <v>7.2890644242076005E-4</v>
      </c>
      <c r="M1524" s="47">
        <f t="shared" si="38"/>
        <v>2.1060493881391385E-3</v>
      </c>
      <c r="N1524" s="47">
        <v>0</v>
      </c>
      <c r="O1524" s="47">
        <f t="shared" si="37"/>
        <v>0</v>
      </c>
      <c r="P1524" s="92"/>
    </row>
    <row r="1525" spans="1:16" x14ac:dyDescent="0.25">
      <c r="A1525" s="29">
        <v>32</v>
      </c>
      <c r="B1525" s="30">
        <v>437454.10856199998</v>
      </c>
      <c r="C1525" s="30">
        <v>5688631.3324180003</v>
      </c>
      <c r="D1525" s="46">
        <v>20</v>
      </c>
      <c r="E1525" s="30" t="s">
        <v>33</v>
      </c>
      <c r="F1525" s="46">
        <v>2015</v>
      </c>
      <c r="G1525" s="47">
        <v>1.9399999999999997E-2</v>
      </c>
      <c r="H1525" s="47">
        <f t="shared" si="39"/>
        <v>6.4703697779837661E-3</v>
      </c>
      <c r="I1525" s="47">
        <v>0</v>
      </c>
      <c r="J1525" s="47">
        <f t="shared" si="35"/>
        <v>0</v>
      </c>
      <c r="K1525" s="47">
        <v>4.3E-3</v>
      </c>
      <c r="L1525" s="47">
        <f t="shared" si="36"/>
        <v>1.9589360640057925E-3</v>
      </c>
      <c r="M1525" s="47">
        <f t="shared" si="38"/>
        <v>4.5114337139779736E-3</v>
      </c>
      <c r="N1525" s="47">
        <v>0</v>
      </c>
      <c r="O1525" s="47">
        <f t="shared" si="37"/>
        <v>0</v>
      </c>
      <c r="P1525" s="92"/>
    </row>
    <row r="1526" spans="1:16" x14ac:dyDescent="0.25">
      <c r="A1526" s="29">
        <v>33</v>
      </c>
      <c r="B1526" s="30">
        <v>437573.10856199998</v>
      </c>
      <c r="C1526" s="30">
        <v>5688631.3324180003</v>
      </c>
      <c r="D1526" s="46">
        <v>20</v>
      </c>
      <c r="E1526" s="30" t="s">
        <v>33</v>
      </c>
      <c r="F1526" s="46">
        <v>2015</v>
      </c>
      <c r="G1526" s="47">
        <v>1.3900000000000001E-2</v>
      </c>
      <c r="H1526" s="47">
        <f t="shared" si="39"/>
        <v>4.6359865935038337E-3</v>
      </c>
      <c r="I1526" s="47">
        <v>0</v>
      </c>
      <c r="J1526" s="47">
        <f t="shared" si="35"/>
        <v>0</v>
      </c>
      <c r="K1526" s="47">
        <v>2.1000000000000003E-3</v>
      </c>
      <c r="L1526" s="47">
        <f t="shared" si="36"/>
        <v>9.5668970567724769E-4</v>
      </c>
      <c r="M1526" s="47">
        <f t="shared" si="38"/>
        <v>3.679296887826586E-3</v>
      </c>
      <c r="N1526" s="47">
        <v>0</v>
      </c>
      <c r="O1526" s="47">
        <f t="shared" si="37"/>
        <v>0</v>
      </c>
      <c r="P1526" s="92"/>
    </row>
    <row r="1527" spans="1:16" x14ac:dyDescent="0.25">
      <c r="A1527" s="29">
        <v>34</v>
      </c>
      <c r="B1527" s="30">
        <v>437692.10856199998</v>
      </c>
      <c r="C1527" s="30">
        <v>5688631.3324180003</v>
      </c>
      <c r="D1527" s="46">
        <v>20</v>
      </c>
      <c r="E1527" s="30" t="s">
        <v>33</v>
      </c>
      <c r="F1527" s="46">
        <v>2015</v>
      </c>
      <c r="G1527" s="47">
        <v>1.5300000000000001E-2</v>
      </c>
      <c r="H1527" s="47">
        <f t="shared" si="39"/>
        <v>5.1029204950078164E-3</v>
      </c>
      <c r="I1527" s="47">
        <v>0</v>
      </c>
      <c r="J1527" s="47">
        <f t="shared" si="35"/>
        <v>0</v>
      </c>
      <c r="K1527" s="47">
        <v>2.3999999999999998E-3</v>
      </c>
      <c r="L1527" s="47">
        <f t="shared" si="36"/>
        <v>1.09335966363114E-3</v>
      </c>
      <c r="M1527" s="47">
        <f t="shared" si="38"/>
        <v>4.0095608313766764E-3</v>
      </c>
      <c r="N1527" s="47">
        <v>0</v>
      </c>
      <c r="O1527" s="47">
        <f t="shared" si="37"/>
        <v>0</v>
      </c>
      <c r="P1527" s="92"/>
    </row>
    <row r="1528" spans="1:16" x14ac:dyDescent="0.25">
      <c r="A1528" s="29">
        <v>35</v>
      </c>
      <c r="B1528" s="30">
        <v>437893</v>
      </c>
      <c r="C1528" s="30">
        <v>5688620</v>
      </c>
      <c r="D1528" s="46">
        <v>20</v>
      </c>
      <c r="E1528" s="30" t="s">
        <v>33</v>
      </c>
      <c r="F1528" s="46">
        <v>2015</v>
      </c>
      <c r="G1528" s="47">
        <v>9.8000000000000014E-3</v>
      </c>
      <c r="H1528" s="47">
        <f t="shared" si="39"/>
        <v>3.2685373105278827E-3</v>
      </c>
      <c r="I1528" s="47">
        <v>0</v>
      </c>
      <c r="J1528" s="47">
        <f t="shared" si="35"/>
        <v>0</v>
      </c>
      <c r="K1528" s="47">
        <v>3.7000000000000002E-3</v>
      </c>
      <c r="L1528" s="47">
        <f t="shared" si="36"/>
        <v>1.6855961480980077E-3</v>
      </c>
      <c r="M1528" s="47">
        <f t="shared" si="38"/>
        <v>1.5829411624298749E-3</v>
      </c>
      <c r="N1528" s="47">
        <v>0</v>
      </c>
      <c r="O1528" s="47">
        <f t="shared" si="37"/>
        <v>0</v>
      </c>
      <c r="P1528" s="92"/>
    </row>
    <row r="1529" spans="1:16" x14ac:dyDescent="0.25">
      <c r="A1529" s="29">
        <v>36</v>
      </c>
      <c r="B1529" s="30">
        <v>437930.10856199998</v>
      </c>
      <c r="C1529" s="30">
        <v>5688631.3324180003</v>
      </c>
      <c r="D1529" s="46">
        <v>20</v>
      </c>
      <c r="E1529" s="30" t="s">
        <v>33</v>
      </c>
      <c r="F1529" s="46">
        <v>2015</v>
      </c>
      <c r="G1529" s="47">
        <v>3.3299999999999996E-2</v>
      </c>
      <c r="H1529" s="47">
        <f t="shared" si="39"/>
        <v>1.1106356371487599E-2</v>
      </c>
      <c r="I1529" s="47">
        <v>0</v>
      </c>
      <c r="J1529" s="47">
        <f t="shared" si="35"/>
        <v>0</v>
      </c>
      <c r="K1529" s="47">
        <v>3.3E-3</v>
      </c>
      <c r="L1529" s="47">
        <f t="shared" si="36"/>
        <v>1.5033695374928177E-3</v>
      </c>
      <c r="M1529" s="47">
        <f t="shared" si="38"/>
        <v>9.6029868339947803E-3</v>
      </c>
      <c r="N1529" s="47">
        <v>0</v>
      </c>
      <c r="O1529" s="47">
        <f t="shared" si="37"/>
        <v>0</v>
      </c>
      <c r="P1529" s="92"/>
    </row>
    <row r="1530" spans="1:16" x14ac:dyDescent="0.25">
      <c r="A1530" s="32">
        <v>37</v>
      </c>
      <c r="B1530" s="33">
        <v>438049.10856199998</v>
      </c>
      <c r="C1530" s="33">
        <v>5688631.3324180003</v>
      </c>
      <c r="D1530" s="48">
        <v>20</v>
      </c>
      <c r="E1530" s="48" t="s">
        <v>33</v>
      </c>
      <c r="F1530" s="48">
        <v>2015</v>
      </c>
      <c r="G1530" s="48" t="s">
        <v>18</v>
      </c>
      <c r="H1530" s="48" t="s">
        <v>18</v>
      </c>
      <c r="I1530" s="48" t="s">
        <v>18</v>
      </c>
      <c r="J1530" s="48" t="s">
        <v>18</v>
      </c>
      <c r="K1530" s="48" t="s">
        <v>18</v>
      </c>
      <c r="L1530" s="48" t="s">
        <v>18</v>
      </c>
      <c r="M1530" s="48" t="s">
        <v>18</v>
      </c>
      <c r="N1530" s="48" t="s">
        <v>18</v>
      </c>
      <c r="O1530" s="48" t="s">
        <v>18</v>
      </c>
      <c r="P1530" s="103" t="s">
        <v>21</v>
      </c>
    </row>
    <row r="1531" spans="1:16" x14ac:dyDescent="0.25">
      <c r="A1531" s="29">
        <v>38</v>
      </c>
      <c r="B1531" s="30">
        <v>438067</v>
      </c>
      <c r="C1531" s="30">
        <v>5688710</v>
      </c>
      <c r="D1531" s="46">
        <v>20</v>
      </c>
      <c r="E1531" s="30" t="s">
        <v>33</v>
      </c>
      <c r="F1531" s="46">
        <v>2015</v>
      </c>
      <c r="G1531" s="47">
        <v>2.8899999999999999E-2</v>
      </c>
      <c r="H1531" s="47">
        <f t="shared" si="39"/>
        <v>9.6388498239036533E-3</v>
      </c>
      <c r="I1531" s="47">
        <v>0</v>
      </c>
      <c r="J1531" s="47">
        <f t="shared" si="35"/>
        <v>0</v>
      </c>
      <c r="K1531" s="47">
        <v>1.6999999999999999E-3</v>
      </c>
      <c r="L1531" s="47">
        <f t="shared" si="36"/>
        <v>7.7446309507205751E-4</v>
      </c>
      <c r="M1531" s="47">
        <f t="shared" si="38"/>
        <v>8.8643867288315959E-3</v>
      </c>
      <c r="N1531" s="47">
        <v>0</v>
      </c>
      <c r="O1531" s="47">
        <f t="shared" si="37"/>
        <v>0</v>
      </c>
      <c r="P1531" s="92"/>
    </row>
    <row r="1532" spans="1:16" x14ac:dyDescent="0.25">
      <c r="A1532" s="32">
        <v>39</v>
      </c>
      <c r="B1532" s="33">
        <v>438287.10856199998</v>
      </c>
      <c r="C1532" s="33">
        <v>5688631.3324180003</v>
      </c>
      <c r="D1532" s="48">
        <v>20</v>
      </c>
      <c r="E1532" s="48" t="s">
        <v>33</v>
      </c>
      <c r="F1532" s="48">
        <v>2015</v>
      </c>
      <c r="G1532" s="48" t="s">
        <v>18</v>
      </c>
      <c r="H1532" s="48" t="s">
        <v>18</v>
      </c>
      <c r="I1532" s="48" t="s">
        <v>18</v>
      </c>
      <c r="J1532" s="48" t="s">
        <v>18</v>
      </c>
      <c r="K1532" s="48" t="s">
        <v>18</v>
      </c>
      <c r="L1532" s="48" t="s">
        <v>18</v>
      </c>
      <c r="M1532" s="48" t="s">
        <v>18</v>
      </c>
      <c r="N1532" s="48" t="s">
        <v>18</v>
      </c>
      <c r="O1532" s="48" t="s">
        <v>18</v>
      </c>
      <c r="P1532" s="94" t="s">
        <v>22</v>
      </c>
    </row>
    <row r="1533" spans="1:16" x14ac:dyDescent="0.25">
      <c r="A1533" s="29">
        <v>40</v>
      </c>
      <c r="B1533" s="30">
        <v>438406.10856199998</v>
      </c>
      <c r="C1533" s="30">
        <v>5688631.3324180003</v>
      </c>
      <c r="D1533" s="46">
        <v>20</v>
      </c>
      <c r="E1533" s="30" t="s">
        <v>33</v>
      </c>
      <c r="F1533" s="46">
        <v>2015</v>
      </c>
      <c r="G1533" s="54">
        <v>1.32E-2</v>
      </c>
      <c r="H1533" s="47">
        <f t="shared" si="39"/>
        <v>4.4025196427518419E-3</v>
      </c>
      <c r="I1533" s="47">
        <v>0</v>
      </c>
      <c r="J1533" s="47">
        <f t="shared" si="35"/>
        <v>0</v>
      </c>
      <c r="K1533" s="47">
        <v>5.9000000000000007E-3</v>
      </c>
      <c r="L1533" s="47">
        <f t="shared" si="36"/>
        <v>2.6878425064265528E-3</v>
      </c>
      <c r="M1533" s="47">
        <f t="shared" si="38"/>
        <v>1.7146771363252891E-3</v>
      </c>
      <c r="N1533" s="47">
        <v>0</v>
      </c>
      <c r="O1533" s="47">
        <f t="shared" si="37"/>
        <v>0</v>
      </c>
      <c r="P1533" s="92"/>
    </row>
    <row r="1534" spans="1:16" x14ac:dyDescent="0.25">
      <c r="A1534" s="29">
        <v>41</v>
      </c>
      <c r="B1534" s="30">
        <v>437310</v>
      </c>
      <c r="C1534" s="30">
        <v>5688729</v>
      </c>
      <c r="D1534" s="46">
        <v>20</v>
      </c>
      <c r="E1534" s="30" t="s">
        <v>33</v>
      </c>
      <c r="F1534" s="46">
        <v>2015</v>
      </c>
      <c r="G1534" s="52">
        <v>1.46E-2</v>
      </c>
      <c r="H1534" s="47">
        <f t="shared" si="39"/>
        <v>4.8694535442558246E-3</v>
      </c>
      <c r="I1534" s="5">
        <v>0</v>
      </c>
      <c r="J1534" s="47">
        <f t="shared" si="35"/>
        <v>0</v>
      </c>
      <c r="K1534" s="47">
        <v>6.1999999999999998E-3</v>
      </c>
      <c r="L1534" s="47">
        <f t="shared" si="36"/>
        <v>2.8245124643804451E-3</v>
      </c>
      <c r="M1534" s="47">
        <f t="shared" si="38"/>
        <v>2.0449410798753795E-3</v>
      </c>
      <c r="N1534" s="47">
        <v>0</v>
      </c>
      <c r="O1534" s="47">
        <f t="shared" si="37"/>
        <v>0</v>
      </c>
      <c r="P1534" s="92"/>
    </row>
    <row r="1535" spans="1:16" x14ac:dyDescent="0.25">
      <c r="A1535" s="29">
        <v>42</v>
      </c>
      <c r="B1535" s="30">
        <v>437454.10856199998</v>
      </c>
      <c r="C1535" s="30">
        <v>5688750.3324180003</v>
      </c>
      <c r="D1535" s="46">
        <v>20</v>
      </c>
      <c r="E1535" s="30" t="s">
        <v>33</v>
      </c>
      <c r="F1535" s="46">
        <v>2015</v>
      </c>
      <c r="G1535" s="54">
        <v>1.6399999999999998E-2</v>
      </c>
      <c r="H1535" s="47">
        <f t="shared" si="39"/>
        <v>5.4697971319038023E-3</v>
      </c>
      <c r="I1535" s="47">
        <v>1.06E-2</v>
      </c>
      <c r="J1535" s="47">
        <f t="shared" si="35"/>
        <v>5.8753783099180779E-3</v>
      </c>
      <c r="K1535" s="47">
        <v>9.9000000000000008E-3</v>
      </c>
      <c r="L1535" s="47">
        <f t="shared" si="36"/>
        <v>4.510108612478453E-3</v>
      </c>
      <c r="M1535" s="47">
        <f t="shared" si="38"/>
        <v>9.5968851942534929E-4</v>
      </c>
      <c r="N1535" s="47">
        <v>4.0999999999999995E-3</v>
      </c>
      <c r="O1535" s="47">
        <f t="shared" si="37"/>
        <v>2.4057537508731636E-3</v>
      </c>
      <c r="P1535" s="92"/>
    </row>
    <row r="1536" spans="1:16" x14ac:dyDescent="0.25">
      <c r="A1536" s="29">
        <v>43</v>
      </c>
      <c r="B1536" s="30">
        <v>437573.10856199998</v>
      </c>
      <c r="C1536" s="30">
        <v>5688750.3324180003</v>
      </c>
      <c r="D1536" s="46">
        <v>20</v>
      </c>
      <c r="E1536" s="30" t="s">
        <v>33</v>
      </c>
      <c r="F1536" s="46">
        <v>2015</v>
      </c>
      <c r="G1536" s="54">
        <v>1.6E-2</v>
      </c>
      <c r="H1536" s="47">
        <f t="shared" si="39"/>
        <v>5.3363874457598081E-3</v>
      </c>
      <c r="I1536" s="47">
        <v>0</v>
      </c>
      <c r="J1536" s="47">
        <f t="shared" si="35"/>
        <v>0</v>
      </c>
      <c r="K1536" s="47">
        <v>1.6999999999999999E-3</v>
      </c>
      <c r="L1536" s="47">
        <f t="shared" si="36"/>
        <v>7.7446309507205751E-4</v>
      </c>
      <c r="M1536" s="47">
        <f t="shared" si="38"/>
        <v>4.5619243506877507E-3</v>
      </c>
      <c r="N1536" s="47">
        <v>0</v>
      </c>
      <c r="O1536" s="47">
        <f t="shared" si="37"/>
        <v>0</v>
      </c>
      <c r="P1536" s="92"/>
    </row>
    <row r="1537" spans="1:16" x14ac:dyDescent="0.25">
      <c r="A1537" s="29">
        <v>44</v>
      </c>
      <c r="B1537" s="30">
        <v>437692.10856199998</v>
      </c>
      <c r="C1537" s="30">
        <v>5688750.3324180003</v>
      </c>
      <c r="D1537" s="46">
        <v>20</v>
      </c>
      <c r="E1537" s="30" t="s">
        <v>33</v>
      </c>
      <c r="F1537" s="46">
        <v>2015</v>
      </c>
      <c r="G1537" s="54">
        <v>1.7500000000000002E-2</v>
      </c>
      <c r="H1537" s="47">
        <f t="shared" si="39"/>
        <v>5.8366737687997909E-3</v>
      </c>
      <c r="I1537" s="47">
        <v>0</v>
      </c>
      <c r="J1537" s="47">
        <f t="shared" si="35"/>
        <v>0</v>
      </c>
      <c r="K1537" s="47">
        <v>1.5E-3</v>
      </c>
      <c r="L1537" s="47">
        <f t="shared" si="36"/>
        <v>6.8334978976946259E-4</v>
      </c>
      <c r="M1537" s="47">
        <f t="shared" si="38"/>
        <v>5.1533239790303286E-3</v>
      </c>
      <c r="N1537" s="47">
        <v>0</v>
      </c>
      <c r="O1537" s="47">
        <f t="shared" si="37"/>
        <v>0</v>
      </c>
      <c r="P1537" s="92"/>
    </row>
    <row r="1538" spans="1:16" x14ac:dyDescent="0.25">
      <c r="A1538" s="29">
        <v>45</v>
      </c>
      <c r="B1538" s="30">
        <v>437811.10856199998</v>
      </c>
      <c r="C1538" s="30">
        <v>5688750.3324180003</v>
      </c>
      <c r="D1538" s="46">
        <v>20</v>
      </c>
      <c r="E1538" s="30" t="s">
        <v>33</v>
      </c>
      <c r="F1538" s="46">
        <v>2015</v>
      </c>
      <c r="G1538" s="47">
        <v>9.1000000000000004E-3</v>
      </c>
      <c r="H1538" s="47">
        <f t="shared" si="39"/>
        <v>3.0350703597758909E-3</v>
      </c>
      <c r="I1538" s="47">
        <v>0</v>
      </c>
      <c r="J1538" s="47">
        <f t="shared" si="35"/>
        <v>0</v>
      </c>
      <c r="K1538" s="47">
        <v>9.5999999999999992E-3</v>
      </c>
      <c r="L1538" s="47">
        <f t="shared" si="36"/>
        <v>4.3734386545245599E-3</v>
      </c>
      <c r="M1538" s="47">
        <f t="shared" si="38"/>
        <v>-1.338368294748669E-3</v>
      </c>
      <c r="N1538" s="47">
        <v>0</v>
      </c>
      <c r="O1538" s="47">
        <f t="shared" si="37"/>
        <v>0</v>
      </c>
      <c r="P1538" s="92"/>
    </row>
    <row r="1539" spans="1:16" x14ac:dyDescent="0.25">
      <c r="A1539" s="29">
        <v>46</v>
      </c>
      <c r="B1539" s="30">
        <v>437930.10856199998</v>
      </c>
      <c r="C1539" s="30">
        <v>5688750.3324180003</v>
      </c>
      <c r="D1539" s="46">
        <v>20</v>
      </c>
      <c r="E1539" s="30" t="s">
        <v>33</v>
      </c>
      <c r="F1539" s="46">
        <v>2015</v>
      </c>
      <c r="G1539" s="47">
        <v>1.8600000000000002E-2</v>
      </c>
      <c r="H1539" s="47">
        <f t="shared" si="39"/>
        <v>6.2035504056957777E-3</v>
      </c>
      <c r="I1539" s="47">
        <v>0</v>
      </c>
      <c r="J1539" s="47">
        <f t="shared" si="35"/>
        <v>0</v>
      </c>
      <c r="K1539" s="47">
        <v>1.2699999999999999E-2</v>
      </c>
      <c r="L1539" s="47">
        <f t="shared" si="36"/>
        <v>5.7856948867147824E-3</v>
      </c>
      <c r="M1539" s="47">
        <f t="shared" si="38"/>
        <v>4.1785551898099529E-4</v>
      </c>
      <c r="N1539" s="47">
        <v>0</v>
      </c>
      <c r="O1539" s="47">
        <f t="shared" si="37"/>
        <v>0</v>
      </c>
      <c r="P1539" s="92"/>
    </row>
    <row r="1540" spans="1:16" x14ac:dyDescent="0.25">
      <c r="A1540" s="29">
        <v>47</v>
      </c>
      <c r="B1540" s="30">
        <v>438061</v>
      </c>
      <c r="C1540" s="30">
        <v>5688779</v>
      </c>
      <c r="D1540" s="46">
        <v>20</v>
      </c>
      <c r="E1540" s="30" t="s">
        <v>33</v>
      </c>
      <c r="F1540" s="46">
        <v>2015</v>
      </c>
      <c r="G1540" s="47">
        <v>2.4500000000000001E-2</v>
      </c>
      <c r="H1540" s="47">
        <f t="shared" si="39"/>
        <v>8.171343276319706E-3</v>
      </c>
      <c r="I1540" s="47">
        <v>0</v>
      </c>
      <c r="J1540" s="47">
        <f t="shared" si="35"/>
        <v>0</v>
      </c>
      <c r="K1540" s="47">
        <v>3.5999999999999999E-3</v>
      </c>
      <c r="L1540" s="47">
        <f t="shared" si="36"/>
        <v>1.64003949544671E-3</v>
      </c>
      <c r="M1540" s="47">
        <f t="shared" si="38"/>
        <v>6.5313037808729961E-3</v>
      </c>
      <c r="N1540" s="47">
        <v>0</v>
      </c>
      <c r="O1540" s="47">
        <f t="shared" si="37"/>
        <v>0</v>
      </c>
      <c r="P1540" s="92"/>
    </row>
    <row r="1541" spans="1:16" x14ac:dyDescent="0.25">
      <c r="A1541" s="32">
        <v>48</v>
      </c>
      <c r="B1541" s="33">
        <v>438168.10856199998</v>
      </c>
      <c r="C1541" s="33">
        <v>5688750.3324180003</v>
      </c>
      <c r="D1541" s="48">
        <v>20</v>
      </c>
      <c r="E1541" s="48" t="s">
        <v>33</v>
      </c>
      <c r="F1541" s="48">
        <v>2015</v>
      </c>
      <c r="G1541" s="48" t="s">
        <v>18</v>
      </c>
      <c r="H1541" s="48" t="s">
        <v>18</v>
      </c>
      <c r="I1541" s="48" t="s">
        <v>18</v>
      </c>
      <c r="J1541" s="48" t="s">
        <v>18</v>
      </c>
      <c r="K1541" s="48" t="s">
        <v>18</v>
      </c>
      <c r="L1541" s="48" t="s">
        <v>18</v>
      </c>
      <c r="M1541" s="48" t="s">
        <v>18</v>
      </c>
      <c r="N1541" s="48" t="s">
        <v>18</v>
      </c>
      <c r="O1541" s="48" t="s">
        <v>18</v>
      </c>
      <c r="P1541" s="103" t="s">
        <v>21</v>
      </c>
    </row>
    <row r="1542" spans="1:16" x14ac:dyDescent="0.25">
      <c r="A1542" s="29">
        <v>49</v>
      </c>
      <c r="B1542" s="30">
        <v>437454.10856199998</v>
      </c>
      <c r="C1542" s="30">
        <v>5688869.3324180003</v>
      </c>
      <c r="D1542" s="46">
        <v>21</v>
      </c>
      <c r="E1542" s="30" t="s">
        <v>33</v>
      </c>
      <c r="F1542" s="46">
        <v>2015</v>
      </c>
      <c r="G1542" s="47">
        <v>2.9000000000000001E-2</v>
      </c>
      <c r="H1542" s="47">
        <f>G1542*0.306930693069307</f>
        <v>8.9009900990099037E-3</v>
      </c>
      <c r="I1542" s="47">
        <v>0</v>
      </c>
      <c r="J1542" s="47">
        <f t="shared" ref="J1542" si="40">I1542*0.467391304347826</f>
        <v>0</v>
      </c>
      <c r="K1542" s="47">
        <v>3.3999999999999998E-3</v>
      </c>
      <c r="L1542" s="47">
        <f>K1542*0.313953488372093</f>
        <v>1.0674418604651162E-3</v>
      </c>
      <c r="M1542" s="47">
        <f t="shared" si="38"/>
        <v>7.8335482385447873E-3</v>
      </c>
      <c r="N1542" s="47">
        <v>0</v>
      </c>
      <c r="O1542" s="47">
        <f t="shared" ref="O1542:O1547" si="41">N1542</f>
        <v>0</v>
      </c>
      <c r="P1542" s="92"/>
    </row>
    <row r="1543" spans="1:16" x14ac:dyDescent="0.25">
      <c r="A1543" s="29">
        <v>50</v>
      </c>
      <c r="B1543" s="30">
        <v>437811.10856199998</v>
      </c>
      <c r="C1543" s="30">
        <v>5688869.3324180003</v>
      </c>
      <c r="D1543" s="46">
        <v>20</v>
      </c>
      <c r="E1543" s="30" t="s">
        <v>33</v>
      </c>
      <c r="F1543" s="46">
        <v>2015</v>
      </c>
      <c r="G1543" s="47">
        <v>4.2000000000000006E-3</v>
      </c>
      <c r="H1543" s="47">
        <f>G1543*0.333524215359988</f>
        <v>1.4008017045119498E-3</v>
      </c>
      <c r="I1543" s="47">
        <v>0</v>
      </c>
      <c r="J1543" s="47">
        <f t="shared" ref="J1543:J1553" si="42">I1543*0.554280972633781</f>
        <v>0</v>
      </c>
      <c r="K1543" s="47">
        <v>1.1000000000000001E-3</v>
      </c>
      <c r="L1543" s="47">
        <f>K1543*0.455566526512975</f>
        <v>5.0112317916427252E-4</v>
      </c>
      <c r="M1543" s="47">
        <f t="shared" si="38"/>
        <v>8.9967852534767725E-4</v>
      </c>
      <c r="N1543" s="47">
        <v>0</v>
      </c>
      <c r="O1543" s="47">
        <f>N1543*0.58676920753004</f>
        <v>0</v>
      </c>
      <c r="P1543" s="92"/>
    </row>
    <row r="1544" spans="1:16" x14ac:dyDescent="0.25">
      <c r="A1544" s="29">
        <v>51</v>
      </c>
      <c r="B1544" s="30">
        <v>437930.10856199998</v>
      </c>
      <c r="C1544" s="30">
        <v>5688869.3324180003</v>
      </c>
      <c r="D1544" s="46">
        <v>20</v>
      </c>
      <c r="E1544" s="30" t="s">
        <v>33</v>
      </c>
      <c r="F1544" s="46">
        <v>2015</v>
      </c>
      <c r="G1544" s="47">
        <v>2.5399999999999999E-2</v>
      </c>
      <c r="H1544" s="47">
        <f>G1544*0.333524215359988</f>
        <v>8.4715150701436953E-3</v>
      </c>
      <c r="I1544" s="47">
        <v>0</v>
      </c>
      <c r="J1544" s="47">
        <f t="shared" si="42"/>
        <v>0</v>
      </c>
      <c r="K1544" s="47">
        <v>5.3E-3</v>
      </c>
      <c r="L1544" s="47">
        <f>K1544*0.455566526512975</f>
        <v>2.4145025905187678E-3</v>
      </c>
      <c r="M1544" s="47">
        <f t="shared" si="38"/>
        <v>6.0570124796249271E-3</v>
      </c>
      <c r="N1544" s="47">
        <v>0</v>
      </c>
      <c r="O1544" s="47">
        <f>N1544*0.58676920753004</f>
        <v>0</v>
      </c>
      <c r="P1544" s="92"/>
    </row>
    <row r="1545" spans="1:16" x14ac:dyDescent="0.25">
      <c r="A1545" s="29">
        <v>52</v>
      </c>
      <c r="B1545" s="30">
        <v>438049.10856199998</v>
      </c>
      <c r="C1545" s="30">
        <v>5688869.3324180003</v>
      </c>
      <c r="D1545" s="46">
        <v>20</v>
      </c>
      <c r="E1545" s="30" t="s">
        <v>33</v>
      </c>
      <c r="F1545" s="46">
        <v>2015</v>
      </c>
      <c r="G1545" s="47">
        <v>8.6999999999999994E-3</v>
      </c>
      <c r="H1545" s="47">
        <f>G1545*0.333524215359988</f>
        <v>2.9016606736318954E-3</v>
      </c>
      <c r="I1545" s="47">
        <v>5.3100000000000001E-2</v>
      </c>
      <c r="J1545" s="47">
        <f t="shared" si="42"/>
        <v>2.943231964685377E-2</v>
      </c>
      <c r="K1545" s="47">
        <v>4.0000000000000001E-3</v>
      </c>
      <c r="L1545" s="47">
        <f>K1545*0.455566526512975</f>
        <v>1.8222661060519002E-3</v>
      </c>
      <c r="M1545" s="47">
        <f>H1545-L1545</f>
        <v>1.0793945675799952E-3</v>
      </c>
      <c r="N1545" s="47">
        <v>0</v>
      </c>
      <c r="O1545" s="47">
        <f>N1545*0.58676920753004</f>
        <v>0</v>
      </c>
      <c r="P1545" s="92"/>
    </row>
    <row r="1546" spans="1:16" x14ac:dyDescent="0.25">
      <c r="A1546" s="29">
        <v>53</v>
      </c>
      <c r="B1546" s="30">
        <v>438287.10856199998</v>
      </c>
      <c r="C1546" s="30">
        <v>5688869.3324180003</v>
      </c>
      <c r="D1546" s="46">
        <v>20</v>
      </c>
      <c r="E1546" s="30" t="s">
        <v>33</v>
      </c>
      <c r="F1546" s="46">
        <v>2015</v>
      </c>
      <c r="G1546" s="47">
        <v>4.5999999999999999E-3</v>
      </c>
      <c r="H1546" s="47">
        <f>G1546*0.333524215359988</f>
        <v>1.5342113906559448E-3</v>
      </c>
      <c r="I1546" s="47">
        <v>0</v>
      </c>
      <c r="J1546" s="47">
        <f t="shared" si="42"/>
        <v>0</v>
      </c>
      <c r="K1546" s="47">
        <v>4.0000000000000001E-3</v>
      </c>
      <c r="L1546" s="47">
        <f>K1546*0.455566526512975</f>
        <v>1.8222661060519002E-3</v>
      </c>
      <c r="M1546" s="47">
        <f t="shared" si="38"/>
        <v>-2.8805471539595541E-4</v>
      </c>
      <c r="N1546" s="47">
        <v>0</v>
      </c>
      <c r="O1546" s="47">
        <f>N1546*0.58676920753004</f>
        <v>0</v>
      </c>
      <c r="P1546" s="92"/>
    </row>
    <row r="1547" spans="1:16" x14ac:dyDescent="0.25">
      <c r="A1547" s="29">
        <v>54</v>
      </c>
      <c r="B1547" s="30">
        <v>437454.10856199998</v>
      </c>
      <c r="C1547" s="30">
        <v>5688988.3324180003</v>
      </c>
      <c r="D1547" s="46">
        <v>21</v>
      </c>
      <c r="E1547" s="30" t="s">
        <v>33</v>
      </c>
      <c r="F1547" s="46">
        <v>2015</v>
      </c>
      <c r="G1547" s="47">
        <v>2.1100000000000001E-2</v>
      </c>
      <c r="H1547" s="47">
        <f>G1547*0.306930693069307</f>
        <v>6.4762376237623778E-3</v>
      </c>
      <c r="I1547" s="47">
        <v>0</v>
      </c>
      <c r="J1547" s="47">
        <f t="shared" si="42"/>
        <v>0</v>
      </c>
      <c r="K1547" s="47">
        <v>5.4000000000000003E-3</v>
      </c>
      <c r="L1547" s="47">
        <f>K1547*0.313953488372093</f>
        <v>1.6953488372093025E-3</v>
      </c>
      <c r="M1547" s="47">
        <f t="shared" si="38"/>
        <v>4.7808887865530749E-3</v>
      </c>
      <c r="N1547" s="47">
        <v>0</v>
      </c>
      <c r="O1547" s="47">
        <f t="shared" si="41"/>
        <v>0</v>
      </c>
      <c r="P1547" s="92"/>
    </row>
    <row r="1548" spans="1:16" x14ac:dyDescent="0.25">
      <c r="A1548" s="29">
        <v>55</v>
      </c>
      <c r="B1548" s="30">
        <v>438049.10856199998</v>
      </c>
      <c r="C1548" s="30">
        <v>5688988.3324180003</v>
      </c>
      <c r="D1548" s="46">
        <v>20</v>
      </c>
      <c r="E1548" s="30" t="s">
        <v>33</v>
      </c>
      <c r="F1548" s="46">
        <v>2015</v>
      </c>
      <c r="G1548" s="47">
        <v>1.77E-2</v>
      </c>
      <c r="H1548" s="47">
        <f t="shared" ref="H1548:H1553" si="43">G1548*0.333524215359988</f>
        <v>5.9033786118717875E-3</v>
      </c>
      <c r="I1548" s="47">
        <v>0</v>
      </c>
      <c r="J1548" s="47">
        <f t="shared" si="42"/>
        <v>0</v>
      </c>
      <c r="K1548" s="47">
        <v>3.0999999999999999E-3</v>
      </c>
      <c r="L1548" s="47">
        <f t="shared" ref="L1548:L1553" si="44">K1548*0.455566526512975</f>
        <v>1.4122562321902225E-3</v>
      </c>
      <c r="M1548" s="47">
        <f t="shared" si="38"/>
        <v>4.491122379681565E-3</v>
      </c>
      <c r="N1548" s="47">
        <v>0</v>
      </c>
      <c r="O1548" s="47">
        <f t="shared" ref="O1548:O1553" si="45">N1548*0.58676920753004</f>
        <v>0</v>
      </c>
      <c r="P1548" s="92"/>
    </row>
    <row r="1549" spans="1:16" x14ac:dyDescent="0.25">
      <c r="A1549" s="29">
        <v>56</v>
      </c>
      <c r="B1549" s="30">
        <v>438168.10856199998</v>
      </c>
      <c r="C1549" s="30">
        <v>5688988.3324180003</v>
      </c>
      <c r="D1549" s="46">
        <v>20</v>
      </c>
      <c r="E1549" s="30" t="s">
        <v>33</v>
      </c>
      <c r="F1549" s="46">
        <v>2015</v>
      </c>
      <c r="G1549" s="47">
        <v>2.8999999999999998E-3</v>
      </c>
      <c r="H1549" s="47">
        <f t="shared" si="43"/>
        <v>9.672202245439651E-4</v>
      </c>
      <c r="I1549" s="47">
        <v>0</v>
      </c>
      <c r="J1549" s="47">
        <f t="shared" si="42"/>
        <v>0</v>
      </c>
      <c r="K1549" s="47">
        <v>0</v>
      </c>
      <c r="L1549" s="47">
        <f t="shared" si="44"/>
        <v>0</v>
      </c>
      <c r="M1549" s="47">
        <f t="shared" si="38"/>
        <v>9.672202245439651E-4</v>
      </c>
      <c r="N1549" s="47">
        <v>1.1999999999999999E-3</v>
      </c>
      <c r="O1549" s="47">
        <f t="shared" si="45"/>
        <v>7.0412304903604798E-4</v>
      </c>
      <c r="P1549" s="92"/>
    </row>
    <row r="1550" spans="1:16" x14ac:dyDescent="0.25">
      <c r="A1550" s="40">
        <v>57</v>
      </c>
      <c r="B1550" s="41">
        <v>438146</v>
      </c>
      <c r="C1550" s="41">
        <v>5688977</v>
      </c>
      <c r="D1550" s="55">
        <v>20</v>
      </c>
      <c r="E1550" s="56" t="s">
        <v>33</v>
      </c>
      <c r="F1550" s="55">
        <v>2015</v>
      </c>
      <c r="G1550" s="58">
        <v>3.9100000000000003E-2</v>
      </c>
      <c r="H1550" s="57">
        <f t="shared" si="43"/>
        <v>1.3040796820575531E-2</v>
      </c>
      <c r="I1550" s="57">
        <v>0</v>
      </c>
      <c r="J1550" s="57">
        <f t="shared" si="42"/>
        <v>0</v>
      </c>
      <c r="K1550" s="57">
        <v>3.5999999999999999E-3</v>
      </c>
      <c r="L1550" s="57">
        <f t="shared" si="44"/>
        <v>1.64003949544671E-3</v>
      </c>
      <c r="M1550" s="57">
        <f t="shared" si="38"/>
        <v>1.1400757325128821E-2</v>
      </c>
      <c r="N1550" s="57">
        <v>0</v>
      </c>
      <c r="O1550" s="57">
        <f t="shared" si="45"/>
        <v>0</v>
      </c>
      <c r="P1550" s="104"/>
    </row>
    <row r="1551" spans="1:16" x14ac:dyDescent="0.25">
      <c r="A1551" s="40">
        <v>58</v>
      </c>
      <c r="B1551" s="41">
        <v>438131</v>
      </c>
      <c r="C1551" s="41">
        <v>5688972</v>
      </c>
      <c r="D1551" s="55">
        <v>20</v>
      </c>
      <c r="E1551" s="56" t="s">
        <v>33</v>
      </c>
      <c r="F1551" s="55">
        <v>2015</v>
      </c>
      <c r="G1551" s="57">
        <v>3.9200000000000006E-2</v>
      </c>
      <c r="H1551" s="57">
        <f t="shared" si="43"/>
        <v>1.3074149242111531E-2</v>
      </c>
      <c r="I1551" s="57">
        <v>0</v>
      </c>
      <c r="J1551" s="57">
        <f t="shared" si="42"/>
        <v>0</v>
      </c>
      <c r="K1551" s="57">
        <v>2E-3</v>
      </c>
      <c r="L1551" s="57">
        <f t="shared" si="44"/>
        <v>9.1113305302595012E-4</v>
      </c>
      <c r="M1551" s="57">
        <f t="shared" si="38"/>
        <v>1.2163016189085581E-2</v>
      </c>
      <c r="N1551" s="57">
        <v>0</v>
      </c>
      <c r="O1551" s="57">
        <f t="shared" si="45"/>
        <v>0</v>
      </c>
      <c r="P1551" s="104"/>
    </row>
    <row r="1552" spans="1:16" x14ac:dyDescent="0.25">
      <c r="A1552" s="40">
        <v>59</v>
      </c>
      <c r="B1552" s="41">
        <v>438089</v>
      </c>
      <c r="C1552" s="41">
        <v>5688713</v>
      </c>
      <c r="D1552" s="55">
        <v>20</v>
      </c>
      <c r="E1552" s="56" t="s">
        <v>33</v>
      </c>
      <c r="F1552" s="55">
        <v>2015</v>
      </c>
      <c r="G1552" s="57">
        <v>0.1182</v>
      </c>
      <c r="H1552" s="57">
        <f t="shared" si="43"/>
        <v>3.9422562255550582E-2</v>
      </c>
      <c r="I1552" s="57">
        <v>0</v>
      </c>
      <c r="J1552" s="57">
        <f t="shared" si="42"/>
        <v>0</v>
      </c>
      <c r="K1552" s="57">
        <v>1.72E-2</v>
      </c>
      <c r="L1552" s="57">
        <f t="shared" si="44"/>
        <v>7.8357442560231701E-3</v>
      </c>
      <c r="M1552" s="57">
        <f t="shared" si="38"/>
        <v>3.1586817999527408E-2</v>
      </c>
      <c r="N1552" s="57">
        <v>0</v>
      </c>
      <c r="O1552" s="57">
        <f t="shared" si="45"/>
        <v>0</v>
      </c>
      <c r="P1552" s="104"/>
    </row>
    <row r="1553" spans="1:19" x14ac:dyDescent="0.25">
      <c r="A1553" s="40">
        <v>60</v>
      </c>
      <c r="B1553" s="41">
        <v>438099</v>
      </c>
      <c r="C1553" s="41">
        <v>5688719</v>
      </c>
      <c r="D1553" s="55">
        <v>20</v>
      </c>
      <c r="E1553" s="56" t="s">
        <v>33</v>
      </c>
      <c r="F1553" s="55">
        <v>2015</v>
      </c>
      <c r="G1553" s="57">
        <v>6.3E-3</v>
      </c>
      <c r="H1553" s="57">
        <f t="shared" si="43"/>
        <v>2.1012025567679242E-3</v>
      </c>
      <c r="I1553" s="57">
        <v>0</v>
      </c>
      <c r="J1553" s="57">
        <f t="shared" si="42"/>
        <v>0</v>
      </c>
      <c r="K1553" s="57">
        <v>4.6299999999999994E-2</v>
      </c>
      <c r="L1553" s="57">
        <f t="shared" si="44"/>
        <v>2.1092730177550742E-2</v>
      </c>
      <c r="M1553" s="57">
        <f t="shared" si="38"/>
        <v>-1.8991527620782819E-2</v>
      </c>
      <c r="N1553" s="57">
        <v>0</v>
      </c>
      <c r="O1553" s="57">
        <f t="shared" si="45"/>
        <v>0</v>
      </c>
      <c r="P1553" s="104"/>
    </row>
    <row r="1554" spans="1:19" x14ac:dyDescent="0.25">
      <c r="A1554" s="42">
        <v>1</v>
      </c>
      <c r="B1554" s="43">
        <v>437930.10856199998</v>
      </c>
      <c r="C1554" s="43">
        <v>5688036.3324180003</v>
      </c>
      <c r="D1554" s="44">
        <v>26</v>
      </c>
      <c r="E1554" s="44" t="s">
        <v>36</v>
      </c>
      <c r="F1554" s="44">
        <v>2015</v>
      </c>
      <c r="G1554" s="44" t="s">
        <v>18</v>
      </c>
      <c r="H1554" s="44" t="s">
        <v>18</v>
      </c>
      <c r="I1554" s="44" t="s">
        <v>18</v>
      </c>
      <c r="J1554" s="44" t="s">
        <v>18</v>
      </c>
      <c r="K1554" s="44" t="s">
        <v>18</v>
      </c>
      <c r="L1554" s="44" t="s">
        <v>18</v>
      </c>
      <c r="M1554" s="44" t="s">
        <v>18</v>
      </c>
      <c r="N1554" s="44" t="s">
        <v>18</v>
      </c>
      <c r="O1554" s="44" t="s">
        <v>18</v>
      </c>
      <c r="P1554" s="102" t="s">
        <v>109</v>
      </c>
      <c r="R1554" s="5">
        <f>AVERAGE(M1554:M1613)</f>
        <v>6.3752702690081939E-3</v>
      </c>
      <c r="S1554" s="5">
        <f>AVERAGE(H1554:H1613)</f>
        <v>9.4941332604070831E-3</v>
      </c>
    </row>
    <row r="1555" spans="1:19" x14ac:dyDescent="0.25">
      <c r="A1555" s="42">
        <v>2</v>
      </c>
      <c r="B1555" s="43">
        <v>437811.10856199998</v>
      </c>
      <c r="C1555" s="43">
        <v>5688155.3324180003</v>
      </c>
      <c r="D1555" s="44">
        <v>26</v>
      </c>
      <c r="E1555" s="44" t="s">
        <v>36</v>
      </c>
      <c r="F1555" s="44">
        <v>2015</v>
      </c>
      <c r="G1555" s="44" t="s">
        <v>18</v>
      </c>
      <c r="H1555" s="44" t="s">
        <v>18</v>
      </c>
      <c r="I1555" s="44" t="s">
        <v>18</v>
      </c>
      <c r="J1555" s="44" t="s">
        <v>18</v>
      </c>
      <c r="K1555" s="44" t="s">
        <v>18</v>
      </c>
      <c r="L1555" s="44" t="s">
        <v>18</v>
      </c>
      <c r="M1555" s="44" t="s">
        <v>18</v>
      </c>
      <c r="N1555" s="44" t="s">
        <v>18</v>
      </c>
      <c r="O1555" s="44" t="s">
        <v>18</v>
      </c>
      <c r="P1555" s="102" t="s">
        <v>109</v>
      </c>
    </row>
    <row r="1556" spans="1:19" x14ac:dyDescent="0.25">
      <c r="A1556" s="29">
        <v>3</v>
      </c>
      <c r="B1556" s="30">
        <v>437930.10856199998</v>
      </c>
      <c r="C1556" s="30">
        <v>5688155.3324180003</v>
      </c>
      <c r="D1556" s="46">
        <v>26</v>
      </c>
      <c r="E1556" s="30" t="s">
        <v>36</v>
      </c>
      <c r="F1556" s="46">
        <v>2015</v>
      </c>
      <c r="G1556" s="47">
        <v>1.2500000000000001E-2</v>
      </c>
      <c r="H1556" s="47">
        <f>G1556*0.341188689539156</f>
        <v>4.2648586192394504E-3</v>
      </c>
      <c r="I1556" s="47">
        <v>6.5000000000000002E-2</v>
      </c>
      <c r="J1556" s="47">
        <f>I1556*0.34546661918305</f>
        <v>2.2455330246898251E-2</v>
      </c>
      <c r="K1556" s="47">
        <v>6.6E-3</v>
      </c>
      <c r="L1556" s="47">
        <f>K1556*0.402428637771348</f>
        <v>2.6560290092908969E-3</v>
      </c>
      <c r="M1556" s="47">
        <f>H1556-L1556</f>
        <v>1.6088296099485535E-3</v>
      </c>
      <c r="N1556" s="47">
        <v>1.9100000000000002E-2</v>
      </c>
      <c r="O1556" s="47">
        <f>N1556*0.293285989216993</f>
        <v>5.6017623940445667E-3</v>
      </c>
      <c r="P1556" s="92"/>
    </row>
    <row r="1557" spans="1:19" x14ac:dyDescent="0.25">
      <c r="A1557" s="42">
        <v>4</v>
      </c>
      <c r="B1557" s="43">
        <v>438049.10856199998</v>
      </c>
      <c r="C1557" s="43">
        <v>5688155.3324180003</v>
      </c>
      <c r="D1557" s="44">
        <v>26</v>
      </c>
      <c r="E1557" s="44" t="s">
        <v>36</v>
      </c>
      <c r="F1557" s="44">
        <v>2015</v>
      </c>
      <c r="G1557" s="44" t="s">
        <v>18</v>
      </c>
      <c r="H1557" s="44" t="s">
        <v>18</v>
      </c>
      <c r="I1557" s="44" t="s">
        <v>18</v>
      </c>
      <c r="J1557" s="44" t="s">
        <v>18</v>
      </c>
      <c r="K1557" s="44" t="s">
        <v>18</v>
      </c>
      <c r="L1557" s="44" t="s">
        <v>18</v>
      </c>
      <c r="M1557" s="44" t="s">
        <v>18</v>
      </c>
      <c r="N1557" s="44" t="s">
        <v>18</v>
      </c>
      <c r="O1557" s="44" t="s">
        <v>18</v>
      </c>
      <c r="P1557" s="102" t="s">
        <v>109</v>
      </c>
    </row>
    <row r="1558" spans="1:19" x14ac:dyDescent="0.25">
      <c r="A1558" s="42">
        <v>5</v>
      </c>
      <c r="B1558" s="43">
        <v>437573.10856199998</v>
      </c>
      <c r="C1558" s="43">
        <v>5688274.3324180003</v>
      </c>
      <c r="D1558" s="44">
        <v>26</v>
      </c>
      <c r="E1558" s="44" t="s">
        <v>36</v>
      </c>
      <c r="F1558" s="44">
        <v>2015</v>
      </c>
      <c r="G1558" s="44" t="s">
        <v>18</v>
      </c>
      <c r="H1558" s="44" t="s">
        <v>18</v>
      </c>
      <c r="I1558" s="44" t="s">
        <v>18</v>
      </c>
      <c r="J1558" s="44" t="s">
        <v>18</v>
      </c>
      <c r="K1558" s="44" t="s">
        <v>18</v>
      </c>
      <c r="L1558" s="44" t="s">
        <v>18</v>
      </c>
      <c r="M1558" s="44" t="s">
        <v>18</v>
      </c>
      <c r="N1558" s="44" t="s">
        <v>18</v>
      </c>
      <c r="O1558" s="44" t="s">
        <v>18</v>
      </c>
      <c r="P1558" s="102" t="s">
        <v>109</v>
      </c>
    </row>
    <row r="1559" spans="1:19" x14ac:dyDescent="0.25">
      <c r="A1559" s="29">
        <v>6</v>
      </c>
      <c r="B1559" s="30">
        <v>437692.10856199998</v>
      </c>
      <c r="C1559" s="30">
        <v>5688274.3324180003</v>
      </c>
      <c r="D1559" s="46">
        <v>26</v>
      </c>
      <c r="E1559" s="30" t="s">
        <v>36</v>
      </c>
      <c r="F1559" s="46">
        <v>2015</v>
      </c>
      <c r="G1559" s="47">
        <v>7.7000000000000002E-3</v>
      </c>
      <c r="H1559" s="47">
        <f t="shared" ref="H1559:H1613" si="46">G1559*0.341188689539156</f>
        <v>2.6271529094515013E-3</v>
      </c>
      <c r="I1559" s="47">
        <v>3.7999999999999999E-2</v>
      </c>
      <c r="J1559" s="47">
        <f t="shared" ref="J1559:J1613" si="47">I1559*0.34546661918305</f>
        <v>1.31277315289559E-2</v>
      </c>
      <c r="K1559" s="54">
        <v>5.1999999999999998E-3</v>
      </c>
      <c r="L1559" s="47">
        <f t="shared" ref="L1559:L1613" si="48">K1559*0.402428637771348</f>
        <v>2.0926289164110096E-3</v>
      </c>
      <c r="M1559" s="47">
        <f>H1559-L1559</f>
        <v>5.3452399304049171E-4</v>
      </c>
      <c r="N1559" s="47">
        <v>3.2000000000000002E-3</v>
      </c>
      <c r="O1559" s="47">
        <f t="shared" ref="O1559:O1613" si="49">N1559*0.293285989216993</f>
        <v>9.3851516549437765E-4</v>
      </c>
      <c r="P1559" s="92"/>
    </row>
    <row r="1560" spans="1:19" x14ac:dyDescent="0.25">
      <c r="A1560" s="29">
        <v>7</v>
      </c>
      <c r="B1560" s="30">
        <v>437811.10856199998</v>
      </c>
      <c r="C1560" s="30">
        <v>5688274.3324180003</v>
      </c>
      <c r="D1560" s="46">
        <v>26</v>
      </c>
      <c r="E1560" s="30" t="s">
        <v>36</v>
      </c>
      <c r="F1560" s="46">
        <v>2015</v>
      </c>
      <c r="G1560" s="47">
        <v>5.7999999999999996E-3</v>
      </c>
      <c r="H1560" s="47">
        <f t="shared" si="46"/>
        <v>1.9788943993271045E-3</v>
      </c>
      <c r="I1560" s="47">
        <v>0</v>
      </c>
      <c r="J1560" s="47">
        <f t="shared" si="47"/>
        <v>0</v>
      </c>
      <c r="K1560" s="47">
        <v>1.1999999999999999E-3</v>
      </c>
      <c r="L1560" s="47">
        <f t="shared" si="48"/>
        <v>4.8291436532561755E-4</v>
      </c>
      <c r="M1560" s="47">
        <f>H1560-L1560</f>
        <v>1.495980034001487E-3</v>
      </c>
      <c r="N1560" s="47">
        <v>0</v>
      </c>
      <c r="O1560" s="47">
        <f t="shared" si="49"/>
        <v>0</v>
      </c>
      <c r="P1560" s="92"/>
    </row>
    <row r="1561" spans="1:19" x14ac:dyDescent="0.25">
      <c r="A1561" s="42">
        <v>8</v>
      </c>
      <c r="B1561" s="43">
        <v>437930.10856199998</v>
      </c>
      <c r="C1561" s="43">
        <v>5688274.3324180003</v>
      </c>
      <c r="D1561" s="44">
        <v>26</v>
      </c>
      <c r="E1561" s="44" t="s">
        <v>36</v>
      </c>
      <c r="F1561" s="44">
        <v>2015</v>
      </c>
      <c r="G1561" s="44" t="s">
        <v>18</v>
      </c>
      <c r="H1561" s="44" t="s">
        <v>18</v>
      </c>
      <c r="I1561" s="44" t="s">
        <v>18</v>
      </c>
      <c r="J1561" s="44" t="s">
        <v>18</v>
      </c>
      <c r="K1561" s="44" t="s">
        <v>18</v>
      </c>
      <c r="L1561" s="44" t="s">
        <v>18</v>
      </c>
      <c r="M1561" s="44" t="s">
        <v>18</v>
      </c>
      <c r="N1561" s="44" t="s">
        <v>18</v>
      </c>
      <c r="O1561" s="44" t="s">
        <v>18</v>
      </c>
      <c r="P1561" s="102" t="s">
        <v>109</v>
      </c>
    </row>
    <row r="1562" spans="1:19" x14ac:dyDescent="0.25">
      <c r="A1562" s="29">
        <v>9</v>
      </c>
      <c r="B1562" s="30">
        <v>438287.10856199998</v>
      </c>
      <c r="C1562" s="30">
        <v>5688274.3324180003</v>
      </c>
      <c r="D1562" s="46">
        <v>26</v>
      </c>
      <c r="E1562" s="30" t="s">
        <v>36</v>
      </c>
      <c r="F1562" s="46">
        <v>2015</v>
      </c>
      <c r="G1562" s="47">
        <v>3.6999999999999998E-2</v>
      </c>
      <c r="H1562" s="47">
        <f t="shared" si="46"/>
        <v>1.2623981512948771E-2</v>
      </c>
      <c r="I1562" s="47">
        <v>1.9E-3</v>
      </c>
      <c r="J1562" s="47">
        <f t="shared" si="47"/>
        <v>6.56386576447795E-4</v>
      </c>
      <c r="K1562" s="47">
        <v>1.34E-2</v>
      </c>
      <c r="L1562" s="47">
        <f t="shared" si="48"/>
        <v>5.392543746136064E-3</v>
      </c>
      <c r="M1562" s="47">
        <f t="shared" ref="M1562:M1613" si="50">H1562-L1562</f>
        <v>7.2314377668127074E-3</v>
      </c>
      <c r="N1562" s="47">
        <v>1.1999999999999999E-3</v>
      </c>
      <c r="O1562" s="47">
        <f t="shared" si="49"/>
        <v>3.5194318706039155E-4</v>
      </c>
      <c r="P1562" s="92"/>
    </row>
    <row r="1563" spans="1:19" x14ac:dyDescent="0.25">
      <c r="A1563" s="29">
        <v>10</v>
      </c>
      <c r="B1563" s="30">
        <v>438406.10856199998</v>
      </c>
      <c r="C1563" s="30">
        <v>5688274.3324180003</v>
      </c>
      <c r="D1563" s="46">
        <v>26</v>
      </c>
      <c r="E1563" s="30" t="s">
        <v>36</v>
      </c>
      <c r="F1563" s="46">
        <v>2015</v>
      </c>
      <c r="G1563" s="47">
        <v>4.4200000000000003E-2</v>
      </c>
      <c r="H1563" s="47">
        <f t="shared" si="46"/>
        <v>1.5080540077630695E-2</v>
      </c>
      <c r="I1563" s="47">
        <v>0</v>
      </c>
      <c r="J1563" s="47">
        <f t="shared" si="47"/>
        <v>0</v>
      </c>
      <c r="K1563" s="47">
        <v>1.2500000000000001E-2</v>
      </c>
      <c r="L1563" s="47">
        <f t="shared" si="48"/>
        <v>5.0303579721418506E-3</v>
      </c>
      <c r="M1563" s="47">
        <f t="shared" si="50"/>
        <v>1.0050182105488845E-2</v>
      </c>
      <c r="N1563" s="47">
        <v>0</v>
      </c>
      <c r="O1563" s="47">
        <f t="shared" si="49"/>
        <v>0</v>
      </c>
      <c r="P1563" s="92"/>
    </row>
    <row r="1564" spans="1:19" x14ac:dyDescent="0.25">
      <c r="A1564" s="42">
        <v>11</v>
      </c>
      <c r="B1564" s="43">
        <v>437454.10856199998</v>
      </c>
      <c r="C1564" s="43">
        <v>5688393.3324180003</v>
      </c>
      <c r="D1564" s="44">
        <v>26</v>
      </c>
      <c r="E1564" s="44" t="s">
        <v>36</v>
      </c>
      <c r="F1564" s="44">
        <v>2015</v>
      </c>
      <c r="G1564" s="44" t="s">
        <v>18</v>
      </c>
      <c r="H1564" s="44" t="s">
        <v>18</v>
      </c>
      <c r="I1564" s="44" t="s">
        <v>18</v>
      </c>
      <c r="J1564" s="44" t="s">
        <v>18</v>
      </c>
      <c r="K1564" s="44" t="s">
        <v>18</v>
      </c>
      <c r="L1564" s="44" t="s">
        <v>18</v>
      </c>
      <c r="M1564" s="44" t="s">
        <v>18</v>
      </c>
      <c r="N1564" s="44" t="s">
        <v>18</v>
      </c>
      <c r="O1564" s="44" t="s">
        <v>18</v>
      </c>
      <c r="P1564" s="102" t="s">
        <v>109</v>
      </c>
    </row>
    <row r="1565" spans="1:19" x14ac:dyDescent="0.25">
      <c r="A1565" s="29">
        <v>12</v>
      </c>
      <c r="B1565" s="30">
        <v>437573.10856199998</v>
      </c>
      <c r="C1565" s="30">
        <v>5688393.3324180003</v>
      </c>
      <c r="D1565" s="46">
        <v>26</v>
      </c>
      <c r="E1565" s="30" t="s">
        <v>36</v>
      </c>
      <c r="F1565" s="46">
        <v>2015</v>
      </c>
      <c r="G1565" s="47">
        <v>1.4999999999999999E-2</v>
      </c>
      <c r="H1565" s="47">
        <f t="shared" si="46"/>
        <v>5.1178303430873392E-3</v>
      </c>
      <c r="I1565" s="47">
        <v>1.2699999999999999E-2</v>
      </c>
      <c r="J1565" s="47">
        <f t="shared" si="47"/>
        <v>4.3874260636247346E-3</v>
      </c>
      <c r="K1565" s="47">
        <v>3.2000000000000002E-3</v>
      </c>
      <c r="L1565" s="47">
        <f t="shared" si="48"/>
        <v>1.2877716408683138E-3</v>
      </c>
      <c r="M1565" s="47">
        <f t="shared" si="50"/>
        <v>3.8300587022190254E-3</v>
      </c>
      <c r="N1565" s="47">
        <v>1.0199999999999999E-2</v>
      </c>
      <c r="O1565" s="47">
        <f t="shared" si="49"/>
        <v>2.9915170900133283E-3</v>
      </c>
      <c r="P1565" s="92"/>
    </row>
    <row r="1566" spans="1:19" x14ac:dyDescent="0.25">
      <c r="A1566" s="29">
        <v>13</v>
      </c>
      <c r="B1566" s="30">
        <v>437692.10856199998</v>
      </c>
      <c r="C1566" s="30">
        <v>5688393.3324180003</v>
      </c>
      <c r="D1566" s="46">
        <v>26</v>
      </c>
      <c r="E1566" s="30" t="s">
        <v>36</v>
      </c>
      <c r="F1566" s="46">
        <v>2015</v>
      </c>
      <c r="G1566" s="47">
        <v>1.7100000000000001E-2</v>
      </c>
      <c r="H1566" s="47">
        <f t="shared" si="46"/>
        <v>5.8343265911195673E-3</v>
      </c>
      <c r="I1566" s="47">
        <v>5.1999999999999998E-3</v>
      </c>
      <c r="J1566" s="47">
        <f t="shared" si="47"/>
        <v>1.7964264197518598E-3</v>
      </c>
      <c r="K1566" s="47">
        <v>1.2199999999999999E-2</v>
      </c>
      <c r="L1566" s="47">
        <f t="shared" si="48"/>
        <v>4.9096293808104452E-3</v>
      </c>
      <c r="M1566" s="47">
        <f t="shared" si="50"/>
        <v>9.2469721030912205E-4</v>
      </c>
      <c r="N1566" s="47">
        <v>5.3E-3</v>
      </c>
      <c r="O1566" s="47">
        <f t="shared" si="49"/>
        <v>1.5544157428500629E-3</v>
      </c>
      <c r="P1566" s="92"/>
    </row>
    <row r="1567" spans="1:19" x14ac:dyDescent="0.25">
      <c r="A1567" s="32">
        <v>14</v>
      </c>
      <c r="B1567" s="33">
        <v>437811.10856199998</v>
      </c>
      <c r="C1567" s="33">
        <v>5688393.3324180003</v>
      </c>
      <c r="D1567" s="48">
        <v>26</v>
      </c>
      <c r="E1567" s="48" t="s">
        <v>36</v>
      </c>
      <c r="F1567" s="48">
        <v>2015</v>
      </c>
      <c r="G1567" s="48" t="s">
        <v>18</v>
      </c>
      <c r="H1567" s="48" t="s">
        <v>18</v>
      </c>
      <c r="I1567" s="48" t="s">
        <v>18</v>
      </c>
      <c r="J1567" s="48" t="s">
        <v>18</v>
      </c>
      <c r="K1567" s="48" t="s">
        <v>18</v>
      </c>
      <c r="L1567" s="48" t="s">
        <v>18</v>
      </c>
      <c r="M1567" s="48" t="s">
        <v>18</v>
      </c>
      <c r="N1567" s="48" t="s">
        <v>18</v>
      </c>
      <c r="O1567" s="48" t="s">
        <v>18</v>
      </c>
      <c r="P1567" s="103" t="s">
        <v>21</v>
      </c>
    </row>
    <row r="1568" spans="1:19" x14ac:dyDescent="0.25">
      <c r="A1568" s="29">
        <v>15</v>
      </c>
      <c r="B1568" s="30">
        <v>437930.10856199998</v>
      </c>
      <c r="C1568" s="30">
        <v>5688393.3324180003</v>
      </c>
      <c r="D1568" s="46">
        <v>26</v>
      </c>
      <c r="E1568" s="30" t="s">
        <v>36</v>
      </c>
      <c r="F1568" s="46">
        <v>2015</v>
      </c>
      <c r="G1568" s="47">
        <v>0.1017</v>
      </c>
      <c r="H1568" s="47">
        <f t="shared" si="46"/>
        <v>3.4698889726132165E-2</v>
      </c>
      <c r="I1568" s="47">
        <v>1.54E-2</v>
      </c>
      <c r="J1568" s="47">
        <f t="shared" si="47"/>
        <v>5.3201859354189704E-3</v>
      </c>
      <c r="K1568" s="47">
        <v>2.2600000000000002E-2</v>
      </c>
      <c r="L1568" s="47">
        <f t="shared" si="48"/>
        <v>9.0948872136324653E-3</v>
      </c>
      <c r="M1568" s="47">
        <f t="shared" si="50"/>
        <v>2.56040025124997E-2</v>
      </c>
      <c r="N1568" s="47">
        <v>3.0000000000000001E-3</v>
      </c>
      <c r="O1568" s="47">
        <f t="shared" si="49"/>
        <v>8.7985796765097904E-4</v>
      </c>
      <c r="P1568" s="92"/>
    </row>
    <row r="1569" spans="1:16" x14ac:dyDescent="0.25">
      <c r="A1569" s="29">
        <v>16</v>
      </c>
      <c r="B1569" s="30">
        <v>438049.10856199998</v>
      </c>
      <c r="C1569" s="30">
        <v>5688393.3324180003</v>
      </c>
      <c r="D1569" s="46">
        <v>26</v>
      </c>
      <c r="E1569" s="30" t="s">
        <v>36</v>
      </c>
      <c r="F1569" s="46">
        <v>2015</v>
      </c>
      <c r="G1569" s="46" t="s">
        <v>18</v>
      </c>
      <c r="H1569" s="46" t="s">
        <v>18</v>
      </c>
      <c r="I1569" s="46" t="s">
        <v>18</v>
      </c>
      <c r="J1569" s="46" t="s">
        <v>18</v>
      </c>
      <c r="K1569" s="47">
        <v>4.3E-3</v>
      </c>
      <c r="L1569" s="47">
        <f t="shared" si="48"/>
        <v>1.7304431424167966E-3</v>
      </c>
      <c r="M1569" s="46" t="s">
        <v>18</v>
      </c>
      <c r="N1569" s="47">
        <v>1.1300000000000001E-2</v>
      </c>
      <c r="O1569" s="47">
        <f t="shared" si="49"/>
        <v>3.3141316781520212E-3</v>
      </c>
      <c r="P1569" s="92" t="s">
        <v>93</v>
      </c>
    </row>
    <row r="1570" spans="1:16" x14ac:dyDescent="0.25">
      <c r="A1570" s="29">
        <v>17</v>
      </c>
      <c r="B1570" s="30">
        <v>438168.10856199998</v>
      </c>
      <c r="C1570" s="30">
        <v>5688393.3324180003</v>
      </c>
      <c r="D1570" s="46">
        <v>26</v>
      </c>
      <c r="E1570" s="30" t="s">
        <v>36</v>
      </c>
      <c r="F1570" s="46">
        <v>2015</v>
      </c>
      <c r="G1570" s="47">
        <v>1.1300000000000001E-2</v>
      </c>
      <c r="H1570" s="47">
        <f t="shared" si="46"/>
        <v>3.8554321917924632E-3</v>
      </c>
      <c r="I1570" s="47">
        <v>3.7999999999999999E-2</v>
      </c>
      <c r="J1570" s="47">
        <f t="shared" si="47"/>
        <v>1.31277315289559E-2</v>
      </c>
      <c r="K1570" s="47">
        <v>5.0999999999999995E-3</v>
      </c>
      <c r="L1570" s="47">
        <f t="shared" si="48"/>
        <v>2.0523860526338745E-3</v>
      </c>
      <c r="M1570" s="47">
        <f t="shared" si="50"/>
        <v>1.8030461391585887E-3</v>
      </c>
      <c r="N1570" s="47">
        <v>0</v>
      </c>
      <c r="O1570" s="47">
        <f t="shared" si="49"/>
        <v>0</v>
      </c>
      <c r="P1570" s="92"/>
    </row>
    <row r="1571" spans="1:16" x14ac:dyDescent="0.25">
      <c r="A1571" s="29">
        <v>18</v>
      </c>
      <c r="B1571" s="30">
        <v>438287.10856199998</v>
      </c>
      <c r="C1571" s="30">
        <v>5688393.3324180003</v>
      </c>
      <c r="D1571" s="46">
        <v>26</v>
      </c>
      <c r="E1571" s="30" t="s">
        <v>36</v>
      </c>
      <c r="F1571" s="46">
        <v>2015</v>
      </c>
      <c r="G1571" s="47">
        <v>1.0500000000000001E-2</v>
      </c>
      <c r="H1571" s="47">
        <f t="shared" si="46"/>
        <v>3.5824812401611381E-3</v>
      </c>
      <c r="I1571" s="47">
        <v>0</v>
      </c>
      <c r="J1571" s="47">
        <f t="shared" si="47"/>
        <v>0</v>
      </c>
      <c r="K1571" s="47">
        <v>4.5999999999999999E-3</v>
      </c>
      <c r="L1571" s="47">
        <f t="shared" si="48"/>
        <v>1.8511717337482009E-3</v>
      </c>
      <c r="M1571" s="47">
        <f t="shared" si="50"/>
        <v>1.7313095064129373E-3</v>
      </c>
      <c r="N1571" s="47">
        <v>0</v>
      </c>
      <c r="O1571" s="47">
        <f t="shared" si="49"/>
        <v>0</v>
      </c>
      <c r="P1571" s="92"/>
    </row>
    <row r="1572" spans="1:16" x14ac:dyDescent="0.25">
      <c r="A1572" s="29">
        <v>19</v>
      </c>
      <c r="B1572" s="30">
        <v>438406.10856199998</v>
      </c>
      <c r="C1572" s="30">
        <v>5688393.3324180003</v>
      </c>
      <c r="D1572" s="46">
        <v>26</v>
      </c>
      <c r="E1572" s="30" t="s">
        <v>36</v>
      </c>
      <c r="F1572" s="46">
        <v>2015</v>
      </c>
      <c r="G1572" s="47">
        <v>3.1E-2</v>
      </c>
      <c r="H1572" s="47">
        <f t="shared" si="46"/>
        <v>1.0576849375713836E-2</v>
      </c>
      <c r="I1572" s="47">
        <v>0</v>
      </c>
      <c r="J1572" s="47">
        <f t="shared" si="47"/>
        <v>0</v>
      </c>
      <c r="K1572" s="47">
        <v>1.2699999999999999E-2</v>
      </c>
      <c r="L1572" s="47">
        <f t="shared" si="48"/>
        <v>5.11084369969612E-3</v>
      </c>
      <c r="M1572" s="47">
        <f t="shared" si="50"/>
        <v>5.4660056760177161E-3</v>
      </c>
      <c r="N1572" s="47">
        <v>0</v>
      </c>
      <c r="O1572" s="47">
        <f t="shared" si="49"/>
        <v>0</v>
      </c>
      <c r="P1572" s="92"/>
    </row>
    <row r="1573" spans="1:16" x14ac:dyDescent="0.25">
      <c r="A1573" s="42">
        <v>20</v>
      </c>
      <c r="B1573" s="43">
        <v>437335.10856199998</v>
      </c>
      <c r="C1573" s="43">
        <v>5688512.3324180003</v>
      </c>
      <c r="D1573" s="44">
        <v>26</v>
      </c>
      <c r="E1573" s="44" t="s">
        <v>36</v>
      </c>
      <c r="F1573" s="44">
        <v>2015</v>
      </c>
      <c r="G1573" s="44" t="s">
        <v>18</v>
      </c>
      <c r="H1573" s="44" t="s">
        <v>18</v>
      </c>
      <c r="I1573" s="44" t="s">
        <v>18</v>
      </c>
      <c r="J1573" s="44" t="s">
        <v>18</v>
      </c>
      <c r="K1573" s="44" t="s">
        <v>18</v>
      </c>
      <c r="L1573" s="44" t="s">
        <v>18</v>
      </c>
      <c r="M1573" s="44" t="s">
        <v>18</v>
      </c>
      <c r="N1573" s="44" t="s">
        <v>18</v>
      </c>
      <c r="O1573" s="44" t="s">
        <v>18</v>
      </c>
      <c r="P1573" s="102" t="s">
        <v>109</v>
      </c>
    </row>
    <row r="1574" spans="1:16" x14ac:dyDescent="0.25">
      <c r="A1574" s="29">
        <v>21</v>
      </c>
      <c r="B1574" s="30">
        <v>437454.10856199998</v>
      </c>
      <c r="C1574" s="30">
        <v>5688512.3324180003</v>
      </c>
      <c r="D1574" s="46">
        <v>26</v>
      </c>
      <c r="E1574" s="30" t="s">
        <v>36</v>
      </c>
      <c r="F1574" s="46">
        <v>2015</v>
      </c>
      <c r="G1574" s="47">
        <v>2.7800000000000002E-2</v>
      </c>
      <c r="H1574" s="47">
        <f t="shared" si="46"/>
        <v>9.4850455691885376E-3</v>
      </c>
      <c r="I1574" s="47">
        <v>0</v>
      </c>
      <c r="J1574" s="47">
        <f t="shared" si="47"/>
        <v>0</v>
      </c>
      <c r="K1574" s="47">
        <v>9.4999999999999998E-3</v>
      </c>
      <c r="L1574" s="47">
        <f t="shared" si="48"/>
        <v>3.8230720588278062E-3</v>
      </c>
      <c r="M1574" s="47">
        <f t="shared" si="50"/>
        <v>5.6619735103607318E-3</v>
      </c>
      <c r="N1574" s="47">
        <v>0</v>
      </c>
      <c r="O1574" s="47">
        <f t="shared" si="49"/>
        <v>0</v>
      </c>
      <c r="P1574" s="92"/>
    </row>
    <row r="1575" spans="1:16" x14ac:dyDescent="0.25">
      <c r="A1575" s="29">
        <v>22</v>
      </c>
      <c r="B1575" s="30">
        <v>437573.10856199998</v>
      </c>
      <c r="C1575" s="30">
        <v>5688512.3324180003</v>
      </c>
      <c r="D1575" s="46">
        <v>26</v>
      </c>
      <c r="E1575" s="30" t="s">
        <v>36</v>
      </c>
      <c r="F1575" s="46">
        <v>2015</v>
      </c>
      <c r="G1575" s="47">
        <v>3.27E-2</v>
      </c>
      <c r="H1575" s="47">
        <f t="shared" si="46"/>
        <v>1.1156870147930402E-2</v>
      </c>
      <c r="I1575" s="47">
        <v>9.3299999999999994E-2</v>
      </c>
      <c r="J1575" s="47">
        <f t="shared" si="47"/>
        <v>3.2232035569778564E-2</v>
      </c>
      <c r="K1575" s="47">
        <v>9.5999999999999992E-3</v>
      </c>
      <c r="L1575" s="47">
        <f t="shared" si="48"/>
        <v>3.8633149226049404E-3</v>
      </c>
      <c r="M1575" s="47">
        <f>H1575-L1575</f>
        <v>7.2935552253254616E-3</v>
      </c>
      <c r="N1575" s="47">
        <v>5.4999999999999997E-3</v>
      </c>
      <c r="O1575" s="47">
        <f t="shared" si="49"/>
        <v>1.6130729406934614E-3</v>
      </c>
      <c r="P1575" s="92"/>
    </row>
    <row r="1576" spans="1:16" x14ac:dyDescent="0.25">
      <c r="A1576" s="29">
        <v>23</v>
      </c>
      <c r="B1576" s="30">
        <v>437692.10856199998</v>
      </c>
      <c r="C1576" s="30">
        <v>5688512.3324180003</v>
      </c>
      <c r="D1576" s="46">
        <v>26</v>
      </c>
      <c r="E1576" s="30" t="s">
        <v>36</v>
      </c>
      <c r="F1576" s="46">
        <v>2015</v>
      </c>
      <c r="G1576" s="47">
        <v>2.29E-2</v>
      </c>
      <c r="H1576" s="47">
        <f t="shared" si="46"/>
        <v>7.8132209904466718E-3</v>
      </c>
      <c r="I1576" s="47">
        <v>0</v>
      </c>
      <c r="J1576" s="47">
        <f t="shared" si="47"/>
        <v>0</v>
      </c>
      <c r="K1576" s="47">
        <v>1.15E-2</v>
      </c>
      <c r="L1576" s="47">
        <f t="shared" si="48"/>
        <v>4.627929334370502E-3</v>
      </c>
      <c r="M1576" s="47">
        <f t="shared" si="50"/>
        <v>3.1852916560761698E-3</v>
      </c>
      <c r="N1576" s="47">
        <v>0</v>
      </c>
      <c r="O1576" s="47">
        <f t="shared" si="49"/>
        <v>0</v>
      </c>
      <c r="P1576" s="92"/>
    </row>
    <row r="1577" spans="1:16" x14ac:dyDescent="0.25">
      <c r="A1577" s="29">
        <v>24</v>
      </c>
      <c r="B1577" s="30">
        <v>437811.10856199998</v>
      </c>
      <c r="C1577" s="30">
        <v>5688512.3324180003</v>
      </c>
      <c r="D1577" s="46">
        <v>26</v>
      </c>
      <c r="E1577" s="30" t="s">
        <v>36</v>
      </c>
      <c r="F1577" s="46">
        <v>2015</v>
      </c>
      <c r="G1577" s="47">
        <v>1.95E-2</v>
      </c>
      <c r="H1577" s="47">
        <f t="shared" si="46"/>
        <v>6.6531794460135416E-3</v>
      </c>
      <c r="I1577" s="47">
        <v>0</v>
      </c>
      <c r="J1577" s="47">
        <f t="shared" si="47"/>
        <v>0</v>
      </c>
      <c r="K1577" s="47">
        <v>2.1000000000000003E-3</v>
      </c>
      <c r="L1577" s="47">
        <f t="shared" si="48"/>
        <v>8.4510013931983095E-4</v>
      </c>
      <c r="M1577" s="47">
        <f t="shared" si="50"/>
        <v>5.8080793066937111E-3</v>
      </c>
      <c r="N1577" s="47">
        <v>0</v>
      </c>
      <c r="O1577" s="47">
        <f t="shared" si="49"/>
        <v>0</v>
      </c>
      <c r="P1577" s="92"/>
    </row>
    <row r="1578" spans="1:16" x14ac:dyDescent="0.25">
      <c r="A1578" s="29">
        <v>25</v>
      </c>
      <c r="B1578" s="46">
        <v>437995</v>
      </c>
      <c r="C1578" s="46">
        <v>5688493</v>
      </c>
      <c r="D1578" s="46">
        <v>26</v>
      </c>
      <c r="E1578" s="30" t="s">
        <v>36</v>
      </c>
      <c r="F1578" s="46">
        <v>2015</v>
      </c>
      <c r="G1578" s="47">
        <v>3.3100000000000004E-2</v>
      </c>
      <c r="H1578" s="47">
        <f t="shared" si="46"/>
        <v>1.1293345623746065E-2</v>
      </c>
      <c r="I1578" s="47">
        <v>0</v>
      </c>
      <c r="J1578" s="47">
        <f t="shared" si="47"/>
        <v>0</v>
      </c>
      <c r="K1578" s="47">
        <v>8.8000000000000005E-3</v>
      </c>
      <c r="L1578" s="47">
        <f t="shared" si="48"/>
        <v>3.541372012387863E-3</v>
      </c>
      <c r="M1578" s="47">
        <f t="shared" si="50"/>
        <v>7.7519736113582025E-3</v>
      </c>
      <c r="N1578" s="47">
        <v>0</v>
      </c>
      <c r="O1578" s="47">
        <f t="shared" si="49"/>
        <v>0</v>
      </c>
      <c r="P1578" s="92"/>
    </row>
    <row r="1579" spans="1:16" x14ac:dyDescent="0.25">
      <c r="A1579" s="29">
        <v>26</v>
      </c>
      <c r="B1579" s="46">
        <v>438112</v>
      </c>
      <c r="C1579" s="46">
        <v>5688567</v>
      </c>
      <c r="D1579" s="46">
        <v>26</v>
      </c>
      <c r="E1579" s="30" t="s">
        <v>36</v>
      </c>
      <c r="F1579" s="46">
        <v>2015</v>
      </c>
      <c r="G1579" s="47">
        <v>3.1800000000000002E-2</v>
      </c>
      <c r="H1579" s="47">
        <f t="shared" si="46"/>
        <v>1.0849800327345161E-2</v>
      </c>
      <c r="I1579" s="47">
        <v>0</v>
      </c>
      <c r="J1579" s="47">
        <f t="shared" si="47"/>
        <v>0</v>
      </c>
      <c r="K1579" s="47">
        <v>1.4800000000000001E-2</v>
      </c>
      <c r="L1579" s="47">
        <f t="shared" si="48"/>
        <v>5.9559438390159513E-3</v>
      </c>
      <c r="M1579" s="47">
        <f t="shared" si="50"/>
        <v>4.8938564883292098E-3</v>
      </c>
      <c r="N1579" s="47">
        <v>0</v>
      </c>
      <c r="O1579" s="47">
        <f t="shared" si="49"/>
        <v>0</v>
      </c>
      <c r="P1579" s="92"/>
    </row>
    <row r="1580" spans="1:16" x14ac:dyDescent="0.25">
      <c r="A1580" s="32">
        <v>27</v>
      </c>
      <c r="B1580" s="33">
        <v>438168.10856199998</v>
      </c>
      <c r="C1580" s="33">
        <v>5688512.3324180003</v>
      </c>
      <c r="D1580" s="48">
        <v>26</v>
      </c>
      <c r="E1580" s="48" t="s">
        <v>36</v>
      </c>
      <c r="F1580" s="48">
        <v>2015</v>
      </c>
      <c r="G1580" s="48" t="s">
        <v>18</v>
      </c>
      <c r="H1580" s="48" t="s">
        <v>18</v>
      </c>
      <c r="I1580" s="48" t="s">
        <v>18</v>
      </c>
      <c r="J1580" s="48" t="s">
        <v>18</v>
      </c>
      <c r="K1580" s="48" t="s">
        <v>18</v>
      </c>
      <c r="L1580" s="48" t="s">
        <v>18</v>
      </c>
      <c r="M1580" s="48" t="s">
        <v>18</v>
      </c>
      <c r="N1580" s="48" t="s">
        <v>18</v>
      </c>
      <c r="O1580" s="48" t="s">
        <v>18</v>
      </c>
      <c r="P1580" s="103" t="s">
        <v>21</v>
      </c>
    </row>
    <row r="1581" spans="1:16" x14ac:dyDescent="0.25">
      <c r="A1581" s="32">
        <v>28</v>
      </c>
      <c r="B1581" s="33">
        <v>438287.10856199998</v>
      </c>
      <c r="C1581" s="33">
        <v>5688512.3324180003</v>
      </c>
      <c r="D1581" s="48">
        <v>26</v>
      </c>
      <c r="E1581" s="48" t="s">
        <v>36</v>
      </c>
      <c r="F1581" s="48">
        <v>2015</v>
      </c>
      <c r="G1581" s="48" t="s">
        <v>18</v>
      </c>
      <c r="H1581" s="48" t="s">
        <v>18</v>
      </c>
      <c r="I1581" s="48" t="s">
        <v>18</v>
      </c>
      <c r="J1581" s="48" t="s">
        <v>18</v>
      </c>
      <c r="K1581" s="48" t="s">
        <v>18</v>
      </c>
      <c r="L1581" s="48" t="s">
        <v>18</v>
      </c>
      <c r="M1581" s="48" t="s">
        <v>18</v>
      </c>
      <c r="N1581" s="48" t="s">
        <v>18</v>
      </c>
      <c r="O1581" s="48" t="s">
        <v>18</v>
      </c>
      <c r="P1581" s="103" t="s">
        <v>21</v>
      </c>
    </row>
    <row r="1582" spans="1:16" x14ac:dyDescent="0.25">
      <c r="A1582" s="29">
        <v>29</v>
      </c>
      <c r="B1582" s="30">
        <v>438381</v>
      </c>
      <c r="C1582" s="30">
        <v>5688526</v>
      </c>
      <c r="D1582" s="46">
        <v>26</v>
      </c>
      <c r="E1582" s="30" t="s">
        <v>36</v>
      </c>
      <c r="F1582" s="46">
        <v>2015</v>
      </c>
      <c r="G1582" s="47">
        <v>4.07E-2</v>
      </c>
      <c r="H1582" s="47">
        <f t="shared" si="46"/>
        <v>1.3886379664243649E-2</v>
      </c>
      <c r="I1582" s="47">
        <v>0</v>
      </c>
      <c r="J1582" s="47">
        <f t="shared" si="47"/>
        <v>0</v>
      </c>
      <c r="K1582" s="47">
        <v>6.3E-3</v>
      </c>
      <c r="L1582" s="47">
        <f t="shared" si="48"/>
        <v>2.5353004179594924E-3</v>
      </c>
      <c r="M1582" s="47">
        <f t="shared" si="50"/>
        <v>1.1351079246284156E-2</v>
      </c>
      <c r="N1582" s="47">
        <v>0</v>
      </c>
      <c r="O1582" s="47">
        <f t="shared" si="49"/>
        <v>0</v>
      </c>
      <c r="P1582" s="92"/>
    </row>
    <row r="1583" spans="1:16" x14ac:dyDescent="0.25">
      <c r="A1583" s="29">
        <v>30</v>
      </c>
      <c r="B1583" s="30">
        <v>438525.10856199998</v>
      </c>
      <c r="C1583" s="30">
        <v>5688512.3324180003</v>
      </c>
      <c r="D1583" s="46">
        <v>26</v>
      </c>
      <c r="E1583" s="30" t="s">
        <v>36</v>
      </c>
      <c r="F1583" s="46">
        <v>2015</v>
      </c>
      <c r="G1583" s="47">
        <v>2.4799999999999999E-2</v>
      </c>
      <c r="H1583" s="47">
        <f t="shared" si="46"/>
        <v>8.4614795005710682E-3</v>
      </c>
      <c r="I1583" s="47">
        <v>0</v>
      </c>
      <c r="J1583" s="47">
        <f t="shared" si="47"/>
        <v>0</v>
      </c>
      <c r="K1583" s="47">
        <v>4.9000000000000007E-3</v>
      </c>
      <c r="L1583" s="47">
        <f t="shared" si="48"/>
        <v>1.9719003250796056E-3</v>
      </c>
      <c r="M1583" s="47">
        <f t="shared" si="50"/>
        <v>6.4895791754914622E-3</v>
      </c>
      <c r="N1583" s="47">
        <v>0</v>
      </c>
      <c r="O1583" s="47">
        <f t="shared" si="49"/>
        <v>0</v>
      </c>
      <c r="P1583" s="92"/>
    </row>
    <row r="1584" spans="1:16" x14ac:dyDescent="0.25">
      <c r="A1584" s="29">
        <v>31</v>
      </c>
      <c r="B1584" s="30">
        <v>437335.10856199998</v>
      </c>
      <c r="C1584" s="30">
        <v>5688631.3324180003</v>
      </c>
      <c r="D1584" s="46">
        <v>26</v>
      </c>
      <c r="E1584" s="30" t="s">
        <v>36</v>
      </c>
      <c r="F1584" s="46">
        <v>2015</v>
      </c>
      <c r="G1584" s="47">
        <v>1.21E-2</v>
      </c>
      <c r="H1584" s="47">
        <f t="shared" si="46"/>
        <v>4.128383143423787E-3</v>
      </c>
      <c r="I1584" s="47">
        <v>0</v>
      </c>
      <c r="J1584" s="47">
        <f t="shared" si="47"/>
        <v>0</v>
      </c>
      <c r="K1584" s="47">
        <v>1.4E-2</v>
      </c>
      <c r="L1584" s="47">
        <f t="shared" si="48"/>
        <v>5.6340009287988721E-3</v>
      </c>
      <c r="M1584" s="47">
        <f t="shared" si="50"/>
        <v>-1.5056177853750852E-3</v>
      </c>
      <c r="N1584" s="47">
        <v>0</v>
      </c>
      <c r="O1584" s="47">
        <f t="shared" si="49"/>
        <v>0</v>
      </c>
      <c r="P1584" s="92"/>
    </row>
    <row r="1585" spans="1:16" x14ac:dyDescent="0.25">
      <c r="A1585" s="29">
        <v>32</v>
      </c>
      <c r="B1585" s="30">
        <v>437454.10856199998</v>
      </c>
      <c r="C1585" s="30">
        <v>5688631.3324180003</v>
      </c>
      <c r="D1585" s="46">
        <v>26</v>
      </c>
      <c r="E1585" s="30" t="s">
        <v>36</v>
      </c>
      <c r="F1585" s="46">
        <v>2015</v>
      </c>
      <c r="G1585" s="47">
        <v>1.9199999999999998E-2</v>
      </c>
      <c r="H1585" s="47">
        <f t="shared" si="46"/>
        <v>6.5508228391517945E-3</v>
      </c>
      <c r="I1585" s="47">
        <v>0</v>
      </c>
      <c r="J1585" s="47">
        <f t="shared" si="47"/>
        <v>0</v>
      </c>
      <c r="K1585" s="47">
        <v>5.0999999999999995E-3</v>
      </c>
      <c r="L1585" s="47">
        <f t="shared" si="48"/>
        <v>2.0523860526338745E-3</v>
      </c>
      <c r="M1585" s="47">
        <f t="shared" si="50"/>
        <v>4.49843678651792E-3</v>
      </c>
      <c r="N1585" s="47">
        <v>0</v>
      </c>
      <c r="O1585" s="47">
        <f t="shared" si="49"/>
        <v>0</v>
      </c>
      <c r="P1585" s="92"/>
    </row>
    <row r="1586" spans="1:16" x14ac:dyDescent="0.25">
      <c r="A1586" s="29">
        <v>33</v>
      </c>
      <c r="B1586" s="30">
        <v>437573.10856199998</v>
      </c>
      <c r="C1586" s="30">
        <v>5688631.3324180003</v>
      </c>
      <c r="D1586" s="46">
        <v>26</v>
      </c>
      <c r="E1586" s="30" t="s">
        <v>36</v>
      </c>
      <c r="F1586" s="46">
        <v>2015</v>
      </c>
      <c r="G1586" s="47">
        <v>7.0999999999999995E-3</v>
      </c>
      <c r="H1586" s="47">
        <f t="shared" si="46"/>
        <v>2.4224396957280075E-3</v>
      </c>
      <c r="I1586" s="47">
        <v>0</v>
      </c>
      <c r="J1586" s="47">
        <f t="shared" si="47"/>
        <v>0</v>
      </c>
      <c r="K1586" s="47">
        <v>8.0000000000000004E-4</v>
      </c>
      <c r="L1586" s="47">
        <f t="shared" si="48"/>
        <v>3.2194291021707844E-4</v>
      </c>
      <c r="M1586" s="47">
        <f t="shared" si="50"/>
        <v>2.1004967855109292E-3</v>
      </c>
      <c r="N1586" s="47">
        <v>0</v>
      </c>
      <c r="O1586" s="47">
        <f t="shared" si="49"/>
        <v>0</v>
      </c>
      <c r="P1586" s="92"/>
    </row>
    <row r="1587" spans="1:16" x14ac:dyDescent="0.25">
      <c r="A1587" s="29">
        <v>34</v>
      </c>
      <c r="B1587" s="30">
        <v>437692.10856199998</v>
      </c>
      <c r="C1587" s="30">
        <v>5688631.3324180003</v>
      </c>
      <c r="D1587" s="46">
        <v>26</v>
      </c>
      <c r="E1587" s="30" t="s">
        <v>36</v>
      </c>
      <c r="F1587" s="46">
        <v>2015</v>
      </c>
      <c r="G1587" s="47">
        <v>2.3300000000000001E-2</v>
      </c>
      <c r="H1587" s="47">
        <f t="shared" si="46"/>
        <v>7.9496964662623352E-3</v>
      </c>
      <c r="I1587" s="47">
        <v>0</v>
      </c>
      <c r="J1587" s="47">
        <f t="shared" si="47"/>
        <v>0</v>
      </c>
      <c r="K1587" s="47">
        <v>2.8999999999999998E-3</v>
      </c>
      <c r="L1587" s="47">
        <f t="shared" si="48"/>
        <v>1.1670430495369091E-3</v>
      </c>
      <c r="M1587" s="47">
        <f t="shared" si="50"/>
        <v>6.7826534167254263E-3</v>
      </c>
      <c r="N1587" s="47">
        <v>0</v>
      </c>
      <c r="O1587" s="47">
        <f t="shared" si="49"/>
        <v>0</v>
      </c>
      <c r="P1587" s="92"/>
    </row>
    <row r="1588" spans="1:16" x14ac:dyDescent="0.25">
      <c r="A1588" s="29">
        <v>35</v>
      </c>
      <c r="B1588" s="30">
        <v>437893</v>
      </c>
      <c r="C1588" s="30">
        <v>5688620</v>
      </c>
      <c r="D1588" s="46">
        <v>26</v>
      </c>
      <c r="E1588" s="30" t="s">
        <v>36</v>
      </c>
      <c r="F1588" s="46">
        <v>2015</v>
      </c>
      <c r="G1588" s="47">
        <v>2.52E-2</v>
      </c>
      <c r="H1588" s="47">
        <f t="shared" si="46"/>
        <v>8.5979549763867315E-3</v>
      </c>
      <c r="I1588" s="47">
        <v>0</v>
      </c>
      <c r="J1588" s="47">
        <f t="shared" si="47"/>
        <v>0</v>
      </c>
      <c r="K1588" s="47">
        <v>1.0199999999999999E-2</v>
      </c>
      <c r="L1588" s="47">
        <f t="shared" si="48"/>
        <v>4.104772105267749E-3</v>
      </c>
      <c r="M1588" s="47">
        <f t="shared" si="50"/>
        <v>4.4931828711189826E-3</v>
      </c>
      <c r="N1588" s="47">
        <v>0</v>
      </c>
      <c r="O1588" s="47">
        <f t="shared" si="49"/>
        <v>0</v>
      </c>
      <c r="P1588" s="92"/>
    </row>
    <row r="1589" spans="1:16" x14ac:dyDescent="0.25">
      <c r="A1589" s="29">
        <v>36</v>
      </c>
      <c r="B1589" s="30">
        <v>437930.10856199998</v>
      </c>
      <c r="C1589" s="30">
        <v>5688631.3324180003</v>
      </c>
      <c r="D1589" s="46">
        <v>26</v>
      </c>
      <c r="E1589" s="30" t="s">
        <v>36</v>
      </c>
      <c r="F1589" s="46">
        <v>2015</v>
      </c>
      <c r="G1589" s="47">
        <v>2.3800000000000002E-2</v>
      </c>
      <c r="H1589" s="47">
        <f t="shared" si="46"/>
        <v>8.1202908110319123E-3</v>
      </c>
      <c r="I1589" s="47">
        <v>0</v>
      </c>
      <c r="J1589" s="47">
        <f t="shared" si="47"/>
        <v>0</v>
      </c>
      <c r="K1589" s="47">
        <v>1.4199999999999999E-2</v>
      </c>
      <c r="L1589" s="47">
        <f t="shared" si="48"/>
        <v>5.7144866563531415E-3</v>
      </c>
      <c r="M1589" s="47">
        <f t="shared" si="50"/>
        <v>2.4058041546787708E-3</v>
      </c>
      <c r="N1589" s="47">
        <v>0</v>
      </c>
      <c r="O1589" s="47">
        <f t="shared" si="49"/>
        <v>0</v>
      </c>
      <c r="P1589" s="92"/>
    </row>
    <row r="1590" spans="1:16" x14ac:dyDescent="0.25">
      <c r="A1590" s="32">
        <v>37</v>
      </c>
      <c r="B1590" s="33">
        <v>438049.10856199998</v>
      </c>
      <c r="C1590" s="33">
        <v>5688631.3324180003</v>
      </c>
      <c r="D1590" s="48">
        <v>26</v>
      </c>
      <c r="E1590" s="48" t="s">
        <v>36</v>
      </c>
      <c r="F1590" s="48">
        <v>2015</v>
      </c>
      <c r="G1590" s="48" t="s">
        <v>18</v>
      </c>
      <c r="H1590" s="48" t="s">
        <v>18</v>
      </c>
      <c r="I1590" s="48" t="s">
        <v>18</v>
      </c>
      <c r="J1590" s="48" t="s">
        <v>18</v>
      </c>
      <c r="K1590" s="48" t="s">
        <v>18</v>
      </c>
      <c r="L1590" s="48" t="s">
        <v>18</v>
      </c>
      <c r="M1590" s="48" t="s">
        <v>18</v>
      </c>
      <c r="N1590" s="48" t="s">
        <v>18</v>
      </c>
      <c r="O1590" s="48" t="s">
        <v>18</v>
      </c>
      <c r="P1590" s="103" t="s">
        <v>21</v>
      </c>
    </row>
    <row r="1591" spans="1:16" x14ac:dyDescent="0.25">
      <c r="A1591" s="29">
        <v>38</v>
      </c>
      <c r="B1591" s="30">
        <v>438067</v>
      </c>
      <c r="C1591" s="30">
        <v>5688710</v>
      </c>
      <c r="D1591" s="46">
        <v>26</v>
      </c>
      <c r="E1591" s="30" t="s">
        <v>36</v>
      </c>
      <c r="F1591" s="46">
        <v>2015</v>
      </c>
      <c r="G1591" s="47">
        <v>1.46E-2</v>
      </c>
      <c r="H1591" s="47">
        <f t="shared" si="46"/>
        <v>4.9813548672716776E-3</v>
      </c>
      <c r="I1591" s="47">
        <v>0</v>
      </c>
      <c r="J1591" s="47">
        <f t="shared" si="47"/>
        <v>0</v>
      </c>
      <c r="K1591" s="47">
        <v>4.3E-3</v>
      </c>
      <c r="L1591" s="47">
        <f t="shared" si="48"/>
        <v>1.7304431424167966E-3</v>
      </c>
      <c r="M1591" s="47">
        <f t="shared" si="50"/>
        <v>3.250911724854881E-3</v>
      </c>
      <c r="N1591" s="47">
        <v>0</v>
      </c>
      <c r="O1591" s="47">
        <f t="shared" si="49"/>
        <v>0</v>
      </c>
      <c r="P1591" s="92"/>
    </row>
    <row r="1592" spans="1:16" x14ac:dyDescent="0.25">
      <c r="A1592" s="32">
        <v>39</v>
      </c>
      <c r="B1592" s="33">
        <v>438287.10856199998</v>
      </c>
      <c r="C1592" s="33">
        <v>5688631.3324180003</v>
      </c>
      <c r="D1592" s="48">
        <v>26</v>
      </c>
      <c r="E1592" s="48" t="s">
        <v>36</v>
      </c>
      <c r="F1592" s="48">
        <v>2015</v>
      </c>
      <c r="G1592" s="48" t="s">
        <v>18</v>
      </c>
      <c r="H1592" s="48" t="s">
        <v>18</v>
      </c>
      <c r="I1592" s="48" t="s">
        <v>18</v>
      </c>
      <c r="J1592" s="48" t="s">
        <v>18</v>
      </c>
      <c r="K1592" s="48" t="s">
        <v>18</v>
      </c>
      <c r="L1592" s="48" t="s">
        <v>18</v>
      </c>
      <c r="M1592" s="48" t="s">
        <v>18</v>
      </c>
      <c r="N1592" s="48" t="s">
        <v>18</v>
      </c>
      <c r="O1592" s="48" t="s">
        <v>18</v>
      </c>
      <c r="P1592" s="94" t="s">
        <v>22</v>
      </c>
    </row>
    <row r="1593" spans="1:16" x14ac:dyDescent="0.25">
      <c r="A1593" s="29">
        <v>40</v>
      </c>
      <c r="B1593" s="30">
        <v>438406.10856199998</v>
      </c>
      <c r="C1593" s="30">
        <v>5688631.3324180003</v>
      </c>
      <c r="D1593" s="46">
        <v>26</v>
      </c>
      <c r="E1593" s="30" t="s">
        <v>36</v>
      </c>
      <c r="F1593" s="46">
        <v>2015</v>
      </c>
      <c r="G1593" s="54">
        <v>2.5499999999999998E-2</v>
      </c>
      <c r="H1593" s="47">
        <f t="shared" si="46"/>
        <v>8.7003115832484778E-3</v>
      </c>
      <c r="I1593" s="47">
        <v>0</v>
      </c>
      <c r="J1593" s="47">
        <f t="shared" si="47"/>
        <v>0</v>
      </c>
      <c r="K1593" s="47">
        <v>6.3E-3</v>
      </c>
      <c r="L1593" s="47">
        <f t="shared" si="48"/>
        <v>2.5353004179594924E-3</v>
      </c>
      <c r="M1593" s="47">
        <f t="shared" si="50"/>
        <v>6.1650111652889854E-3</v>
      </c>
      <c r="N1593" s="47">
        <v>0</v>
      </c>
      <c r="O1593" s="47">
        <f t="shared" si="49"/>
        <v>0</v>
      </c>
      <c r="P1593" s="92"/>
    </row>
    <row r="1594" spans="1:16" x14ac:dyDescent="0.25">
      <c r="A1594" s="29">
        <v>41</v>
      </c>
      <c r="B1594" s="30">
        <v>437310</v>
      </c>
      <c r="C1594" s="30">
        <v>5688729</v>
      </c>
      <c r="D1594" s="46">
        <v>26</v>
      </c>
      <c r="E1594" s="30" t="s">
        <v>36</v>
      </c>
      <c r="F1594" s="46">
        <v>2015</v>
      </c>
      <c r="G1594" s="54">
        <v>3.0600000000000002E-2</v>
      </c>
      <c r="H1594" s="47">
        <f t="shared" si="46"/>
        <v>1.0440373899898174E-2</v>
      </c>
      <c r="I1594" s="47">
        <v>0</v>
      </c>
      <c r="J1594" s="47">
        <f t="shared" si="47"/>
        <v>0</v>
      </c>
      <c r="K1594" s="47">
        <v>6.7000000000000002E-3</v>
      </c>
      <c r="L1594" s="47">
        <f t="shared" si="48"/>
        <v>2.696271873068032E-3</v>
      </c>
      <c r="M1594" s="47">
        <f t="shared" si="50"/>
        <v>7.7441020268301424E-3</v>
      </c>
      <c r="N1594" s="47">
        <v>0</v>
      </c>
      <c r="O1594" s="47">
        <f t="shared" si="49"/>
        <v>0</v>
      </c>
      <c r="P1594" s="92"/>
    </row>
    <row r="1595" spans="1:16" x14ac:dyDescent="0.25">
      <c r="A1595" s="29">
        <v>42</v>
      </c>
      <c r="B1595" s="30">
        <v>437454.10856199998</v>
      </c>
      <c r="C1595" s="30">
        <v>5688750.3324180003</v>
      </c>
      <c r="D1595" s="46">
        <v>26</v>
      </c>
      <c r="E1595" s="30" t="s">
        <v>36</v>
      </c>
      <c r="F1595" s="46">
        <v>2015</v>
      </c>
      <c r="G1595" s="54">
        <v>5.74E-2</v>
      </c>
      <c r="H1595" s="47">
        <f t="shared" si="46"/>
        <v>1.9584230779547553E-2</v>
      </c>
      <c r="I1595" s="47">
        <v>5.0000000000000001E-3</v>
      </c>
      <c r="J1595" s="47">
        <f t="shared" si="47"/>
        <v>1.7273330959152501E-3</v>
      </c>
      <c r="K1595" s="47">
        <v>7.9000000000000008E-3</v>
      </c>
      <c r="L1595" s="47">
        <f t="shared" si="48"/>
        <v>3.1791862383936495E-3</v>
      </c>
      <c r="M1595" s="47">
        <f t="shared" si="50"/>
        <v>1.6405044541153904E-2</v>
      </c>
      <c r="N1595" s="47">
        <v>1.8E-3</v>
      </c>
      <c r="O1595" s="47">
        <f t="shared" si="49"/>
        <v>5.2791478059058738E-4</v>
      </c>
      <c r="P1595" s="92"/>
    </row>
    <row r="1596" spans="1:16" x14ac:dyDescent="0.25">
      <c r="A1596" s="29">
        <v>43</v>
      </c>
      <c r="B1596" s="30">
        <v>437573.10856199998</v>
      </c>
      <c r="C1596" s="30">
        <v>5688750.3324180003</v>
      </c>
      <c r="D1596" s="46">
        <v>26</v>
      </c>
      <c r="E1596" s="30" t="s">
        <v>36</v>
      </c>
      <c r="F1596" s="46">
        <v>2015</v>
      </c>
      <c r="G1596" s="54">
        <v>1.9300000000000001E-2</v>
      </c>
      <c r="H1596" s="47">
        <f t="shared" si="46"/>
        <v>6.5849417081057108E-3</v>
      </c>
      <c r="I1596" s="47">
        <v>0</v>
      </c>
      <c r="J1596" s="47">
        <f t="shared" si="47"/>
        <v>0</v>
      </c>
      <c r="K1596" s="47">
        <v>5.0000000000000001E-3</v>
      </c>
      <c r="L1596" s="47">
        <f t="shared" si="48"/>
        <v>2.0121431888567402E-3</v>
      </c>
      <c r="M1596" s="47">
        <f t="shared" si="50"/>
        <v>4.5727985192489705E-3</v>
      </c>
      <c r="N1596" s="47">
        <v>0</v>
      </c>
      <c r="O1596" s="47">
        <f t="shared" si="49"/>
        <v>0</v>
      </c>
      <c r="P1596" s="92"/>
    </row>
    <row r="1597" spans="1:16" x14ac:dyDescent="0.25">
      <c r="A1597" s="29">
        <v>44</v>
      </c>
      <c r="B1597" s="30">
        <v>437692.10856199998</v>
      </c>
      <c r="C1597" s="30">
        <v>5688750.3324180003</v>
      </c>
      <c r="D1597" s="46">
        <v>26</v>
      </c>
      <c r="E1597" s="30" t="s">
        <v>36</v>
      </c>
      <c r="F1597" s="46">
        <v>2015</v>
      </c>
      <c r="G1597" s="54">
        <v>1.6E-2</v>
      </c>
      <c r="H1597" s="47">
        <f t="shared" si="46"/>
        <v>5.459019032626496E-3</v>
      </c>
      <c r="I1597" s="47">
        <v>0</v>
      </c>
      <c r="J1597" s="47">
        <f t="shared" si="47"/>
        <v>0</v>
      </c>
      <c r="K1597" s="47">
        <v>7.1999999999999998E-3</v>
      </c>
      <c r="L1597" s="47">
        <f t="shared" si="48"/>
        <v>2.8974861919537059E-3</v>
      </c>
      <c r="M1597" s="47">
        <f t="shared" si="50"/>
        <v>2.5615328406727901E-3</v>
      </c>
      <c r="N1597" s="47">
        <v>0</v>
      </c>
      <c r="O1597" s="47">
        <f t="shared" si="49"/>
        <v>0</v>
      </c>
      <c r="P1597" s="92"/>
    </row>
    <row r="1598" spans="1:16" x14ac:dyDescent="0.25">
      <c r="A1598" s="29">
        <v>45</v>
      </c>
      <c r="B1598" s="30">
        <v>437811.10856199998</v>
      </c>
      <c r="C1598" s="30">
        <v>5688750.3324180003</v>
      </c>
      <c r="D1598" s="46">
        <v>26</v>
      </c>
      <c r="E1598" s="30" t="s">
        <v>36</v>
      </c>
      <c r="F1598" s="46">
        <v>2015</v>
      </c>
      <c r="G1598" s="47">
        <v>3.2600000000000004E-2</v>
      </c>
      <c r="H1598" s="47">
        <f t="shared" si="46"/>
        <v>1.1122751278976486E-2</v>
      </c>
      <c r="I1598" s="47">
        <v>0</v>
      </c>
      <c r="J1598" s="47">
        <f t="shared" si="47"/>
        <v>0</v>
      </c>
      <c r="K1598" s="47">
        <v>5.7999999999999996E-3</v>
      </c>
      <c r="L1598" s="47">
        <f t="shared" si="48"/>
        <v>2.3340860990738181E-3</v>
      </c>
      <c r="M1598" s="47">
        <f t="shared" si="50"/>
        <v>8.7886651799026685E-3</v>
      </c>
      <c r="N1598" s="47">
        <v>0</v>
      </c>
      <c r="O1598" s="47">
        <f t="shared" si="49"/>
        <v>0</v>
      </c>
      <c r="P1598" s="92"/>
    </row>
    <row r="1599" spans="1:16" x14ac:dyDescent="0.25">
      <c r="A1599" s="29">
        <v>46</v>
      </c>
      <c r="B1599" s="30">
        <v>437930.10856199998</v>
      </c>
      <c r="C1599" s="30">
        <v>5688750.3324180003</v>
      </c>
      <c r="D1599" s="46">
        <v>26</v>
      </c>
      <c r="E1599" s="30" t="s">
        <v>36</v>
      </c>
      <c r="F1599" s="46">
        <v>2015</v>
      </c>
      <c r="G1599" s="46" t="s">
        <v>18</v>
      </c>
      <c r="H1599" s="46" t="s">
        <v>18</v>
      </c>
      <c r="I1599" s="46" t="s">
        <v>18</v>
      </c>
      <c r="J1599" s="46" t="s">
        <v>18</v>
      </c>
      <c r="K1599" s="47">
        <v>6.0999999999999995E-3</v>
      </c>
      <c r="L1599" s="47">
        <f t="shared" si="48"/>
        <v>2.4548146904052226E-3</v>
      </c>
      <c r="M1599" s="46" t="s">
        <v>18</v>
      </c>
      <c r="N1599" s="47">
        <v>3.3999999999999998E-3</v>
      </c>
      <c r="O1599" s="47">
        <f t="shared" si="49"/>
        <v>9.9717236333777626E-4</v>
      </c>
      <c r="P1599" s="92" t="s">
        <v>93</v>
      </c>
    </row>
    <row r="1600" spans="1:16" x14ac:dyDescent="0.25">
      <c r="A1600" s="29">
        <v>47</v>
      </c>
      <c r="B1600" s="30">
        <v>438061</v>
      </c>
      <c r="C1600" s="30">
        <v>5688779</v>
      </c>
      <c r="D1600" s="46">
        <v>26</v>
      </c>
      <c r="E1600" s="30" t="s">
        <v>36</v>
      </c>
      <c r="F1600" s="46">
        <v>2015</v>
      </c>
      <c r="G1600" s="47">
        <v>4.9500000000000002E-2</v>
      </c>
      <c r="H1600" s="47">
        <f t="shared" si="46"/>
        <v>1.6888840132188221E-2</v>
      </c>
      <c r="I1600" s="47">
        <v>0</v>
      </c>
      <c r="J1600" s="47">
        <f t="shared" si="47"/>
        <v>0</v>
      </c>
      <c r="K1600" s="47">
        <v>7.7000000000000002E-3</v>
      </c>
      <c r="L1600" s="47">
        <f t="shared" si="48"/>
        <v>3.0987005108393797E-3</v>
      </c>
      <c r="M1600" s="47">
        <f t="shared" si="50"/>
        <v>1.379013962134884E-2</v>
      </c>
      <c r="N1600" s="47">
        <v>0</v>
      </c>
      <c r="O1600" s="47">
        <f t="shared" si="49"/>
        <v>0</v>
      </c>
      <c r="P1600" s="92"/>
    </row>
    <row r="1601" spans="1:19" x14ac:dyDescent="0.25">
      <c r="A1601" s="32">
        <v>48</v>
      </c>
      <c r="B1601" s="33">
        <v>438168.10856199998</v>
      </c>
      <c r="C1601" s="33">
        <v>5688750.3324180003</v>
      </c>
      <c r="D1601" s="48">
        <v>26</v>
      </c>
      <c r="E1601" s="48" t="s">
        <v>36</v>
      </c>
      <c r="F1601" s="48">
        <v>2015</v>
      </c>
      <c r="G1601" s="48" t="s">
        <v>18</v>
      </c>
      <c r="H1601" s="48" t="s">
        <v>18</v>
      </c>
      <c r="I1601" s="48" t="s">
        <v>18</v>
      </c>
      <c r="J1601" s="48" t="s">
        <v>18</v>
      </c>
      <c r="K1601" s="48" t="s">
        <v>18</v>
      </c>
      <c r="L1601" s="48" t="s">
        <v>18</v>
      </c>
      <c r="M1601" s="48" t="s">
        <v>18</v>
      </c>
      <c r="N1601" s="48" t="s">
        <v>18</v>
      </c>
      <c r="O1601" s="48" t="s">
        <v>18</v>
      </c>
      <c r="P1601" s="103" t="s">
        <v>21</v>
      </c>
    </row>
    <row r="1602" spans="1:19" x14ac:dyDescent="0.25">
      <c r="A1602" s="29">
        <v>49</v>
      </c>
      <c r="B1602" s="30">
        <v>437454.10856199998</v>
      </c>
      <c r="C1602" s="30">
        <v>5688869.3324180003</v>
      </c>
      <c r="D1602" s="46">
        <v>25</v>
      </c>
      <c r="E1602" s="30" t="s">
        <v>36</v>
      </c>
      <c r="F1602" s="46">
        <v>2015</v>
      </c>
      <c r="G1602" s="47">
        <v>1.7299999999999999E-2</v>
      </c>
      <c r="H1602" s="47">
        <f>G1602*0.276073619631902</f>
        <v>4.7760736196319044E-3</v>
      </c>
      <c r="I1602" s="47">
        <v>0</v>
      </c>
      <c r="J1602" s="47">
        <f t="shared" si="47"/>
        <v>0</v>
      </c>
      <c r="K1602" s="47">
        <v>2.1499999999999998E-2</v>
      </c>
      <c r="L1602" s="47">
        <f>K1602*0.395569620253165</f>
        <v>8.5047468354430469E-3</v>
      </c>
      <c r="M1602" s="47">
        <f t="shared" si="50"/>
        <v>-3.7286732158111425E-3</v>
      </c>
      <c r="N1602" s="47">
        <v>0</v>
      </c>
      <c r="O1602" s="47">
        <f t="shared" si="49"/>
        <v>0</v>
      </c>
      <c r="P1602" s="92"/>
    </row>
    <row r="1603" spans="1:19" x14ac:dyDescent="0.25">
      <c r="A1603" s="29">
        <v>50</v>
      </c>
      <c r="B1603" s="30">
        <v>437811.10856199998</v>
      </c>
      <c r="C1603" s="30">
        <v>5688869.3324180003</v>
      </c>
      <c r="D1603" s="46">
        <v>25</v>
      </c>
      <c r="E1603" s="30" t="s">
        <v>36</v>
      </c>
      <c r="F1603" s="46">
        <v>2015</v>
      </c>
      <c r="G1603" s="47">
        <v>4.4000000000000003E-3</v>
      </c>
      <c r="H1603" s="47">
        <f>G1603*0.276073619631902</f>
        <v>1.2147239263803689E-3</v>
      </c>
      <c r="I1603" s="47">
        <v>0</v>
      </c>
      <c r="J1603" s="47">
        <f t="shared" si="47"/>
        <v>0</v>
      </c>
      <c r="K1603" s="47">
        <v>8.9999999999999998E-4</v>
      </c>
      <c r="L1603" s="47">
        <f>K1603*0.395569620253165</f>
        <v>3.5601265822784848E-4</v>
      </c>
      <c r="M1603" s="47">
        <f t="shared" si="50"/>
        <v>8.5871126815252044E-4</v>
      </c>
      <c r="N1603" s="47">
        <v>0</v>
      </c>
      <c r="O1603" s="47">
        <f t="shared" si="49"/>
        <v>0</v>
      </c>
      <c r="P1603" s="92"/>
    </row>
    <row r="1604" spans="1:19" x14ac:dyDescent="0.25">
      <c r="A1604" s="29">
        <v>51</v>
      </c>
      <c r="B1604" s="30">
        <v>437930.10856199998</v>
      </c>
      <c r="C1604" s="30">
        <v>5688869.3324180003</v>
      </c>
      <c r="D1604" s="46">
        <v>25</v>
      </c>
      <c r="E1604" s="30" t="s">
        <v>36</v>
      </c>
      <c r="F1604" s="46">
        <v>2015</v>
      </c>
      <c r="G1604" s="47">
        <v>4.5700000000000005E-2</v>
      </c>
      <c r="H1604" s="47">
        <f>G1604*0.276073619631902</f>
        <v>1.2616564417177924E-2</v>
      </c>
      <c r="I1604" s="47">
        <v>0</v>
      </c>
      <c r="J1604" s="47">
        <f t="shared" si="47"/>
        <v>0</v>
      </c>
      <c r="K1604" s="47">
        <v>3.0000000000000001E-3</v>
      </c>
      <c r="L1604" s="47">
        <f>K1604*0.395569620253165</f>
        <v>1.186708860759495E-3</v>
      </c>
      <c r="M1604" s="47">
        <f t="shared" si="50"/>
        <v>1.142985555641843E-2</v>
      </c>
      <c r="N1604" s="47">
        <v>0</v>
      </c>
      <c r="O1604" s="47">
        <f t="shared" si="49"/>
        <v>0</v>
      </c>
      <c r="P1604" s="92"/>
    </row>
    <row r="1605" spans="1:19" x14ac:dyDescent="0.25">
      <c r="A1605" s="29">
        <v>52</v>
      </c>
      <c r="B1605" s="30">
        <v>438049.10856199998</v>
      </c>
      <c r="C1605" s="30">
        <v>5688869.3324180003</v>
      </c>
      <c r="D1605" s="46">
        <v>26</v>
      </c>
      <c r="E1605" s="30" t="s">
        <v>36</v>
      </c>
      <c r="F1605" s="46">
        <v>2015</v>
      </c>
      <c r="G1605" s="47">
        <v>1.0500000000000001E-2</v>
      </c>
      <c r="H1605" s="47">
        <f t="shared" si="46"/>
        <v>3.5824812401611381E-3</v>
      </c>
      <c r="I1605" s="47">
        <v>0.14299999999999999</v>
      </c>
      <c r="J1605" s="47">
        <f t="shared" si="47"/>
        <v>4.9401726543176143E-2</v>
      </c>
      <c r="K1605" s="47">
        <v>9.6999999999999986E-3</v>
      </c>
      <c r="L1605" s="47">
        <f t="shared" si="48"/>
        <v>3.9035577863820751E-3</v>
      </c>
      <c r="M1605" s="47">
        <f>H1605-L1605</f>
        <v>-3.2107654622093697E-4</v>
      </c>
      <c r="N1605" s="47">
        <v>0.1686</v>
      </c>
      <c r="O1605" s="47">
        <f t="shared" si="49"/>
        <v>4.9448017781985022E-2</v>
      </c>
      <c r="P1605" s="92"/>
    </row>
    <row r="1606" spans="1:19" x14ac:dyDescent="0.25">
      <c r="A1606" s="29">
        <v>53</v>
      </c>
      <c r="B1606" s="30">
        <v>438287.10856199998</v>
      </c>
      <c r="C1606" s="30">
        <v>5688869.3324180003</v>
      </c>
      <c r="D1606" s="46">
        <v>26</v>
      </c>
      <c r="E1606" s="30" t="s">
        <v>36</v>
      </c>
      <c r="F1606" s="46">
        <v>2015</v>
      </c>
      <c r="G1606" s="47">
        <v>1.9E-2</v>
      </c>
      <c r="H1606" s="47">
        <f t="shared" si="46"/>
        <v>6.4825851012439636E-3</v>
      </c>
      <c r="I1606" s="47">
        <v>0</v>
      </c>
      <c r="J1606" s="47">
        <f t="shared" si="47"/>
        <v>0</v>
      </c>
      <c r="K1606" s="47">
        <v>8.0999999999999996E-3</v>
      </c>
      <c r="L1606" s="47">
        <f t="shared" si="48"/>
        <v>3.2596719659479189E-3</v>
      </c>
      <c r="M1606" s="47">
        <f t="shared" si="50"/>
        <v>3.2229131352960448E-3</v>
      </c>
      <c r="N1606" s="47">
        <v>0</v>
      </c>
      <c r="O1606" s="47">
        <f t="shared" si="49"/>
        <v>0</v>
      </c>
      <c r="P1606" s="92"/>
    </row>
    <row r="1607" spans="1:19" x14ac:dyDescent="0.25">
      <c r="A1607" s="29">
        <v>54</v>
      </c>
      <c r="B1607" s="30">
        <v>437454.10856199998</v>
      </c>
      <c r="C1607" s="30">
        <v>5688988.3324180003</v>
      </c>
      <c r="D1607" s="46">
        <v>25</v>
      </c>
      <c r="E1607" s="30" t="s">
        <v>36</v>
      </c>
      <c r="F1607" s="46">
        <v>2015</v>
      </c>
      <c r="G1607" s="47">
        <v>1.3300000000000001E-2</v>
      </c>
      <c r="H1607" s="47">
        <f>G1607*0.276073619631902</f>
        <v>3.6717791411042971E-3</v>
      </c>
      <c r="I1607" s="47">
        <v>0</v>
      </c>
      <c r="J1607" s="47">
        <f t="shared" si="47"/>
        <v>0</v>
      </c>
      <c r="K1607" s="47">
        <v>6.6E-3</v>
      </c>
      <c r="L1607" s="47">
        <f>K1607*0.395569620253165</f>
        <v>2.6107594936708891E-3</v>
      </c>
      <c r="M1607" s="47">
        <f t="shared" si="50"/>
        <v>1.061019647433408E-3</v>
      </c>
      <c r="N1607" s="47">
        <v>0</v>
      </c>
      <c r="O1607" s="47">
        <f t="shared" si="49"/>
        <v>0</v>
      </c>
      <c r="P1607" s="92"/>
    </row>
    <row r="1608" spans="1:19" x14ac:dyDescent="0.25">
      <c r="A1608" s="29">
        <v>55</v>
      </c>
      <c r="B1608" s="30">
        <v>438049.10856199998</v>
      </c>
      <c r="C1608" s="30">
        <v>5688988.3324180003</v>
      </c>
      <c r="D1608" s="46">
        <v>26</v>
      </c>
      <c r="E1608" s="30" t="s">
        <v>36</v>
      </c>
      <c r="F1608" s="46">
        <v>2015</v>
      </c>
      <c r="G1608" s="47">
        <v>1.7999999999999999E-2</v>
      </c>
      <c r="H1608" s="47">
        <f t="shared" si="46"/>
        <v>6.1413964117048069E-3</v>
      </c>
      <c r="I1608" s="47">
        <v>0</v>
      </c>
      <c r="J1608" s="47">
        <f t="shared" si="47"/>
        <v>0</v>
      </c>
      <c r="K1608" s="47">
        <v>5.1999999999999998E-3</v>
      </c>
      <c r="L1608" s="47">
        <f t="shared" si="48"/>
        <v>2.0926289164110096E-3</v>
      </c>
      <c r="M1608" s="47">
        <f t="shared" si="50"/>
        <v>4.0487674952937973E-3</v>
      </c>
      <c r="N1608" s="47">
        <v>0</v>
      </c>
      <c r="O1608" s="47">
        <f t="shared" si="49"/>
        <v>0</v>
      </c>
      <c r="P1608" s="92"/>
    </row>
    <row r="1609" spans="1:19" x14ac:dyDescent="0.25">
      <c r="A1609" s="29">
        <v>56</v>
      </c>
      <c r="B1609" s="30">
        <v>438168.10856199998</v>
      </c>
      <c r="C1609" s="30">
        <v>5688988.3324180003</v>
      </c>
      <c r="D1609" s="46">
        <v>26</v>
      </c>
      <c r="E1609" s="30" t="s">
        <v>36</v>
      </c>
      <c r="F1609" s="46">
        <v>2015</v>
      </c>
      <c r="G1609" s="47">
        <v>4.7000000000000002E-3</v>
      </c>
      <c r="H1609" s="47">
        <f t="shared" si="46"/>
        <v>1.6035868408340332E-3</v>
      </c>
      <c r="I1609" s="47">
        <v>0</v>
      </c>
      <c r="J1609" s="47">
        <f t="shared" si="47"/>
        <v>0</v>
      </c>
      <c r="K1609" s="47">
        <v>2.8E-3</v>
      </c>
      <c r="L1609" s="47">
        <f t="shared" si="48"/>
        <v>1.1268001857597744E-3</v>
      </c>
      <c r="M1609" s="47">
        <f t="shared" si="50"/>
        <v>4.7678665507425882E-4</v>
      </c>
      <c r="N1609" s="47">
        <v>0</v>
      </c>
      <c r="O1609" s="47">
        <f t="shared" si="49"/>
        <v>0</v>
      </c>
      <c r="P1609" s="92"/>
    </row>
    <row r="1610" spans="1:19" x14ac:dyDescent="0.25">
      <c r="A1610" s="40">
        <v>57</v>
      </c>
      <c r="B1610" s="41">
        <v>438146</v>
      </c>
      <c r="C1610" s="41">
        <v>5688977</v>
      </c>
      <c r="D1610" s="50">
        <v>26</v>
      </c>
      <c r="E1610" s="41" t="s">
        <v>36</v>
      </c>
      <c r="F1610" s="50">
        <v>2015</v>
      </c>
      <c r="G1610" s="51">
        <v>4.4600000000000001E-2</v>
      </c>
      <c r="H1610" s="51">
        <f t="shared" si="46"/>
        <v>1.5217015553446357E-2</v>
      </c>
      <c r="I1610" s="51">
        <v>0</v>
      </c>
      <c r="J1610" s="51">
        <f t="shared" si="47"/>
        <v>0</v>
      </c>
      <c r="K1610" s="51">
        <v>4.7000000000000002E-3</v>
      </c>
      <c r="L1610" s="51">
        <f t="shared" si="48"/>
        <v>1.8914145975253358E-3</v>
      </c>
      <c r="M1610" s="51">
        <f t="shared" si="50"/>
        <v>1.3325600955921021E-2</v>
      </c>
      <c r="N1610" s="51">
        <v>0</v>
      </c>
      <c r="O1610" s="51">
        <f t="shared" si="49"/>
        <v>0</v>
      </c>
      <c r="P1610" s="101"/>
    </row>
    <row r="1611" spans="1:19" x14ac:dyDescent="0.25">
      <c r="A1611" s="40">
        <v>58</v>
      </c>
      <c r="B1611" s="41">
        <v>438131</v>
      </c>
      <c r="C1611" s="41">
        <v>5688972</v>
      </c>
      <c r="D1611" s="50">
        <v>26</v>
      </c>
      <c r="E1611" s="41" t="s">
        <v>36</v>
      </c>
      <c r="F1611" s="50">
        <v>2015</v>
      </c>
      <c r="G1611" s="51">
        <v>9.6599999999999991E-2</v>
      </c>
      <c r="H1611" s="51">
        <f t="shared" si="46"/>
        <v>3.2958827409482465E-2</v>
      </c>
      <c r="I1611" s="51">
        <v>0</v>
      </c>
      <c r="J1611" s="51">
        <f t="shared" si="47"/>
        <v>0</v>
      </c>
      <c r="K1611" s="51">
        <v>4.7000000000000002E-3</v>
      </c>
      <c r="L1611" s="51">
        <f t="shared" si="48"/>
        <v>1.8914145975253358E-3</v>
      </c>
      <c r="M1611" s="51">
        <f t="shared" si="50"/>
        <v>3.1067412811957129E-2</v>
      </c>
      <c r="N1611" s="51">
        <v>0</v>
      </c>
      <c r="O1611" s="51">
        <f t="shared" si="49"/>
        <v>0</v>
      </c>
      <c r="P1611" s="101"/>
    </row>
    <row r="1612" spans="1:19" x14ac:dyDescent="0.25">
      <c r="A1612" s="40">
        <v>59</v>
      </c>
      <c r="B1612" s="41">
        <v>438089</v>
      </c>
      <c r="C1612" s="41">
        <v>5688713</v>
      </c>
      <c r="D1612" s="50">
        <v>26</v>
      </c>
      <c r="E1612" s="41" t="s">
        <v>36</v>
      </c>
      <c r="F1612" s="50">
        <v>2015</v>
      </c>
      <c r="G1612" s="51">
        <v>6.2799999999999995E-2</v>
      </c>
      <c r="H1612" s="51">
        <f t="shared" si="46"/>
        <v>2.1426649703058995E-2</v>
      </c>
      <c r="I1612" s="51">
        <v>1.9199999999999998E-2</v>
      </c>
      <c r="J1612" s="51">
        <f t="shared" si="47"/>
        <v>6.6329590883145596E-3</v>
      </c>
      <c r="K1612" s="51">
        <v>7.0000000000000001E-3</v>
      </c>
      <c r="L1612" s="51">
        <f t="shared" si="48"/>
        <v>2.8170004643994361E-3</v>
      </c>
      <c r="M1612" s="51">
        <f t="shared" si="50"/>
        <v>1.860964923865956E-2</v>
      </c>
      <c r="N1612" s="51">
        <v>0</v>
      </c>
      <c r="O1612" s="51">
        <f t="shared" si="49"/>
        <v>0</v>
      </c>
      <c r="P1612" s="101"/>
    </row>
    <row r="1613" spans="1:19" x14ac:dyDescent="0.25">
      <c r="A1613" s="40">
        <v>60</v>
      </c>
      <c r="B1613" s="41">
        <v>438099</v>
      </c>
      <c r="C1613" s="41">
        <v>5688719</v>
      </c>
      <c r="D1613" s="50">
        <v>26</v>
      </c>
      <c r="E1613" s="41" t="s">
        <v>36</v>
      </c>
      <c r="F1613" s="50">
        <v>2015</v>
      </c>
      <c r="G1613" s="51">
        <v>4.7399999999999998E-2</v>
      </c>
      <c r="H1613" s="51">
        <f t="shared" si="46"/>
        <v>1.6172343884155994E-2</v>
      </c>
      <c r="I1613" s="51">
        <v>0</v>
      </c>
      <c r="J1613" s="51">
        <f t="shared" si="47"/>
        <v>0</v>
      </c>
      <c r="K1613" s="51">
        <v>1.0199999999999999E-2</v>
      </c>
      <c r="L1613" s="51">
        <f t="shared" si="48"/>
        <v>4.104772105267749E-3</v>
      </c>
      <c r="M1613" s="51">
        <f t="shared" si="50"/>
        <v>1.2067571778888245E-2</v>
      </c>
      <c r="N1613" s="51">
        <v>0</v>
      </c>
      <c r="O1613" s="51">
        <f t="shared" si="49"/>
        <v>0</v>
      </c>
      <c r="P1613" s="101"/>
    </row>
    <row r="1614" spans="1:19" x14ac:dyDescent="0.25">
      <c r="A1614" s="42">
        <v>1</v>
      </c>
      <c r="B1614" s="43">
        <v>437930.10856199998</v>
      </c>
      <c r="C1614" s="43">
        <v>5688036.3324180003</v>
      </c>
      <c r="D1614" s="44">
        <v>2</v>
      </c>
      <c r="E1614" s="44" t="s">
        <v>64</v>
      </c>
      <c r="F1614" s="44">
        <v>2016</v>
      </c>
      <c r="G1614" s="44" t="s">
        <v>18</v>
      </c>
      <c r="H1614" s="44" t="s">
        <v>18</v>
      </c>
      <c r="I1614" s="44" t="s">
        <v>18</v>
      </c>
      <c r="J1614" s="44" t="s">
        <v>18</v>
      </c>
      <c r="K1614" s="44" t="s">
        <v>18</v>
      </c>
      <c r="L1614" s="44" t="s">
        <v>18</v>
      </c>
      <c r="M1614" s="44" t="s">
        <v>18</v>
      </c>
      <c r="N1614" s="44" t="s">
        <v>18</v>
      </c>
      <c r="O1614" s="44" t="s">
        <v>18</v>
      </c>
      <c r="P1614" s="102" t="s">
        <v>109</v>
      </c>
      <c r="R1614" s="5">
        <f>AVERAGE(M1614:M1673)</f>
        <v>4.577034709274232E-3</v>
      </c>
      <c r="S1614" s="5">
        <f>AVERAGE(H1614:H1673)</f>
        <v>6.6908423470617177E-3</v>
      </c>
    </row>
    <row r="1615" spans="1:19" x14ac:dyDescent="0.25">
      <c r="A1615" s="42">
        <v>2</v>
      </c>
      <c r="B1615" s="43">
        <v>437811.10856199998</v>
      </c>
      <c r="C1615" s="43">
        <v>5688155.3324180003</v>
      </c>
      <c r="D1615" s="44">
        <v>2</v>
      </c>
      <c r="E1615" s="44" t="s">
        <v>64</v>
      </c>
      <c r="F1615" s="44">
        <v>2016</v>
      </c>
      <c r="G1615" s="44" t="s">
        <v>18</v>
      </c>
      <c r="H1615" s="44" t="s">
        <v>18</v>
      </c>
      <c r="I1615" s="44" t="s">
        <v>18</v>
      </c>
      <c r="J1615" s="44" t="s">
        <v>18</v>
      </c>
      <c r="K1615" s="44" t="s">
        <v>18</v>
      </c>
      <c r="L1615" s="44" t="s">
        <v>18</v>
      </c>
      <c r="M1615" s="44" t="s">
        <v>18</v>
      </c>
      <c r="N1615" s="44" t="s">
        <v>18</v>
      </c>
      <c r="O1615" s="44" t="s">
        <v>18</v>
      </c>
      <c r="P1615" s="102" t="s">
        <v>109</v>
      </c>
    </row>
    <row r="1616" spans="1:19" x14ac:dyDescent="0.25">
      <c r="A1616" s="29">
        <v>3</v>
      </c>
      <c r="B1616" s="30">
        <v>437930.10856199998</v>
      </c>
      <c r="C1616" s="30">
        <v>5688155.3324180003</v>
      </c>
      <c r="D1616" s="30">
        <v>2</v>
      </c>
      <c r="E1616" s="30" t="s">
        <v>64</v>
      </c>
      <c r="F1616" s="46">
        <v>2016</v>
      </c>
      <c r="G1616" s="47">
        <v>5.9000000000000007E-3</v>
      </c>
      <c r="H1616" s="47">
        <f>G1616*0.322548217651013</f>
        <v>1.9030344841409769E-3</v>
      </c>
      <c r="I1616" s="47">
        <v>2.4300000000000002E-2</v>
      </c>
      <c r="J1616" s="47">
        <f>I1616*0.446978074142999</f>
        <v>1.0861567201674877E-2</v>
      </c>
      <c r="K1616" s="47">
        <v>2.0000000000000001E-4</v>
      </c>
      <c r="L1616" s="47">
        <f>K1616*0.415405405405405</f>
        <v>8.3081081081081004E-5</v>
      </c>
      <c r="M1616" s="47">
        <f>H1616-L1616</f>
        <v>1.819953403059896E-3</v>
      </c>
      <c r="N1616" s="47">
        <v>1.09E-2</v>
      </c>
      <c r="O1616" s="47">
        <f>N1616*0.535512617988212</f>
        <v>5.8370875360715113E-3</v>
      </c>
      <c r="P1616" s="92"/>
    </row>
    <row r="1617" spans="1:16" x14ac:dyDescent="0.25">
      <c r="A1617" s="42">
        <v>4</v>
      </c>
      <c r="B1617" s="43">
        <v>438049.10856199998</v>
      </c>
      <c r="C1617" s="43">
        <v>5688155.3324180003</v>
      </c>
      <c r="D1617" s="44">
        <v>2</v>
      </c>
      <c r="E1617" s="44" t="s">
        <v>64</v>
      </c>
      <c r="F1617" s="44">
        <v>2016</v>
      </c>
      <c r="G1617" s="44" t="s">
        <v>18</v>
      </c>
      <c r="H1617" s="44" t="s">
        <v>18</v>
      </c>
      <c r="I1617" s="44" t="s">
        <v>18</v>
      </c>
      <c r="J1617" s="44" t="s">
        <v>18</v>
      </c>
      <c r="K1617" s="44" t="s">
        <v>18</v>
      </c>
      <c r="L1617" s="44" t="s">
        <v>18</v>
      </c>
      <c r="M1617" s="44" t="s">
        <v>18</v>
      </c>
      <c r="N1617" s="44" t="s">
        <v>18</v>
      </c>
      <c r="O1617" s="44" t="s">
        <v>18</v>
      </c>
      <c r="P1617" s="102" t="s">
        <v>109</v>
      </c>
    </row>
    <row r="1618" spans="1:16" x14ac:dyDescent="0.25">
      <c r="A1618" s="42">
        <v>5</v>
      </c>
      <c r="B1618" s="43">
        <v>437573.10856199998</v>
      </c>
      <c r="C1618" s="43">
        <v>5688274.3324180003</v>
      </c>
      <c r="D1618" s="44">
        <v>2</v>
      </c>
      <c r="E1618" s="44" t="s">
        <v>64</v>
      </c>
      <c r="F1618" s="44">
        <v>2016</v>
      </c>
      <c r="G1618" s="44" t="s">
        <v>18</v>
      </c>
      <c r="H1618" s="44" t="s">
        <v>18</v>
      </c>
      <c r="I1618" s="44" t="s">
        <v>18</v>
      </c>
      <c r="J1618" s="44" t="s">
        <v>18</v>
      </c>
      <c r="K1618" s="44" t="s">
        <v>18</v>
      </c>
      <c r="L1618" s="44" t="s">
        <v>18</v>
      </c>
      <c r="M1618" s="44" t="s">
        <v>18</v>
      </c>
      <c r="N1618" s="44" t="s">
        <v>18</v>
      </c>
      <c r="O1618" s="44" t="s">
        <v>18</v>
      </c>
      <c r="P1618" s="102" t="s">
        <v>109</v>
      </c>
    </row>
    <row r="1619" spans="1:16" x14ac:dyDescent="0.25">
      <c r="A1619" s="29">
        <v>6</v>
      </c>
      <c r="B1619" s="30">
        <v>437692.10856199998</v>
      </c>
      <c r="C1619" s="30">
        <v>5688274.3324180003</v>
      </c>
      <c r="D1619" s="30">
        <v>2</v>
      </c>
      <c r="E1619" s="30" t="s">
        <v>64</v>
      </c>
      <c r="F1619" s="46">
        <v>2016</v>
      </c>
      <c r="G1619" s="47">
        <v>1.1999999999999999E-3</v>
      </c>
      <c r="H1619" s="47">
        <f>G1619*0.322548217651013</f>
        <v>3.8705786118121554E-4</v>
      </c>
      <c r="I1619" s="47">
        <v>1.26E-2</v>
      </c>
      <c r="J1619" s="47">
        <f t="shared" ref="J1619:J1666" si="51">I1619*0.446978074142999</f>
        <v>5.6319237342017875E-3</v>
      </c>
      <c r="K1619" s="54">
        <v>3.8E-3</v>
      </c>
      <c r="L1619" s="47">
        <f t="shared" ref="L1619:L1666" si="52">K1619*0.415405405405405</f>
        <v>1.578540540540539E-3</v>
      </c>
      <c r="M1619" s="47">
        <f>H1619-L1619</f>
        <v>-1.1914826793593234E-3</v>
      </c>
      <c r="N1619" s="47">
        <v>5.5100000000000003E-2</v>
      </c>
      <c r="O1619" s="47">
        <f>N1619*0.535512617988212</f>
        <v>2.9506745251150483E-2</v>
      </c>
      <c r="P1619" s="92"/>
    </row>
    <row r="1620" spans="1:16" x14ac:dyDescent="0.25">
      <c r="A1620" s="29">
        <v>7</v>
      </c>
      <c r="B1620" s="30">
        <v>437811.10856199998</v>
      </c>
      <c r="C1620" s="30">
        <v>5688274.3324180003</v>
      </c>
      <c r="D1620" s="30">
        <v>2</v>
      </c>
      <c r="E1620" s="30" t="s">
        <v>64</v>
      </c>
      <c r="F1620" s="46">
        <v>2016</v>
      </c>
      <c r="G1620" s="47">
        <v>0</v>
      </c>
      <c r="H1620" s="47">
        <f>G1620*0.322548217651013</f>
        <v>0</v>
      </c>
      <c r="I1620" s="47">
        <v>0</v>
      </c>
      <c r="J1620" s="47">
        <f t="shared" si="51"/>
        <v>0</v>
      </c>
      <c r="K1620" s="47">
        <v>0</v>
      </c>
      <c r="L1620" s="47">
        <f t="shared" si="52"/>
        <v>0</v>
      </c>
      <c r="M1620" s="47">
        <f>H1620-L1620</f>
        <v>0</v>
      </c>
      <c r="N1620" s="47">
        <v>4.7999999999999996E-3</v>
      </c>
      <c r="O1620" s="47">
        <f t="shared" ref="O1620:O1666" si="53">N1620*0.535512617988212</f>
        <v>2.5704605663434176E-3</v>
      </c>
      <c r="P1620" s="92"/>
    </row>
    <row r="1621" spans="1:16" x14ac:dyDescent="0.25">
      <c r="A1621" s="42">
        <v>8</v>
      </c>
      <c r="B1621" s="43">
        <v>437930.10856199998</v>
      </c>
      <c r="C1621" s="43">
        <v>5688274.3324180003</v>
      </c>
      <c r="D1621" s="44">
        <v>2</v>
      </c>
      <c r="E1621" s="44" t="s">
        <v>64</v>
      </c>
      <c r="F1621" s="44">
        <v>2016</v>
      </c>
      <c r="G1621" s="44" t="s">
        <v>18</v>
      </c>
      <c r="H1621" s="44" t="s">
        <v>18</v>
      </c>
      <c r="I1621" s="44" t="s">
        <v>18</v>
      </c>
      <c r="J1621" s="44" t="s">
        <v>18</v>
      </c>
      <c r="K1621" s="44" t="s">
        <v>18</v>
      </c>
      <c r="L1621" s="44" t="s">
        <v>18</v>
      </c>
      <c r="M1621" s="44" t="s">
        <v>18</v>
      </c>
      <c r="N1621" s="44" t="s">
        <v>18</v>
      </c>
      <c r="O1621" s="44" t="s">
        <v>18</v>
      </c>
      <c r="P1621" s="102" t="s">
        <v>109</v>
      </c>
    </row>
    <row r="1622" spans="1:16" x14ac:dyDescent="0.25">
      <c r="A1622" s="29">
        <v>9</v>
      </c>
      <c r="B1622" s="30">
        <v>438287.10856199998</v>
      </c>
      <c r="C1622" s="30">
        <v>5688274.3324180003</v>
      </c>
      <c r="D1622" s="30">
        <v>2</v>
      </c>
      <c r="E1622" s="30" t="s">
        <v>64</v>
      </c>
      <c r="F1622" s="46">
        <v>2016</v>
      </c>
      <c r="G1622" s="47">
        <v>1.7999999999999999E-2</v>
      </c>
      <c r="H1622" s="47">
        <f>G1622*0.322548217651013</f>
        <v>5.8058679177182331E-3</v>
      </c>
      <c r="I1622" s="47">
        <v>0</v>
      </c>
      <c r="J1622" s="47">
        <f t="shared" si="51"/>
        <v>0</v>
      </c>
      <c r="K1622" s="47">
        <v>6.9999999999999999E-4</v>
      </c>
      <c r="L1622" s="47">
        <f t="shared" si="52"/>
        <v>2.9078378378378351E-4</v>
      </c>
      <c r="M1622" s="47">
        <f t="shared" ref="M1622:M1673" si="54">H1622-L1622</f>
        <v>5.5150841339344494E-3</v>
      </c>
      <c r="N1622" s="47">
        <v>0</v>
      </c>
      <c r="O1622" s="47">
        <f t="shared" si="53"/>
        <v>0</v>
      </c>
      <c r="P1622" s="92"/>
    </row>
    <row r="1623" spans="1:16" x14ac:dyDescent="0.25">
      <c r="A1623" s="29">
        <v>10</v>
      </c>
      <c r="B1623" s="30">
        <v>438406.10856199998</v>
      </c>
      <c r="C1623" s="30">
        <v>5688274.3324180003</v>
      </c>
      <c r="D1623" s="30">
        <v>2</v>
      </c>
      <c r="E1623" s="30" t="s">
        <v>64</v>
      </c>
      <c r="F1623" s="46">
        <v>2016</v>
      </c>
      <c r="G1623" s="47">
        <v>3.9799999999999995E-2</v>
      </c>
      <c r="H1623" s="47">
        <f>G1623*0.322548217651013</f>
        <v>1.2837419062510316E-2</v>
      </c>
      <c r="I1623" s="47">
        <v>0</v>
      </c>
      <c r="J1623" s="47">
        <f t="shared" si="51"/>
        <v>0</v>
      </c>
      <c r="K1623" s="47">
        <v>6.7000000000000002E-3</v>
      </c>
      <c r="L1623" s="47">
        <f t="shared" si="52"/>
        <v>2.7832162162162136E-3</v>
      </c>
      <c r="M1623" s="47">
        <f t="shared" si="54"/>
        <v>1.0054202846294102E-2</v>
      </c>
      <c r="N1623" s="47">
        <v>0</v>
      </c>
      <c r="O1623" s="47">
        <f t="shared" si="53"/>
        <v>0</v>
      </c>
      <c r="P1623" s="92"/>
    </row>
    <row r="1624" spans="1:16" x14ac:dyDescent="0.25">
      <c r="A1624" s="42">
        <v>11</v>
      </c>
      <c r="B1624" s="43">
        <v>437454.10856199998</v>
      </c>
      <c r="C1624" s="43">
        <v>5688393.3324180003</v>
      </c>
      <c r="D1624" s="44">
        <v>2</v>
      </c>
      <c r="E1624" s="44" t="s">
        <v>64</v>
      </c>
      <c r="F1624" s="44">
        <v>2016</v>
      </c>
      <c r="G1624" s="44" t="s">
        <v>18</v>
      </c>
      <c r="H1624" s="44" t="s">
        <v>18</v>
      </c>
      <c r="I1624" s="44" t="s">
        <v>18</v>
      </c>
      <c r="J1624" s="44" t="s">
        <v>18</v>
      </c>
      <c r="K1624" s="44" t="s">
        <v>18</v>
      </c>
      <c r="L1624" s="44" t="s">
        <v>18</v>
      </c>
      <c r="M1624" s="44" t="s">
        <v>18</v>
      </c>
      <c r="N1624" s="44" t="s">
        <v>18</v>
      </c>
      <c r="O1624" s="44" t="s">
        <v>18</v>
      </c>
      <c r="P1624" s="102" t="s">
        <v>109</v>
      </c>
    </row>
    <row r="1625" spans="1:16" x14ac:dyDescent="0.25">
      <c r="A1625" s="29">
        <v>12</v>
      </c>
      <c r="B1625" s="30">
        <v>437573.10856199998</v>
      </c>
      <c r="C1625" s="30">
        <v>5688393.3324180003</v>
      </c>
      <c r="D1625" s="30">
        <v>2</v>
      </c>
      <c r="E1625" s="30" t="s">
        <v>64</v>
      </c>
      <c r="F1625" s="46">
        <v>2016</v>
      </c>
      <c r="G1625" s="47">
        <v>2.8E-3</v>
      </c>
      <c r="H1625" s="47">
        <f>G1625*0.322548217651013</f>
        <v>9.0313500942283632E-4</v>
      </c>
      <c r="I1625" s="47">
        <v>1.24E-2</v>
      </c>
      <c r="J1625" s="47">
        <f t="shared" si="51"/>
        <v>5.5425281193731872E-3</v>
      </c>
      <c r="K1625" s="47">
        <v>2E-3</v>
      </c>
      <c r="L1625" s="47">
        <f t="shared" si="52"/>
        <v>8.3081081081080995E-4</v>
      </c>
      <c r="M1625" s="47">
        <f t="shared" si="54"/>
        <v>7.2324198612026369E-5</v>
      </c>
      <c r="N1625" s="47">
        <v>2.7800000000000002E-2</v>
      </c>
      <c r="O1625" s="47">
        <f t="shared" si="53"/>
        <v>1.4887250780072296E-2</v>
      </c>
      <c r="P1625" s="92"/>
    </row>
    <row r="1626" spans="1:16" x14ac:dyDescent="0.25">
      <c r="A1626" s="29">
        <v>13</v>
      </c>
      <c r="B1626" s="30">
        <v>437692.10856199998</v>
      </c>
      <c r="C1626" s="30">
        <v>5688393.3324180003</v>
      </c>
      <c r="D1626" s="30">
        <v>2</v>
      </c>
      <c r="E1626" s="30" t="s">
        <v>64</v>
      </c>
      <c r="F1626" s="46">
        <v>2016</v>
      </c>
      <c r="G1626" s="47">
        <v>4.2000000000000006E-3</v>
      </c>
      <c r="H1626" s="47">
        <f>G1626*0.322548217651013</f>
        <v>1.3547025141342549E-3</v>
      </c>
      <c r="I1626" s="47">
        <v>0.03</v>
      </c>
      <c r="J1626" s="47">
        <f t="shared" si="51"/>
        <v>1.340934222428997E-2</v>
      </c>
      <c r="K1626" s="47">
        <v>1.1000000000000001E-3</v>
      </c>
      <c r="L1626" s="47">
        <f t="shared" si="52"/>
        <v>4.5694594594594554E-4</v>
      </c>
      <c r="M1626" s="47">
        <f t="shared" si="54"/>
        <v>8.9775656818830932E-4</v>
      </c>
      <c r="N1626" s="47">
        <v>1.61E-2</v>
      </c>
      <c r="O1626" s="47">
        <f t="shared" si="53"/>
        <v>8.6217531496102142E-3</v>
      </c>
      <c r="P1626" s="92"/>
    </row>
    <row r="1627" spans="1:16" x14ac:dyDescent="0.25">
      <c r="A1627" s="32">
        <v>14</v>
      </c>
      <c r="B1627" s="33">
        <v>437811.10856199998</v>
      </c>
      <c r="C1627" s="33">
        <v>5688393.3324180003</v>
      </c>
      <c r="D1627" s="48">
        <v>2</v>
      </c>
      <c r="E1627" s="48" t="s">
        <v>64</v>
      </c>
      <c r="F1627" s="48">
        <v>2016</v>
      </c>
      <c r="G1627" s="48" t="s">
        <v>18</v>
      </c>
      <c r="H1627" s="48" t="s">
        <v>18</v>
      </c>
      <c r="I1627" s="48" t="s">
        <v>18</v>
      </c>
      <c r="J1627" s="48" t="s">
        <v>18</v>
      </c>
      <c r="K1627" s="48" t="s">
        <v>18</v>
      </c>
      <c r="L1627" s="48" t="s">
        <v>18</v>
      </c>
      <c r="M1627" s="48" t="s">
        <v>18</v>
      </c>
      <c r="N1627" s="48" t="s">
        <v>18</v>
      </c>
      <c r="O1627" s="48" t="s">
        <v>18</v>
      </c>
      <c r="P1627" s="103" t="s">
        <v>21</v>
      </c>
    </row>
    <row r="1628" spans="1:16" x14ac:dyDescent="0.25">
      <c r="A1628" s="29">
        <v>15</v>
      </c>
      <c r="B1628" s="30">
        <v>437930.10856199998</v>
      </c>
      <c r="C1628" s="30">
        <v>5688393.3324180003</v>
      </c>
      <c r="D1628" s="30">
        <v>2</v>
      </c>
      <c r="E1628" s="30" t="s">
        <v>64</v>
      </c>
      <c r="F1628" s="46">
        <v>2016</v>
      </c>
      <c r="G1628" s="47">
        <v>3.7600000000000001E-2</v>
      </c>
      <c r="H1628" s="47">
        <f t="shared" ref="H1628:H1666" si="55">G1628*0.322548217651013</f>
        <v>1.2127812983678089E-2</v>
      </c>
      <c r="I1628" s="47">
        <v>4.1599999999999998E-2</v>
      </c>
      <c r="J1628" s="47">
        <f t="shared" si="51"/>
        <v>1.8594287884348758E-2</v>
      </c>
      <c r="K1628" s="47">
        <v>9.8000000000000014E-3</v>
      </c>
      <c r="L1628" s="47">
        <f t="shared" si="52"/>
        <v>4.0709729729729695E-3</v>
      </c>
      <c r="M1628" s="47">
        <f t="shared" si="54"/>
        <v>8.05684001070512E-3</v>
      </c>
      <c r="N1628" s="47">
        <v>7.0000000000000001E-3</v>
      </c>
      <c r="O1628" s="47">
        <f t="shared" si="53"/>
        <v>3.7485883259174842E-3</v>
      </c>
      <c r="P1628" s="92"/>
    </row>
    <row r="1629" spans="1:16" x14ac:dyDescent="0.25">
      <c r="A1629" s="29">
        <v>16</v>
      </c>
      <c r="B1629" s="30">
        <v>438049.10856199998</v>
      </c>
      <c r="C1629" s="30">
        <v>5688393.3324180003</v>
      </c>
      <c r="D1629" s="30">
        <v>2</v>
      </c>
      <c r="E1629" s="30" t="s">
        <v>64</v>
      </c>
      <c r="F1629" s="46">
        <v>2016</v>
      </c>
      <c r="G1629" s="47">
        <v>2.1600000000000001E-2</v>
      </c>
      <c r="H1629" s="47">
        <f t="shared" si="55"/>
        <v>6.9670415012618812E-3</v>
      </c>
      <c r="I1629" s="47">
        <v>6.8500000000000005E-2</v>
      </c>
      <c r="J1629" s="47">
        <f t="shared" si="51"/>
        <v>3.0617998078795436E-2</v>
      </c>
      <c r="K1629" s="47">
        <v>4.0000000000000001E-3</v>
      </c>
      <c r="L1629" s="47">
        <f t="shared" si="52"/>
        <v>1.6616216216216199E-3</v>
      </c>
      <c r="M1629" s="47">
        <f t="shared" si="54"/>
        <v>5.3054198796402613E-3</v>
      </c>
      <c r="N1629" s="47">
        <v>5.0599999999999999E-2</v>
      </c>
      <c r="O1629" s="47">
        <f t="shared" si="53"/>
        <v>2.709693847020353E-2</v>
      </c>
      <c r="P1629" s="92"/>
    </row>
    <row r="1630" spans="1:16" x14ac:dyDescent="0.25">
      <c r="A1630" s="29">
        <v>17</v>
      </c>
      <c r="B1630" s="30">
        <v>438168.10856199998</v>
      </c>
      <c r="C1630" s="30">
        <v>5688393.3324180003</v>
      </c>
      <c r="D1630" s="30">
        <v>2</v>
      </c>
      <c r="E1630" s="30" t="s">
        <v>64</v>
      </c>
      <c r="F1630" s="46">
        <v>2016</v>
      </c>
      <c r="G1630" s="47">
        <v>4.4299999999999999E-2</v>
      </c>
      <c r="H1630" s="47">
        <f t="shared" si="55"/>
        <v>1.4288886041939876E-2</v>
      </c>
      <c r="I1630" s="47">
        <v>7.2999999999999995E-2</v>
      </c>
      <c r="J1630" s="47">
        <f t="shared" si="51"/>
        <v>3.2629399412438927E-2</v>
      </c>
      <c r="K1630" s="47">
        <v>9.4999999999999998E-3</v>
      </c>
      <c r="L1630" s="47">
        <f t="shared" si="52"/>
        <v>3.9463513513513472E-3</v>
      </c>
      <c r="M1630" s="47">
        <f t="shared" si="54"/>
        <v>1.0342534690588528E-2</v>
      </c>
      <c r="N1630" s="47">
        <v>7.9000000000000008E-3</v>
      </c>
      <c r="O1630" s="47">
        <f t="shared" si="53"/>
        <v>4.2305496821068754E-3</v>
      </c>
      <c r="P1630" s="92"/>
    </row>
    <row r="1631" spans="1:16" x14ac:dyDescent="0.25">
      <c r="A1631" s="29">
        <v>18</v>
      </c>
      <c r="B1631" s="30">
        <v>438287.10856199998</v>
      </c>
      <c r="C1631" s="30">
        <v>5688393.3324180003</v>
      </c>
      <c r="D1631" s="30">
        <v>2</v>
      </c>
      <c r="E1631" s="30" t="s">
        <v>64</v>
      </c>
      <c r="F1631" s="46">
        <v>2016</v>
      </c>
      <c r="G1631" s="47">
        <v>3.8299999999999994E-2</v>
      </c>
      <c r="H1631" s="47">
        <f t="shared" si="55"/>
        <v>1.2353596736033796E-2</v>
      </c>
      <c r="I1631" s="47">
        <v>0</v>
      </c>
      <c r="J1631" s="47">
        <f t="shared" si="51"/>
        <v>0</v>
      </c>
      <c r="K1631" s="47">
        <v>3.2000000000000002E-3</v>
      </c>
      <c r="L1631" s="47">
        <f t="shared" si="52"/>
        <v>1.3292972972972961E-3</v>
      </c>
      <c r="M1631" s="47">
        <f t="shared" si="54"/>
        <v>1.10242994387365E-2</v>
      </c>
      <c r="N1631" s="47">
        <v>0</v>
      </c>
      <c r="O1631" s="47">
        <f t="shared" si="53"/>
        <v>0</v>
      </c>
      <c r="P1631" s="92"/>
    </row>
    <row r="1632" spans="1:16" x14ac:dyDescent="0.25">
      <c r="A1632" s="29">
        <v>19</v>
      </c>
      <c r="B1632" s="30">
        <v>438406.10856199998</v>
      </c>
      <c r="C1632" s="30">
        <v>5688393.3324180003</v>
      </c>
      <c r="D1632" s="30">
        <v>2</v>
      </c>
      <c r="E1632" s="30" t="s">
        <v>64</v>
      </c>
      <c r="F1632" s="46">
        <v>2016</v>
      </c>
      <c r="G1632" s="47">
        <v>3.9899999999999998E-2</v>
      </c>
      <c r="H1632" s="47">
        <f t="shared" si="55"/>
        <v>1.2869673884275418E-2</v>
      </c>
      <c r="I1632" s="47">
        <v>0</v>
      </c>
      <c r="J1632" s="47">
        <f t="shared" si="51"/>
        <v>0</v>
      </c>
      <c r="K1632" s="47">
        <v>8.8999999999999999E-3</v>
      </c>
      <c r="L1632" s="47">
        <f t="shared" si="52"/>
        <v>3.6971081081081042E-3</v>
      </c>
      <c r="M1632" s="47">
        <f t="shared" si="54"/>
        <v>9.172565776167315E-3</v>
      </c>
      <c r="N1632" s="47">
        <v>0</v>
      </c>
      <c r="O1632" s="47">
        <f t="shared" si="53"/>
        <v>0</v>
      </c>
      <c r="P1632" s="92"/>
    </row>
    <row r="1633" spans="1:16" x14ac:dyDescent="0.25">
      <c r="A1633" s="42">
        <v>20</v>
      </c>
      <c r="B1633" s="43">
        <v>437335.10856199998</v>
      </c>
      <c r="C1633" s="43">
        <v>5688512.3324180003</v>
      </c>
      <c r="D1633" s="44">
        <v>2</v>
      </c>
      <c r="E1633" s="44" t="s">
        <v>64</v>
      </c>
      <c r="F1633" s="44">
        <v>2016</v>
      </c>
      <c r="G1633" s="44" t="s">
        <v>18</v>
      </c>
      <c r="H1633" s="44" t="s">
        <v>18</v>
      </c>
      <c r="I1633" s="44" t="s">
        <v>18</v>
      </c>
      <c r="J1633" s="44" t="s">
        <v>18</v>
      </c>
      <c r="K1633" s="44" t="s">
        <v>18</v>
      </c>
      <c r="L1633" s="44" t="s">
        <v>18</v>
      </c>
      <c r="M1633" s="44" t="s">
        <v>18</v>
      </c>
      <c r="N1633" s="44" t="s">
        <v>18</v>
      </c>
      <c r="O1633" s="44" t="s">
        <v>18</v>
      </c>
      <c r="P1633" s="102" t="s">
        <v>109</v>
      </c>
    </row>
    <row r="1634" spans="1:16" x14ac:dyDescent="0.25">
      <c r="A1634" s="29">
        <v>21</v>
      </c>
      <c r="B1634" s="30">
        <v>437454.10856199998</v>
      </c>
      <c r="C1634" s="30">
        <v>5688512.3324180003</v>
      </c>
      <c r="D1634" s="30">
        <v>2</v>
      </c>
      <c r="E1634" s="30" t="s">
        <v>64</v>
      </c>
      <c r="F1634" s="46">
        <v>2016</v>
      </c>
      <c r="G1634" s="47">
        <v>2.1399999999999999E-2</v>
      </c>
      <c r="H1634" s="47">
        <f t="shared" si="55"/>
        <v>6.9025318577316773E-3</v>
      </c>
      <c r="I1634" s="47">
        <v>0</v>
      </c>
      <c r="J1634" s="47">
        <f t="shared" si="51"/>
        <v>0</v>
      </c>
      <c r="K1634" s="47">
        <v>3.0999999999999999E-3</v>
      </c>
      <c r="L1634" s="47">
        <f t="shared" si="52"/>
        <v>1.2877567567567555E-3</v>
      </c>
      <c r="M1634" s="47">
        <f t="shared" si="54"/>
        <v>5.6147751009749218E-3</v>
      </c>
      <c r="N1634" s="47">
        <v>0</v>
      </c>
      <c r="O1634" s="47">
        <f t="shared" si="53"/>
        <v>0</v>
      </c>
      <c r="P1634" s="92"/>
    </row>
    <row r="1635" spans="1:16" x14ac:dyDescent="0.25">
      <c r="A1635" s="29">
        <v>22</v>
      </c>
      <c r="B1635" s="30">
        <v>437573.10856199998</v>
      </c>
      <c r="C1635" s="30">
        <v>5688512.3324180003</v>
      </c>
      <c r="D1635" s="30">
        <v>2</v>
      </c>
      <c r="E1635" s="30" t="s">
        <v>64</v>
      </c>
      <c r="F1635" s="46">
        <v>2016</v>
      </c>
      <c r="G1635" s="47">
        <v>2.1100000000000001E-2</v>
      </c>
      <c r="H1635" s="47">
        <f t="shared" si="55"/>
        <v>6.8057673924363741E-3</v>
      </c>
      <c r="I1635" s="47">
        <v>0.24390000000000001</v>
      </c>
      <c r="J1635" s="47">
        <f t="shared" si="51"/>
        <v>0.10901795228347747</v>
      </c>
      <c r="K1635" s="47">
        <v>3.5999999999999999E-3</v>
      </c>
      <c r="L1635" s="47">
        <f t="shared" si="52"/>
        <v>1.4954594594594579E-3</v>
      </c>
      <c r="M1635" s="47">
        <f>H1635-L1635</f>
        <v>5.3103079329769164E-3</v>
      </c>
      <c r="N1635" s="47">
        <v>2.5700000000000001E-2</v>
      </c>
      <c r="O1635" s="47">
        <f t="shared" si="53"/>
        <v>1.3762674282297049E-2</v>
      </c>
      <c r="P1635" s="92"/>
    </row>
    <row r="1636" spans="1:16" x14ac:dyDescent="0.25">
      <c r="A1636" s="29">
        <v>23</v>
      </c>
      <c r="B1636" s="30">
        <v>437692.10856199998</v>
      </c>
      <c r="C1636" s="30">
        <v>5688512.3324180003</v>
      </c>
      <c r="D1636" s="30">
        <v>2</v>
      </c>
      <c r="E1636" s="30" t="s">
        <v>64</v>
      </c>
      <c r="F1636" s="46">
        <v>2016</v>
      </c>
      <c r="G1636" s="47">
        <v>2.0300000000000002E-2</v>
      </c>
      <c r="H1636" s="47">
        <f t="shared" si="55"/>
        <v>6.5477288183155647E-3</v>
      </c>
      <c r="I1636" s="47">
        <v>0</v>
      </c>
      <c r="J1636" s="47">
        <f t="shared" si="51"/>
        <v>0</v>
      </c>
      <c r="K1636" s="47">
        <v>2.2000000000000001E-3</v>
      </c>
      <c r="L1636" s="47">
        <f t="shared" si="52"/>
        <v>9.1389189189189108E-4</v>
      </c>
      <c r="M1636" s="47">
        <f t="shared" si="54"/>
        <v>5.6338369264236736E-3</v>
      </c>
      <c r="N1636" s="47">
        <v>1.12E-2</v>
      </c>
      <c r="O1636" s="47">
        <f t="shared" si="53"/>
        <v>5.9977413214679746E-3</v>
      </c>
      <c r="P1636" s="92"/>
    </row>
    <row r="1637" spans="1:16" x14ac:dyDescent="0.25">
      <c r="A1637" s="29">
        <v>24</v>
      </c>
      <c r="B1637" s="30">
        <v>437811.10856199998</v>
      </c>
      <c r="C1637" s="30">
        <v>5688512.3324180003</v>
      </c>
      <c r="D1637" s="30">
        <v>2</v>
      </c>
      <c r="E1637" s="30" t="s">
        <v>64</v>
      </c>
      <c r="F1637" s="46">
        <v>2016</v>
      </c>
      <c r="G1637" s="47">
        <v>3.6499999999999998E-2</v>
      </c>
      <c r="H1637" s="47">
        <f t="shared" si="55"/>
        <v>1.1773009944261973E-2</v>
      </c>
      <c r="I1637" s="47">
        <v>0</v>
      </c>
      <c r="J1637" s="47">
        <f t="shared" si="51"/>
        <v>0</v>
      </c>
      <c r="K1637" s="47">
        <v>6.9000000000000008E-3</v>
      </c>
      <c r="L1637" s="47">
        <f t="shared" si="52"/>
        <v>2.8662972972972947E-3</v>
      </c>
      <c r="M1637" s="47">
        <f t="shared" si="54"/>
        <v>8.9067126469646787E-3</v>
      </c>
      <c r="N1637" s="47">
        <v>0</v>
      </c>
      <c r="O1637" s="47">
        <f t="shared" si="53"/>
        <v>0</v>
      </c>
      <c r="P1637" s="92"/>
    </row>
    <row r="1638" spans="1:16" x14ac:dyDescent="0.25">
      <c r="A1638" s="29">
        <v>25</v>
      </c>
      <c r="B1638" s="46">
        <v>437995</v>
      </c>
      <c r="C1638" s="46">
        <v>5688493</v>
      </c>
      <c r="D1638" s="30">
        <v>2</v>
      </c>
      <c r="E1638" s="30" t="s">
        <v>64</v>
      </c>
      <c r="F1638" s="46">
        <v>2016</v>
      </c>
      <c r="G1638" s="47">
        <v>2.6699999999999998E-2</v>
      </c>
      <c r="H1638" s="47">
        <f t="shared" si="55"/>
        <v>8.6120374112820461E-3</v>
      </c>
      <c r="I1638" s="47">
        <v>0</v>
      </c>
      <c r="J1638" s="47">
        <f t="shared" si="51"/>
        <v>0</v>
      </c>
      <c r="K1638" s="47">
        <v>2.5999999999999999E-3</v>
      </c>
      <c r="L1638" s="47">
        <f t="shared" si="52"/>
        <v>1.0800540540540529E-3</v>
      </c>
      <c r="M1638" s="47">
        <f t="shared" si="54"/>
        <v>7.5319833572279928E-3</v>
      </c>
      <c r="N1638" s="47">
        <v>0</v>
      </c>
      <c r="O1638" s="47">
        <f t="shared" si="53"/>
        <v>0</v>
      </c>
      <c r="P1638" s="92"/>
    </row>
    <row r="1639" spans="1:16" x14ac:dyDescent="0.25">
      <c r="A1639" s="29">
        <v>26</v>
      </c>
      <c r="B1639" s="46">
        <v>438112</v>
      </c>
      <c r="C1639" s="46">
        <v>5688567</v>
      </c>
      <c r="D1639" s="30">
        <v>2</v>
      </c>
      <c r="E1639" s="30" t="s">
        <v>64</v>
      </c>
      <c r="F1639" s="46">
        <v>2016</v>
      </c>
      <c r="G1639" s="47">
        <v>4.2799999999999998E-2</v>
      </c>
      <c r="H1639" s="47">
        <f t="shared" si="55"/>
        <v>1.3805063715463355E-2</v>
      </c>
      <c r="I1639" s="47">
        <v>1E-3</v>
      </c>
      <c r="J1639" s="47">
        <f t="shared" si="51"/>
        <v>4.4697807414299903E-4</v>
      </c>
      <c r="K1639" s="47">
        <v>8.5000000000000006E-3</v>
      </c>
      <c r="L1639" s="47">
        <f t="shared" si="52"/>
        <v>3.5309459459459428E-3</v>
      </c>
      <c r="M1639" s="47">
        <f t="shared" si="54"/>
        <v>1.0274117769517411E-2</v>
      </c>
      <c r="N1639" s="47">
        <v>1.6300000000000002E-2</v>
      </c>
      <c r="O1639" s="47">
        <f t="shared" si="53"/>
        <v>8.7288556732078564E-3</v>
      </c>
      <c r="P1639" s="92"/>
    </row>
    <row r="1640" spans="1:16" x14ac:dyDescent="0.25">
      <c r="A1640" s="32">
        <v>27</v>
      </c>
      <c r="B1640" s="33">
        <v>438168.10856199998</v>
      </c>
      <c r="C1640" s="33">
        <v>5688512.3324180003</v>
      </c>
      <c r="D1640" s="48">
        <v>2</v>
      </c>
      <c r="E1640" s="48" t="s">
        <v>64</v>
      </c>
      <c r="F1640" s="48">
        <v>2016</v>
      </c>
      <c r="G1640" s="48" t="s">
        <v>18</v>
      </c>
      <c r="H1640" s="48" t="s">
        <v>18</v>
      </c>
      <c r="I1640" s="48" t="s">
        <v>18</v>
      </c>
      <c r="J1640" s="48" t="s">
        <v>18</v>
      </c>
      <c r="K1640" s="48" t="s">
        <v>18</v>
      </c>
      <c r="L1640" s="48" t="s">
        <v>18</v>
      </c>
      <c r="M1640" s="48" t="s">
        <v>18</v>
      </c>
      <c r="N1640" s="48" t="s">
        <v>18</v>
      </c>
      <c r="O1640" s="48" t="s">
        <v>18</v>
      </c>
      <c r="P1640" s="103" t="s">
        <v>21</v>
      </c>
    </row>
    <row r="1641" spans="1:16" x14ac:dyDescent="0.25">
      <c r="A1641" s="32">
        <v>28</v>
      </c>
      <c r="B1641" s="33">
        <v>438287.10856199998</v>
      </c>
      <c r="C1641" s="33">
        <v>5688512.3324180003</v>
      </c>
      <c r="D1641" s="48">
        <v>2</v>
      </c>
      <c r="E1641" s="48" t="s">
        <v>64</v>
      </c>
      <c r="F1641" s="48">
        <v>2016</v>
      </c>
      <c r="G1641" s="48" t="s">
        <v>18</v>
      </c>
      <c r="H1641" s="48" t="s">
        <v>18</v>
      </c>
      <c r="I1641" s="48" t="s">
        <v>18</v>
      </c>
      <c r="J1641" s="48" t="s">
        <v>18</v>
      </c>
      <c r="K1641" s="48" t="s">
        <v>18</v>
      </c>
      <c r="L1641" s="48" t="s">
        <v>18</v>
      </c>
      <c r="M1641" s="48" t="s">
        <v>18</v>
      </c>
      <c r="N1641" s="48" t="s">
        <v>18</v>
      </c>
      <c r="O1641" s="48" t="s">
        <v>18</v>
      </c>
      <c r="P1641" s="103" t="s">
        <v>21</v>
      </c>
    </row>
    <row r="1642" spans="1:16" x14ac:dyDescent="0.25">
      <c r="A1642" s="29">
        <v>29</v>
      </c>
      <c r="B1642" s="30">
        <v>438381</v>
      </c>
      <c r="C1642" s="30">
        <v>5688526</v>
      </c>
      <c r="D1642" s="30">
        <v>2</v>
      </c>
      <c r="E1642" s="30" t="s">
        <v>64</v>
      </c>
      <c r="F1642" s="46">
        <v>2016</v>
      </c>
      <c r="G1642" s="47">
        <v>4.65E-2</v>
      </c>
      <c r="H1642" s="47">
        <f t="shared" si="55"/>
        <v>1.4998492120772105E-2</v>
      </c>
      <c r="I1642" s="47">
        <v>0</v>
      </c>
      <c r="J1642" s="47">
        <f t="shared" si="51"/>
        <v>0</v>
      </c>
      <c r="K1642" s="47">
        <v>8.8999999999999999E-3</v>
      </c>
      <c r="L1642" s="47">
        <f t="shared" si="52"/>
        <v>3.6971081081081042E-3</v>
      </c>
      <c r="M1642" s="47">
        <f t="shared" si="54"/>
        <v>1.1301384012663999E-2</v>
      </c>
      <c r="N1642" s="47">
        <v>0</v>
      </c>
      <c r="O1642" s="47">
        <f t="shared" si="53"/>
        <v>0</v>
      </c>
      <c r="P1642" s="92"/>
    </row>
    <row r="1643" spans="1:16" x14ac:dyDescent="0.25">
      <c r="A1643" s="29">
        <v>30</v>
      </c>
      <c r="B1643" s="30">
        <v>438525.10856199998</v>
      </c>
      <c r="C1643" s="30">
        <v>5688512.3324180003</v>
      </c>
      <c r="D1643" s="30">
        <v>2</v>
      </c>
      <c r="E1643" s="30" t="s">
        <v>64</v>
      </c>
      <c r="F1643" s="46">
        <v>2016</v>
      </c>
      <c r="G1643" s="47">
        <v>2.4300000000000002E-2</v>
      </c>
      <c r="H1643" s="47">
        <f t="shared" si="55"/>
        <v>7.837921688919617E-3</v>
      </c>
      <c r="I1643" s="47">
        <v>0</v>
      </c>
      <c r="J1643" s="47">
        <f t="shared" si="51"/>
        <v>0</v>
      </c>
      <c r="K1643" s="47">
        <v>5.0000000000000001E-3</v>
      </c>
      <c r="L1643" s="47">
        <f t="shared" si="52"/>
        <v>2.0770270270270251E-3</v>
      </c>
      <c r="M1643" s="47">
        <f t="shared" si="54"/>
        <v>5.7608946618925919E-3</v>
      </c>
      <c r="N1643" s="47">
        <v>0</v>
      </c>
      <c r="O1643" s="47">
        <f t="shared" si="53"/>
        <v>0</v>
      </c>
      <c r="P1643" s="92"/>
    </row>
    <row r="1644" spans="1:16" x14ac:dyDescent="0.25">
      <c r="A1644" s="29">
        <v>31</v>
      </c>
      <c r="B1644" s="30">
        <v>437335.10856199998</v>
      </c>
      <c r="C1644" s="30">
        <v>5688631.3324180003</v>
      </c>
      <c r="D1644" s="30">
        <v>2</v>
      </c>
      <c r="E1644" s="30" t="s">
        <v>64</v>
      </c>
      <c r="F1644" s="46">
        <v>2016</v>
      </c>
      <c r="G1644" s="47">
        <v>1.6000000000000001E-3</v>
      </c>
      <c r="H1644" s="47">
        <f t="shared" si="55"/>
        <v>5.1607714824162079E-4</v>
      </c>
      <c r="I1644" s="47">
        <v>0</v>
      </c>
      <c r="J1644" s="47">
        <f t="shared" si="51"/>
        <v>0</v>
      </c>
      <c r="K1644" s="47">
        <v>4.0000000000000002E-4</v>
      </c>
      <c r="L1644" s="47">
        <f t="shared" si="52"/>
        <v>1.6616216216216201E-4</v>
      </c>
      <c r="M1644" s="47">
        <f t="shared" si="54"/>
        <v>3.4991498607945875E-4</v>
      </c>
      <c r="N1644" s="47">
        <v>0</v>
      </c>
      <c r="O1644" s="47">
        <f t="shared" si="53"/>
        <v>0</v>
      </c>
      <c r="P1644" s="92"/>
    </row>
    <row r="1645" spans="1:16" x14ac:dyDescent="0.25">
      <c r="A1645" s="29">
        <v>32</v>
      </c>
      <c r="B1645" s="30">
        <v>437454.10856199998</v>
      </c>
      <c r="C1645" s="30">
        <v>5688631.3324180003</v>
      </c>
      <c r="D1645" s="30">
        <v>2</v>
      </c>
      <c r="E1645" s="30" t="s">
        <v>64</v>
      </c>
      <c r="F1645" s="46">
        <v>2016</v>
      </c>
      <c r="G1645" s="47">
        <v>8.0000000000000002E-3</v>
      </c>
      <c r="H1645" s="47">
        <f t="shared" si="55"/>
        <v>2.5803857412081042E-3</v>
      </c>
      <c r="I1645" s="47">
        <v>0</v>
      </c>
      <c r="J1645" s="47">
        <f t="shared" si="51"/>
        <v>0</v>
      </c>
      <c r="K1645" s="47">
        <v>2.2000000000000001E-3</v>
      </c>
      <c r="L1645" s="47">
        <f t="shared" si="52"/>
        <v>9.1389189189189108E-4</v>
      </c>
      <c r="M1645" s="47">
        <f t="shared" si="54"/>
        <v>1.6664938493162131E-3</v>
      </c>
      <c r="N1645" s="47">
        <v>0</v>
      </c>
      <c r="O1645" s="47">
        <f t="shared" si="53"/>
        <v>0</v>
      </c>
      <c r="P1645" s="92"/>
    </row>
    <row r="1646" spans="1:16" x14ac:dyDescent="0.25">
      <c r="A1646" s="29">
        <v>33</v>
      </c>
      <c r="B1646" s="30">
        <v>437573.10856199998</v>
      </c>
      <c r="C1646" s="30">
        <v>5688631.3324180003</v>
      </c>
      <c r="D1646" s="30">
        <v>2</v>
      </c>
      <c r="E1646" s="30" t="s">
        <v>64</v>
      </c>
      <c r="F1646" s="46">
        <v>2016</v>
      </c>
      <c r="G1646" s="47">
        <v>5.7999999999999996E-3</v>
      </c>
      <c r="H1646" s="47">
        <f t="shared" si="55"/>
        <v>1.8707796623758752E-3</v>
      </c>
      <c r="I1646" s="47">
        <v>0</v>
      </c>
      <c r="J1646" s="47">
        <f t="shared" si="51"/>
        <v>0</v>
      </c>
      <c r="K1646" s="47">
        <v>1.1999999999999999E-3</v>
      </c>
      <c r="L1646" s="47">
        <f t="shared" si="52"/>
        <v>4.9848648648648599E-4</v>
      </c>
      <c r="M1646" s="47">
        <f t="shared" si="54"/>
        <v>1.3722931758893891E-3</v>
      </c>
      <c r="N1646" s="47">
        <v>0</v>
      </c>
      <c r="O1646" s="47">
        <f t="shared" si="53"/>
        <v>0</v>
      </c>
      <c r="P1646" s="92"/>
    </row>
    <row r="1647" spans="1:16" x14ac:dyDescent="0.25">
      <c r="A1647" s="29">
        <v>34</v>
      </c>
      <c r="B1647" s="30">
        <v>437692.10856199998</v>
      </c>
      <c r="C1647" s="30">
        <v>5688631.3324180003</v>
      </c>
      <c r="D1647" s="30">
        <v>2</v>
      </c>
      <c r="E1647" s="30" t="s">
        <v>64</v>
      </c>
      <c r="F1647" s="46">
        <v>2016</v>
      </c>
      <c r="G1647" s="47">
        <v>3.5099999999999999E-2</v>
      </c>
      <c r="H1647" s="47">
        <f t="shared" si="55"/>
        <v>1.1321442439550555E-2</v>
      </c>
      <c r="I1647" s="47">
        <v>0</v>
      </c>
      <c r="J1647" s="47">
        <f t="shared" si="51"/>
        <v>0</v>
      </c>
      <c r="K1647" s="47">
        <v>8.5000000000000006E-3</v>
      </c>
      <c r="L1647" s="47">
        <f t="shared" si="52"/>
        <v>3.5309459459459428E-3</v>
      </c>
      <c r="M1647" s="47">
        <f t="shared" si="54"/>
        <v>7.7904964936046121E-3</v>
      </c>
      <c r="N1647" s="47">
        <v>0</v>
      </c>
      <c r="O1647" s="47">
        <f t="shared" si="53"/>
        <v>0</v>
      </c>
      <c r="P1647" s="92"/>
    </row>
    <row r="1648" spans="1:16" x14ac:dyDescent="0.25">
      <c r="A1648" s="29">
        <v>35</v>
      </c>
      <c r="B1648" s="30">
        <v>437893</v>
      </c>
      <c r="C1648" s="30">
        <v>5688620</v>
      </c>
      <c r="D1648" s="30">
        <v>2</v>
      </c>
      <c r="E1648" s="30" t="s">
        <v>64</v>
      </c>
      <c r="F1648" s="46">
        <v>2016</v>
      </c>
      <c r="G1648" s="47">
        <v>2.0799999999999999E-2</v>
      </c>
      <c r="H1648" s="47">
        <f t="shared" si="55"/>
        <v>6.70900292714107E-3</v>
      </c>
      <c r="I1648" s="47">
        <v>0</v>
      </c>
      <c r="J1648" s="47">
        <f t="shared" si="51"/>
        <v>0</v>
      </c>
      <c r="K1648" s="47">
        <v>4.3E-3</v>
      </c>
      <c r="L1648" s="47">
        <f t="shared" si="52"/>
        <v>1.7862432432432414E-3</v>
      </c>
      <c r="M1648" s="47">
        <f t="shared" si="54"/>
        <v>4.9227596838978286E-3</v>
      </c>
      <c r="N1648" s="47">
        <v>0</v>
      </c>
      <c r="O1648" s="47">
        <f t="shared" si="53"/>
        <v>0</v>
      </c>
      <c r="P1648" s="92"/>
    </row>
    <row r="1649" spans="1:16" x14ac:dyDescent="0.25">
      <c r="A1649" s="29">
        <v>36</v>
      </c>
      <c r="B1649" s="30">
        <v>437930.10856199998</v>
      </c>
      <c r="C1649" s="30">
        <v>5688631.3324180003</v>
      </c>
      <c r="D1649" s="30">
        <v>2</v>
      </c>
      <c r="E1649" s="30" t="s">
        <v>64</v>
      </c>
      <c r="F1649" s="46">
        <v>2016</v>
      </c>
      <c r="G1649" s="47">
        <v>2.1499999999999998E-2</v>
      </c>
      <c r="H1649" s="47">
        <f t="shared" si="55"/>
        <v>6.9347866794967784E-3</v>
      </c>
      <c r="I1649" s="47">
        <v>0</v>
      </c>
      <c r="J1649" s="47">
        <f t="shared" si="51"/>
        <v>0</v>
      </c>
      <c r="K1649" s="47">
        <v>3.7000000000000002E-3</v>
      </c>
      <c r="L1649" s="47">
        <f t="shared" si="52"/>
        <v>1.5369999999999984E-3</v>
      </c>
      <c r="M1649" s="47">
        <f t="shared" si="54"/>
        <v>5.3977866794967799E-3</v>
      </c>
      <c r="N1649" s="47">
        <v>0</v>
      </c>
      <c r="O1649" s="47">
        <f t="shared" si="53"/>
        <v>0</v>
      </c>
      <c r="P1649" s="92"/>
    </row>
    <row r="1650" spans="1:16" x14ac:dyDescent="0.25">
      <c r="A1650" s="32">
        <v>37</v>
      </c>
      <c r="B1650" s="33">
        <v>438049.10856199998</v>
      </c>
      <c r="C1650" s="33">
        <v>5688631.3324180003</v>
      </c>
      <c r="D1650" s="48">
        <v>2</v>
      </c>
      <c r="E1650" s="48" t="s">
        <v>64</v>
      </c>
      <c r="F1650" s="48">
        <v>2016</v>
      </c>
      <c r="G1650" s="48" t="s">
        <v>18</v>
      </c>
      <c r="H1650" s="48" t="s">
        <v>18</v>
      </c>
      <c r="I1650" s="48" t="s">
        <v>18</v>
      </c>
      <c r="J1650" s="48" t="s">
        <v>18</v>
      </c>
      <c r="K1650" s="48" t="s">
        <v>18</v>
      </c>
      <c r="L1650" s="48" t="s">
        <v>18</v>
      </c>
      <c r="M1650" s="48" t="s">
        <v>18</v>
      </c>
      <c r="N1650" s="48" t="s">
        <v>18</v>
      </c>
      <c r="O1650" s="48" t="s">
        <v>18</v>
      </c>
      <c r="P1650" s="103" t="s">
        <v>21</v>
      </c>
    </row>
    <row r="1651" spans="1:16" x14ac:dyDescent="0.25">
      <c r="A1651" s="29">
        <v>38</v>
      </c>
      <c r="B1651" s="30">
        <v>438067</v>
      </c>
      <c r="C1651" s="30">
        <v>5688710</v>
      </c>
      <c r="D1651" s="30">
        <v>1</v>
      </c>
      <c r="E1651" s="30" t="s">
        <v>64</v>
      </c>
      <c r="F1651" s="46">
        <v>2016</v>
      </c>
      <c r="G1651" s="47">
        <v>8.5699999999999998E-2</v>
      </c>
      <c r="H1651" s="47">
        <f>G1651*0.225443612876084</f>
        <v>1.9320517623480398E-2</v>
      </c>
      <c r="I1651" s="47">
        <v>0</v>
      </c>
      <c r="J1651" s="47">
        <f>I1651*0.266413043478261</f>
        <v>0</v>
      </c>
      <c r="K1651" s="47">
        <v>2.24E-2</v>
      </c>
      <c r="L1651" s="47">
        <f>K1651*0.307495741056218</f>
        <v>6.8879045996592834E-3</v>
      </c>
      <c r="M1651" s="47">
        <f t="shared" si="54"/>
        <v>1.2432613023821114E-2</v>
      </c>
      <c r="N1651" s="47">
        <v>0</v>
      </c>
      <c r="O1651" s="47">
        <f>N1651*0.427781329923274</f>
        <v>0</v>
      </c>
      <c r="P1651" s="92"/>
    </row>
    <row r="1652" spans="1:16" x14ac:dyDescent="0.25">
      <c r="A1652" s="32">
        <v>39</v>
      </c>
      <c r="B1652" s="33">
        <v>438287.10856199998</v>
      </c>
      <c r="C1652" s="33">
        <v>5688631.3324180003</v>
      </c>
      <c r="D1652" s="48">
        <v>2</v>
      </c>
      <c r="E1652" s="48" t="s">
        <v>64</v>
      </c>
      <c r="F1652" s="48">
        <v>2016</v>
      </c>
      <c r="G1652" s="48" t="s">
        <v>18</v>
      </c>
      <c r="H1652" s="48" t="s">
        <v>18</v>
      </c>
      <c r="I1652" s="48" t="s">
        <v>18</v>
      </c>
      <c r="J1652" s="48" t="s">
        <v>18</v>
      </c>
      <c r="K1652" s="48" t="s">
        <v>18</v>
      </c>
      <c r="L1652" s="48" t="s">
        <v>18</v>
      </c>
      <c r="M1652" s="48" t="s">
        <v>18</v>
      </c>
      <c r="N1652" s="48" t="s">
        <v>18</v>
      </c>
      <c r="O1652" s="48" t="s">
        <v>18</v>
      </c>
      <c r="P1652" s="94" t="s">
        <v>22</v>
      </c>
    </row>
    <row r="1653" spans="1:16" x14ac:dyDescent="0.25">
      <c r="A1653" s="29">
        <v>40</v>
      </c>
      <c r="B1653" s="30">
        <v>438406.10856199998</v>
      </c>
      <c r="C1653" s="30">
        <v>5688631.3324180003</v>
      </c>
      <c r="D1653" s="30">
        <v>2</v>
      </c>
      <c r="E1653" s="30" t="s">
        <v>64</v>
      </c>
      <c r="F1653" s="46">
        <v>2016</v>
      </c>
      <c r="G1653" s="54">
        <v>1.24E-2</v>
      </c>
      <c r="H1653" s="47">
        <f t="shared" si="55"/>
        <v>3.9995978988725612E-3</v>
      </c>
      <c r="I1653" s="47">
        <v>0</v>
      </c>
      <c r="J1653" s="47">
        <f t="shared" si="51"/>
        <v>0</v>
      </c>
      <c r="K1653" s="47">
        <v>3.3999999999999998E-3</v>
      </c>
      <c r="L1653" s="47">
        <f t="shared" si="52"/>
        <v>1.412378378378377E-3</v>
      </c>
      <c r="M1653" s="47">
        <f t="shared" si="54"/>
        <v>2.5872195204941842E-3</v>
      </c>
      <c r="N1653" s="47">
        <v>0</v>
      </c>
      <c r="O1653" s="47">
        <f t="shared" si="53"/>
        <v>0</v>
      </c>
      <c r="P1653" s="92"/>
    </row>
    <row r="1654" spans="1:16" x14ac:dyDescent="0.25">
      <c r="A1654" s="29">
        <v>41</v>
      </c>
      <c r="B1654" s="30">
        <v>437310</v>
      </c>
      <c r="C1654" s="30">
        <v>5688729</v>
      </c>
      <c r="D1654" s="30">
        <v>2</v>
      </c>
      <c r="E1654" s="30" t="s">
        <v>64</v>
      </c>
      <c r="F1654" s="46">
        <v>2016</v>
      </c>
      <c r="G1654" s="54">
        <v>9.300000000000001E-3</v>
      </c>
      <c r="H1654" s="47">
        <f t="shared" si="55"/>
        <v>2.9996984241544211E-3</v>
      </c>
      <c r="I1654" s="47">
        <v>0</v>
      </c>
      <c r="J1654" s="47">
        <f t="shared" si="51"/>
        <v>0</v>
      </c>
      <c r="K1654" s="47">
        <v>1.03E-2</v>
      </c>
      <c r="L1654" s="47">
        <f t="shared" si="52"/>
        <v>4.2786756756756717E-3</v>
      </c>
      <c r="M1654" s="47">
        <f t="shared" si="54"/>
        <v>-1.2789772515212506E-3</v>
      </c>
      <c r="N1654" s="47">
        <v>0</v>
      </c>
      <c r="O1654" s="47">
        <f t="shared" si="53"/>
        <v>0</v>
      </c>
      <c r="P1654" s="92"/>
    </row>
    <row r="1655" spans="1:16" x14ac:dyDescent="0.25">
      <c r="A1655" s="29">
        <v>42</v>
      </c>
      <c r="B1655" s="30">
        <v>437454.10856199998</v>
      </c>
      <c r="C1655" s="30">
        <v>5688750.3324180003</v>
      </c>
      <c r="D1655" s="30">
        <v>2</v>
      </c>
      <c r="E1655" s="30" t="s">
        <v>64</v>
      </c>
      <c r="F1655" s="46">
        <v>2016</v>
      </c>
      <c r="G1655" s="54">
        <v>2.3E-2</v>
      </c>
      <c r="H1655" s="47">
        <f t="shared" si="55"/>
        <v>7.4186090059732987E-3</v>
      </c>
      <c r="I1655" s="47">
        <v>1.2999999999999999E-3</v>
      </c>
      <c r="J1655" s="47">
        <f t="shared" si="51"/>
        <v>5.810714963858987E-4</v>
      </c>
      <c r="K1655" s="47">
        <v>1.2999999999999999E-3</v>
      </c>
      <c r="L1655" s="47">
        <f t="shared" si="52"/>
        <v>5.4002702702702645E-4</v>
      </c>
      <c r="M1655" s="47">
        <f t="shared" si="54"/>
        <v>6.8785819789462721E-3</v>
      </c>
      <c r="N1655" s="47">
        <v>1.4E-3</v>
      </c>
      <c r="O1655" s="47">
        <f t="shared" si="53"/>
        <v>7.4971766518349683E-4</v>
      </c>
      <c r="P1655" s="92"/>
    </row>
    <row r="1656" spans="1:16" x14ac:dyDescent="0.25">
      <c r="A1656" s="29">
        <v>43</v>
      </c>
      <c r="B1656" s="30">
        <v>437573.10856199998</v>
      </c>
      <c r="C1656" s="30">
        <v>5688750.3324180003</v>
      </c>
      <c r="D1656" s="30">
        <v>2</v>
      </c>
      <c r="E1656" s="30" t="s">
        <v>64</v>
      </c>
      <c r="F1656" s="46">
        <v>2016</v>
      </c>
      <c r="G1656" s="54">
        <v>1.11E-2</v>
      </c>
      <c r="H1656" s="47">
        <f t="shared" si="55"/>
        <v>3.5802852159262442E-3</v>
      </c>
      <c r="I1656" s="47">
        <v>0</v>
      </c>
      <c r="J1656" s="47">
        <f t="shared" si="51"/>
        <v>0</v>
      </c>
      <c r="K1656" s="47">
        <v>1.01E-2</v>
      </c>
      <c r="L1656" s="47">
        <f t="shared" si="52"/>
        <v>4.1955945945945901E-3</v>
      </c>
      <c r="M1656" s="47">
        <f t="shared" si="54"/>
        <v>-6.1530937866834589E-4</v>
      </c>
      <c r="N1656" s="47">
        <v>0</v>
      </c>
      <c r="O1656" s="47">
        <f t="shared" si="53"/>
        <v>0</v>
      </c>
      <c r="P1656" s="92"/>
    </row>
    <row r="1657" spans="1:16" x14ac:dyDescent="0.25">
      <c r="A1657" s="29">
        <v>44</v>
      </c>
      <c r="B1657" s="30">
        <v>437692.10856199998</v>
      </c>
      <c r="C1657" s="30">
        <v>5688750.3324180003</v>
      </c>
      <c r="D1657" s="30">
        <v>2</v>
      </c>
      <c r="E1657" s="30" t="s">
        <v>64</v>
      </c>
      <c r="F1657" s="46">
        <v>2016</v>
      </c>
      <c r="G1657" s="54">
        <v>1.9699999999999999E-2</v>
      </c>
      <c r="H1657" s="47">
        <f t="shared" si="55"/>
        <v>6.3541998877249557E-3</v>
      </c>
      <c r="I1657" s="47">
        <v>0</v>
      </c>
      <c r="J1657" s="47">
        <f t="shared" si="51"/>
        <v>0</v>
      </c>
      <c r="K1657" s="47">
        <v>5.3E-3</v>
      </c>
      <c r="L1657" s="47">
        <f t="shared" si="52"/>
        <v>2.2016486486486466E-3</v>
      </c>
      <c r="M1657" s="47">
        <f t="shared" si="54"/>
        <v>4.1525512390763091E-3</v>
      </c>
      <c r="N1657" s="47">
        <v>0</v>
      </c>
      <c r="O1657" s="47">
        <f t="shared" si="53"/>
        <v>0</v>
      </c>
      <c r="P1657" s="92"/>
    </row>
    <row r="1658" spans="1:16" x14ac:dyDescent="0.25">
      <c r="A1658" s="29">
        <v>45</v>
      </c>
      <c r="B1658" s="30">
        <v>437811.10856199998</v>
      </c>
      <c r="C1658" s="30">
        <v>5688750.3324180003</v>
      </c>
      <c r="D1658" s="30">
        <v>1</v>
      </c>
      <c r="E1658" s="30" t="s">
        <v>64</v>
      </c>
      <c r="F1658" s="46">
        <v>2016</v>
      </c>
      <c r="G1658" s="47">
        <v>1.89E-2</v>
      </c>
      <c r="H1658" s="47">
        <f>G1658*0.225443612876084</f>
        <v>4.2608842833579876E-3</v>
      </c>
      <c r="I1658" s="47">
        <v>0</v>
      </c>
      <c r="J1658" s="47">
        <f>I1658*0.266413043478261</f>
        <v>0</v>
      </c>
      <c r="K1658" s="47">
        <v>6.3E-3</v>
      </c>
      <c r="L1658" s="47">
        <f>K1658*0.307495741056218</f>
        <v>1.9372231686541736E-3</v>
      </c>
      <c r="M1658" s="47">
        <f t="shared" si="54"/>
        <v>2.323661114703814E-3</v>
      </c>
      <c r="N1658" s="47">
        <v>0</v>
      </c>
      <c r="O1658" s="47">
        <f>N1658*0.427781329923274</f>
        <v>0</v>
      </c>
      <c r="P1658" s="92"/>
    </row>
    <row r="1659" spans="1:16" x14ac:dyDescent="0.25">
      <c r="A1659" s="29">
        <v>46</v>
      </c>
      <c r="B1659" s="30">
        <v>437930.10856199998</v>
      </c>
      <c r="C1659" s="30">
        <v>5688750.3324180003</v>
      </c>
      <c r="D1659" s="30">
        <v>1</v>
      </c>
      <c r="E1659" s="30" t="s">
        <v>64</v>
      </c>
      <c r="F1659" s="46">
        <v>2016</v>
      </c>
      <c r="G1659" s="47">
        <v>9.1999999999999998E-3</v>
      </c>
      <c r="H1659" s="47">
        <f>G1659*0.225443612876084</f>
        <v>2.0740812384599729E-3</v>
      </c>
      <c r="I1659" s="47">
        <v>0</v>
      </c>
      <c r="J1659" s="47">
        <f>I1659*0.266413043478261</f>
        <v>0</v>
      </c>
      <c r="K1659" s="47">
        <v>1.2E-2</v>
      </c>
      <c r="L1659" s="47">
        <f>K1659*0.307495741056218</f>
        <v>3.6899488926746163E-3</v>
      </c>
      <c r="M1659" s="47">
        <f t="shared" si="54"/>
        <v>-1.6158676542146434E-3</v>
      </c>
      <c r="N1659" s="47">
        <v>3.0000000000000001E-3</v>
      </c>
      <c r="O1659" s="47">
        <f>N1659*0.427781329923274</f>
        <v>1.283343989769822E-3</v>
      </c>
      <c r="P1659" s="92"/>
    </row>
    <row r="1660" spans="1:16" x14ac:dyDescent="0.25">
      <c r="A1660" s="29">
        <v>47</v>
      </c>
      <c r="B1660" s="30">
        <v>438061</v>
      </c>
      <c r="C1660" s="30">
        <v>5688779</v>
      </c>
      <c r="D1660" s="30">
        <v>1</v>
      </c>
      <c r="E1660" s="30" t="s">
        <v>64</v>
      </c>
      <c r="F1660" s="46">
        <v>2016</v>
      </c>
      <c r="G1660" s="47">
        <v>3.6799999999999999E-2</v>
      </c>
      <c r="H1660" s="47">
        <f>G1660*0.225443612876084</f>
        <v>8.2963249538398915E-3</v>
      </c>
      <c r="I1660" s="47">
        <v>0</v>
      </c>
      <c r="J1660" s="47">
        <f>I1660*0.266413043478261</f>
        <v>0</v>
      </c>
      <c r="K1660" s="47">
        <v>1.3300000000000001E-2</v>
      </c>
      <c r="L1660" s="47">
        <f>K1660*0.307495741056218</f>
        <v>4.0896933560477002E-3</v>
      </c>
      <c r="M1660" s="47">
        <f t="shared" si="54"/>
        <v>4.2066315977921914E-3</v>
      </c>
      <c r="N1660" s="47">
        <v>0</v>
      </c>
      <c r="O1660" s="47">
        <f>N1660*0.427781329923274</f>
        <v>0</v>
      </c>
      <c r="P1660" s="92"/>
    </row>
    <row r="1661" spans="1:16" x14ac:dyDescent="0.25">
      <c r="A1661" s="32">
        <v>48</v>
      </c>
      <c r="B1661" s="33">
        <v>438168.10856199998</v>
      </c>
      <c r="C1661" s="33">
        <v>5688750.3324180003</v>
      </c>
      <c r="D1661" s="48">
        <v>2</v>
      </c>
      <c r="E1661" s="48" t="s">
        <v>64</v>
      </c>
      <c r="F1661" s="48">
        <v>2016</v>
      </c>
      <c r="G1661" s="48" t="s">
        <v>18</v>
      </c>
      <c r="H1661" s="48" t="s">
        <v>18</v>
      </c>
      <c r="I1661" s="48" t="s">
        <v>18</v>
      </c>
      <c r="J1661" s="48" t="s">
        <v>18</v>
      </c>
      <c r="K1661" s="48" t="s">
        <v>18</v>
      </c>
      <c r="L1661" s="48" t="s">
        <v>18</v>
      </c>
      <c r="M1661" s="48" t="s">
        <v>18</v>
      </c>
      <c r="N1661" s="48" t="s">
        <v>18</v>
      </c>
      <c r="O1661" s="48" t="s">
        <v>18</v>
      </c>
      <c r="P1661" s="103" t="s">
        <v>21</v>
      </c>
    </row>
    <row r="1662" spans="1:16" x14ac:dyDescent="0.25">
      <c r="A1662" s="29">
        <v>49</v>
      </c>
      <c r="B1662" s="30">
        <v>437454.10856199998</v>
      </c>
      <c r="C1662" s="30">
        <v>5688869.3324180003</v>
      </c>
      <c r="D1662" s="30">
        <v>1</v>
      </c>
      <c r="E1662" s="30" t="s">
        <v>64</v>
      </c>
      <c r="F1662" s="46">
        <v>2016</v>
      </c>
      <c r="G1662" s="47">
        <v>4.1599999999999998E-2</v>
      </c>
      <c r="H1662" s="47">
        <f>G1662*0.225443612876084</f>
        <v>9.3784542956450931E-3</v>
      </c>
      <c r="I1662" s="47">
        <v>6.1799999999999994E-2</v>
      </c>
      <c r="J1662" s="47">
        <f>I1662*0.266413043478261</f>
        <v>1.6464326086956527E-2</v>
      </c>
      <c r="K1662" s="47">
        <v>1.2999999999999999E-3</v>
      </c>
      <c r="L1662" s="47">
        <f>K1662*0.307495741056218</f>
        <v>3.9974446337308339E-4</v>
      </c>
      <c r="M1662" s="47">
        <f t="shared" si="54"/>
        <v>8.9787098322720096E-3</v>
      </c>
      <c r="N1662" s="47">
        <v>2.2000000000000001E-3</v>
      </c>
      <c r="O1662" s="47">
        <f>N1662*0.427781329923274</f>
        <v>9.4111892583120284E-4</v>
      </c>
      <c r="P1662" s="92"/>
    </row>
    <row r="1663" spans="1:16" x14ac:dyDescent="0.25">
      <c r="A1663" s="29">
        <v>50</v>
      </c>
      <c r="B1663" s="30">
        <v>437811.10856199998</v>
      </c>
      <c r="C1663" s="30">
        <v>5688869.3324180003</v>
      </c>
      <c r="D1663" s="30">
        <v>1</v>
      </c>
      <c r="E1663" s="30" t="s">
        <v>64</v>
      </c>
      <c r="F1663" s="46">
        <v>2016</v>
      </c>
      <c r="G1663" s="47">
        <v>4.0799999999999996E-2</v>
      </c>
      <c r="H1663" s="47">
        <f>G1663*0.225443612876084</f>
        <v>9.1980994053442264E-3</v>
      </c>
      <c r="I1663" s="47">
        <v>0</v>
      </c>
      <c r="J1663" s="47">
        <f>I1663*0.266413043478261</f>
        <v>0</v>
      </c>
      <c r="K1663" s="47">
        <v>1.4E-3</v>
      </c>
      <c r="L1663" s="47">
        <f>K1663*0.307495741056218</f>
        <v>4.3049403747870521E-4</v>
      </c>
      <c r="M1663" s="47">
        <f t="shared" si="54"/>
        <v>8.7676053678655205E-3</v>
      </c>
      <c r="N1663" s="47">
        <v>0</v>
      </c>
      <c r="O1663" s="47">
        <f>N1663*0.427781329923274</f>
        <v>0</v>
      </c>
      <c r="P1663" s="92"/>
    </row>
    <row r="1664" spans="1:16" x14ac:dyDescent="0.25">
      <c r="A1664" s="29">
        <v>51</v>
      </c>
      <c r="B1664" s="30">
        <v>437930.10856199998</v>
      </c>
      <c r="C1664" s="30">
        <v>5688869.3324180003</v>
      </c>
      <c r="D1664" s="30">
        <v>1</v>
      </c>
      <c r="E1664" s="30" t="s">
        <v>64</v>
      </c>
      <c r="F1664" s="46">
        <v>2016</v>
      </c>
      <c r="G1664" s="47">
        <v>3.73E-2</v>
      </c>
      <c r="H1664" s="47">
        <f>G1664*0.225443612876084</f>
        <v>8.4090467602779325E-3</v>
      </c>
      <c r="I1664" s="47">
        <v>0</v>
      </c>
      <c r="J1664" s="47">
        <f>I1664*0.266413043478261</f>
        <v>0</v>
      </c>
      <c r="K1664" s="47">
        <v>8.6E-3</v>
      </c>
      <c r="L1664" s="47">
        <f>K1664*0.307495741056218</f>
        <v>2.6444633730834748E-3</v>
      </c>
      <c r="M1664" s="47">
        <f t="shared" si="54"/>
        <v>5.7645833871944573E-3</v>
      </c>
      <c r="N1664" s="47">
        <v>0</v>
      </c>
      <c r="O1664" s="47">
        <f>N1664*0.427781329923274</f>
        <v>0</v>
      </c>
      <c r="P1664" s="92"/>
    </row>
    <row r="1665" spans="1:19" x14ac:dyDescent="0.25">
      <c r="A1665" s="29">
        <v>52</v>
      </c>
      <c r="B1665" s="30">
        <v>438049.10856199998</v>
      </c>
      <c r="C1665" s="30">
        <v>5688869.3324180003</v>
      </c>
      <c r="D1665" s="30">
        <v>1</v>
      </c>
      <c r="E1665" s="30" t="s">
        <v>64</v>
      </c>
      <c r="F1665" s="46">
        <v>2016</v>
      </c>
      <c r="G1665" s="47">
        <v>2.5999999999999999E-3</v>
      </c>
      <c r="H1665" s="47">
        <f>G1665*0.225443612876084</f>
        <v>5.8615339347781832E-4</v>
      </c>
      <c r="I1665" s="47">
        <v>2.2200000000000001E-2</v>
      </c>
      <c r="J1665" s="47">
        <f>I1665*0.266413043478261</f>
        <v>5.9143695652173946E-3</v>
      </c>
      <c r="K1665" s="47">
        <v>3.3999999999999998E-3</v>
      </c>
      <c r="L1665" s="47">
        <f>K1665*0.307495741056218</f>
        <v>1.0454855195911412E-3</v>
      </c>
      <c r="M1665" s="47">
        <f>H1665-L1665</f>
        <v>-4.5933212611332292E-4</v>
      </c>
      <c r="N1665" s="47">
        <v>5.4299999999999994E-2</v>
      </c>
      <c r="O1665" s="47">
        <f>N1665*0.427781329923274</f>
        <v>2.3228526214833775E-2</v>
      </c>
      <c r="P1665" s="92"/>
    </row>
    <row r="1666" spans="1:19" x14ac:dyDescent="0.25">
      <c r="A1666" s="29">
        <v>53</v>
      </c>
      <c r="B1666" s="30">
        <v>438287.10856199998</v>
      </c>
      <c r="C1666" s="30">
        <v>5688869.3324180003</v>
      </c>
      <c r="D1666" s="30">
        <v>2</v>
      </c>
      <c r="E1666" s="30" t="s">
        <v>64</v>
      </c>
      <c r="F1666" s="46">
        <v>2016</v>
      </c>
      <c r="G1666" s="47">
        <v>2.4300000000000002E-2</v>
      </c>
      <c r="H1666" s="47">
        <f t="shared" si="55"/>
        <v>7.837921688919617E-3</v>
      </c>
      <c r="I1666" s="47">
        <v>0</v>
      </c>
      <c r="J1666" s="47">
        <f t="shared" si="51"/>
        <v>0</v>
      </c>
      <c r="K1666" s="47">
        <v>9.5999999999999992E-3</v>
      </c>
      <c r="L1666" s="47">
        <f t="shared" si="52"/>
        <v>3.987891891891888E-3</v>
      </c>
      <c r="M1666" s="47">
        <f t="shared" si="54"/>
        <v>3.850029797027729E-3</v>
      </c>
      <c r="N1666" s="47">
        <v>0</v>
      </c>
      <c r="O1666" s="47">
        <f t="shared" si="53"/>
        <v>0</v>
      </c>
      <c r="P1666" s="92"/>
    </row>
    <row r="1667" spans="1:19" x14ac:dyDescent="0.25">
      <c r="A1667" s="29">
        <v>54</v>
      </c>
      <c r="B1667" s="30">
        <v>437454.10856199998</v>
      </c>
      <c r="C1667" s="30">
        <v>5688988.3324180003</v>
      </c>
      <c r="D1667" s="30">
        <v>1</v>
      </c>
      <c r="E1667" s="30" t="s">
        <v>64</v>
      </c>
      <c r="F1667" s="46">
        <v>2016</v>
      </c>
      <c r="G1667" s="47">
        <v>1.3099999999999999E-2</v>
      </c>
      <c r="H1667" s="47">
        <f t="shared" ref="H1667:H1673" si="56">G1667*0.225443612876084</f>
        <v>2.9533113286767001E-3</v>
      </c>
      <c r="I1667" s="47">
        <v>0</v>
      </c>
      <c r="J1667" s="47">
        <f t="shared" ref="J1667:J1673" si="57">I1667*0.266413043478261</f>
        <v>0</v>
      </c>
      <c r="K1667" s="47">
        <v>5.0999999999999995E-3</v>
      </c>
      <c r="L1667" s="47">
        <f t="shared" ref="L1667:L1673" si="58">K1667*0.307495741056218</f>
        <v>1.5682282793867118E-3</v>
      </c>
      <c r="M1667" s="47">
        <f t="shared" si="54"/>
        <v>1.3850830492899884E-3</v>
      </c>
      <c r="N1667" s="47">
        <v>0</v>
      </c>
      <c r="O1667" s="47">
        <f t="shared" ref="O1667:O1673" si="59">N1667*0.427781329923274</f>
        <v>0</v>
      </c>
      <c r="P1667" s="92"/>
    </row>
    <row r="1668" spans="1:19" x14ac:dyDescent="0.25">
      <c r="A1668" s="29">
        <v>55</v>
      </c>
      <c r="B1668" s="30">
        <v>438049.10856199998</v>
      </c>
      <c r="C1668" s="30">
        <v>5688988.3324180003</v>
      </c>
      <c r="D1668" s="30">
        <v>1</v>
      </c>
      <c r="E1668" s="30" t="s">
        <v>64</v>
      </c>
      <c r="F1668" s="46">
        <v>2016</v>
      </c>
      <c r="G1668" s="47">
        <v>1.26E-2</v>
      </c>
      <c r="H1668" s="47">
        <f t="shared" si="56"/>
        <v>2.8405895222386583E-3</v>
      </c>
      <c r="I1668" s="47">
        <v>0</v>
      </c>
      <c r="J1668" s="47">
        <f t="shared" si="57"/>
        <v>0</v>
      </c>
      <c r="K1668" s="47">
        <v>8.9999999999999998E-4</v>
      </c>
      <c r="L1668" s="47">
        <f t="shared" si="58"/>
        <v>2.7674616695059622E-4</v>
      </c>
      <c r="M1668" s="47">
        <f t="shared" si="54"/>
        <v>2.5638433552880621E-3</v>
      </c>
      <c r="N1668" s="47">
        <v>0</v>
      </c>
      <c r="O1668" s="47">
        <f t="shared" si="59"/>
        <v>0</v>
      </c>
      <c r="P1668" s="92"/>
    </row>
    <row r="1669" spans="1:19" x14ac:dyDescent="0.25">
      <c r="A1669" s="29">
        <v>56</v>
      </c>
      <c r="B1669" s="30">
        <v>438168.10856199998</v>
      </c>
      <c r="C1669" s="30">
        <v>5688988.3324180003</v>
      </c>
      <c r="D1669" s="30">
        <v>1</v>
      </c>
      <c r="E1669" s="30" t="s">
        <v>64</v>
      </c>
      <c r="F1669" s="46">
        <v>2016</v>
      </c>
      <c r="G1669" s="47">
        <v>5.9299999999999999E-2</v>
      </c>
      <c r="H1669" s="47">
        <f t="shared" si="56"/>
        <v>1.3368806243551782E-2</v>
      </c>
      <c r="I1669" s="47">
        <v>0</v>
      </c>
      <c r="J1669" s="47">
        <f t="shared" si="57"/>
        <v>0</v>
      </c>
      <c r="K1669" s="47">
        <v>2.7000000000000001E-3</v>
      </c>
      <c r="L1669" s="47">
        <f t="shared" si="58"/>
        <v>8.3023850085178872E-4</v>
      </c>
      <c r="M1669" s="47">
        <f t="shared" si="54"/>
        <v>1.2538567742699992E-2</v>
      </c>
      <c r="N1669" s="47">
        <v>0</v>
      </c>
      <c r="O1669" s="47">
        <f t="shared" si="59"/>
        <v>0</v>
      </c>
      <c r="P1669" s="92"/>
    </row>
    <row r="1670" spans="1:19" x14ac:dyDescent="0.25">
      <c r="A1670" s="40">
        <v>57</v>
      </c>
      <c r="B1670" s="41">
        <v>438146</v>
      </c>
      <c r="C1670" s="41">
        <v>5688977</v>
      </c>
      <c r="D1670" s="41">
        <v>1</v>
      </c>
      <c r="E1670" s="41" t="s">
        <v>64</v>
      </c>
      <c r="F1670" s="50">
        <v>2016</v>
      </c>
      <c r="G1670" s="51">
        <v>2.47E-2</v>
      </c>
      <c r="H1670" s="51">
        <f t="shared" si="56"/>
        <v>5.5684572380392747E-3</v>
      </c>
      <c r="I1670" s="51">
        <v>0</v>
      </c>
      <c r="J1670" s="51">
        <f t="shared" si="57"/>
        <v>0</v>
      </c>
      <c r="K1670" s="51">
        <v>1.11E-2</v>
      </c>
      <c r="L1670" s="51">
        <f t="shared" si="58"/>
        <v>3.4132027257240201E-3</v>
      </c>
      <c r="M1670" s="51">
        <f t="shared" si="54"/>
        <v>2.1552545123152546E-3</v>
      </c>
      <c r="N1670" s="51">
        <v>0</v>
      </c>
      <c r="O1670" s="51">
        <f t="shared" si="59"/>
        <v>0</v>
      </c>
      <c r="P1670" s="101"/>
    </row>
    <row r="1671" spans="1:19" x14ac:dyDescent="0.25">
      <c r="A1671" s="40">
        <v>58</v>
      </c>
      <c r="B1671" s="41">
        <v>438131</v>
      </c>
      <c r="C1671" s="41">
        <v>5688972</v>
      </c>
      <c r="D1671" s="41">
        <v>1</v>
      </c>
      <c r="E1671" s="41" t="s">
        <v>64</v>
      </c>
      <c r="F1671" s="50">
        <v>2016</v>
      </c>
      <c r="G1671" s="51">
        <v>2.41E-2</v>
      </c>
      <c r="H1671" s="51">
        <f t="shared" si="56"/>
        <v>5.4331910703136243E-3</v>
      </c>
      <c r="I1671" s="51">
        <v>0</v>
      </c>
      <c r="J1671" s="51">
        <f t="shared" si="57"/>
        <v>0</v>
      </c>
      <c r="K1671" s="51">
        <v>3.8E-3</v>
      </c>
      <c r="L1671" s="51">
        <f t="shared" si="58"/>
        <v>1.1684838160136285E-3</v>
      </c>
      <c r="M1671" s="51">
        <f t="shared" si="54"/>
        <v>4.2647072542999955E-3</v>
      </c>
      <c r="N1671" s="51">
        <v>0</v>
      </c>
      <c r="O1671" s="51">
        <f t="shared" si="59"/>
        <v>0</v>
      </c>
      <c r="P1671" s="101"/>
    </row>
    <row r="1672" spans="1:19" x14ac:dyDescent="0.25">
      <c r="A1672" s="40">
        <v>59</v>
      </c>
      <c r="B1672" s="41">
        <v>438089</v>
      </c>
      <c r="C1672" s="41">
        <v>5688713</v>
      </c>
      <c r="D1672" s="41">
        <v>1</v>
      </c>
      <c r="E1672" s="41" t="s">
        <v>64</v>
      </c>
      <c r="F1672" s="50">
        <v>2016</v>
      </c>
      <c r="G1672" s="51">
        <v>7.0000000000000001E-3</v>
      </c>
      <c r="H1672" s="51">
        <f t="shared" si="56"/>
        <v>1.5781052901325881E-3</v>
      </c>
      <c r="I1672" s="51">
        <v>0</v>
      </c>
      <c r="J1672" s="51">
        <f t="shared" si="57"/>
        <v>0</v>
      </c>
      <c r="K1672" s="51">
        <v>1.0199999999999999E-2</v>
      </c>
      <c r="L1672" s="51">
        <f t="shared" si="58"/>
        <v>3.1364565587734235E-3</v>
      </c>
      <c r="M1672" s="51">
        <f t="shared" si="54"/>
        <v>-1.5583512686408354E-3</v>
      </c>
      <c r="N1672" s="51">
        <v>5.0999999999999995E-3</v>
      </c>
      <c r="O1672" s="51">
        <f t="shared" si="59"/>
        <v>2.1816847826086972E-3</v>
      </c>
      <c r="P1672" s="101"/>
    </row>
    <row r="1673" spans="1:19" x14ac:dyDescent="0.25">
      <c r="A1673" s="40">
        <v>60</v>
      </c>
      <c r="B1673" s="41">
        <v>438099</v>
      </c>
      <c r="C1673" s="41">
        <v>5688719</v>
      </c>
      <c r="D1673" s="41">
        <v>1</v>
      </c>
      <c r="E1673" s="41" t="s">
        <v>64</v>
      </c>
      <c r="F1673" s="50">
        <v>2016</v>
      </c>
      <c r="G1673" s="51">
        <v>0</v>
      </c>
      <c r="H1673" s="51">
        <f t="shared" si="56"/>
        <v>0</v>
      </c>
      <c r="I1673" s="51">
        <v>0</v>
      </c>
      <c r="J1673" s="51">
        <f t="shared" si="57"/>
        <v>0</v>
      </c>
      <c r="K1673" s="51">
        <v>1.66E-2</v>
      </c>
      <c r="L1673" s="51">
        <f t="shared" si="58"/>
        <v>5.1044293015332191E-3</v>
      </c>
      <c r="M1673" s="51">
        <f t="shared" si="54"/>
        <v>-5.1044293015332191E-3</v>
      </c>
      <c r="N1673" s="51">
        <v>0</v>
      </c>
      <c r="O1673" s="51">
        <f t="shared" si="59"/>
        <v>0</v>
      </c>
      <c r="P1673" s="101"/>
    </row>
    <row r="1674" spans="1:19" x14ac:dyDescent="0.25">
      <c r="A1674" s="42">
        <v>1</v>
      </c>
      <c r="B1674" s="43">
        <v>437930.10856199998</v>
      </c>
      <c r="C1674" s="43">
        <v>5688036.3324180003</v>
      </c>
      <c r="D1674" s="44">
        <v>29</v>
      </c>
      <c r="E1674" s="44" t="s">
        <v>24</v>
      </c>
      <c r="F1674" s="44">
        <v>2016</v>
      </c>
      <c r="G1674" s="44" t="s">
        <v>18</v>
      </c>
      <c r="H1674" s="44" t="s">
        <v>18</v>
      </c>
      <c r="I1674" s="44" t="s">
        <v>18</v>
      </c>
      <c r="J1674" s="44" t="s">
        <v>18</v>
      </c>
      <c r="K1674" s="44" t="s">
        <v>18</v>
      </c>
      <c r="L1674" s="44" t="s">
        <v>18</v>
      </c>
      <c r="M1674" s="44" t="s">
        <v>18</v>
      </c>
      <c r="N1674" s="44" t="s">
        <v>18</v>
      </c>
      <c r="O1674" s="44" t="s">
        <v>18</v>
      </c>
      <c r="P1674" s="102" t="s">
        <v>109</v>
      </c>
      <c r="R1674" s="5">
        <f>AVERAGE(M1674:M1733)</f>
        <v>1.008422902596926E-2</v>
      </c>
      <c r="S1674" s="5">
        <f>AVERAGE(H1674:H1733)</f>
        <v>1.6946381573443504E-2</v>
      </c>
    </row>
    <row r="1675" spans="1:19" x14ac:dyDescent="0.25">
      <c r="A1675" s="42">
        <v>2</v>
      </c>
      <c r="B1675" s="43">
        <v>437811.10856199998</v>
      </c>
      <c r="C1675" s="43">
        <v>5688155.3324180003</v>
      </c>
      <c r="D1675" s="44">
        <v>29</v>
      </c>
      <c r="E1675" s="44" t="s">
        <v>24</v>
      </c>
      <c r="F1675" s="44">
        <v>2016</v>
      </c>
      <c r="G1675" s="44" t="s">
        <v>18</v>
      </c>
      <c r="H1675" s="44" t="s">
        <v>18</v>
      </c>
      <c r="I1675" s="44" t="s">
        <v>18</v>
      </c>
      <c r="J1675" s="44" t="s">
        <v>18</v>
      </c>
      <c r="K1675" s="44" t="s">
        <v>18</v>
      </c>
      <c r="L1675" s="44" t="s">
        <v>18</v>
      </c>
      <c r="M1675" s="44" t="s">
        <v>18</v>
      </c>
      <c r="N1675" s="44" t="s">
        <v>18</v>
      </c>
      <c r="O1675" s="44" t="s">
        <v>18</v>
      </c>
      <c r="P1675" s="102" t="s">
        <v>109</v>
      </c>
    </row>
    <row r="1676" spans="1:19" x14ac:dyDescent="0.25">
      <c r="A1676" s="29">
        <v>3</v>
      </c>
      <c r="B1676" s="30">
        <v>437930.10856199998</v>
      </c>
      <c r="C1676" s="30">
        <v>5688155.3324180003</v>
      </c>
      <c r="D1676" s="30">
        <v>29</v>
      </c>
      <c r="E1676" s="30" t="s">
        <v>24</v>
      </c>
      <c r="F1676" s="46">
        <v>2016</v>
      </c>
      <c r="G1676" s="47">
        <v>4.9000000000000002E-2</v>
      </c>
      <c r="H1676" s="47">
        <f>G1676*0.222757527322074</f>
        <v>1.0915118838781625E-2</v>
      </c>
      <c r="I1676" s="47">
        <v>4.65E-2</v>
      </c>
      <c r="J1676" s="47">
        <f>I1676*0.42851304496886</f>
        <v>1.9925856591051991E-2</v>
      </c>
      <c r="K1676" s="47">
        <v>5.9999999999999995E-4</v>
      </c>
      <c r="L1676" s="47">
        <f>K1676*0.335646454109168</f>
        <v>2.0138787246550078E-4</v>
      </c>
      <c r="M1676" s="47">
        <f>H1676-L1676</f>
        <v>1.0713730966316126E-2</v>
      </c>
      <c r="N1676" s="47">
        <v>1.84E-2</v>
      </c>
      <c r="O1676" s="47">
        <f>N1676*0.405049247805402</f>
        <v>7.4529061596193972E-3</v>
      </c>
      <c r="P1676" s="92"/>
    </row>
    <row r="1677" spans="1:19" x14ac:dyDescent="0.25">
      <c r="A1677" s="42">
        <v>4</v>
      </c>
      <c r="B1677" s="43">
        <v>438049.10856199998</v>
      </c>
      <c r="C1677" s="43">
        <v>5688155.3324180003</v>
      </c>
      <c r="D1677" s="44">
        <v>29</v>
      </c>
      <c r="E1677" s="44" t="s">
        <v>24</v>
      </c>
      <c r="F1677" s="44">
        <v>2016</v>
      </c>
      <c r="G1677" s="44" t="s">
        <v>18</v>
      </c>
      <c r="H1677" s="44" t="s">
        <v>18</v>
      </c>
      <c r="I1677" s="44" t="s">
        <v>18</v>
      </c>
      <c r="J1677" s="44" t="s">
        <v>18</v>
      </c>
      <c r="K1677" s="44" t="s">
        <v>18</v>
      </c>
      <c r="L1677" s="44" t="s">
        <v>18</v>
      </c>
      <c r="M1677" s="44" t="s">
        <v>18</v>
      </c>
      <c r="N1677" s="44" t="s">
        <v>18</v>
      </c>
      <c r="O1677" s="44" t="s">
        <v>18</v>
      </c>
      <c r="P1677" s="102" t="s">
        <v>109</v>
      </c>
    </row>
    <row r="1678" spans="1:19" x14ac:dyDescent="0.25">
      <c r="A1678" s="42">
        <v>5</v>
      </c>
      <c r="B1678" s="43">
        <v>437573.10856199998</v>
      </c>
      <c r="C1678" s="43">
        <v>5688274.3324180003</v>
      </c>
      <c r="D1678" s="44">
        <v>29</v>
      </c>
      <c r="E1678" s="44" t="s">
        <v>24</v>
      </c>
      <c r="F1678" s="44">
        <v>2016</v>
      </c>
      <c r="G1678" s="44" t="s">
        <v>18</v>
      </c>
      <c r="H1678" s="44" t="s">
        <v>18</v>
      </c>
      <c r="I1678" s="44" t="s">
        <v>18</v>
      </c>
      <c r="J1678" s="44" t="s">
        <v>18</v>
      </c>
      <c r="K1678" s="44" t="s">
        <v>18</v>
      </c>
      <c r="L1678" s="44" t="s">
        <v>18</v>
      </c>
      <c r="M1678" s="44" t="s">
        <v>18</v>
      </c>
      <c r="N1678" s="44" t="s">
        <v>18</v>
      </c>
      <c r="O1678" s="44" t="s">
        <v>18</v>
      </c>
      <c r="P1678" s="102" t="s">
        <v>109</v>
      </c>
    </row>
    <row r="1679" spans="1:19" x14ac:dyDescent="0.25">
      <c r="A1679" s="29">
        <v>6</v>
      </c>
      <c r="B1679" s="30">
        <v>437692.10856199998</v>
      </c>
      <c r="C1679" s="30">
        <v>5688274.3324180003</v>
      </c>
      <c r="D1679" s="30">
        <v>29</v>
      </c>
      <c r="E1679" s="30" t="s">
        <v>24</v>
      </c>
      <c r="F1679" s="46">
        <v>2016</v>
      </c>
      <c r="G1679" s="47">
        <v>1E-4</v>
      </c>
      <c r="H1679" s="47">
        <f t="shared" ref="H1679:H1709" si="60">G1679*0.222757527322074</f>
        <v>2.2275752732207399E-5</v>
      </c>
      <c r="I1679" s="47">
        <v>3.5999999999999999E-3</v>
      </c>
      <c r="J1679" s="47">
        <f t="shared" ref="J1679:J1709" si="61">I1679*0.42851304496886</f>
        <v>1.5426469618878959E-3</v>
      </c>
      <c r="K1679" s="54">
        <v>5.0000000000000001E-4</v>
      </c>
      <c r="L1679" s="47">
        <f t="shared" ref="L1679:L1709" si="62">K1679*0.335646454109168</f>
        <v>1.6782322705458401E-4</v>
      </c>
      <c r="M1679" s="47">
        <f>H1679-L1679</f>
        <v>-1.4554747432237662E-4</v>
      </c>
      <c r="N1679" s="47">
        <v>4.0000000000000002E-4</v>
      </c>
      <c r="O1679" s="47">
        <f t="shared" ref="O1679:O1709" si="63">N1679*0.405049247805402</f>
        <v>1.6201969912216081E-4</v>
      </c>
      <c r="P1679" s="92"/>
    </row>
    <row r="1680" spans="1:19" x14ac:dyDescent="0.25">
      <c r="A1680" s="29">
        <v>7</v>
      </c>
      <c r="B1680" s="30">
        <v>437811.10856199998</v>
      </c>
      <c r="C1680" s="30">
        <v>5688274.3324180003</v>
      </c>
      <c r="D1680" s="30">
        <v>29</v>
      </c>
      <c r="E1680" s="30" t="s">
        <v>24</v>
      </c>
      <c r="F1680" s="46">
        <v>2016</v>
      </c>
      <c r="G1680" s="47">
        <v>5.9999999999999995E-4</v>
      </c>
      <c r="H1680" s="47">
        <f t="shared" si="60"/>
        <v>1.3365451639324439E-4</v>
      </c>
      <c r="I1680" s="47">
        <v>6.1999999999999998E-3</v>
      </c>
      <c r="J1680" s="47">
        <f t="shared" si="61"/>
        <v>2.6567808788069318E-3</v>
      </c>
      <c r="K1680" s="47">
        <v>4.0000000000000002E-4</v>
      </c>
      <c r="L1680" s="47">
        <f t="shared" si="62"/>
        <v>1.342585816436672E-4</v>
      </c>
      <c r="M1680" s="47">
        <f>H1680-L1680</f>
        <v>-6.0406525042281832E-7</v>
      </c>
      <c r="N1680" s="47">
        <v>0</v>
      </c>
      <c r="O1680" s="47">
        <f t="shared" si="63"/>
        <v>0</v>
      </c>
      <c r="P1680" s="92"/>
    </row>
    <row r="1681" spans="1:16" x14ac:dyDescent="0.25">
      <c r="A1681" s="42">
        <v>8</v>
      </c>
      <c r="B1681" s="43">
        <v>437930.10856199998</v>
      </c>
      <c r="C1681" s="43">
        <v>5688274.3324180003</v>
      </c>
      <c r="D1681" s="44">
        <v>29</v>
      </c>
      <c r="E1681" s="44" t="s">
        <v>24</v>
      </c>
      <c r="F1681" s="44">
        <v>2016</v>
      </c>
      <c r="G1681" s="44" t="s">
        <v>18</v>
      </c>
      <c r="H1681" s="44" t="s">
        <v>18</v>
      </c>
      <c r="I1681" s="44" t="s">
        <v>18</v>
      </c>
      <c r="J1681" s="44" t="s">
        <v>18</v>
      </c>
      <c r="K1681" s="44" t="s">
        <v>18</v>
      </c>
      <c r="L1681" s="44" t="s">
        <v>18</v>
      </c>
      <c r="M1681" s="44" t="s">
        <v>18</v>
      </c>
      <c r="N1681" s="44" t="s">
        <v>18</v>
      </c>
      <c r="O1681" s="44" t="s">
        <v>18</v>
      </c>
      <c r="P1681" s="102" t="s">
        <v>109</v>
      </c>
    </row>
    <row r="1682" spans="1:16" x14ac:dyDescent="0.25">
      <c r="A1682" s="29">
        <v>9</v>
      </c>
      <c r="B1682" s="30">
        <v>438287.10856199998</v>
      </c>
      <c r="C1682" s="30">
        <v>5688274.3324180003</v>
      </c>
      <c r="D1682" s="30">
        <v>29</v>
      </c>
      <c r="E1682" s="30" t="s">
        <v>24</v>
      </c>
      <c r="F1682" s="46">
        <v>2016</v>
      </c>
      <c r="G1682" s="47">
        <v>6.6E-3</v>
      </c>
      <c r="H1682" s="47">
        <f t="shared" si="60"/>
        <v>1.4701996803256883E-3</v>
      </c>
      <c r="I1682" s="47">
        <v>0</v>
      </c>
      <c r="J1682" s="47">
        <f t="shared" si="61"/>
        <v>0</v>
      </c>
      <c r="K1682" s="47">
        <v>0.1013</v>
      </c>
      <c r="L1682" s="47">
        <f t="shared" si="62"/>
        <v>3.4000985801258717E-2</v>
      </c>
      <c r="M1682" s="47">
        <f t="shared" ref="M1682:M1733" si="64">H1682-L1682</f>
        <v>-3.2530786120933027E-2</v>
      </c>
      <c r="N1682" s="47">
        <v>0</v>
      </c>
      <c r="O1682" s="47">
        <f t="shared" si="63"/>
        <v>0</v>
      </c>
      <c r="P1682" s="92"/>
    </row>
    <row r="1683" spans="1:16" x14ac:dyDescent="0.25">
      <c r="A1683" s="29">
        <v>10</v>
      </c>
      <c r="B1683" s="30">
        <v>438406.10856199998</v>
      </c>
      <c r="C1683" s="30">
        <v>5688274.3324180003</v>
      </c>
      <c r="D1683" s="30">
        <v>29</v>
      </c>
      <c r="E1683" s="30" t="s">
        <v>24</v>
      </c>
      <c r="F1683" s="46">
        <v>2016</v>
      </c>
      <c r="G1683" s="47">
        <v>0.1288</v>
      </c>
      <c r="H1683" s="47">
        <f t="shared" si="60"/>
        <v>2.869116951908313E-2</v>
      </c>
      <c r="I1683" s="47">
        <v>0</v>
      </c>
      <c r="J1683" s="47">
        <f t="shared" si="61"/>
        <v>0</v>
      </c>
      <c r="K1683" s="47">
        <v>1.8499999999999999E-2</v>
      </c>
      <c r="L1683" s="47">
        <f t="shared" si="62"/>
        <v>6.2094594010196078E-3</v>
      </c>
      <c r="M1683" s="47">
        <f t="shared" si="64"/>
        <v>2.2481710118063523E-2</v>
      </c>
      <c r="N1683" s="47">
        <v>0</v>
      </c>
      <c r="O1683" s="47">
        <f t="shared" si="63"/>
        <v>0</v>
      </c>
      <c r="P1683" s="92"/>
    </row>
    <row r="1684" spans="1:16" x14ac:dyDescent="0.25">
      <c r="A1684" s="42">
        <v>11</v>
      </c>
      <c r="B1684" s="43">
        <v>437454.10856199998</v>
      </c>
      <c r="C1684" s="43">
        <v>5688393.3324180003</v>
      </c>
      <c r="D1684" s="44">
        <v>29</v>
      </c>
      <c r="E1684" s="44" t="s">
        <v>24</v>
      </c>
      <c r="F1684" s="44">
        <v>2016</v>
      </c>
      <c r="G1684" s="44" t="s">
        <v>18</v>
      </c>
      <c r="H1684" s="44" t="s">
        <v>18</v>
      </c>
      <c r="I1684" s="44" t="s">
        <v>18</v>
      </c>
      <c r="J1684" s="44" t="s">
        <v>18</v>
      </c>
      <c r="K1684" s="44" t="s">
        <v>18</v>
      </c>
      <c r="L1684" s="44" t="s">
        <v>18</v>
      </c>
      <c r="M1684" s="44" t="s">
        <v>18</v>
      </c>
      <c r="N1684" s="44" t="s">
        <v>18</v>
      </c>
      <c r="O1684" s="44" t="s">
        <v>18</v>
      </c>
      <c r="P1684" s="102" t="s">
        <v>109</v>
      </c>
    </row>
    <row r="1685" spans="1:16" x14ac:dyDescent="0.25">
      <c r="A1685" s="29">
        <v>12</v>
      </c>
      <c r="B1685" s="30">
        <v>437573.10856199998</v>
      </c>
      <c r="C1685" s="30">
        <v>5688393.3324180003</v>
      </c>
      <c r="D1685" s="30">
        <v>29</v>
      </c>
      <c r="E1685" s="30" t="s">
        <v>24</v>
      </c>
      <c r="F1685" s="46">
        <v>2016</v>
      </c>
      <c r="G1685" s="47">
        <v>7.3000000000000001E-3</v>
      </c>
      <c r="H1685" s="47">
        <f t="shared" si="60"/>
        <v>1.6261299494511401E-3</v>
      </c>
      <c r="I1685" s="47">
        <v>6.4799999999999996E-2</v>
      </c>
      <c r="J1685" s="47">
        <f t="shared" si="61"/>
        <v>2.7767645313982126E-2</v>
      </c>
      <c r="K1685" s="47">
        <v>6.4000000000000003E-3</v>
      </c>
      <c r="L1685" s="47">
        <f t="shared" si="62"/>
        <v>2.1481373062986753E-3</v>
      </c>
      <c r="M1685" s="47">
        <f t="shared" si="64"/>
        <v>-5.2200735684753514E-4</v>
      </c>
      <c r="N1685" s="47">
        <v>7.4000000000000003E-3</v>
      </c>
      <c r="O1685" s="47">
        <f t="shared" si="63"/>
        <v>2.9973644337599752E-3</v>
      </c>
      <c r="P1685" s="92"/>
    </row>
    <row r="1686" spans="1:16" x14ac:dyDescent="0.25">
      <c r="A1686" s="29">
        <v>13</v>
      </c>
      <c r="B1686" s="30">
        <v>437692.10856199998</v>
      </c>
      <c r="C1686" s="30">
        <v>5688393.3324180003</v>
      </c>
      <c r="D1686" s="30">
        <v>29</v>
      </c>
      <c r="E1686" s="30" t="s">
        <v>24</v>
      </c>
      <c r="F1686" s="46">
        <v>2016</v>
      </c>
      <c r="G1686" s="47">
        <v>2.3600000000000003E-2</v>
      </c>
      <c r="H1686" s="47">
        <f t="shared" si="60"/>
        <v>5.2570776448009468E-3</v>
      </c>
      <c r="I1686" s="47">
        <v>3.8100000000000002E-2</v>
      </c>
      <c r="J1686" s="47">
        <f t="shared" si="61"/>
        <v>1.6326347013313567E-2</v>
      </c>
      <c r="K1686" s="47">
        <v>3.0999999999999999E-3</v>
      </c>
      <c r="L1686" s="47">
        <f t="shared" si="62"/>
        <v>1.0405040077384208E-3</v>
      </c>
      <c r="M1686" s="47">
        <f t="shared" si="64"/>
        <v>4.2165736370625255E-3</v>
      </c>
      <c r="N1686" s="47">
        <v>9.1000000000000004E-3</v>
      </c>
      <c r="O1686" s="47">
        <f t="shared" si="63"/>
        <v>3.6859481550291584E-3</v>
      </c>
      <c r="P1686" s="92"/>
    </row>
    <row r="1687" spans="1:16" x14ac:dyDescent="0.25">
      <c r="A1687" s="32">
        <v>14</v>
      </c>
      <c r="B1687" s="33">
        <v>437811.10856199998</v>
      </c>
      <c r="C1687" s="33">
        <v>5688393.3324180003</v>
      </c>
      <c r="D1687" s="48">
        <v>29</v>
      </c>
      <c r="E1687" s="48" t="s">
        <v>24</v>
      </c>
      <c r="F1687" s="48">
        <v>2016</v>
      </c>
      <c r="G1687" s="48" t="s">
        <v>18</v>
      </c>
      <c r="H1687" s="48" t="s">
        <v>18</v>
      </c>
      <c r="I1687" s="48" t="s">
        <v>18</v>
      </c>
      <c r="J1687" s="48" t="s">
        <v>18</v>
      </c>
      <c r="K1687" s="48" t="s">
        <v>18</v>
      </c>
      <c r="L1687" s="48" t="s">
        <v>18</v>
      </c>
      <c r="M1687" s="48" t="s">
        <v>18</v>
      </c>
      <c r="N1687" s="48" t="s">
        <v>18</v>
      </c>
      <c r="O1687" s="48" t="s">
        <v>18</v>
      </c>
      <c r="P1687" s="103" t="s">
        <v>21</v>
      </c>
    </row>
    <row r="1688" spans="1:16" x14ac:dyDescent="0.25">
      <c r="A1688" s="29">
        <v>15</v>
      </c>
      <c r="B1688" s="30">
        <v>437930.10856199998</v>
      </c>
      <c r="C1688" s="30">
        <v>5688393.3324180003</v>
      </c>
      <c r="D1688" s="30">
        <v>29</v>
      </c>
      <c r="E1688" s="30" t="s">
        <v>24</v>
      </c>
      <c r="F1688" s="46">
        <v>2016</v>
      </c>
      <c r="G1688" s="47">
        <v>7.7499999999999999E-2</v>
      </c>
      <c r="H1688" s="47">
        <f t="shared" si="60"/>
        <v>1.7263708367460735E-2</v>
      </c>
      <c r="I1688" s="47">
        <v>8.3299999999999999E-2</v>
      </c>
      <c r="J1688" s="47">
        <f t="shared" si="61"/>
        <v>3.5695136645906039E-2</v>
      </c>
      <c r="K1688" s="47">
        <v>3.1E-2</v>
      </c>
      <c r="L1688" s="47">
        <f t="shared" si="62"/>
        <v>1.0405040077384207E-2</v>
      </c>
      <c r="M1688" s="47">
        <f t="shared" si="64"/>
        <v>6.8586682900765271E-3</v>
      </c>
      <c r="N1688" s="47">
        <v>6.7699999999999996E-2</v>
      </c>
      <c r="O1688" s="47">
        <f t="shared" si="63"/>
        <v>2.7421834076425716E-2</v>
      </c>
      <c r="P1688" s="92"/>
    </row>
    <row r="1689" spans="1:16" x14ac:dyDescent="0.25">
      <c r="A1689" s="29">
        <v>16</v>
      </c>
      <c r="B1689" s="30">
        <v>438049.10856199998</v>
      </c>
      <c r="C1689" s="30">
        <v>5688393.3324180003</v>
      </c>
      <c r="D1689" s="30">
        <v>29</v>
      </c>
      <c r="E1689" s="30" t="s">
        <v>24</v>
      </c>
      <c r="F1689" s="46">
        <v>2016</v>
      </c>
      <c r="G1689" s="47">
        <v>3.1300000000000001E-2</v>
      </c>
      <c r="H1689" s="47">
        <f t="shared" si="60"/>
        <v>6.9723106051809165E-3</v>
      </c>
      <c r="I1689" s="47">
        <v>0.21059999999999998</v>
      </c>
      <c r="J1689" s="47">
        <f t="shared" si="61"/>
        <v>9.0244847270441908E-2</v>
      </c>
      <c r="K1689" s="47">
        <v>0.18009999999999998</v>
      </c>
      <c r="L1689" s="47">
        <f t="shared" si="62"/>
        <v>6.0449926385061151E-2</v>
      </c>
      <c r="M1689" s="47">
        <f t="shared" si="64"/>
        <v>-5.3477615779880236E-2</v>
      </c>
      <c r="N1689" s="47">
        <v>2.64E-2</v>
      </c>
      <c r="O1689" s="47">
        <f t="shared" si="63"/>
        <v>1.0693300142062613E-2</v>
      </c>
      <c r="P1689" s="92"/>
    </row>
    <row r="1690" spans="1:16" x14ac:dyDescent="0.25">
      <c r="A1690" s="29">
        <v>17</v>
      </c>
      <c r="B1690" s="30">
        <v>438168.10856199998</v>
      </c>
      <c r="C1690" s="30">
        <v>5688393.3324180003</v>
      </c>
      <c r="D1690" s="30">
        <v>29</v>
      </c>
      <c r="E1690" s="30" t="s">
        <v>24</v>
      </c>
      <c r="F1690" s="46">
        <v>2016</v>
      </c>
      <c r="G1690" s="47">
        <v>2.93E-2</v>
      </c>
      <c r="H1690" s="47">
        <f t="shared" si="60"/>
        <v>6.5267955505367674E-3</v>
      </c>
      <c r="I1690" s="47">
        <v>9.6799999999999997E-2</v>
      </c>
      <c r="J1690" s="47">
        <f t="shared" si="61"/>
        <v>4.1480062752985644E-2</v>
      </c>
      <c r="K1690" s="47">
        <v>7.7000000000000002E-3</v>
      </c>
      <c r="L1690" s="47">
        <f t="shared" si="62"/>
        <v>2.5844776966405937E-3</v>
      </c>
      <c r="M1690" s="47">
        <f t="shared" si="64"/>
        <v>3.9423178538961733E-3</v>
      </c>
      <c r="N1690" s="47">
        <v>5.5899999999999998E-2</v>
      </c>
      <c r="O1690" s="47">
        <f t="shared" si="63"/>
        <v>2.2642252952321973E-2</v>
      </c>
      <c r="P1690" s="92"/>
    </row>
    <row r="1691" spans="1:16" x14ac:dyDescent="0.25">
      <c r="A1691" s="29">
        <v>18</v>
      </c>
      <c r="B1691" s="30">
        <v>438287.10856199998</v>
      </c>
      <c r="C1691" s="30">
        <v>5688393.3324180003</v>
      </c>
      <c r="D1691" s="30">
        <v>29</v>
      </c>
      <c r="E1691" s="30" t="s">
        <v>24</v>
      </c>
      <c r="F1691" s="46">
        <v>2016</v>
      </c>
      <c r="G1691" s="47">
        <v>6.93E-2</v>
      </c>
      <c r="H1691" s="47">
        <f t="shared" si="60"/>
        <v>1.5437096643419728E-2</v>
      </c>
      <c r="I1691" s="47">
        <v>0</v>
      </c>
      <c r="J1691" s="47">
        <f t="shared" si="61"/>
        <v>0</v>
      </c>
      <c r="K1691" s="47">
        <v>2.8300000000000002E-2</v>
      </c>
      <c r="L1691" s="47">
        <f t="shared" si="62"/>
        <v>9.4987946512894543E-3</v>
      </c>
      <c r="M1691" s="47">
        <f t="shared" si="64"/>
        <v>5.9383019921302738E-3</v>
      </c>
      <c r="N1691" s="47">
        <v>0</v>
      </c>
      <c r="O1691" s="47">
        <f t="shared" si="63"/>
        <v>0</v>
      </c>
      <c r="P1691" s="92"/>
    </row>
    <row r="1692" spans="1:16" x14ac:dyDescent="0.25">
      <c r="A1692" s="29">
        <v>19</v>
      </c>
      <c r="B1692" s="30">
        <v>438406.10856199998</v>
      </c>
      <c r="C1692" s="30">
        <v>5688393.3324180003</v>
      </c>
      <c r="D1692" s="30">
        <v>29</v>
      </c>
      <c r="E1692" s="30" t="s">
        <v>24</v>
      </c>
      <c r="F1692" s="46">
        <v>2016</v>
      </c>
      <c r="G1692" s="47">
        <v>9.7599999999999992E-2</v>
      </c>
      <c r="H1692" s="47">
        <f t="shared" si="60"/>
        <v>2.174113466663442E-2</v>
      </c>
      <c r="I1692" s="47">
        <v>0</v>
      </c>
      <c r="J1692" s="47">
        <f t="shared" si="61"/>
        <v>0</v>
      </c>
      <c r="K1692" s="47">
        <v>6.4999999999999997E-3</v>
      </c>
      <c r="L1692" s="47">
        <f t="shared" si="62"/>
        <v>2.1817019517095916E-3</v>
      </c>
      <c r="M1692" s="47">
        <f t="shared" si="64"/>
        <v>1.9559432714924829E-2</v>
      </c>
      <c r="N1692" s="47">
        <v>0</v>
      </c>
      <c r="O1692" s="47">
        <f t="shared" si="63"/>
        <v>0</v>
      </c>
      <c r="P1692" s="92"/>
    </row>
    <row r="1693" spans="1:16" x14ac:dyDescent="0.25">
      <c r="A1693" s="42">
        <v>20</v>
      </c>
      <c r="B1693" s="43">
        <v>437335.10856199998</v>
      </c>
      <c r="C1693" s="43">
        <v>5688512.3324180003</v>
      </c>
      <c r="D1693" s="44">
        <v>29</v>
      </c>
      <c r="E1693" s="44" t="s">
        <v>24</v>
      </c>
      <c r="F1693" s="44">
        <v>2016</v>
      </c>
      <c r="G1693" s="44" t="s">
        <v>18</v>
      </c>
      <c r="H1693" s="44" t="s">
        <v>18</v>
      </c>
      <c r="I1693" s="44" t="s">
        <v>18</v>
      </c>
      <c r="J1693" s="44" t="s">
        <v>18</v>
      </c>
      <c r="K1693" s="44" t="s">
        <v>18</v>
      </c>
      <c r="L1693" s="44" t="s">
        <v>18</v>
      </c>
      <c r="M1693" s="44" t="s">
        <v>18</v>
      </c>
      <c r="N1693" s="44" t="s">
        <v>18</v>
      </c>
      <c r="O1693" s="44" t="s">
        <v>18</v>
      </c>
      <c r="P1693" s="102" t="s">
        <v>109</v>
      </c>
    </row>
    <row r="1694" spans="1:16" x14ac:dyDescent="0.25">
      <c r="A1694" s="29">
        <v>21</v>
      </c>
      <c r="B1694" s="30">
        <v>437454.10856199998</v>
      </c>
      <c r="C1694" s="30">
        <v>5688512.3324180003</v>
      </c>
      <c r="D1694" s="30">
        <v>29</v>
      </c>
      <c r="E1694" s="30" t="s">
        <v>24</v>
      </c>
      <c r="F1694" s="46">
        <v>2016</v>
      </c>
      <c r="G1694" s="47">
        <v>3.9700000000000006E-2</v>
      </c>
      <c r="H1694" s="47">
        <f t="shared" si="60"/>
        <v>8.8434738346863384E-3</v>
      </c>
      <c r="I1694" s="47">
        <v>0</v>
      </c>
      <c r="J1694" s="47">
        <f t="shared" si="61"/>
        <v>0</v>
      </c>
      <c r="K1694" s="47">
        <v>5.1999999999999998E-3</v>
      </c>
      <c r="L1694" s="47">
        <f t="shared" si="62"/>
        <v>1.7453615613676734E-3</v>
      </c>
      <c r="M1694" s="47">
        <f t="shared" si="64"/>
        <v>7.0981122733186647E-3</v>
      </c>
      <c r="N1694" s="47">
        <v>0</v>
      </c>
      <c r="O1694" s="47">
        <f t="shared" si="63"/>
        <v>0</v>
      </c>
      <c r="P1694" s="92"/>
    </row>
    <row r="1695" spans="1:16" x14ac:dyDescent="0.25">
      <c r="A1695" s="29">
        <v>22</v>
      </c>
      <c r="B1695" s="30">
        <v>437573.10856199998</v>
      </c>
      <c r="C1695" s="30">
        <v>5688512.3324180003</v>
      </c>
      <c r="D1695" s="30">
        <v>29</v>
      </c>
      <c r="E1695" s="30" t="s">
        <v>24</v>
      </c>
      <c r="F1695" s="46">
        <v>2016</v>
      </c>
      <c r="G1695" s="47">
        <v>0.1429</v>
      </c>
      <c r="H1695" s="47">
        <f t="shared" si="60"/>
        <v>3.1832050654324373E-2</v>
      </c>
      <c r="I1695" s="47">
        <v>0.28079999999999999</v>
      </c>
      <c r="J1695" s="47">
        <f t="shared" si="61"/>
        <v>0.12032646302725589</v>
      </c>
      <c r="K1695" s="47">
        <v>3.8600000000000002E-2</v>
      </c>
      <c r="L1695" s="47">
        <f t="shared" si="62"/>
        <v>1.2955953128613884E-2</v>
      </c>
      <c r="M1695" s="47">
        <f>H1695-L1695</f>
        <v>1.887609752571049E-2</v>
      </c>
      <c r="N1695" s="47">
        <v>5.7700000000000001E-2</v>
      </c>
      <c r="O1695" s="47">
        <f t="shared" si="63"/>
        <v>2.3371341598371696E-2</v>
      </c>
      <c r="P1695" s="92"/>
    </row>
    <row r="1696" spans="1:16" x14ac:dyDescent="0.25">
      <c r="A1696" s="29">
        <v>23</v>
      </c>
      <c r="B1696" s="30">
        <v>437692.10856199998</v>
      </c>
      <c r="C1696" s="30">
        <v>5688512.3324180003</v>
      </c>
      <c r="D1696" s="30">
        <v>29</v>
      </c>
      <c r="E1696" s="30" t="s">
        <v>24</v>
      </c>
      <c r="F1696" s="46">
        <v>2016</v>
      </c>
      <c r="G1696" s="47">
        <v>1.72E-2</v>
      </c>
      <c r="H1696" s="47">
        <f t="shared" si="60"/>
        <v>3.8314294699396726E-3</v>
      </c>
      <c r="I1696" s="47">
        <v>0</v>
      </c>
      <c r="J1696" s="47">
        <f t="shared" si="61"/>
        <v>0</v>
      </c>
      <c r="K1696" s="47">
        <v>9.1000000000000004E-3</v>
      </c>
      <c r="L1696" s="47">
        <f t="shared" si="62"/>
        <v>3.0543827323934289E-3</v>
      </c>
      <c r="M1696" s="47">
        <f t="shared" si="64"/>
        <v>7.7704673754624368E-4</v>
      </c>
      <c r="N1696" s="47">
        <v>0</v>
      </c>
      <c r="O1696" s="47">
        <f t="shared" si="63"/>
        <v>0</v>
      </c>
      <c r="P1696" s="92"/>
    </row>
    <row r="1697" spans="1:16" x14ac:dyDescent="0.25">
      <c r="A1697" s="29">
        <v>24</v>
      </c>
      <c r="B1697" s="30">
        <v>437811.10856199998</v>
      </c>
      <c r="C1697" s="30">
        <v>5688512.3324180003</v>
      </c>
      <c r="D1697" s="30">
        <v>29</v>
      </c>
      <c r="E1697" s="30" t="s">
        <v>24</v>
      </c>
      <c r="F1697" s="46">
        <v>2016</v>
      </c>
      <c r="G1697" s="47">
        <v>0.1477</v>
      </c>
      <c r="H1697" s="47">
        <f t="shared" si="60"/>
        <v>3.2901286785470329E-2</v>
      </c>
      <c r="I1697" s="47">
        <v>0</v>
      </c>
      <c r="J1697" s="47">
        <f t="shared" si="61"/>
        <v>0</v>
      </c>
      <c r="K1697" s="47">
        <v>1.1800000000000001E-2</v>
      </c>
      <c r="L1697" s="47">
        <f t="shared" si="62"/>
        <v>3.9606281584881825E-3</v>
      </c>
      <c r="M1697" s="47">
        <f t="shared" si="64"/>
        <v>2.8940658626982148E-2</v>
      </c>
      <c r="N1697" s="47">
        <v>0</v>
      </c>
      <c r="O1697" s="47">
        <f t="shared" si="63"/>
        <v>0</v>
      </c>
      <c r="P1697" s="92"/>
    </row>
    <row r="1698" spans="1:16" x14ac:dyDescent="0.25">
      <c r="A1698" s="29">
        <v>25</v>
      </c>
      <c r="B1698" s="46">
        <v>437995</v>
      </c>
      <c r="C1698" s="46">
        <v>5688493</v>
      </c>
      <c r="D1698" s="30">
        <v>29</v>
      </c>
      <c r="E1698" s="30" t="s">
        <v>24</v>
      </c>
      <c r="F1698" s="46">
        <v>2016</v>
      </c>
      <c r="G1698" s="47">
        <v>8.6999999999999994E-2</v>
      </c>
      <c r="H1698" s="47">
        <f t="shared" si="60"/>
        <v>1.9379904877020435E-2</v>
      </c>
      <c r="I1698" s="47">
        <v>0</v>
      </c>
      <c r="J1698" s="47">
        <f t="shared" si="61"/>
        <v>0</v>
      </c>
      <c r="K1698" s="47">
        <v>2.1000000000000001E-2</v>
      </c>
      <c r="L1698" s="47">
        <f t="shared" si="62"/>
        <v>7.0485755362925282E-3</v>
      </c>
      <c r="M1698" s="47">
        <f t="shared" si="64"/>
        <v>1.2331329340727906E-2</v>
      </c>
      <c r="N1698" s="47">
        <v>0</v>
      </c>
      <c r="O1698" s="47">
        <f t="shared" si="63"/>
        <v>0</v>
      </c>
      <c r="P1698" s="92"/>
    </row>
    <row r="1699" spans="1:16" x14ac:dyDescent="0.25">
      <c r="A1699" s="29">
        <v>26</v>
      </c>
      <c r="B1699" s="46">
        <v>438112</v>
      </c>
      <c r="C1699" s="46">
        <v>5688567</v>
      </c>
      <c r="D1699" s="30">
        <v>29</v>
      </c>
      <c r="E1699" s="30" t="s">
        <v>24</v>
      </c>
      <c r="F1699" s="46">
        <v>2016</v>
      </c>
      <c r="G1699" s="47">
        <v>0.17510000000000001</v>
      </c>
      <c r="H1699" s="47">
        <f t="shared" si="60"/>
        <v>3.9004843034095155E-2</v>
      </c>
      <c r="I1699" s="47">
        <v>0</v>
      </c>
      <c r="J1699" s="47">
        <f t="shared" si="61"/>
        <v>0</v>
      </c>
      <c r="K1699" s="47">
        <v>1.32E-2</v>
      </c>
      <c r="L1699" s="47">
        <f t="shared" si="62"/>
        <v>4.4305331942410178E-3</v>
      </c>
      <c r="M1699" s="47">
        <f t="shared" si="64"/>
        <v>3.4574309839854135E-2</v>
      </c>
      <c r="N1699" s="47">
        <v>0</v>
      </c>
      <c r="O1699" s="47">
        <f t="shared" si="63"/>
        <v>0</v>
      </c>
      <c r="P1699" s="92"/>
    </row>
    <row r="1700" spans="1:16" x14ac:dyDescent="0.25">
      <c r="A1700" s="32">
        <v>27</v>
      </c>
      <c r="B1700" s="33">
        <v>438168.10856199998</v>
      </c>
      <c r="C1700" s="33">
        <v>5688512.3324180003</v>
      </c>
      <c r="D1700" s="48">
        <v>29</v>
      </c>
      <c r="E1700" s="48" t="s">
        <v>24</v>
      </c>
      <c r="F1700" s="48">
        <v>2016</v>
      </c>
      <c r="G1700" s="48" t="s">
        <v>18</v>
      </c>
      <c r="H1700" s="48" t="s">
        <v>18</v>
      </c>
      <c r="I1700" s="48" t="s">
        <v>18</v>
      </c>
      <c r="J1700" s="48" t="s">
        <v>18</v>
      </c>
      <c r="K1700" s="48" t="s">
        <v>18</v>
      </c>
      <c r="L1700" s="48" t="s">
        <v>18</v>
      </c>
      <c r="M1700" s="48" t="s">
        <v>18</v>
      </c>
      <c r="N1700" s="48" t="s">
        <v>18</v>
      </c>
      <c r="O1700" s="48" t="s">
        <v>18</v>
      </c>
      <c r="P1700" s="103" t="s">
        <v>21</v>
      </c>
    </row>
    <row r="1701" spans="1:16" x14ac:dyDescent="0.25">
      <c r="A1701" s="32">
        <v>28</v>
      </c>
      <c r="B1701" s="33">
        <v>438287.10856199998</v>
      </c>
      <c r="C1701" s="33">
        <v>5688512.3324180003</v>
      </c>
      <c r="D1701" s="48">
        <v>29</v>
      </c>
      <c r="E1701" s="48" t="s">
        <v>24</v>
      </c>
      <c r="F1701" s="48">
        <v>2016</v>
      </c>
      <c r="G1701" s="48" t="s">
        <v>18</v>
      </c>
      <c r="H1701" s="48" t="s">
        <v>18</v>
      </c>
      <c r="I1701" s="48" t="s">
        <v>18</v>
      </c>
      <c r="J1701" s="48" t="s">
        <v>18</v>
      </c>
      <c r="K1701" s="48" t="s">
        <v>18</v>
      </c>
      <c r="L1701" s="48" t="s">
        <v>18</v>
      </c>
      <c r="M1701" s="48" t="s">
        <v>18</v>
      </c>
      <c r="N1701" s="48" t="s">
        <v>18</v>
      </c>
      <c r="O1701" s="48" t="s">
        <v>18</v>
      </c>
      <c r="P1701" s="103" t="s">
        <v>21</v>
      </c>
    </row>
    <row r="1702" spans="1:16" x14ac:dyDescent="0.25">
      <c r="A1702" s="29">
        <v>29</v>
      </c>
      <c r="B1702" s="30">
        <v>438381</v>
      </c>
      <c r="C1702" s="30">
        <v>5688526</v>
      </c>
      <c r="D1702" s="30">
        <v>29</v>
      </c>
      <c r="E1702" s="30" t="s">
        <v>24</v>
      </c>
      <c r="F1702" s="46">
        <v>2016</v>
      </c>
      <c r="G1702" s="47">
        <v>0.12040000000000001</v>
      </c>
      <c r="H1702" s="47">
        <f t="shared" si="60"/>
        <v>2.6820006289577709E-2</v>
      </c>
      <c r="I1702" s="47">
        <v>0</v>
      </c>
      <c r="J1702" s="47">
        <f t="shared" si="61"/>
        <v>0</v>
      </c>
      <c r="K1702" s="47">
        <v>2.23E-2</v>
      </c>
      <c r="L1702" s="47">
        <f t="shared" si="62"/>
        <v>7.4849159266344462E-3</v>
      </c>
      <c r="M1702" s="47">
        <f t="shared" si="64"/>
        <v>1.9335090362943265E-2</v>
      </c>
      <c r="N1702" s="47">
        <v>0</v>
      </c>
      <c r="O1702" s="47">
        <f t="shared" si="63"/>
        <v>0</v>
      </c>
      <c r="P1702" s="92"/>
    </row>
    <row r="1703" spans="1:16" x14ac:dyDescent="0.25">
      <c r="A1703" s="29">
        <v>30</v>
      </c>
      <c r="B1703" s="30">
        <v>438525.10856199998</v>
      </c>
      <c r="C1703" s="30">
        <v>5688512.3324180003</v>
      </c>
      <c r="D1703" s="30">
        <v>29</v>
      </c>
      <c r="E1703" s="30" t="s">
        <v>24</v>
      </c>
      <c r="F1703" s="46">
        <v>2016</v>
      </c>
      <c r="G1703" s="47">
        <v>5.33E-2</v>
      </c>
      <c r="H1703" s="47">
        <f t="shared" si="60"/>
        <v>1.1872976206266544E-2</v>
      </c>
      <c r="I1703" s="47">
        <v>0</v>
      </c>
      <c r="J1703" s="47">
        <f t="shared" si="61"/>
        <v>0</v>
      </c>
      <c r="K1703" s="47">
        <v>1.04E-2</v>
      </c>
      <c r="L1703" s="47">
        <f t="shared" si="62"/>
        <v>3.4907231227353469E-3</v>
      </c>
      <c r="M1703" s="47">
        <f t="shared" si="64"/>
        <v>8.3822530835311968E-3</v>
      </c>
      <c r="N1703" s="47">
        <v>0</v>
      </c>
      <c r="O1703" s="47">
        <f t="shared" si="63"/>
        <v>0</v>
      </c>
      <c r="P1703" s="92"/>
    </row>
    <row r="1704" spans="1:16" x14ac:dyDescent="0.25">
      <c r="A1704" s="29">
        <v>31</v>
      </c>
      <c r="B1704" s="30">
        <v>437335.10856199998</v>
      </c>
      <c r="C1704" s="30">
        <v>5688631.3324180003</v>
      </c>
      <c r="D1704" s="30">
        <v>29</v>
      </c>
      <c r="E1704" s="30" t="s">
        <v>24</v>
      </c>
      <c r="F1704" s="46">
        <v>2016</v>
      </c>
      <c r="G1704" s="47">
        <v>0.17959999999999998</v>
      </c>
      <c r="H1704" s="47">
        <f t="shared" si="60"/>
        <v>4.0007251907044482E-2</v>
      </c>
      <c r="I1704" s="47">
        <v>0</v>
      </c>
      <c r="J1704" s="47">
        <f t="shared" si="61"/>
        <v>0</v>
      </c>
      <c r="K1704" s="47">
        <v>1.1999999999999999E-3</v>
      </c>
      <c r="L1704" s="47">
        <f t="shared" si="62"/>
        <v>4.0277574493100156E-4</v>
      </c>
      <c r="M1704" s="47">
        <f t="shared" si="64"/>
        <v>3.9604476162113482E-2</v>
      </c>
      <c r="N1704" s="47">
        <v>0</v>
      </c>
      <c r="O1704" s="47">
        <f t="shared" si="63"/>
        <v>0</v>
      </c>
      <c r="P1704" s="92"/>
    </row>
    <row r="1705" spans="1:16" x14ac:dyDescent="0.25">
      <c r="A1705" s="29">
        <v>32</v>
      </c>
      <c r="B1705" s="30">
        <v>437454.10856199998</v>
      </c>
      <c r="C1705" s="30">
        <v>5688631.3324180003</v>
      </c>
      <c r="D1705" s="30">
        <v>29</v>
      </c>
      <c r="E1705" s="30" t="s">
        <v>24</v>
      </c>
      <c r="F1705" s="46">
        <v>2016</v>
      </c>
      <c r="G1705" s="47">
        <v>2.7199999999999998E-2</v>
      </c>
      <c r="H1705" s="47">
        <f t="shared" si="60"/>
        <v>6.0590047431604123E-3</v>
      </c>
      <c r="I1705" s="47">
        <v>0.46010000000000001</v>
      </c>
      <c r="J1705" s="47">
        <f t="shared" si="61"/>
        <v>0.1971588519901725</v>
      </c>
      <c r="K1705" s="47">
        <v>1.1599999999999999E-2</v>
      </c>
      <c r="L1705" s="47">
        <f t="shared" si="62"/>
        <v>3.8934988676663485E-3</v>
      </c>
      <c r="M1705" s="47">
        <f t="shared" si="64"/>
        <v>2.1655058754940638E-3</v>
      </c>
      <c r="N1705" s="47">
        <v>0</v>
      </c>
      <c r="O1705" s="47">
        <f t="shared" si="63"/>
        <v>0</v>
      </c>
      <c r="P1705" s="92"/>
    </row>
    <row r="1706" spans="1:16" x14ac:dyDescent="0.25">
      <c r="A1706" s="29">
        <v>33</v>
      </c>
      <c r="B1706" s="30">
        <v>437573.10856199998</v>
      </c>
      <c r="C1706" s="30">
        <v>5688631.3324180003</v>
      </c>
      <c r="D1706" s="30">
        <v>29</v>
      </c>
      <c r="E1706" s="30" t="s">
        <v>24</v>
      </c>
      <c r="F1706" s="46">
        <v>2016</v>
      </c>
      <c r="G1706" s="46" t="s">
        <v>18</v>
      </c>
      <c r="H1706" s="46" t="s">
        <v>18</v>
      </c>
      <c r="I1706" s="46" t="s">
        <v>18</v>
      </c>
      <c r="J1706" s="46" t="s">
        <v>18</v>
      </c>
      <c r="K1706" s="47">
        <v>1.72E-2</v>
      </c>
      <c r="L1706" s="47">
        <f t="shared" si="62"/>
        <v>5.7731190106776898E-3</v>
      </c>
      <c r="M1706" s="46" t="s">
        <v>18</v>
      </c>
      <c r="N1706" s="47">
        <v>0</v>
      </c>
      <c r="O1706" s="47">
        <f t="shared" si="63"/>
        <v>0</v>
      </c>
      <c r="P1706" s="92" t="s">
        <v>103</v>
      </c>
    </row>
    <row r="1707" spans="1:16" x14ac:dyDescent="0.25">
      <c r="A1707" s="29">
        <v>34</v>
      </c>
      <c r="B1707" s="30">
        <v>437692.10856199998</v>
      </c>
      <c r="C1707" s="30">
        <v>5688631.3324180003</v>
      </c>
      <c r="D1707" s="30">
        <v>29</v>
      </c>
      <c r="E1707" s="30" t="s">
        <v>24</v>
      </c>
      <c r="F1707" s="46">
        <v>2016</v>
      </c>
      <c r="G1707" s="47">
        <v>8.6800000000000002E-2</v>
      </c>
      <c r="H1707" s="47">
        <f t="shared" si="60"/>
        <v>1.9335353371556022E-2</v>
      </c>
      <c r="I1707" s="47">
        <v>0</v>
      </c>
      <c r="J1707" s="47">
        <f t="shared" si="61"/>
        <v>0</v>
      </c>
      <c r="K1707" s="47">
        <v>1.2999999999999999E-2</v>
      </c>
      <c r="L1707" s="47">
        <f t="shared" si="62"/>
        <v>4.3634039034191833E-3</v>
      </c>
      <c r="M1707" s="47">
        <f t="shared" si="64"/>
        <v>1.4971949468136838E-2</v>
      </c>
      <c r="N1707" s="47">
        <v>0</v>
      </c>
      <c r="O1707" s="47">
        <f t="shared" si="63"/>
        <v>0</v>
      </c>
      <c r="P1707" s="92"/>
    </row>
    <row r="1708" spans="1:16" x14ac:dyDescent="0.25">
      <c r="A1708" s="29">
        <v>35</v>
      </c>
      <c r="B1708" s="30">
        <v>437893</v>
      </c>
      <c r="C1708" s="30">
        <v>5688620</v>
      </c>
      <c r="D1708" s="30">
        <v>29</v>
      </c>
      <c r="E1708" s="30" t="s">
        <v>24</v>
      </c>
      <c r="F1708" s="46">
        <v>2016</v>
      </c>
      <c r="G1708" s="47">
        <v>7.3400000000000007E-2</v>
      </c>
      <c r="H1708" s="47">
        <f t="shared" si="60"/>
        <v>1.6350402505440231E-2</v>
      </c>
      <c r="I1708" s="47">
        <v>0</v>
      </c>
      <c r="J1708" s="47">
        <f t="shared" si="61"/>
        <v>0</v>
      </c>
      <c r="K1708" s="47">
        <v>1.03E-2</v>
      </c>
      <c r="L1708" s="47">
        <f t="shared" si="62"/>
        <v>3.4571584773244305E-3</v>
      </c>
      <c r="M1708" s="47">
        <f t="shared" si="64"/>
        <v>1.2893244028115801E-2</v>
      </c>
      <c r="N1708" s="47">
        <v>0</v>
      </c>
      <c r="O1708" s="47">
        <f t="shared" si="63"/>
        <v>0</v>
      </c>
      <c r="P1708" s="92"/>
    </row>
    <row r="1709" spans="1:16" x14ac:dyDescent="0.25">
      <c r="A1709" s="29">
        <v>36</v>
      </c>
      <c r="B1709" s="30">
        <v>437930.10856199998</v>
      </c>
      <c r="C1709" s="30">
        <v>5688631.3324180003</v>
      </c>
      <c r="D1709" s="30">
        <v>29</v>
      </c>
      <c r="E1709" s="30" t="s">
        <v>24</v>
      </c>
      <c r="F1709" s="46">
        <v>2016</v>
      </c>
      <c r="G1709" s="47">
        <v>0.127</v>
      </c>
      <c r="H1709" s="47">
        <f t="shared" si="60"/>
        <v>2.8290205969903396E-2</v>
      </c>
      <c r="I1709" s="47">
        <v>0</v>
      </c>
      <c r="J1709" s="47">
        <f t="shared" si="61"/>
        <v>0</v>
      </c>
      <c r="K1709" s="47">
        <v>1.89E-2</v>
      </c>
      <c r="L1709" s="47">
        <f t="shared" si="62"/>
        <v>6.343717982663275E-3</v>
      </c>
      <c r="M1709" s="47">
        <f t="shared" si="64"/>
        <v>2.194648798724012E-2</v>
      </c>
      <c r="N1709" s="47">
        <v>0</v>
      </c>
      <c r="O1709" s="47">
        <f t="shared" si="63"/>
        <v>0</v>
      </c>
      <c r="P1709" s="92"/>
    </row>
    <row r="1710" spans="1:16" x14ac:dyDescent="0.25">
      <c r="A1710" s="32">
        <v>37</v>
      </c>
      <c r="B1710" s="33">
        <v>438049.10856199998</v>
      </c>
      <c r="C1710" s="33">
        <v>5688631.3324180003</v>
      </c>
      <c r="D1710" s="48">
        <v>29</v>
      </c>
      <c r="E1710" s="48" t="s">
        <v>24</v>
      </c>
      <c r="F1710" s="48">
        <v>2016</v>
      </c>
      <c r="G1710" s="48" t="s">
        <v>18</v>
      </c>
      <c r="H1710" s="48" t="s">
        <v>18</v>
      </c>
      <c r="I1710" s="48" t="s">
        <v>18</v>
      </c>
      <c r="J1710" s="48" t="s">
        <v>18</v>
      </c>
      <c r="K1710" s="48" t="s">
        <v>18</v>
      </c>
      <c r="L1710" s="48" t="s">
        <v>18</v>
      </c>
      <c r="M1710" s="48" t="s">
        <v>18</v>
      </c>
      <c r="N1710" s="48" t="s">
        <v>18</v>
      </c>
      <c r="O1710" s="48" t="s">
        <v>18</v>
      </c>
      <c r="P1710" s="103" t="s">
        <v>21</v>
      </c>
    </row>
    <row r="1711" spans="1:16" x14ac:dyDescent="0.25">
      <c r="A1711" s="29">
        <v>38</v>
      </c>
      <c r="B1711" s="30">
        <v>438067</v>
      </c>
      <c r="C1711" s="30">
        <v>5688710</v>
      </c>
      <c r="D1711" s="30">
        <v>28</v>
      </c>
      <c r="E1711" s="30" t="s">
        <v>24</v>
      </c>
      <c r="F1711" s="46">
        <v>2016</v>
      </c>
      <c r="G1711" s="47">
        <v>5.3800000000000001E-2</v>
      </c>
      <c r="H1711" s="47">
        <f t="shared" ref="H1711:H1716" si="65">G1711*0.222757527322074</f>
        <v>1.198435496992758E-2</v>
      </c>
      <c r="I1711" s="47">
        <v>0</v>
      </c>
      <c r="J1711" s="47">
        <f>I1711*0.36025</f>
        <v>0</v>
      </c>
      <c r="K1711" s="47">
        <v>1.6E-2</v>
      </c>
      <c r="L1711" s="47">
        <f>K1711*0.2803862111024</f>
        <v>4.4861793776383996E-3</v>
      </c>
      <c r="M1711" s="47">
        <f t="shared" si="64"/>
        <v>7.4981755922891805E-3</v>
      </c>
      <c r="N1711" s="47">
        <v>0</v>
      </c>
      <c r="O1711" s="47">
        <f>N1711*0.428023032629559</f>
        <v>0</v>
      </c>
      <c r="P1711" s="92"/>
    </row>
    <row r="1712" spans="1:16" x14ac:dyDescent="0.25">
      <c r="A1712" s="32">
        <v>39</v>
      </c>
      <c r="B1712" s="33">
        <v>438287.10856199998</v>
      </c>
      <c r="C1712" s="33">
        <v>5688631.3324180003</v>
      </c>
      <c r="D1712" s="48">
        <v>29</v>
      </c>
      <c r="E1712" s="48" t="s">
        <v>24</v>
      </c>
      <c r="F1712" s="48">
        <v>2016</v>
      </c>
      <c r="G1712" s="48" t="s">
        <v>18</v>
      </c>
      <c r="H1712" s="48" t="s">
        <v>18</v>
      </c>
      <c r="I1712" s="48" t="s">
        <v>18</v>
      </c>
      <c r="J1712" s="48" t="s">
        <v>18</v>
      </c>
      <c r="K1712" s="48" t="s">
        <v>18</v>
      </c>
      <c r="L1712" s="48" t="s">
        <v>18</v>
      </c>
      <c r="M1712" s="48" t="s">
        <v>18</v>
      </c>
      <c r="N1712" s="48" t="s">
        <v>18</v>
      </c>
      <c r="O1712" s="48" t="s">
        <v>18</v>
      </c>
      <c r="P1712" s="94" t="s">
        <v>22</v>
      </c>
    </row>
    <row r="1713" spans="1:16" x14ac:dyDescent="0.25">
      <c r="A1713" s="29">
        <v>40</v>
      </c>
      <c r="B1713" s="30">
        <v>438406.10856199998</v>
      </c>
      <c r="C1713" s="30">
        <v>5688631.3324180003</v>
      </c>
      <c r="D1713" s="30">
        <v>29</v>
      </c>
      <c r="E1713" s="30" t="s">
        <v>24</v>
      </c>
      <c r="F1713" s="46">
        <v>2016</v>
      </c>
      <c r="G1713" s="54">
        <v>5.6600000000000004E-2</v>
      </c>
      <c r="H1713" s="47">
        <f t="shared" si="65"/>
        <v>1.2608076046429389E-2</v>
      </c>
      <c r="I1713" s="47">
        <v>0</v>
      </c>
      <c r="J1713" s="47">
        <f>I1713*0.42851304496886</f>
        <v>0</v>
      </c>
      <c r="K1713" s="47">
        <v>4.7999999999999996E-3</v>
      </c>
      <c r="L1713" s="47">
        <f>K1713*0.335646454109168</f>
        <v>1.6111029797240062E-3</v>
      </c>
      <c r="M1713" s="47">
        <f t="shared" si="64"/>
        <v>1.0996973066705383E-2</v>
      </c>
      <c r="N1713" s="47">
        <v>0</v>
      </c>
      <c r="O1713" s="47">
        <f>N1713*0.405049247805402</f>
        <v>0</v>
      </c>
      <c r="P1713" s="92"/>
    </row>
    <row r="1714" spans="1:16" x14ac:dyDescent="0.25">
      <c r="A1714" s="29">
        <v>41</v>
      </c>
      <c r="B1714" s="30">
        <v>437310</v>
      </c>
      <c r="C1714" s="30">
        <v>5688729</v>
      </c>
      <c r="D1714" s="30">
        <v>29</v>
      </c>
      <c r="E1714" s="30" t="s">
        <v>24</v>
      </c>
      <c r="F1714" s="46">
        <v>2016</v>
      </c>
      <c r="G1714" s="54">
        <v>5.1799999999999999E-2</v>
      </c>
      <c r="H1714" s="47">
        <f t="shared" si="65"/>
        <v>1.1538839915283433E-2</v>
      </c>
      <c r="I1714" s="47">
        <v>6.6700000000000009E-2</v>
      </c>
      <c r="J1714" s="47">
        <f>I1714*0.42851304496886</f>
        <v>2.8581820099422967E-2</v>
      </c>
      <c r="K1714" s="47">
        <v>2.5999999999999999E-3</v>
      </c>
      <c r="L1714" s="47">
        <f>K1714*0.335646454109168</f>
        <v>8.7268078068383672E-4</v>
      </c>
      <c r="M1714" s="47">
        <f t="shared" si="64"/>
        <v>1.0666159134599597E-2</v>
      </c>
      <c r="N1714" s="47">
        <v>0</v>
      </c>
      <c r="O1714" s="47">
        <f>N1714*0.405049247805402</f>
        <v>0</v>
      </c>
      <c r="P1714" s="92"/>
    </row>
    <row r="1715" spans="1:16" x14ac:dyDescent="0.25">
      <c r="A1715" s="29">
        <v>42</v>
      </c>
      <c r="B1715" s="30">
        <v>437454.10856199998</v>
      </c>
      <c r="C1715" s="30">
        <v>5688750.3324180003</v>
      </c>
      <c r="D1715" s="30">
        <v>29</v>
      </c>
      <c r="E1715" s="30" t="s">
        <v>24</v>
      </c>
      <c r="F1715" s="46">
        <v>2016</v>
      </c>
      <c r="G1715" s="54">
        <v>6.6599999999999993E-2</v>
      </c>
      <c r="H1715" s="47">
        <f t="shared" si="65"/>
        <v>1.4835651319650126E-2</v>
      </c>
      <c r="I1715" s="47">
        <v>0</v>
      </c>
      <c r="J1715" s="47">
        <f>I1715*0.42851304496886</f>
        <v>0</v>
      </c>
      <c r="K1715" s="47">
        <v>1.1900000000000001E-2</v>
      </c>
      <c r="L1715" s="47">
        <f>K1715*0.335646454109168</f>
        <v>3.9941928038990998E-3</v>
      </c>
      <c r="M1715" s="47">
        <f t="shared" si="64"/>
        <v>1.0841458515751027E-2</v>
      </c>
      <c r="N1715" s="47">
        <v>0</v>
      </c>
      <c r="O1715" s="47">
        <f>N1715*0.405049247805402</f>
        <v>0</v>
      </c>
      <c r="P1715" s="92"/>
    </row>
    <row r="1716" spans="1:16" x14ac:dyDescent="0.25">
      <c r="A1716" s="29">
        <v>43</v>
      </c>
      <c r="B1716" s="30">
        <v>437573.10856199998</v>
      </c>
      <c r="C1716" s="30">
        <v>5688750.3324180003</v>
      </c>
      <c r="D1716" s="30">
        <v>29</v>
      </c>
      <c r="E1716" s="30" t="s">
        <v>24</v>
      </c>
      <c r="F1716" s="46">
        <v>2016</v>
      </c>
      <c r="G1716" s="54">
        <v>2.1000000000000001E-2</v>
      </c>
      <c r="H1716" s="47">
        <f t="shared" si="65"/>
        <v>4.677908073763554E-3</v>
      </c>
      <c r="I1716" s="47">
        <v>0</v>
      </c>
      <c r="J1716" s="47">
        <f>I1716*0.42851304496886</f>
        <v>0</v>
      </c>
      <c r="K1716" s="47">
        <v>2.9700000000000001E-2</v>
      </c>
      <c r="L1716" s="47">
        <f>K1716*0.335646454109168</f>
        <v>9.9686996870422904E-3</v>
      </c>
      <c r="M1716" s="47">
        <f>H1716-L1716</f>
        <v>-5.2907916132787364E-3</v>
      </c>
      <c r="N1716" s="47">
        <v>0</v>
      </c>
      <c r="O1716" s="47">
        <f>N1716*0.405049247805402</f>
        <v>0</v>
      </c>
      <c r="P1716" s="92"/>
    </row>
    <row r="1717" spans="1:16" x14ac:dyDescent="0.25">
      <c r="A1717" s="29">
        <v>44</v>
      </c>
      <c r="B1717" s="30">
        <v>437692.10856199998</v>
      </c>
      <c r="C1717" s="30">
        <v>5688750.3324180003</v>
      </c>
      <c r="D1717" s="30">
        <v>28</v>
      </c>
      <c r="E1717" s="30" t="s">
        <v>24</v>
      </c>
      <c r="F1717" s="46">
        <v>2016</v>
      </c>
      <c r="G1717" s="54">
        <v>6.4999999999999997E-3</v>
      </c>
      <c r="H1717" s="47">
        <f t="shared" ref="H1717:H1733" si="66">G1717*0.226508598475716</f>
        <v>1.472305890092154E-3</v>
      </c>
      <c r="I1717" s="47">
        <v>0</v>
      </c>
      <c r="J1717" s="47">
        <f t="shared" ref="J1717:J1733" si="67">I1717*0.36025</f>
        <v>0</v>
      </c>
      <c r="K1717" s="47">
        <v>0.1376</v>
      </c>
      <c r="L1717" s="47">
        <f t="shared" ref="L1717:L1733" si="68">K1717*0.2803862111024</f>
        <v>3.8581142647690234E-2</v>
      </c>
      <c r="M1717" s="47">
        <f t="shared" si="64"/>
        <v>-3.7108836757598081E-2</v>
      </c>
      <c r="N1717" s="47">
        <v>0</v>
      </c>
      <c r="O1717" s="47">
        <f t="shared" ref="O1717:O1733" si="69">N1717*0.428023032629559</f>
        <v>0</v>
      </c>
      <c r="P1717" s="92"/>
    </row>
    <row r="1718" spans="1:16" x14ac:dyDescent="0.25">
      <c r="A1718" s="29">
        <v>45</v>
      </c>
      <c r="B1718" s="30">
        <v>437811.10856199998</v>
      </c>
      <c r="C1718" s="30">
        <v>5688750.3324180003</v>
      </c>
      <c r="D1718" s="30">
        <v>28</v>
      </c>
      <c r="E1718" s="30" t="s">
        <v>24</v>
      </c>
      <c r="F1718" s="46">
        <v>2016</v>
      </c>
      <c r="G1718" s="47">
        <v>8.0200000000000007E-2</v>
      </c>
      <c r="H1718" s="47">
        <f t="shared" si="66"/>
        <v>1.8165989597752424E-2</v>
      </c>
      <c r="I1718" s="47">
        <v>0</v>
      </c>
      <c r="J1718" s="47">
        <f t="shared" si="67"/>
        <v>0</v>
      </c>
      <c r="K1718" s="47">
        <v>1.66E-2</v>
      </c>
      <c r="L1718" s="47">
        <f t="shared" si="68"/>
        <v>4.6544111042998394E-3</v>
      </c>
      <c r="M1718" s="47">
        <f t="shared" si="64"/>
        <v>1.3511578493452584E-2</v>
      </c>
      <c r="N1718" s="47">
        <v>0</v>
      </c>
      <c r="O1718" s="47">
        <f t="shared" si="69"/>
        <v>0</v>
      </c>
      <c r="P1718" s="92"/>
    </row>
    <row r="1719" spans="1:16" x14ac:dyDescent="0.25">
      <c r="A1719" s="29">
        <v>46</v>
      </c>
      <c r="B1719" s="30">
        <v>437930.10856199998</v>
      </c>
      <c r="C1719" s="30">
        <v>5688750.3324180003</v>
      </c>
      <c r="D1719" s="30">
        <v>28</v>
      </c>
      <c r="E1719" s="30" t="s">
        <v>24</v>
      </c>
      <c r="F1719" s="46">
        <v>2016</v>
      </c>
      <c r="G1719" s="47">
        <v>1.5599999999999999E-2</v>
      </c>
      <c r="H1719" s="47">
        <f t="shared" si="66"/>
        <v>3.5335341362211694E-3</v>
      </c>
      <c r="I1719" s="47">
        <v>1.7899999999999999E-2</v>
      </c>
      <c r="J1719" s="47">
        <f t="shared" si="67"/>
        <v>6.4484750000000004E-3</v>
      </c>
      <c r="K1719" s="47">
        <v>5.9999999999999995E-4</v>
      </c>
      <c r="L1719" s="47">
        <f t="shared" si="68"/>
        <v>1.6823172666143997E-4</v>
      </c>
      <c r="M1719" s="47">
        <f t="shared" si="64"/>
        <v>3.3653024095597296E-3</v>
      </c>
      <c r="N1719" s="47">
        <v>1.0999999999999999E-2</v>
      </c>
      <c r="O1719" s="47">
        <f t="shared" si="69"/>
        <v>4.7082533589251482E-3</v>
      </c>
      <c r="P1719" s="92"/>
    </row>
    <row r="1720" spans="1:16" x14ac:dyDescent="0.25">
      <c r="A1720" s="29">
        <v>47</v>
      </c>
      <c r="B1720" s="30">
        <v>438061</v>
      </c>
      <c r="C1720" s="30">
        <v>5688779</v>
      </c>
      <c r="D1720" s="30">
        <v>28</v>
      </c>
      <c r="E1720" s="30" t="s">
        <v>24</v>
      </c>
      <c r="F1720" s="46">
        <v>2016</v>
      </c>
      <c r="G1720" s="47">
        <v>0.1968</v>
      </c>
      <c r="H1720" s="47">
        <f t="shared" si="66"/>
        <v>4.4576892180020908E-2</v>
      </c>
      <c r="I1720" s="47">
        <v>0</v>
      </c>
      <c r="J1720" s="47">
        <f t="shared" si="67"/>
        <v>0</v>
      </c>
      <c r="K1720" s="47">
        <v>2.46E-2</v>
      </c>
      <c r="L1720" s="47">
        <f t="shared" si="68"/>
        <v>6.8975007931190392E-3</v>
      </c>
      <c r="M1720" s="47">
        <f t="shared" si="64"/>
        <v>3.7679391386901871E-2</v>
      </c>
      <c r="N1720" s="47">
        <v>0</v>
      </c>
      <c r="O1720" s="47">
        <f t="shared" si="69"/>
        <v>0</v>
      </c>
      <c r="P1720" s="92"/>
    </row>
    <row r="1721" spans="1:16" x14ac:dyDescent="0.25">
      <c r="A1721" s="32">
        <v>48</v>
      </c>
      <c r="B1721" s="33">
        <v>438168.10856199998</v>
      </c>
      <c r="C1721" s="33">
        <v>5688750.3324180003</v>
      </c>
      <c r="D1721" s="48">
        <v>29</v>
      </c>
      <c r="E1721" s="48" t="s">
        <v>24</v>
      </c>
      <c r="F1721" s="48">
        <v>2016</v>
      </c>
      <c r="G1721" s="48" t="s">
        <v>18</v>
      </c>
      <c r="H1721" s="48" t="s">
        <v>18</v>
      </c>
      <c r="I1721" s="48" t="s">
        <v>18</v>
      </c>
      <c r="J1721" s="48" t="s">
        <v>18</v>
      </c>
      <c r="K1721" s="48" t="s">
        <v>18</v>
      </c>
      <c r="L1721" s="48" t="s">
        <v>18</v>
      </c>
      <c r="M1721" s="48" t="s">
        <v>18</v>
      </c>
      <c r="N1721" s="48" t="s">
        <v>18</v>
      </c>
      <c r="O1721" s="48" t="s">
        <v>18</v>
      </c>
      <c r="P1721" s="103" t="s">
        <v>21</v>
      </c>
    </row>
    <row r="1722" spans="1:16" x14ac:dyDescent="0.25">
      <c r="A1722" s="29">
        <v>49</v>
      </c>
      <c r="B1722" s="30">
        <v>437454.10856199998</v>
      </c>
      <c r="C1722" s="30">
        <v>5688869.3324180003</v>
      </c>
      <c r="D1722" s="30">
        <v>28</v>
      </c>
      <c r="E1722" s="30" t="s">
        <v>24</v>
      </c>
      <c r="F1722" s="46">
        <v>2016</v>
      </c>
      <c r="G1722" s="47">
        <v>8.7999999999999995E-2</v>
      </c>
      <c r="H1722" s="47">
        <f t="shared" si="66"/>
        <v>1.9932756665863006E-2</v>
      </c>
      <c r="I1722" s="47">
        <v>0</v>
      </c>
      <c r="J1722" s="47">
        <f t="shared" si="67"/>
        <v>0</v>
      </c>
      <c r="K1722" s="47">
        <v>3.7000000000000002E-3</v>
      </c>
      <c r="L1722" s="47">
        <f t="shared" si="68"/>
        <v>1.03742898107888E-3</v>
      </c>
      <c r="M1722" s="47">
        <f t="shared" si="64"/>
        <v>1.8895327684784125E-2</v>
      </c>
      <c r="N1722" s="47">
        <v>0</v>
      </c>
      <c r="O1722" s="47">
        <f t="shared" si="69"/>
        <v>0</v>
      </c>
      <c r="P1722" s="92"/>
    </row>
    <row r="1723" spans="1:16" x14ac:dyDescent="0.25">
      <c r="A1723" s="29">
        <v>50</v>
      </c>
      <c r="B1723" s="30">
        <v>437811.10856199998</v>
      </c>
      <c r="C1723" s="30">
        <v>5688869.3324180003</v>
      </c>
      <c r="D1723" s="30">
        <v>28</v>
      </c>
      <c r="E1723" s="30" t="s">
        <v>24</v>
      </c>
      <c r="F1723" s="46">
        <v>2016</v>
      </c>
      <c r="G1723" s="47">
        <v>6.5000000000000002E-2</v>
      </c>
      <c r="H1723" s="47">
        <f t="shared" si="66"/>
        <v>1.4723058900921541E-2</v>
      </c>
      <c r="I1723" s="47">
        <v>0</v>
      </c>
      <c r="J1723" s="47">
        <f t="shared" si="67"/>
        <v>0</v>
      </c>
      <c r="K1723" s="47">
        <v>1.4E-3</v>
      </c>
      <c r="L1723" s="47">
        <f t="shared" si="68"/>
        <v>3.9254069554335997E-4</v>
      </c>
      <c r="M1723" s="47">
        <f t="shared" si="64"/>
        <v>1.4330518205378182E-2</v>
      </c>
      <c r="N1723" s="47">
        <v>0</v>
      </c>
      <c r="O1723" s="47">
        <f t="shared" si="69"/>
        <v>0</v>
      </c>
      <c r="P1723" s="92"/>
    </row>
    <row r="1724" spans="1:16" x14ac:dyDescent="0.25">
      <c r="A1724" s="29">
        <v>51</v>
      </c>
      <c r="B1724" s="30">
        <v>437930.10856199998</v>
      </c>
      <c r="C1724" s="30">
        <v>5688869.3324180003</v>
      </c>
      <c r="D1724" s="30">
        <v>28</v>
      </c>
      <c r="E1724" s="30" t="s">
        <v>24</v>
      </c>
      <c r="F1724" s="46">
        <v>2016</v>
      </c>
      <c r="G1724" s="47">
        <v>0.112</v>
      </c>
      <c r="H1724" s="47">
        <f t="shared" si="66"/>
        <v>2.5368963029280194E-2</v>
      </c>
      <c r="I1724" s="47">
        <v>0</v>
      </c>
      <c r="J1724" s="47">
        <f t="shared" si="67"/>
        <v>0</v>
      </c>
      <c r="K1724" s="47">
        <v>1.3800000000000002E-2</v>
      </c>
      <c r="L1724" s="47">
        <f t="shared" si="68"/>
        <v>3.86932971321312E-3</v>
      </c>
      <c r="M1724" s="47">
        <f t="shared" si="64"/>
        <v>2.1499633316067072E-2</v>
      </c>
      <c r="N1724" s="47">
        <v>0</v>
      </c>
      <c r="O1724" s="47">
        <f t="shared" si="69"/>
        <v>0</v>
      </c>
      <c r="P1724" s="92"/>
    </row>
    <row r="1725" spans="1:16" x14ac:dyDescent="0.25">
      <c r="A1725" s="29">
        <v>52</v>
      </c>
      <c r="B1725" s="30">
        <v>438049.10856199998</v>
      </c>
      <c r="C1725" s="30">
        <v>5688869.3324180003</v>
      </c>
      <c r="D1725" s="30">
        <v>28</v>
      </c>
      <c r="E1725" s="30" t="s">
        <v>24</v>
      </c>
      <c r="F1725" s="46">
        <v>2016</v>
      </c>
      <c r="G1725" s="47">
        <v>8.9999999999999993E-3</v>
      </c>
      <c r="H1725" s="47">
        <f t="shared" si="66"/>
        <v>2.0385773862814436E-3</v>
      </c>
      <c r="I1725" s="47">
        <v>4.4200000000000003E-2</v>
      </c>
      <c r="J1725" s="47">
        <f t="shared" si="67"/>
        <v>1.5923050000000001E-2</v>
      </c>
      <c r="K1725" s="47">
        <v>2.0000000000000001E-4</v>
      </c>
      <c r="L1725" s="47">
        <f t="shared" si="68"/>
        <v>5.607724222048E-5</v>
      </c>
      <c r="M1725" s="47">
        <f>H1725-L1725</f>
        <v>1.9825001440609636E-3</v>
      </c>
      <c r="N1725" s="47">
        <v>3.6899999999999995E-2</v>
      </c>
      <c r="O1725" s="47">
        <f t="shared" si="69"/>
        <v>1.5794049904030726E-2</v>
      </c>
      <c r="P1725" s="92"/>
    </row>
    <row r="1726" spans="1:16" x14ac:dyDescent="0.25">
      <c r="A1726" s="29">
        <v>53</v>
      </c>
      <c r="B1726" s="30">
        <v>438287.10856199998</v>
      </c>
      <c r="C1726" s="30">
        <v>5688869.3324180003</v>
      </c>
      <c r="D1726" s="30">
        <v>29</v>
      </c>
      <c r="E1726" s="30" t="s">
        <v>24</v>
      </c>
      <c r="F1726" s="46">
        <v>2016</v>
      </c>
      <c r="G1726" s="47">
        <v>4.0100000000000004E-2</v>
      </c>
      <c r="H1726" s="47">
        <f>G1726*0.222757527322074</f>
        <v>8.9325768456151675E-3</v>
      </c>
      <c r="I1726" s="47">
        <v>0</v>
      </c>
      <c r="J1726" s="47">
        <f>I1726*0.42851304496886</f>
        <v>0</v>
      </c>
      <c r="K1726" s="47">
        <v>1.12E-2</v>
      </c>
      <c r="L1726" s="47">
        <f>K1726*0.335646454109168</f>
        <v>3.7592402860226813E-3</v>
      </c>
      <c r="M1726" s="47">
        <f t="shared" si="64"/>
        <v>5.1733365595924858E-3</v>
      </c>
      <c r="N1726" s="47">
        <v>0</v>
      </c>
      <c r="O1726" s="47">
        <f>N1726*0.405049247805402</f>
        <v>0</v>
      </c>
      <c r="P1726" s="92"/>
    </row>
    <row r="1727" spans="1:16" x14ac:dyDescent="0.25">
      <c r="A1727" s="29">
        <v>54</v>
      </c>
      <c r="B1727" s="30">
        <v>437454.10856199998</v>
      </c>
      <c r="C1727" s="30">
        <v>5688988.3324180003</v>
      </c>
      <c r="D1727" s="30">
        <v>28</v>
      </c>
      <c r="E1727" s="30" t="s">
        <v>24</v>
      </c>
      <c r="F1727" s="46">
        <v>2016</v>
      </c>
      <c r="G1727" s="47">
        <v>1.4E-2</v>
      </c>
      <c r="H1727" s="47">
        <f t="shared" si="66"/>
        <v>3.1711203786600243E-3</v>
      </c>
      <c r="I1727" s="47">
        <v>0</v>
      </c>
      <c r="J1727" s="47">
        <f t="shared" si="67"/>
        <v>0</v>
      </c>
      <c r="K1727" s="47">
        <v>8.5599999999999996E-2</v>
      </c>
      <c r="L1727" s="47">
        <f t="shared" si="68"/>
        <v>2.4001059670365435E-2</v>
      </c>
      <c r="M1727" s="47">
        <f t="shared" si="64"/>
        <v>-2.0829939291705412E-2</v>
      </c>
      <c r="N1727" s="47">
        <v>0</v>
      </c>
      <c r="O1727" s="47">
        <f t="shared" si="69"/>
        <v>0</v>
      </c>
      <c r="P1727" s="92"/>
    </row>
    <row r="1728" spans="1:16" x14ac:dyDescent="0.25">
      <c r="A1728" s="29">
        <v>55</v>
      </c>
      <c r="B1728" s="30">
        <v>438049.10856199998</v>
      </c>
      <c r="C1728" s="30">
        <v>5688988.3324180003</v>
      </c>
      <c r="D1728" s="30">
        <v>28</v>
      </c>
      <c r="E1728" s="30" t="s">
        <v>24</v>
      </c>
      <c r="F1728" s="46">
        <v>2016</v>
      </c>
      <c r="G1728" s="47">
        <v>5.0900000000000001E-2</v>
      </c>
      <c r="H1728" s="47">
        <f t="shared" si="66"/>
        <v>1.1529287662413944E-2</v>
      </c>
      <c r="I1728" s="47">
        <v>0</v>
      </c>
      <c r="J1728" s="47">
        <f t="shared" si="67"/>
        <v>0</v>
      </c>
      <c r="K1728" s="47">
        <v>5.5999999999999999E-3</v>
      </c>
      <c r="L1728" s="47">
        <f t="shared" si="68"/>
        <v>1.5701627821734399E-3</v>
      </c>
      <c r="M1728" s="47">
        <f t="shared" si="64"/>
        <v>9.9591248802405035E-3</v>
      </c>
      <c r="N1728" s="47">
        <v>0</v>
      </c>
      <c r="O1728" s="47">
        <f t="shared" si="69"/>
        <v>0</v>
      </c>
      <c r="P1728" s="92"/>
    </row>
    <row r="1729" spans="1:19" x14ac:dyDescent="0.25">
      <c r="A1729" s="29">
        <v>56</v>
      </c>
      <c r="B1729" s="30">
        <v>438168.10856199998</v>
      </c>
      <c r="C1729" s="30">
        <v>5688988.3324180003</v>
      </c>
      <c r="D1729" s="30">
        <v>28</v>
      </c>
      <c r="E1729" s="30" t="s">
        <v>24</v>
      </c>
      <c r="F1729" s="46">
        <v>2016</v>
      </c>
      <c r="G1729" s="47">
        <v>1.1599999999999999E-2</v>
      </c>
      <c r="H1729" s="47">
        <f t="shared" si="66"/>
        <v>2.6274997423183055E-3</v>
      </c>
      <c r="I1729" s="47">
        <v>0</v>
      </c>
      <c r="J1729" s="47">
        <f t="shared" si="67"/>
        <v>0</v>
      </c>
      <c r="K1729" s="47">
        <v>3.0999999999999999E-3</v>
      </c>
      <c r="L1729" s="47">
        <f t="shared" si="68"/>
        <v>8.6919725441743985E-4</v>
      </c>
      <c r="M1729" s="47">
        <f t="shared" si="64"/>
        <v>1.7583024879008658E-3</v>
      </c>
      <c r="N1729" s="47">
        <v>0</v>
      </c>
      <c r="O1729" s="47">
        <f t="shared" si="69"/>
        <v>0</v>
      </c>
      <c r="P1729" s="92"/>
    </row>
    <row r="1730" spans="1:19" x14ac:dyDescent="0.25">
      <c r="A1730" s="40">
        <v>57</v>
      </c>
      <c r="B1730" s="41">
        <v>438146</v>
      </c>
      <c r="C1730" s="41">
        <v>5688977</v>
      </c>
      <c r="D1730" s="41">
        <v>28</v>
      </c>
      <c r="E1730" s="41" t="s">
        <v>24</v>
      </c>
      <c r="F1730" s="50">
        <v>2016</v>
      </c>
      <c r="G1730" s="51">
        <v>0.1115</v>
      </c>
      <c r="H1730" s="51">
        <f t="shared" si="66"/>
        <v>2.5255708730042334E-2</v>
      </c>
      <c r="I1730" s="51">
        <v>0</v>
      </c>
      <c r="J1730" s="51">
        <f t="shared" si="67"/>
        <v>0</v>
      </c>
      <c r="K1730" s="51">
        <v>6.7999999999999996E-3</v>
      </c>
      <c r="L1730" s="51">
        <f t="shared" si="68"/>
        <v>1.9066262354963197E-3</v>
      </c>
      <c r="M1730" s="51">
        <f t="shared" si="64"/>
        <v>2.3349082494546015E-2</v>
      </c>
      <c r="N1730" s="51">
        <v>0</v>
      </c>
      <c r="O1730" s="51">
        <f t="shared" si="69"/>
        <v>0</v>
      </c>
      <c r="P1730" s="101"/>
    </row>
    <row r="1731" spans="1:19" x14ac:dyDescent="0.25">
      <c r="A1731" s="40">
        <v>58</v>
      </c>
      <c r="B1731" s="41">
        <v>438131</v>
      </c>
      <c r="C1731" s="41">
        <v>5688972</v>
      </c>
      <c r="D1731" s="41">
        <v>28</v>
      </c>
      <c r="E1731" s="41" t="s">
        <v>24</v>
      </c>
      <c r="F1731" s="50">
        <v>2016</v>
      </c>
      <c r="G1731" s="51">
        <v>0.1</v>
      </c>
      <c r="H1731" s="51">
        <f t="shared" si="66"/>
        <v>2.2650859847571602E-2</v>
      </c>
      <c r="I1731" s="51">
        <v>0</v>
      </c>
      <c r="J1731" s="51">
        <f t="shared" si="67"/>
        <v>0</v>
      </c>
      <c r="K1731" s="51">
        <v>7.4000000000000003E-3</v>
      </c>
      <c r="L1731" s="51">
        <f t="shared" si="68"/>
        <v>2.07485796215776E-3</v>
      </c>
      <c r="M1731" s="51">
        <f t="shared" si="64"/>
        <v>2.0576001885413843E-2</v>
      </c>
      <c r="N1731" s="51">
        <v>0</v>
      </c>
      <c r="O1731" s="51">
        <f t="shared" si="69"/>
        <v>0</v>
      </c>
      <c r="P1731" s="101"/>
    </row>
    <row r="1732" spans="1:19" x14ac:dyDescent="0.25">
      <c r="A1732" s="40">
        <v>59</v>
      </c>
      <c r="B1732" s="41">
        <v>438089</v>
      </c>
      <c r="C1732" s="41">
        <v>5688713</v>
      </c>
      <c r="D1732" s="41">
        <v>28</v>
      </c>
      <c r="E1732" s="41" t="s">
        <v>24</v>
      </c>
      <c r="F1732" s="50">
        <v>2016</v>
      </c>
      <c r="G1732" s="51">
        <v>0.21580000000000002</v>
      </c>
      <c r="H1732" s="51">
        <f t="shared" si="66"/>
        <v>4.8880555551059517E-2</v>
      </c>
      <c r="I1732" s="51">
        <v>3.2199999999999999E-2</v>
      </c>
      <c r="J1732" s="51">
        <f t="shared" si="67"/>
        <v>1.1600050000000001E-2</v>
      </c>
      <c r="K1732" s="51">
        <v>2.12E-2</v>
      </c>
      <c r="L1732" s="51">
        <f t="shared" si="68"/>
        <v>5.9441876753708791E-3</v>
      </c>
      <c r="M1732" s="51">
        <f t="shared" si="64"/>
        <v>4.2936367875688636E-2</v>
      </c>
      <c r="N1732" s="51">
        <v>3.3999999999999998E-3</v>
      </c>
      <c r="O1732" s="51">
        <f t="shared" si="69"/>
        <v>1.4552783109405005E-3</v>
      </c>
      <c r="P1732" s="101"/>
    </row>
    <row r="1733" spans="1:19" x14ac:dyDescent="0.25">
      <c r="A1733" s="40">
        <v>60</v>
      </c>
      <c r="B1733" s="41">
        <v>438099</v>
      </c>
      <c r="C1733" s="41">
        <v>5688719</v>
      </c>
      <c r="D1733" s="41">
        <v>28</v>
      </c>
      <c r="E1733" s="41" t="s">
        <v>24</v>
      </c>
      <c r="F1733" s="50">
        <v>2016</v>
      </c>
      <c r="G1733" s="51">
        <v>0.311</v>
      </c>
      <c r="H1733" s="51">
        <f t="shared" si="66"/>
        <v>7.0444174125947681E-2</v>
      </c>
      <c r="I1733" s="51">
        <v>0</v>
      </c>
      <c r="J1733" s="51">
        <f t="shared" si="67"/>
        <v>0</v>
      </c>
      <c r="K1733" s="51">
        <v>2.5999999999999999E-2</v>
      </c>
      <c r="L1733" s="51">
        <f t="shared" si="68"/>
        <v>7.2900414886623993E-3</v>
      </c>
      <c r="M1733" s="51">
        <f t="shared" si="64"/>
        <v>6.3154132637285282E-2</v>
      </c>
      <c r="N1733" s="51">
        <v>0</v>
      </c>
      <c r="O1733" s="51">
        <f t="shared" si="69"/>
        <v>0</v>
      </c>
      <c r="P1733" s="101"/>
    </row>
    <row r="1734" spans="1:19" x14ac:dyDescent="0.25">
      <c r="A1734" s="42">
        <v>1</v>
      </c>
      <c r="B1734" s="43">
        <v>437930.10856199998</v>
      </c>
      <c r="C1734" s="43">
        <v>5688036.3324180003</v>
      </c>
      <c r="D1734" s="44">
        <v>25</v>
      </c>
      <c r="E1734" s="44" t="s">
        <v>123</v>
      </c>
      <c r="F1734" s="44">
        <v>2016</v>
      </c>
      <c r="G1734" s="44" t="s">
        <v>18</v>
      </c>
      <c r="H1734" s="44" t="s">
        <v>18</v>
      </c>
      <c r="I1734" s="44" t="s">
        <v>18</v>
      </c>
      <c r="J1734" s="44" t="s">
        <v>18</v>
      </c>
      <c r="K1734" s="44" t="s">
        <v>18</v>
      </c>
      <c r="L1734" s="44" t="s">
        <v>18</v>
      </c>
      <c r="M1734" s="44" t="s">
        <v>18</v>
      </c>
      <c r="N1734" s="44" t="s">
        <v>18</v>
      </c>
      <c r="O1734" s="44" t="s">
        <v>18</v>
      </c>
      <c r="P1734" s="102" t="s">
        <v>109</v>
      </c>
      <c r="R1734" s="5">
        <f>AVERAGE(M1734:M1793)</f>
        <v>9.3774920790329688E-3</v>
      </c>
      <c r="S1734" s="5">
        <f>AVERAGE(H1734:H1793)</f>
        <v>1.4731663688374554E-2</v>
      </c>
    </row>
    <row r="1735" spans="1:19" x14ac:dyDescent="0.25">
      <c r="A1735" s="42">
        <v>2</v>
      </c>
      <c r="B1735" s="43">
        <v>437811.10856199998</v>
      </c>
      <c r="C1735" s="43">
        <v>5688155.3324180003</v>
      </c>
      <c r="D1735" s="44">
        <v>25</v>
      </c>
      <c r="E1735" s="44" t="s">
        <v>123</v>
      </c>
      <c r="F1735" s="44">
        <v>2016</v>
      </c>
      <c r="G1735" s="44" t="s">
        <v>18</v>
      </c>
      <c r="H1735" s="44" t="s">
        <v>18</v>
      </c>
      <c r="I1735" s="44" t="s">
        <v>18</v>
      </c>
      <c r="J1735" s="44" t="s">
        <v>18</v>
      </c>
      <c r="K1735" s="44" t="s">
        <v>18</v>
      </c>
      <c r="L1735" s="44" t="s">
        <v>18</v>
      </c>
      <c r="M1735" s="44" t="s">
        <v>18</v>
      </c>
      <c r="N1735" s="44" t="s">
        <v>18</v>
      </c>
      <c r="O1735" s="44" t="s">
        <v>18</v>
      </c>
      <c r="P1735" s="102" t="s">
        <v>109</v>
      </c>
    </row>
    <row r="1736" spans="1:19" x14ac:dyDescent="0.25">
      <c r="A1736" s="29">
        <v>3</v>
      </c>
      <c r="B1736" s="30">
        <v>437930.10856199998</v>
      </c>
      <c r="C1736" s="30">
        <v>5688155.3324180003</v>
      </c>
      <c r="D1736" s="30">
        <v>25</v>
      </c>
      <c r="E1736" s="30" t="s">
        <v>123</v>
      </c>
      <c r="F1736" s="46">
        <v>2016</v>
      </c>
      <c r="G1736" s="47">
        <v>7.7000000000000002E-3</v>
      </c>
      <c r="H1736" s="47">
        <f>G1736*0.39398101868844</f>
        <v>3.033653843900988E-3</v>
      </c>
      <c r="I1736" s="47">
        <v>1.6999999999999999E-3</v>
      </c>
      <c r="J1736" s="47">
        <f>I1736*0.427709294208511</f>
        <v>7.2710580015446864E-4</v>
      </c>
      <c r="K1736" s="47">
        <v>1.2999999999999999E-3</v>
      </c>
      <c r="L1736" s="47">
        <f>K1736*0.432214804597729</f>
        <v>5.618792459770477E-4</v>
      </c>
      <c r="M1736" s="47">
        <f>H1736-L1736</f>
        <v>2.4717745979239403E-3</v>
      </c>
      <c r="N1736" s="47">
        <v>1.7000000000000001E-2</v>
      </c>
      <c r="O1736" s="47">
        <f>N1736*0.464949724934323</f>
        <v>7.9041453238834925E-3</v>
      </c>
      <c r="P1736" s="92"/>
    </row>
    <row r="1737" spans="1:19" x14ac:dyDescent="0.25">
      <c r="A1737" s="42">
        <v>4</v>
      </c>
      <c r="B1737" s="43">
        <v>438049.10856199998</v>
      </c>
      <c r="C1737" s="43">
        <v>5688155.3324180003</v>
      </c>
      <c r="D1737" s="44">
        <v>25</v>
      </c>
      <c r="E1737" s="44" t="s">
        <v>123</v>
      </c>
      <c r="F1737" s="44">
        <v>2016</v>
      </c>
      <c r="G1737" s="44" t="s">
        <v>18</v>
      </c>
      <c r="H1737" s="44" t="s">
        <v>18</v>
      </c>
      <c r="I1737" s="44" t="s">
        <v>18</v>
      </c>
      <c r="J1737" s="44" t="s">
        <v>18</v>
      </c>
      <c r="K1737" s="44" t="s">
        <v>18</v>
      </c>
      <c r="L1737" s="44" t="s">
        <v>18</v>
      </c>
      <c r="M1737" s="44" t="s">
        <v>18</v>
      </c>
      <c r="N1737" s="44" t="s">
        <v>18</v>
      </c>
      <c r="O1737" s="44" t="s">
        <v>18</v>
      </c>
      <c r="P1737" s="102" t="s">
        <v>109</v>
      </c>
    </row>
    <row r="1738" spans="1:19" x14ac:dyDescent="0.25">
      <c r="A1738" s="42">
        <v>5</v>
      </c>
      <c r="B1738" s="43">
        <v>437573.10856199998</v>
      </c>
      <c r="C1738" s="43">
        <v>5688274.3324180003</v>
      </c>
      <c r="D1738" s="44">
        <v>25</v>
      </c>
      <c r="E1738" s="44" t="s">
        <v>123</v>
      </c>
      <c r="F1738" s="44">
        <v>2016</v>
      </c>
      <c r="G1738" s="44" t="s">
        <v>18</v>
      </c>
      <c r="H1738" s="44" t="s">
        <v>18</v>
      </c>
      <c r="I1738" s="44" t="s">
        <v>18</v>
      </c>
      <c r="J1738" s="44" t="s">
        <v>18</v>
      </c>
      <c r="K1738" s="44" t="s">
        <v>18</v>
      </c>
      <c r="L1738" s="44" t="s">
        <v>18</v>
      </c>
      <c r="M1738" s="44" t="s">
        <v>18</v>
      </c>
      <c r="N1738" s="44" t="s">
        <v>18</v>
      </c>
      <c r="O1738" s="44" t="s">
        <v>18</v>
      </c>
      <c r="P1738" s="102" t="s">
        <v>109</v>
      </c>
    </row>
    <row r="1739" spans="1:19" x14ac:dyDescent="0.25">
      <c r="A1739" s="29">
        <v>6</v>
      </c>
      <c r="B1739" s="30">
        <v>437692.10856199998</v>
      </c>
      <c r="C1739" s="30">
        <v>5688274.3324180003</v>
      </c>
      <c r="D1739" s="30">
        <v>25</v>
      </c>
      <c r="E1739" s="30" t="s">
        <v>123</v>
      </c>
      <c r="F1739" s="46">
        <v>2016</v>
      </c>
      <c r="G1739" s="47">
        <v>4.5999999999999999E-3</v>
      </c>
      <c r="H1739" s="47">
        <f t="shared" ref="H1739:H1769" si="70">G1739*0.39398101868844</f>
        <v>1.8123126859668239E-3</v>
      </c>
      <c r="I1739" s="47">
        <v>1.89E-2</v>
      </c>
      <c r="J1739" s="47">
        <f t="shared" ref="J1739:J1769" si="71">I1739*0.427709294208511</f>
        <v>8.0837056605408582E-3</v>
      </c>
      <c r="K1739" s="54">
        <v>2.8999999999999998E-3</v>
      </c>
      <c r="L1739" s="47">
        <f t="shared" ref="L1739:L1769" si="72">K1739*0.432214804597729</f>
        <v>1.2534229333334139E-3</v>
      </c>
      <c r="M1739" s="47">
        <f t="shared" ref="M1739:M1793" si="73">H1739-L1739</f>
        <v>5.5888975263340994E-4</v>
      </c>
      <c r="N1739" s="47">
        <v>0</v>
      </c>
      <c r="O1739" s="47">
        <f t="shared" ref="O1739:O1769" si="74">N1739*0.464949724934323</f>
        <v>0</v>
      </c>
      <c r="P1739" s="92"/>
    </row>
    <row r="1740" spans="1:19" x14ac:dyDescent="0.25">
      <c r="A1740" s="29">
        <v>7</v>
      </c>
      <c r="B1740" s="30">
        <v>437811.10856199998</v>
      </c>
      <c r="C1740" s="30">
        <v>5688274.3324180003</v>
      </c>
      <c r="D1740" s="30">
        <v>25</v>
      </c>
      <c r="E1740" s="30" t="s">
        <v>123</v>
      </c>
      <c r="F1740" s="46">
        <v>2016</v>
      </c>
      <c r="G1740" s="47">
        <v>1.5E-3</v>
      </c>
      <c r="H1740" s="47">
        <f t="shared" si="70"/>
        <v>5.9097152803265995E-4</v>
      </c>
      <c r="I1740" s="47">
        <v>1.5099999999999999E-2</v>
      </c>
      <c r="J1740" s="47">
        <f t="shared" si="71"/>
        <v>6.458410342548516E-3</v>
      </c>
      <c r="K1740" s="47">
        <v>4.0000000000000002E-4</v>
      </c>
      <c r="L1740" s="47">
        <f t="shared" si="72"/>
        <v>1.7288592183909162E-4</v>
      </c>
      <c r="M1740" s="47">
        <f t="shared" si="73"/>
        <v>4.1808560619356833E-4</v>
      </c>
      <c r="N1740" s="47">
        <v>0</v>
      </c>
      <c r="O1740" s="47">
        <f t="shared" si="74"/>
        <v>0</v>
      </c>
      <c r="P1740" s="92"/>
    </row>
    <row r="1741" spans="1:19" x14ac:dyDescent="0.25">
      <c r="A1741" s="42">
        <v>8</v>
      </c>
      <c r="B1741" s="43">
        <v>437930.10856199998</v>
      </c>
      <c r="C1741" s="43">
        <v>5688274.3324180003</v>
      </c>
      <c r="D1741" s="44">
        <v>25</v>
      </c>
      <c r="E1741" s="44" t="s">
        <v>123</v>
      </c>
      <c r="F1741" s="44">
        <v>2016</v>
      </c>
      <c r="G1741" s="44" t="s">
        <v>18</v>
      </c>
      <c r="H1741" s="44" t="s">
        <v>18</v>
      </c>
      <c r="I1741" s="44" t="s">
        <v>18</v>
      </c>
      <c r="J1741" s="44" t="s">
        <v>18</v>
      </c>
      <c r="K1741" s="44" t="s">
        <v>18</v>
      </c>
      <c r="L1741" s="44" t="s">
        <v>18</v>
      </c>
      <c r="M1741" s="44" t="s">
        <v>18</v>
      </c>
      <c r="N1741" s="44" t="s">
        <v>18</v>
      </c>
      <c r="O1741" s="44" t="s">
        <v>18</v>
      </c>
      <c r="P1741" s="102" t="s">
        <v>109</v>
      </c>
    </row>
    <row r="1742" spans="1:19" x14ac:dyDescent="0.25">
      <c r="A1742" s="29">
        <v>9</v>
      </c>
      <c r="B1742" s="30">
        <v>438287.10856199998</v>
      </c>
      <c r="C1742" s="30">
        <v>5688274.3324180003</v>
      </c>
      <c r="D1742" s="30">
        <v>25</v>
      </c>
      <c r="E1742" s="30" t="s">
        <v>123</v>
      </c>
      <c r="F1742" s="46">
        <v>2016</v>
      </c>
      <c r="G1742" s="47">
        <v>3.4099999999999998E-2</v>
      </c>
      <c r="H1742" s="47">
        <f t="shared" si="70"/>
        <v>1.3434752737275802E-2</v>
      </c>
      <c r="I1742" s="47">
        <v>0</v>
      </c>
      <c r="J1742" s="47">
        <f t="shared" si="71"/>
        <v>0</v>
      </c>
      <c r="K1742" s="47">
        <v>6.3E-3</v>
      </c>
      <c r="L1742" s="47">
        <f t="shared" si="72"/>
        <v>2.7229532689656928E-3</v>
      </c>
      <c r="M1742" s="47">
        <f t="shared" si="73"/>
        <v>1.071179946831011E-2</v>
      </c>
      <c r="N1742" s="47">
        <v>0</v>
      </c>
      <c r="O1742" s="47">
        <f t="shared" si="74"/>
        <v>0</v>
      </c>
      <c r="P1742" s="92"/>
    </row>
    <row r="1743" spans="1:19" x14ac:dyDescent="0.25">
      <c r="A1743" s="29">
        <v>10</v>
      </c>
      <c r="B1743" s="30">
        <v>438406.10856199998</v>
      </c>
      <c r="C1743" s="30">
        <v>5688274.3324180003</v>
      </c>
      <c r="D1743" s="30">
        <v>25</v>
      </c>
      <c r="E1743" s="30" t="s">
        <v>123</v>
      </c>
      <c r="F1743" s="46">
        <v>2016</v>
      </c>
      <c r="G1743" s="47">
        <v>3.0800000000000001E-2</v>
      </c>
      <c r="H1743" s="47">
        <f t="shared" si="70"/>
        <v>1.2134615375603952E-2</v>
      </c>
      <c r="I1743" s="47">
        <v>0</v>
      </c>
      <c r="J1743" s="47">
        <f t="shared" si="71"/>
        <v>0</v>
      </c>
      <c r="K1743" s="47">
        <v>5.7999999999999996E-3</v>
      </c>
      <c r="L1743" s="47">
        <f t="shared" si="72"/>
        <v>2.5068458666668279E-3</v>
      </c>
      <c r="M1743" s="47">
        <f t="shared" si="73"/>
        <v>9.6277695089371246E-3</v>
      </c>
      <c r="N1743" s="47">
        <v>0</v>
      </c>
      <c r="O1743" s="47">
        <f t="shared" si="74"/>
        <v>0</v>
      </c>
      <c r="P1743" s="92"/>
    </row>
    <row r="1744" spans="1:19" x14ac:dyDescent="0.25">
      <c r="A1744" s="42">
        <v>11</v>
      </c>
      <c r="B1744" s="43">
        <v>437454.10856199998</v>
      </c>
      <c r="C1744" s="43">
        <v>5688393.3324180003</v>
      </c>
      <c r="D1744" s="44">
        <v>25</v>
      </c>
      <c r="E1744" s="44" t="s">
        <v>123</v>
      </c>
      <c r="F1744" s="44">
        <v>2016</v>
      </c>
      <c r="G1744" s="44" t="s">
        <v>18</v>
      </c>
      <c r="H1744" s="44" t="s">
        <v>18</v>
      </c>
      <c r="I1744" s="44" t="s">
        <v>18</v>
      </c>
      <c r="J1744" s="44" t="s">
        <v>18</v>
      </c>
      <c r="K1744" s="44" t="s">
        <v>18</v>
      </c>
      <c r="L1744" s="44" t="s">
        <v>18</v>
      </c>
      <c r="M1744" s="44" t="s">
        <v>18</v>
      </c>
      <c r="N1744" s="44" t="s">
        <v>18</v>
      </c>
      <c r="O1744" s="44" t="s">
        <v>18</v>
      </c>
      <c r="P1744" s="102" t="s">
        <v>109</v>
      </c>
    </row>
    <row r="1745" spans="1:16" x14ac:dyDescent="0.25">
      <c r="A1745" s="29">
        <v>12</v>
      </c>
      <c r="B1745" s="30">
        <v>437573.10856199998</v>
      </c>
      <c r="C1745" s="30">
        <v>5688393.3324180003</v>
      </c>
      <c r="D1745" s="30">
        <v>25</v>
      </c>
      <c r="E1745" s="30" t="s">
        <v>123</v>
      </c>
      <c r="F1745" s="46">
        <v>2016</v>
      </c>
      <c r="G1745" s="47">
        <v>1.11E-2</v>
      </c>
      <c r="H1745" s="47">
        <f t="shared" si="70"/>
        <v>4.3731893074416836E-3</v>
      </c>
      <c r="I1745" s="47">
        <v>2.8300000000000002E-2</v>
      </c>
      <c r="J1745" s="47">
        <f t="shared" si="71"/>
        <v>1.2104173026100862E-2</v>
      </c>
      <c r="K1745" s="47">
        <v>1.32E-2</v>
      </c>
      <c r="L1745" s="47">
        <f t="shared" si="72"/>
        <v>5.7052354206900222E-3</v>
      </c>
      <c r="M1745" s="47">
        <f t="shared" si="73"/>
        <v>-1.3320461132483386E-3</v>
      </c>
      <c r="N1745" s="47">
        <v>8.199999999999999E-3</v>
      </c>
      <c r="O1745" s="47">
        <f t="shared" si="74"/>
        <v>3.8125877444614483E-3</v>
      </c>
      <c r="P1745" s="92"/>
    </row>
    <row r="1746" spans="1:16" x14ac:dyDescent="0.25">
      <c r="A1746" s="29">
        <v>13</v>
      </c>
      <c r="B1746" s="30">
        <v>437692.10856199998</v>
      </c>
      <c r="C1746" s="30">
        <v>5688393.3324180003</v>
      </c>
      <c r="D1746" s="30">
        <v>25</v>
      </c>
      <c r="E1746" s="30" t="s">
        <v>123</v>
      </c>
      <c r="F1746" s="46">
        <v>2016</v>
      </c>
      <c r="G1746" s="47">
        <v>3.5000000000000001E-3</v>
      </c>
      <c r="H1746" s="47">
        <f t="shared" si="70"/>
        <v>1.3789335654095401E-3</v>
      </c>
      <c r="I1746" s="47">
        <v>3.9299999999999995E-2</v>
      </c>
      <c r="J1746" s="47">
        <f t="shared" si="71"/>
        <v>1.6808975262394481E-2</v>
      </c>
      <c r="K1746" s="47">
        <v>1.7399999999999999E-2</v>
      </c>
      <c r="L1746" s="47">
        <f t="shared" si="72"/>
        <v>7.5205376000004841E-3</v>
      </c>
      <c r="M1746" s="47">
        <f t="shared" si="73"/>
        <v>-6.141604034590944E-3</v>
      </c>
      <c r="N1746" s="47">
        <v>1.21E-2</v>
      </c>
      <c r="O1746" s="47">
        <f t="shared" si="74"/>
        <v>5.6258916717053086E-3</v>
      </c>
      <c r="P1746" s="92"/>
    </row>
    <row r="1747" spans="1:16" x14ac:dyDescent="0.25">
      <c r="A1747" s="32">
        <v>14</v>
      </c>
      <c r="B1747" s="33">
        <v>437811.10856199998</v>
      </c>
      <c r="C1747" s="33">
        <v>5688393.3324180003</v>
      </c>
      <c r="D1747" s="48">
        <v>25</v>
      </c>
      <c r="E1747" s="48" t="s">
        <v>123</v>
      </c>
      <c r="F1747" s="48">
        <v>2016</v>
      </c>
      <c r="G1747" s="48" t="s">
        <v>18</v>
      </c>
      <c r="H1747" s="48" t="s">
        <v>18</v>
      </c>
      <c r="I1747" s="48" t="s">
        <v>18</v>
      </c>
      <c r="J1747" s="48" t="s">
        <v>18</v>
      </c>
      <c r="K1747" s="48" t="s">
        <v>18</v>
      </c>
      <c r="L1747" s="48" t="s">
        <v>18</v>
      </c>
      <c r="M1747" s="48" t="s">
        <v>18</v>
      </c>
      <c r="N1747" s="48" t="s">
        <v>18</v>
      </c>
      <c r="O1747" s="48" t="s">
        <v>18</v>
      </c>
      <c r="P1747" s="103" t="s">
        <v>89</v>
      </c>
    </row>
    <row r="1748" spans="1:16" x14ac:dyDescent="0.25">
      <c r="A1748" s="29">
        <v>15</v>
      </c>
      <c r="B1748" s="30">
        <v>437930.10856199998</v>
      </c>
      <c r="C1748" s="30">
        <v>5688393.3324180003</v>
      </c>
      <c r="D1748" s="30">
        <v>25</v>
      </c>
      <c r="E1748" s="30" t="s">
        <v>123</v>
      </c>
      <c r="F1748" s="46">
        <v>2016</v>
      </c>
      <c r="G1748" s="47">
        <v>3.0199999999999998E-2</v>
      </c>
      <c r="H1748" s="47">
        <f t="shared" si="70"/>
        <v>1.1898226764390887E-2</v>
      </c>
      <c r="I1748" s="47">
        <v>4.24E-2</v>
      </c>
      <c r="J1748" s="47">
        <f t="shared" si="71"/>
        <v>1.8134874074440865E-2</v>
      </c>
      <c r="K1748" s="47">
        <v>5.6000000000000001E-2</v>
      </c>
      <c r="L1748" s="47">
        <f t="shared" si="72"/>
        <v>2.4204029057472824E-2</v>
      </c>
      <c r="M1748" s="47">
        <f t="shared" si="73"/>
        <v>-1.2305802293081937E-2</v>
      </c>
      <c r="N1748" s="47">
        <v>1.7100000000000001E-2</v>
      </c>
      <c r="O1748" s="47">
        <f t="shared" si="74"/>
        <v>7.9506402963769231E-3</v>
      </c>
      <c r="P1748" s="92"/>
    </row>
    <row r="1749" spans="1:16" x14ac:dyDescent="0.25">
      <c r="A1749" s="29">
        <v>16</v>
      </c>
      <c r="B1749" s="30">
        <v>438049.10856199998</v>
      </c>
      <c r="C1749" s="30">
        <v>5688393.3324180003</v>
      </c>
      <c r="D1749" s="30">
        <v>25</v>
      </c>
      <c r="E1749" s="30" t="s">
        <v>123</v>
      </c>
      <c r="F1749" s="46">
        <v>2016</v>
      </c>
      <c r="G1749" s="46" t="s">
        <v>18</v>
      </c>
      <c r="H1749" s="46" t="s">
        <v>18</v>
      </c>
      <c r="I1749" s="46" t="s">
        <v>18</v>
      </c>
      <c r="J1749" s="46" t="s">
        <v>18</v>
      </c>
      <c r="K1749" s="47">
        <v>2.7000000000000001E-3</v>
      </c>
      <c r="L1749" s="47">
        <f t="shared" si="72"/>
        <v>1.1669799724138682E-3</v>
      </c>
      <c r="M1749" s="46" t="s">
        <v>18</v>
      </c>
      <c r="N1749" s="47">
        <v>4.7200000000000006E-2</v>
      </c>
      <c r="O1749" s="47">
        <f t="shared" si="74"/>
        <v>2.194562701690005E-2</v>
      </c>
      <c r="P1749" s="92" t="s">
        <v>103</v>
      </c>
    </row>
    <row r="1750" spans="1:16" x14ac:dyDescent="0.25">
      <c r="A1750" s="29">
        <v>17</v>
      </c>
      <c r="B1750" s="30">
        <v>438168.10856199998</v>
      </c>
      <c r="C1750" s="30">
        <v>5688393.3324180003</v>
      </c>
      <c r="D1750" s="30">
        <v>25</v>
      </c>
      <c r="E1750" s="30" t="s">
        <v>123</v>
      </c>
      <c r="F1750" s="46">
        <v>2016</v>
      </c>
      <c r="G1750" s="47">
        <v>1.1900000000000001E-2</v>
      </c>
      <c r="H1750" s="47">
        <f t="shared" si="70"/>
        <v>4.688374122392436E-3</v>
      </c>
      <c r="I1750" s="47">
        <v>3.7600000000000001E-2</v>
      </c>
      <c r="J1750" s="47">
        <f t="shared" si="71"/>
        <v>1.6081869462240016E-2</v>
      </c>
      <c r="K1750" s="47">
        <v>2.1100000000000001E-2</v>
      </c>
      <c r="L1750" s="47">
        <f t="shared" si="72"/>
        <v>9.1197323770120815E-3</v>
      </c>
      <c r="M1750" s="47">
        <f t="shared" si="73"/>
        <v>-4.4313582546196455E-3</v>
      </c>
      <c r="N1750" s="47">
        <v>2.1399999999999999E-2</v>
      </c>
      <c r="O1750" s="47">
        <f t="shared" si="74"/>
        <v>9.9499241135945129E-3</v>
      </c>
      <c r="P1750" s="92"/>
    </row>
    <row r="1751" spans="1:16" x14ac:dyDescent="0.25">
      <c r="A1751" s="29">
        <v>18</v>
      </c>
      <c r="B1751" s="30">
        <v>438287.10856199998</v>
      </c>
      <c r="C1751" s="30">
        <v>5688393.3324180003</v>
      </c>
      <c r="D1751" s="30">
        <v>25</v>
      </c>
      <c r="E1751" s="30" t="s">
        <v>123</v>
      </c>
      <c r="F1751" s="46">
        <v>2016</v>
      </c>
      <c r="G1751" s="47">
        <v>2.87E-2</v>
      </c>
      <c r="H1751" s="47">
        <f t="shared" si="70"/>
        <v>1.1307255236358227E-2</v>
      </c>
      <c r="I1751" s="47">
        <v>0</v>
      </c>
      <c r="J1751" s="47">
        <f t="shared" si="71"/>
        <v>0</v>
      </c>
      <c r="K1751" s="47">
        <v>1.9800000000000002E-2</v>
      </c>
      <c r="L1751" s="47">
        <f t="shared" si="72"/>
        <v>8.5578531310350342E-3</v>
      </c>
      <c r="M1751" s="47">
        <f t="shared" si="73"/>
        <v>2.7494021053231926E-3</v>
      </c>
      <c r="N1751" s="47">
        <v>0</v>
      </c>
      <c r="O1751" s="47">
        <f t="shared" si="74"/>
        <v>0</v>
      </c>
      <c r="P1751" s="92"/>
    </row>
    <row r="1752" spans="1:16" x14ac:dyDescent="0.25">
      <c r="A1752" s="29">
        <v>19</v>
      </c>
      <c r="B1752" s="30">
        <v>438406.10856199998</v>
      </c>
      <c r="C1752" s="30">
        <v>5688393.3324180003</v>
      </c>
      <c r="D1752" s="30">
        <v>25</v>
      </c>
      <c r="E1752" s="30" t="s">
        <v>123</v>
      </c>
      <c r="F1752" s="46">
        <v>2016</v>
      </c>
      <c r="G1752" s="47">
        <v>4.3999999999999997E-2</v>
      </c>
      <c r="H1752" s="47">
        <f t="shared" si="70"/>
        <v>1.733516482229136E-2</v>
      </c>
      <c r="I1752" s="47">
        <v>0</v>
      </c>
      <c r="J1752" s="47">
        <f t="shared" si="71"/>
        <v>0</v>
      </c>
      <c r="K1752" s="47">
        <v>1.04E-2</v>
      </c>
      <c r="L1752" s="47">
        <f t="shared" si="72"/>
        <v>4.4950339678163816E-3</v>
      </c>
      <c r="M1752" s="47">
        <f t="shared" si="73"/>
        <v>1.2840130854474979E-2</v>
      </c>
      <c r="N1752" s="47">
        <v>0</v>
      </c>
      <c r="O1752" s="47">
        <f t="shared" si="74"/>
        <v>0</v>
      </c>
      <c r="P1752" s="92"/>
    </row>
    <row r="1753" spans="1:16" x14ac:dyDescent="0.25">
      <c r="A1753" s="42">
        <v>20</v>
      </c>
      <c r="B1753" s="43">
        <v>437335.10856199998</v>
      </c>
      <c r="C1753" s="43">
        <v>5688512.3324180003</v>
      </c>
      <c r="D1753" s="44">
        <v>25</v>
      </c>
      <c r="E1753" s="44" t="s">
        <v>123</v>
      </c>
      <c r="F1753" s="44">
        <v>2016</v>
      </c>
      <c r="G1753" s="44" t="s">
        <v>18</v>
      </c>
      <c r="H1753" s="44" t="s">
        <v>18</v>
      </c>
      <c r="I1753" s="44" t="s">
        <v>18</v>
      </c>
      <c r="J1753" s="44" t="s">
        <v>18</v>
      </c>
      <c r="K1753" s="44" t="s">
        <v>18</v>
      </c>
      <c r="L1753" s="44" t="s">
        <v>18</v>
      </c>
      <c r="M1753" s="44" t="s">
        <v>18</v>
      </c>
      <c r="N1753" s="44" t="s">
        <v>18</v>
      </c>
      <c r="O1753" s="44" t="s">
        <v>18</v>
      </c>
      <c r="P1753" s="102" t="s">
        <v>109</v>
      </c>
    </row>
    <row r="1754" spans="1:16" x14ac:dyDescent="0.25">
      <c r="A1754" s="29">
        <v>21</v>
      </c>
      <c r="B1754" s="30">
        <v>437454.10856199998</v>
      </c>
      <c r="C1754" s="30">
        <v>5688512.3324180003</v>
      </c>
      <c r="D1754" s="30">
        <v>25</v>
      </c>
      <c r="E1754" s="30" t="s">
        <v>123</v>
      </c>
      <c r="F1754" s="46">
        <v>2016</v>
      </c>
      <c r="G1754" s="47">
        <v>3.6400000000000002E-2</v>
      </c>
      <c r="H1754" s="47">
        <f t="shared" si="70"/>
        <v>1.4340909080259217E-2</v>
      </c>
      <c r="I1754" s="47">
        <v>0</v>
      </c>
      <c r="J1754" s="47">
        <f t="shared" si="71"/>
        <v>0</v>
      </c>
      <c r="K1754" s="47">
        <v>1.41E-2</v>
      </c>
      <c r="L1754" s="47">
        <f t="shared" si="72"/>
        <v>6.094228744827979E-3</v>
      </c>
      <c r="M1754" s="47">
        <f t="shared" si="73"/>
        <v>8.2466803354312376E-3</v>
      </c>
      <c r="N1754" s="47">
        <v>0</v>
      </c>
      <c r="O1754" s="47">
        <f t="shared" si="74"/>
        <v>0</v>
      </c>
      <c r="P1754" s="92"/>
    </row>
    <row r="1755" spans="1:16" x14ac:dyDescent="0.25">
      <c r="A1755" s="29">
        <v>22</v>
      </c>
      <c r="B1755" s="30">
        <v>437573.10856199998</v>
      </c>
      <c r="C1755" s="30">
        <v>5688512.3324180003</v>
      </c>
      <c r="D1755" s="30">
        <v>25</v>
      </c>
      <c r="E1755" s="30" t="s">
        <v>123</v>
      </c>
      <c r="F1755" s="46">
        <v>2016</v>
      </c>
      <c r="G1755" s="46" t="s">
        <v>18</v>
      </c>
      <c r="H1755" s="46" t="s">
        <v>18</v>
      </c>
      <c r="I1755" s="46" t="s">
        <v>18</v>
      </c>
      <c r="J1755" s="46" t="s">
        <v>18</v>
      </c>
      <c r="K1755" s="47">
        <v>2.9600000000000001E-2</v>
      </c>
      <c r="L1755" s="47">
        <f t="shared" si="72"/>
        <v>1.2793558216092779E-2</v>
      </c>
      <c r="M1755" s="46" t="s">
        <v>18</v>
      </c>
      <c r="N1755" s="47">
        <v>2.98E-2</v>
      </c>
      <c r="O1755" s="47">
        <f t="shared" si="74"/>
        <v>1.3855501803042826E-2</v>
      </c>
      <c r="P1755" s="92" t="s">
        <v>103</v>
      </c>
    </row>
    <row r="1756" spans="1:16" x14ac:dyDescent="0.25">
      <c r="A1756" s="29">
        <v>23</v>
      </c>
      <c r="B1756" s="30">
        <v>437692.10856199998</v>
      </c>
      <c r="C1756" s="30">
        <v>5688512.3324180003</v>
      </c>
      <c r="D1756" s="30">
        <v>25</v>
      </c>
      <c r="E1756" s="30" t="s">
        <v>123</v>
      </c>
      <c r="F1756" s="46">
        <v>2016</v>
      </c>
      <c r="G1756" s="47">
        <v>1.89E-2</v>
      </c>
      <c r="H1756" s="47">
        <f t="shared" si="70"/>
        <v>7.4462412532115161E-3</v>
      </c>
      <c r="I1756" s="47">
        <v>0</v>
      </c>
      <c r="J1756" s="47">
        <f t="shared" si="71"/>
        <v>0</v>
      </c>
      <c r="K1756" s="47">
        <v>4.0000000000000001E-3</v>
      </c>
      <c r="L1756" s="47">
        <f t="shared" si="72"/>
        <v>1.7288592183909159E-3</v>
      </c>
      <c r="M1756" s="47">
        <f t="shared" si="73"/>
        <v>5.7173820348206004E-3</v>
      </c>
      <c r="N1756" s="47">
        <v>0</v>
      </c>
      <c r="O1756" s="47">
        <f t="shared" si="74"/>
        <v>0</v>
      </c>
      <c r="P1756" s="92"/>
    </row>
    <row r="1757" spans="1:16" x14ac:dyDescent="0.25">
      <c r="A1757" s="29">
        <v>24</v>
      </c>
      <c r="B1757" s="30">
        <v>437811.10856199998</v>
      </c>
      <c r="C1757" s="30">
        <v>5688512.3324180003</v>
      </c>
      <c r="D1757" s="30">
        <v>25</v>
      </c>
      <c r="E1757" s="30" t="s">
        <v>123</v>
      </c>
      <c r="F1757" s="46">
        <v>2016</v>
      </c>
      <c r="G1757" s="47">
        <v>8.5999999999999993E-2</v>
      </c>
      <c r="H1757" s="47">
        <f t="shared" si="70"/>
        <v>3.3882367607205838E-2</v>
      </c>
      <c r="I1757" s="47">
        <v>0</v>
      </c>
      <c r="J1757" s="47">
        <f t="shared" si="71"/>
        <v>0</v>
      </c>
      <c r="K1757" s="47">
        <v>5.7000000000000002E-3</v>
      </c>
      <c r="L1757" s="47">
        <f t="shared" si="72"/>
        <v>2.4636243862070552E-3</v>
      </c>
      <c r="M1757" s="47">
        <f t="shared" si="73"/>
        <v>3.1418743220998781E-2</v>
      </c>
      <c r="N1757" s="47">
        <v>0</v>
      </c>
      <c r="O1757" s="47">
        <f t="shared" si="74"/>
        <v>0</v>
      </c>
      <c r="P1757" s="92"/>
    </row>
    <row r="1758" spans="1:16" x14ac:dyDescent="0.25">
      <c r="A1758" s="29">
        <v>25</v>
      </c>
      <c r="B1758" s="46">
        <v>437995</v>
      </c>
      <c r="C1758" s="46">
        <v>5688493</v>
      </c>
      <c r="D1758" s="30">
        <v>25</v>
      </c>
      <c r="E1758" s="30" t="s">
        <v>123</v>
      </c>
      <c r="F1758" s="46">
        <v>2016</v>
      </c>
      <c r="G1758" s="47">
        <v>6.0299999999999999E-2</v>
      </c>
      <c r="H1758" s="47">
        <f t="shared" si="70"/>
        <v>2.3757055426912931E-2</v>
      </c>
      <c r="I1758" s="47">
        <v>0</v>
      </c>
      <c r="J1758" s="47">
        <f t="shared" si="71"/>
        <v>0</v>
      </c>
      <c r="K1758" s="47">
        <v>1.21E-2</v>
      </c>
      <c r="L1758" s="47">
        <f t="shared" si="72"/>
        <v>5.2297991356325202E-3</v>
      </c>
      <c r="M1758" s="47">
        <f t="shared" si="73"/>
        <v>1.8527256291280412E-2</v>
      </c>
      <c r="N1758" s="47">
        <v>0</v>
      </c>
      <c r="O1758" s="47">
        <f t="shared" si="74"/>
        <v>0</v>
      </c>
      <c r="P1758" s="92"/>
    </row>
    <row r="1759" spans="1:16" x14ac:dyDescent="0.25">
      <c r="A1759" s="29">
        <v>26</v>
      </c>
      <c r="B1759" s="46">
        <v>438112</v>
      </c>
      <c r="C1759" s="46">
        <v>5688567</v>
      </c>
      <c r="D1759" s="30">
        <v>25</v>
      </c>
      <c r="E1759" s="30" t="s">
        <v>123</v>
      </c>
      <c r="F1759" s="46">
        <v>2016</v>
      </c>
      <c r="G1759" s="47">
        <v>6.5000000000000002E-2</v>
      </c>
      <c r="H1759" s="47">
        <f t="shared" si="70"/>
        <v>2.5608766214748599E-2</v>
      </c>
      <c r="I1759" s="47">
        <v>0</v>
      </c>
      <c r="J1759" s="47">
        <f t="shared" si="71"/>
        <v>0</v>
      </c>
      <c r="K1759" s="47">
        <v>1.5800000000000002E-2</v>
      </c>
      <c r="L1759" s="47">
        <f t="shared" si="72"/>
        <v>6.8289939126441185E-3</v>
      </c>
      <c r="M1759" s="47">
        <f t="shared" si="73"/>
        <v>1.877977230210448E-2</v>
      </c>
      <c r="N1759" s="47">
        <v>0</v>
      </c>
      <c r="O1759" s="47">
        <f t="shared" si="74"/>
        <v>0</v>
      </c>
      <c r="P1759" s="92"/>
    </row>
    <row r="1760" spans="1:16" x14ac:dyDescent="0.25">
      <c r="A1760" s="32">
        <v>27</v>
      </c>
      <c r="B1760" s="33">
        <v>438168.10856199998</v>
      </c>
      <c r="C1760" s="33">
        <v>5688512.3324180003</v>
      </c>
      <c r="D1760" s="48">
        <v>25</v>
      </c>
      <c r="E1760" s="48" t="s">
        <v>123</v>
      </c>
      <c r="F1760" s="48">
        <v>2016</v>
      </c>
      <c r="G1760" s="48" t="s">
        <v>18</v>
      </c>
      <c r="H1760" s="48" t="s">
        <v>18</v>
      </c>
      <c r="I1760" s="48" t="s">
        <v>18</v>
      </c>
      <c r="J1760" s="48" t="s">
        <v>18</v>
      </c>
      <c r="K1760" s="48" t="s">
        <v>18</v>
      </c>
      <c r="L1760" s="48" t="s">
        <v>18</v>
      </c>
      <c r="M1760" s="48" t="s">
        <v>18</v>
      </c>
      <c r="N1760" s="48" t="s">
        <v>18</v>
      </c>
      <c r="O1760" s="48" t="s">
        <v>18</v>
      </c>
      <c r="P1760" s="103" t="s">
        <v>89</v>
      </c>
    </row>
    <row r="1761" spans="1:16" x14ac:dyDescent="0.25">
      <c r="A1761" s="32">
        <v>28</v>
      </c>
      <c r="B1761" s="33">
        <v>438287.10856199998</v>
      </c>
      <c r="C1761" s="33">
        <v>5688512.3324180003</v>
      </c>
      <c r="D1761" s="48">
        <v>25</v>
      </c>
      <c r="E1761" s="48" t="s">
        <v>123</v>
      </c>
      <c r="F1761" s="48">
        <v>2016</v>
      </c>
      <c r="G1761" s="48" t="s">
        <v>18</v>
      </c>
      <c r="H1761" s="48" t="s">
        <v>18</v>
      </c>
      <c r="I1761" s="48" t="s">
        <v>18</v>
      </c>
      <c r="J1761" s="48" t="s">
        <v>18</v>
      </c>
      <c r="K1761" s="48" t="s">
        <v>18</v>
      </c>
      <c r="L1761" s="48" t="s">
        <v>18</v>
      </c>
      <c r="M1761" s="48" t="s">
        <v>18</v>
      </c>
      <c r="N1761" s="48" t="s">
        <v>18</v>
      </c>
      <c r="O1761" s="48" t="s">
        <v>18</v>
      </c>
      <c r="P1761" s="103" t="s">
        <v>89</v>
      </c>
    </row>
    <row r="1762" spans="1:16" x14ac:dyDescent="0.25">
      <c r="A1762" s="29">
        <v>29</v>
      </c>
      <c r="B1762" s="30">
        <v>438381</v>
      </c>
      <c r="C1762" s="30">
        <v>5688526</v>
      </c>
      <c r="D1762" s="30">
        <v>25</v>
      </c>
      <c r="E1762" s="30" t="s">
        <v>123</v>
      </c>
      <c r="F1762" s="46">
        <v>2016</v>
      </c>
      <c r="G1762" s="47">
        <v>1.7600000000000001E-2</v>
      </c>
      <c r="H1762" s="47">
        <f t="shared" si="70"/>
        <v>6.9340659289165441E-3</v>
      </c>
      <c r="I1762" s="47">
        <v>0</v>
      </c>
      <c r="J1762" s="47">
        <f t="shared" si="71"/>
        <v>0</v>
      </c>
      <c r="K1762" s="47">
        <v>2.8399999999999998E-2</v>
      </c>
      <c r="L1762" s="47">
        <f t="shared" si="72"/>
        <v>1.2274900450575502E-2</v>
      </c>
      <c r="M1762" s="47">
        <f t="shared" si="73"/>
        <v>-5.3408345216589583E-3</v>
      </c>
      <c r="N1762" s="47">
        <v>0</v>
      </c>
      <c r="O1762" s="47">
        <f t="shared" si="74"/>
        <v>0</v>
      </c>
      <c r="P1762" s="92"/>
    </row>
    <row r="1763" spans="1:16" x14ac:dyDescent="0.25">
      <c r="A1763" s="29">
        <v>30</v>
      </c>
      <c r="B1763" s="30">
        <v>438525.10856199998</v>
      </c>
      <c r="C1763" s="30">
        <v>5688512.3324180003</v>
      </c>
      <c r="D1763" s="30">
        <v>25</v>
      </c>
      <c r="E1763" s="30" t="s">
        <v>123</v>
      </c>
      <c r="F1763" s="46">
        <v>2016</v>
      </c>
      <c r="G1763" s="47">
        <v>2.5000000000000001E-2</v>
      </c>
      <c r="H1763" s="47">
        <f t="shared" si="70"/>
        <v>9.8495254672110004E-3</v>
      </c>
      <c r="I1763" s="47">
        <v>0</v>
      </c>
      <c r="J1763" s="47">
        <f t="shared" si="71"/>
        <v>0</v>
      </c>
      <c r="K1763" s="47">
        <v>3.3E-3</v>
      </c>
      <c r="L1763" s="47">
        <f t="shared" si="72"/>
        <v>1.4263088551725056E-3</v>
      </c>
      <c r="M1763" s="47">
        <f t="shared" si="73"/>
        <v>8.4232166120384953E-3</v>
      </c>
      <c r="N1763" s="47">
        <v>0</v>
      </c>
      <c r="O1763" s="47">
        <f t="shared" si="74"/>
        <v>0</v>
      </c>
      <c r="P1763" s="92"/>
    </row>
    <row r="1764" spans="1:16" x14ac:dyDescent="0.25">
      <c r="A1764" s="29">
        <v>31</v>
      </c>
      <c r="B1764" s="30">
        <v>437335.10856199998</v>
      </c>
      <c r="C1764" s="30">
        <v>5688631.3324180003</v>
      </c>
      <c r="D1764" s="30">
        <v>25</v>
      </c>
      <c r="E1764" s="30" t="s">
        <v>123</v>
      </c>
      <c r="F1764" s="46">
        <v>2016</v>
      </c>
      <c r="G1764" s="47">
        <v>5.8000000000000003E-2</v>
      </c>
      <c r="H1764" s="47">
        <f t="shared" si="70"/>
        <v>2.285089908392952E-2</v>
      </c>
      <c r="I1764" s="47">
        <v>0</v>
      </c>
      <c r="J1764" s="47">
        <f t="shared" si="71"/>
        <v>0</v>
      </c>
      <c r="K1764" s="47">
        <v>8.0000000000000002E-3</v>
      </c>
      <c r="L1764" s="47">
        <f t="shared" si="72"/>
        <v>3.4577184367818319E-3</v>
      </c>
      <c r="M1764" s="47">
        <f t="shared" si="73"/>
        <v>1.9393180647147689E-2</v>
      </c>
      <c r="N1764" s="47">
        <v>0</v>
      </c>
      <c r="O1764" s="47">
        <f t="shared" si="74"/>
        <v>0</v>
      </c>
      <c r="P1764" s="92"/>
    </row>
    <row r="1765" spans="1:16" x14ac:dyDescent="0.25">
      <c r="A1765" s="29">
        <v>32</v>
      </c>
      <c r="B1765" s="30">
        <v>437454.10856199998</v>
      </c>
      <c r="C1765" s="30">
        <v>5688631.3324180003</v>
      </c>
      <c r="D1765" s="30">
        <v>25</v>
      </c>
      <c r="E1765" s="30" t="s">
        <v>123</v>
      </c>
      <c r="F1765" s="46">
        <v>2016</v>
      </c>
      <c r="G1765" s="47">
        <v>6.9400000000000003E-2</v>
      </c>
      <c r="H1765" s="47">
        <f t="shared" si="70"/>
        <v>2.7342282696977735E-2</v>
      </c>
      <c r="I1765" s="47">
        <v>0</v>
      </c>
      <c r="J1765" s="47">
        <f t="shared" si="71"/>
        <v>0</v>
      </c>
      <c r="K1765" s="47">
        <v>1.2E-2</v>
      </c>
      <c r="L1765" s="47">
        <f t="shared" si="72"/>
        <v>5.186577655172748E-3</v>
      </c>
      <c r="M1765" s="47">
        <f t="shared" si="73"/>
        <v>2.2155705041804988E-2</v>
      </c>
      <c r="N1765" s="47">
        <v>0</v>
      </c>
      <c r="O1765" s="47">
        <f t="shared" si="74"/>
        <v>0</v>
      </c>
      <c r="P1765" s="92"/>
    </row>
    <row r="1766" spans="1:16" x14ac:dyDescent="0.25">
      <c r="A1766" s="29">
        <v>33</v>
      </c>
      <c r="B1766" s="30">
        <v>437573.10856199998</v>
      </c>
      <c r="C1766" s="30">
        <v>5688631.3324180003</v>
      </c>
      <c r="D1766" s="30">
        <v>25</v>
      </c>
      <c r="E1766" s="30" t="s">
        <v>123</v>
      </c>
      <c r="F1766" s="46">
        <v>2016</v>
      </c>
      <c r="G1766" s="47">
        <v>7.7099999999999988E-2</v>
      </c>
      <c r="H1766" s="47">
        <f t="shared" si="70"/>
        <v>3.0375936540878719E-2</v>
      </c>
      <c r="I1766" s="47">
        <v>0</v>
      </c>
      <c r="J1766" s="47">
        <f t="shared" si="71"/>
        <v>0</v>
      </c>
      <c r="K1766" s="47">
        <v>6.0000000000000001E-3</v>
      </c>
      <c r="L1766" s="47">
        <f t="shared" si="72"/>
        <v>2.593288827586374E-3</v>
      </c>
      <c r="M1766" s="47">
        <f t="shared" si="73"/>
        <v>2.7782647713292346E-2</v>
      </c>
      <c r="N1766" s="47">
        <v>0</v>
      </c>
      <c r="O1766" s="47">
        <f t="shared" si="74"/>
        <v>0</v>
      </c>
      <c r="P1766" s="92"/>
    </row>
    <row r="1767" spans="1:16" x14ac:dyDescent="0.25">
      <c r="A1767" s="29">
        <v>34</v>
      </c>
      <c r="B1767" s="30">
        <v>437692.10856199998</v>
      </c>
      <c r="C1767" s="30">
        <v>5688631.3324180003</v>
      </c>
      <c r="D1767" s="30">
        <v>25</v>
      </c>
      <c r="E1767" s="30" t="s">
        <v>123</v>
      </c>
      <c r="F1767" s="46">
        <v>2016</v>
      </c>
      <c r="G1767" s="47">
        <v>2.5499999999999998E-2</v>
      </c>
      <c r="H1767" s="47">
        <f t="shared" si="70"/>
        <v>1.0046515976555219E-2</v>
      </c>
      <c r="I1767" s="47">
        <v>0</v>
      </c>
      <c r="J1767" s="47">
        <f t="shared" si="71"/>
        <v>0</v>
      </c>
      <c r="K1767" s="47">
        <v>8.0999999999999996E-3</v>
      </c>
      <c r="L1767" s="47">
        <f t="shared" si="72"/>
        <v>3.5009399172416045E-3</v>
      </c>
      <c r="M1767" s="47">
        <f t="shared" si="73"/>
        <v>6.5455760593136148E-3</v>
      </c>
      <c r="N1767" s="47">
        <v>0</v>
      </c>
      <c r="O1767" s="47">
        <f t="shared" si="74"/>
        <v>0</v>
      </c>
      <c r="P1767" s="92"/>
    </row>
    <row r="1768" spans="1:16" x14ac:dyDescent="0.25">
      <c r="A1768" s="29">
        <v>35</v>
      </c>
      <c r="B1768" s="30">
        <v>437893</v>
      </c>
      <c r="C1768" s="30">
        <v>5688620</v>
      </c>
      <c r="D1768" s="30">
        <v>25</v>
      </c>
      <c r="E1768" s="30" t="s">
        <v>123</v>
      </c>
      <c r="F1768" s="46">
        <v>2016</v>
      </c>
      <c r="G1768" s="47">
        <v>5.3800000000000001E-2</v>
      </c>
      <c r="H1768" s="47">
        <f t="shared" si="70"/>
        <v>2.119617880543807E-2</v>
      </c>
      <c r="I1768" s="47">
        <v>0</v>
      </c>
      <c r="J1768" s="47">
        <f t="shared" si="71"/>
        <v>0</v>
      </c>
      <c r="K1768" s="47">
        <v>7.9000000000000008E-3</v>
      </c>
      <c r="L1768" s="47">
        <f t="shared" si="72"/>
        <v>3.4144969563220592E-3</v>
      </c>
      <c r="M1768" s="47">
        <f t="shared" si="73"/>
        <v>1.7781681849116011E-2</v>
      </c>
      <c r="N1768" s="47">
        <v>0</v>
      </c>
      <c r="O1768" s="47">
        <f t="shared" si="74"/>
        <v>0</v>
      </c>
      <c r="P1768" s="92"/>
    </row>
    <row r="1769" spans="1:16" x14ac:dyDescent="0.25">
      <c r="A1769" s="29">
        <v>36</v>
      </c>
      <c r="B1769" s="30">
        <v>437930.10856199998</v>
      </c>
      <c r="C1769" s="30">
        <v>5688631.3324180003</v>
      </c>
      <c r="D1769" s="30">
        <v>25</v>
      </c>
      <c r="E1769" s="30" t="s">
        <v>123</v>
      </c>
      <c r="F1769" s="46">
        <v>2016</v>
      </c>
      <c r="G1769" s="47">
        <v>0.1143</v>
      </c>
      <c r="H1769" s="47">
        <f t="shared" si="70"/>
        <v>4.5032030436088694E-2</v>
      </c>
      <c r="I1769" s="47">
        <v>0</v>
      </c>
      <c r="J1769" s="47">
        <f t="shared" si="71"/>
        <v>0</v>
      </c>
      <c r="K1769" s="47">
        <v>2.46E-2</v>
      </c>
      <c r="L1769" s="47">
        <f t="shared" si="72"/>
        <v>1.0632484193104133E-2</v>
      </c>
      <c r="M1769" s="47">
        <f t="shared" si="73"/>
        <v>3.4399546242984559E-2</v>
      </c>
      <c r="N1769" s="47">
        <v>0</v>
      </c>
      <c r="O1769" s="47">
        <f t="shared" si="74"/>
        <v>0</v>
      </c>
      <c r="P1769" s="92"/>
    </row>
    <row r="1770" spans="1:16" x14ac:dyDescent="0.25">
      <c r="A1770" s="32">
        <v>37</v>
      </c>
      <c r="B1770" s="33">
        <v>438049.10856199998</v>
      </c>
      <c r="C1770" s="33">
        <v>5688631.3324180003</v>
      </c>
      <c r="D1770" s="48">
        <v>25</v>
      </c>
      <c r="E1770" s="48" t="s">
        <v>123</v>
      </c>
      <c r="F1770" s="48">
        <v>2016</v>
      </c>
      <c r="G1770" s="48" t="s">
        <v>18</v>
      </c>
      <c r="H1770" s="48" t="s">
        <v>18</v>
      </c>
      <c r="I1770" s="48" t="s">
        <v>18</v>
      </c>
      <c r="J1770" s="48" t="s">
        <v>18</v>
      </c>
      <c r="K1770" s="48" t="s">
        <v>18</v>
      </c>
      <c r="L1770" s="48" t="s">
        <v>18</v>
      </c>
      <c r="M1770" s="48" t="s">
        <v>18</v>
      </c>
      <c r="N1770" s="48" t="s">
        <v>18</v>
      </c>
      <c r="O1770" s="48" t="s">
        <v>18</v>
      </c>
      <c r="P1770" s="103" t="s">
        <v>89</v>
      </c>
    </row>
    <row r="1771" spans="1:16" x14ac:dyDescent="0.25">
      <c r="A1771" s="29">
        <v>38</v>
      </c>
      <c r="B1771" s="30">
        <v>438067</v>
      </c>
      <c r="C1771" s="30">
        <v>5688710</v>
      </c>
      <c r="D1771" s="30">
        <v>23</v>
      </c>
      <c r="E1771" s="30" t="s">
        <v>123</v>
      </c>
      <c r="F1771" s="46">
        <v>2016</v>
      </c>
      <c r="G1771" s="47">
        <v>1.21E-2</v>
      </c>
      <c r="H1771" s="47">
        <f>G1771*0.33577912219952</f>
        <v>4.0629273786141921E-3</v>
      </c>
      <c r="I1771" s="47">
        <v>0</v>
      </c>
      <c r="J1771" s="47">
        <f t="shared" ref="J1771:J1793" si="75">I1771*0.446978074142999</f>
        <v>0</v>
      </c>
      <c r="K1771" s="47">
        <v>1.35E-2</v>
      </c>
      <c r="L1771" s="47">
        <f>K1771*0.440714183145169</f>
        <v>5.9496414724597817E-3</v>
      </c>
      <c r="M1771" s="47">
        <f t="shared" si="73"/>
        <v>-1.8867140938455896E-3</v>
      </c>
      <c r="N1771" s="47">
        <v>0</v>
      </c>
      <c r="O1771" s="47">
        <f>N1771*0.430555555555556</f>
        <v>0</v>
      </c>
      <c r="P1771" s="92"/>
    </row>
    <row r="1772" spans="1:16" x14ac:dyDescent="0.25">
      <c r="A1772" s="32">
        <v>39</v>
      </c>
      <c r="B1772" s="33">
        <v>438287.10856199998</v>
      </c>
      <c r="C1772" s="33">
        <v>5688631.3324180003</v>
      </c>
      <c r="D1772" s="48">
        <v>25</v>
      </c>
      <c r="E1772" s="48" t="s">
        <v>123</v>
      </c>
      <c r="F1772" s="48">
        <v>2016</v>
      </c>
      <c r="G1772" s="48" t="s">
        <v>18</v>
      </c>
      <c r="H1772" s="48" t="s">
        <v>18</v>
      </c>
      <c r="I1772" s="48" t="s">
        <v>18</v>
      </c>
      <c r="J1772" s="48" t="s">
        <v>18</v>
      </c>
      <c r="K1772" s="48" t="s">
        <v>18</v>
      </c>
      <c r="L1772" s="48" t="s">
        <v>18</v>
      </c>
      <c r="M1772" s="48" t="s">
        <v>18</v>
      </c>
      <c r="N1772" s="48" t="s">
        <v>18</v>
      </c>
      <c r="O1772" s="48" t="s">
        <v>18</v>
      </c>
      <c r="P1772" s="94" t="s">
        <v>22</v>
      </c>
    </row>
    <row r="1773" spans="1:16" x14ac:dyDescent="0.25">
      <c r="A1773" s="29">
        <v>40</v>
      </c>
      <c r="B1773" s="30">
        <v>438406.10856199998</v>
      </c>
      <c r="C1773" s="30">
        <v>5688631.3324180003</v>
      </c>
      <c r="D1773" s="30">
        <v>25</v>
      </c>
      <c r="E1773" s="30" t="s">
        <v>123</v>
      </c>
      <c r="F1773" s="46">
        <v>2016</v>
      </c>
      <c r="G1773" s="54">
        <v>4.2799999999999998E-2</v>
      </c>
      <c r="H1773" s="47">
        <f>G1773*0.39398101868844</f>
        <v>1.686238759986523E-2</v>
      </c>
      <c r="I1773" s="47">
        <v>0</v>
      </c>
      <c r="J1773" s="47">
        <f>I1773*0.427709294208511</f>
        <v>0</v>
      </c>
      <c r="K1773" s="47">
        <v>6.6E-3</v>
      </c>
      <c r="L1773" s="47">
        <f>K1773*0.432214804597729</f>
        <v>2.8526177103450111E-3</v>
      </c>
      <c r="M1773" s="47">
        <f t="shared" si="73"/>
        <v>1.400976988952022E-2</v>
      </c>
      <c r="N1773" s="47">
        <v>0</v>
      </c>
      <c r="O1773" s="47">
        <f>N1773*0.464949724934323</f>
        <v>0</v>
      </c>
      <c r="P1773" s="92"/>
    </row>
    <row r="1774" spans="1:16" x14ac:dyDescent="0.25">
      <c r="A1774" s="29">
        <v>41</v>
      </c>
      <c r="B1774" s="30">
        <v>437310</v>
      </c>
      <c r="C1774" s="30">
        <v>5688729</v>
      </c>
      <c r="D1774" s="30">
        <v>23</v>
      </c>
      <c r="E1774" s="30" t="s">
        <v>123</v>
      </c>
      <c r="F1774" s="46">
        <v>2016</v>
      </c>
      <c r="G1774" s="54">
        <v>3.3600000000000005E-2</v>
      </c>
      <c r="H1774" s="47">
        <f t="shared" ref="H1774:H1793" si="76">G1774*0.33577912219952</f>
        <v>1.1282178505903873E-2</v>
      </c>
      <c r="I1774" s="47">
        <v>0</v>
      </c>
      <c r="J1774" s="47">
        <f t="shared" si="75"/>
        <v>0</v>
      </c>
      <c r="K1774" s="47">
        <v>1.7899999999999999E-2</v>
      </c>
      <c r="L1774" s="47">
        <f t="shared" ref="L1774:L1793" si="77">K1774*0.440714183145169</f>
        <v>7.8887838782985258E-3</v>
      </c>
      <c r="M1774" s="47">
        <f t="shared" si="73"/>
        <v>3.3933946276053471E-3</v>
      </c>
      <c r="N1774" s="47">
        <v>0</v>
      </c>
      <c r="O1774" s="47">
        <f t="shared" ref="O1774:O1793" si="78">N1774*0.430555555555556</f>
        <v>0</v>
      </c>
      <c r="P1774" s="92"/>
    </row>
    <row r="1775" spans="1:16" x14ac:dyDescent="0.25">
      <c r="A1775" s="29">
        <v>42</v>
      </c>
      <c r="B1775" s="30">
        <v>437454.10856199998</v>
      </c>
      <c r="C1775" s="30">
        <v>5688750.3324180003</v>
      </c>
      <c r="D1775" s="30">
        <v>23</v>
      </c>
      <c r="E1775" s="30" t="s">
        <v>123</v>
      </c>
      <c r="F1775" s="46">
        <v>2016</v>
      </c>
      <c r="G1775" s="54">
        <v>5.5500000000000001E-2</v>
      </c>
      <c r="H1775" s="47">
        <f t="shared" si="76"/>
        <v>1.8635741282073359E-2</v>
      </c>
      <c r="I1775" s="47">
        <v>0</v>
      </c>
      <c r="J1775" s="47">
        <f t="shared" si="75"/>
        <v>0</v>
      </c>
      <c r="K1775" s="47">
        <v>1.5800000000000002E-2</v>
      </c>
      <c r="L1775" s="47">
        <f t="shared" si="77"/>
        <v>6.963284093693671E-3</v>
      </c>
      <c r="M1775" s="47">
        <f t="shared" si="73"/>
        <v>1.1672457188379688E-2</v>
      </c>
      <c r="N1775" s="47">
        <v>0</v>
      </c>
      <c r="O1775" s="47">
        <f t="shared" si="78"/>
        <v>0</v>
      </c>
      <c r="P1775" s="92"/>
    </row>
    <row r="1776" spans="1:16" x14ac:dyDescent="0.25">
      <c r="A1776" s="29">
        <v>43</v>
      </c>
      <c r="B1776" s="30">
        <v>437573.10856199998</v>
      </c>
      <c r="C1776" s="30">
        <v>5688750.3324180003</v>
      </c>
      <c r="D1776" s="30">
        <v>23</v>
      </c>
      <c r="E1776" s="30" t="s">
        <v>123</v>
      </c>
      <c r="F1776" s="46">
        <v>2016</v>
      </c>
      <c r="G1776" s="54">
        <v>4.3499999999999997E-2</v>
      </c>
      <c r="H1776" s="47">
        <f t="shared" si="76"/>
        <v>1.460639181567912E-2</v>
      </c>
      <c r="I1776" s="47">
        <v>0</v>
      </c>
      <c r="J1776" s="47">
        <f t="shared" si="75"/>
        <v>0</v>
      </c>
      <c r="K1776" s="47">
        <v>1.5300000000000001E-2</v>
      </c>
      <c r="L1776" s="47">
        <f t="shared" si="77"/>
        <v>6.7429270021210864E-3</v>
      </c>
      <c r="M1776" s="47">
        <f t="shared" si="73"/>
        <v>7.863464813558034E-3</v>
      </c>
      <c r="N1776" s="47">
        <v>0</v>
      </c>
      <c r="O1776" s="47">
        <f t="shared" si="78"/>
        <v>0</v>
      </c>
      <c r="P1776" s="92"/>
    </row>
    <row r="1777" spans="1:16" x14ac:dyDescent="0.25">
      <c r="A1777" s="29">
        <v>44</v>
      </c>
      <c r="B1777" s="30">
        <v>437692.10856199998</v>
      </c>
      <c r="C1777" s="30">
        <v>5688750.3324180003</v>
      </c>
      <c r="D1777" s="30">
        <v>23</v>
      </c>
      <c r="E1777" s="30" t="s">
        <v>123</v>
      </c>
      <c r="F1777" s="46">
        <v>2016</v>
      </c>
      <c r="G1777" s="54">
        <v>4.41E-2</v>
      </c>
      <c r="H1777" s="47">
        <f t="shared" si="76"/>
        <v>1.4807859288998831E-2</v>
      </c>
      <c r="I1777" s="47">
        <v>0</v>
      </c>
      <c r="J1777" s="47">
        <f t="shared" si="75"/>
        <v>0</v>
      </c>
      <c r="K1777" s="47">
        <v>5.1999999999999998E-3</v>
      </c>
      <c r="L1777" s="47">
        <f t="shared" si="77"/>
        <v>2.2917137523548788E-3</v>
      </c>
      <c r="M1777" s="47">
        <f t="shared" si="73"/>
        <v>1.2516145536643953E-2</v>
      </c>
      <c r="N1777" s="47">
        <v>0</v>
      </c>
      <c r="O1777" s="47">
        <f t="shared" si="78"/>
        <v>0</v>
      </c>
      <c r="P1777" s="92"/>
    </row>
    <row r="1778" spans="1:16" x14ac:dyDescent="0.25">
      <c r="A1778" s="29">
        <v>45</v>
      </c>
      <c r="B1778" s="30">
        <v>437811.10856199998</v>
      </c>
      <c r="C1778" s="30">
        <v>5688750.3324180003</v>
      </c>
      <c r="D1778" s="30">
        <v>23</v>
      </c>
      <c r="E1778" s="30" t="s">
        <v>123</v>
      </c>
      <c r="F1778" s="46">
        <v>2016</v>
      </c>
      <c r="G1778" s="47">
        <v>3.44E-2</v>
      </c>
      <c r="H1778" s="47">
        <f t="shared" si="76"/>
        <v>1.1550801803663488E-2</v>
      </c>
      <c r="I1778" s="47">
        <v>0</v>
      </c>
      <c r="J1778" s="47">
        <f t="shared" si="75"/>
        <v>0</v>
      </c>
      <c r="K1778" s="47">
        <v>2.24E-2</v>
      </c>
      <c r="L1778" s="47">
        <f t="shared" si="77"/>
        <v>9.8719977024517864E-3</v>
      </c>
      <c r="M1778" s="47">
        <f t="shared" si="73"/>
        <v>1.6788041012117012E-3</v>
      </c>
      <c r="N1778" s="47">
        <v>0</v>
      </c>
      <c r="O1778" s="47">
        <f t="shared" si="78"/>
        <v>0</v>
      </c>
      <c r="P1778" s="92"/>
    </row>
    <row r="1779" spans="1:16" x14ac:dyDescent="0.25">
      <c r="A1779" s="29">
        <v>46</v>
      </c>
      <c r="B1779" s="30">
        <v>437930.10856199998</v>
      </c>
      <c r="C1779" s="30">
        <v>5688750.3324180003</v>
      </c>
      <c r="D1779" s="30">
        <v>23</v>
      </c>
      <c r="E1779" s="30" t="s">
        <v>123</v>
      </c>
      <c r="F1779" s="46">
        <v>2016</v>
      </c>
      <c r="G1779" s="47">
        <v>3.8100000000000002E-2</v>
      </c>
      <c r="H1779" s="47">
        <f t="shared" si="76"/>
        <v>1.2793184555801713E-2</v>
      </c>
      <c r="I1779" s="47">
        <v>0</v>
      </c>
      <c r="J1779" s="47">
        <f t="shared" si="75"/>
        <v>0</v>
      </c>
      <c r="K1779" s="47">
        <v>9.1000000000000004E-3</v>
      </c>
      <c r="L1779" s="47">
        <f t="shared" si="77"/>
        <v>4.0104990666210384E-3</v>
      </c>
      <c r="M1779" s="47">
        <f t="shared" si="73"/>
        <v>8.7826854891806735E-3</v>
      </c>
      <c r="N1779" s="47">
        <v>0</v>
      </c>
      <c r="O1779" s="47">
        <f t="shared" si="78"/>
        <v>0</v>
      </c>
      <c r="P1779" s="92"/>
    </row>
    <row r="1780" spans="1:16" x14ac:dyDescent="0.25">
      <c r="A1780" s="29">
        <v>47</v>
      </c>
      <c r="B1780" s="30">
        <v>438061</v>
      </c>
      <c r="C1780" s="30">
        <v>5688779</v>
      </c>
      <c r="D1780" s="30">
        <v>23</v>
      </c>
      <c r="E1780" s="30" t="s">
        <v>123</v>
      </c>
      <c r="F1780" s="46">
        <v>2016</v>
      </c>
      <c r="G1780" s="47">
        <v>2.1899999999999999E-2</v>
      </c>
      <c r="H1780" s="47">
        <f t="shared" si="76"/>
        <v>7.3535627761694873E-3</v>
      </c>
      <c r="I1780" s="47">
        <v>0</v>
      </c>
      <c r="J1780" s="47">
        <f t="shared" si="75"/>
        <v>0</v>
      </c>
      <c r="K1780" s="47">
        <v>2.07E-2</v>
      </c>
      <c r="L1780" s="47">
        <f t="shared" si="77"/>
        <v>9.1227835911049989E-3</v>
      </c>
      <c r="M1780" s="47">
        <f t="shared" si="73"/>
        <v>-1.7692208149355116E-3</v>
      </c>
      <c r="N1780" s="47">
        <v>0</v>
      </c>
      <c r="O1780" s="47">
        <f t="shared" si="78"/>
        <v>0</v>
      </c>
      <c r="P1780" s="92"/>
    </row>
    <row r="1781" spans="1:16" x14ac:dyDescent="0.25">
      <c r="A1781" s="32">
        <v>48</v>
      </c>
      <c r="B1781" s="33">
        <v>438168.10856199998</v>
      </c>
      <c r="C1781" s="33">
        <v>5688750.3324180003</v>
      </c>
      <c r="D1781" s="48">
        <v>25</v>
      </c>
      <c r="E1781" s="48" t="s">
        <v>123</v>
      </c>
      <c r="F1781" s="48">
        <v>2016</v>
      </c>
      <c r="G1781" s="48" t="s">
        <v>18</v>
      </c>
      <c r="H1781" s="48" t="s">
        <v>18</v>
      </c>
      <c r="I1781" s="48" t="s">
        <v>18</v>
      </c>
      <c r="J1781" s="48" t="s">
        <v>18</v>
      </c>
      <c r="K1781" s="48" t="s">
        <v>18</v>
      </c>
      <c r="L1781" s="48" t="s">
        <v>18</v>
      </c>
      <c r="M1781" s="48" t="s">
        <v>18</v>
      </c>
      <c r="N1781" s="48" t="s">
        <v>18</v>
      </c>
      <c r="O1781" s="48" t="s">
        <v>18</v>
      </c>
      <c r="P1781" s="103" t="s">
        <v>89</v>
      </c>
    </row>
    <row r="1782" spans="1:16" x14ac:dyDescent="0.25">
      <c r="A1782" s="29">
        <v>49</v>
      </c>
      <c r="B1782" s="30">
        <v>437454.10856199998</v>
      </c>
      <c r="C1782" s="30">
        <v>5688869.3324180003</v>
      </c>
      <c r="D1782" s="30">
        <v>23</v>
      </c>
      <c r="E1782" s="30" t="s">
        <v>123</v>
      </c>
      <c r="F1782" s="46">
        <v>2016</v>
      </c>
      <c r="G1782" s="47">
        <v>0.10940000000000001</v>
      </c>
      <c r="H1782" s="47">
        <f t="shared" si="76"/>
        <v>3.6734235968627495E-2</v>
      </c>
      <c r="I1782" s="47">
        <v>0</v>
      </c>
      <c r="J1782" s="47">
        <f t="shared" si="75"/>
        <v>0</v>
      </c>
      <c r="K1782" s="47">
        <v>1.8600000000000002E-2</v>
      </c>
      <c r="L1782" s="47">
        <f t="shared" si="77"/>
        <v>8.1972838065001441E-3</v>
      </c>
      <c r="M1782" s="47">
        <f t="shared" si="73"/>
        <v>2.8536952162127351E-2</v>
      </c>
      <c r="N1782" s="47">
        <v>0</v>
      </c>
      <c r="O1782" s="47">
        <f t="shared" si="78"/>
        <v>0</v>
      </c>
      <c r="P1782" s="92"/>
    </row>
    <row r="1783" spans="1:16" x14ac:dyDescent="0.25">
      <c r="A1783" s="29">
        <v>50</v>
      </c>
      <c r="B1783" s="30">
        <v>437811.10856199998</v>
      </c>
      <c r="C1783" s="30">
        <v>5688869.3324180003</v>
      </c>
      <c r="D1783" s="30">
        <v>23</v>
      </c>
      <c r="E1783" s="30" t="s">
        <v>123</v>
      </c>
      <c r="F1783" s="46">
        <v>2016</v>
      </c>
      <c r="G1783" s="47">
        <v>1E-3</v>
      </c>
      <c r="H1783" s="47">
        <f t="shared" si="76"/>
        <v>3.3577912219952001E-4</v>
      </c>
      <c r="I1783" s="47">
        <v>0</v>
      </c>
      <c r="J1783" s="47">
        <f t="shared" si="75"/>
        <v>0</v>
      </c>
      <c r="K1783" s="47">
        <v>3.5000000000000001E-3</v>
      </c>
      <c r="L1783" s="47">
        <f t="shared" si="77"/>
        <v>1.5424996410080916E-3</v>
      </c>
      <c r="M1783" s="47">
        <f t="shared" si="73"/>
        <v>-1.2067205188085715E-3</v>
      </c>
      <c r="N1783" s="47">
        <v>0</v>
      </c>
      <c r="O1783" s="47">
        <f t="shared" si="78"/>
        <v>0</v>
      </c>
      <c r="P1783" s="92"/>
    </row>
    <row r="1784" spans="1:16" x14ac:dyDescent="0.25">
      <c r="A1784" s="29">
        <v>51</v>
      </c>
      <c r="B1784" s="30">
        <v>437930.10856199998</v>
      </c>
      <c r="C1784" s="30">
        <v>5688869.3324180003</v>
      </c>
      <c r="D1784" s="30">
        <v>23</v>
      </c>
      <c r="E1784" s="30" t="s">
        <v>123</v>
      </c>
      <c r="F1784" s="46">
        <v>2016</v>
      </c>
      <c r="G1784" s="47">
        <v>2.5000000000000001E-2</v>
      </c>
      <c r="H1784" s="47">
        <f t="shared" si="76"/>
        <v>8.3944780549880006E-3</v>
      </c>
      <c r="I1784" s="47">
        <v>0</v>
      </c>
      <c r="J1784" s="47">
        <f t="shared" si="75"/>
        <v>0</v>
      </c>
      <c r="K1784" s="47">
        <v>2.8E-3</v>
      </c>
      <c r="L1784" s="47">
        <f t="shared" si="77"/>
        <v>1.2339997128064733E-3</v>
      </c>
      <c r="M1784" s="47">
        <f t="shared" si="73"/>
        <v>7.1604783421815275E-3</v>
      </c>
      <c r="N1784" s="47">
        <v>0</v>
      </c>
      <c r="O1784" s="47">
        <f t="shared" si="78"/>
        <v>0</v>
      </c>
      <c r="P1784" s="92"/>
    </row>
    <row r="1785" spans="1:16" x14ac:dyDescent="0.25">
      <c r="A1785" s="29">
        <v>52</v>
      </c>
      <c r="B1785" s="30">
        <v>438049.10856199998</v>
      </c>
      <c r="C1785" s="30">
        <v>5688869.3324180003</v>
      </c>
      <c r="D1785" s="30">
        <v>23</v>
      </c>
      <c r="E1785" s="30" t="s">
        <v>123</v>
      </c>
      <c r="F1785" s="46">
        <v>2016</v>
      </c>
      <c r="G1785" s="47">
        <v>1.66E-2</v>
      </c>
      <c r="H1785" s="47">
        <f t="shared" si="76"/>
        <v>5.5739334285120319E-3</v>
      </c>
      <c r="I1785" s="47">
        <v>0</v>
      </c>
      <c r="J1785" s="47">
        <f t="shared" si="75"/>
        <v>0</v>
      </c>
      <c r="K1785" s="47">
        <v>2.5000000000000001E-3</v>
      </c>
      <c r="L1785" s="47">
        <f t="shared" si="77"/>
        <v>1.1017854578629226E-3</v>
      </c>
      <c r="M1785" s="47">
        <f t="shared" si="73"/>
        <v>4.4721479706491089E-3</v>
      </c>
      <c r="N1785" s="47">
        <v>7.1999999999999998E-3</v>
      </c>
      <c r="O1785" s="47">
        <f t="shared" si="78"/>
        <v>3.1000000000000034E-3</v>
      </c>
      <c r="P1785" s="92"/>
    </row>
    <row r="1786" spans="1:16" x14ac:dyDescent="0.25">
      <c r="A1786" s="29">
        <v>53</v>
      </c>
      <c r="B1786" s="30">
        <v>438287.10856199998</v>
      </c>
      <c r="C1786" s="30">
        <v>5688869.3324180003</v>
      </c>
      <c r="D1786" s="30">
        <v>23</v>
      </c>
      <c r="E1786" s="30" t="s">
        <v>123</v>
      </c>
      <c r="F1786" s="46">
        <v>2016</v>
      </c>
      <c r="G1786" s="47">
        <v>8.199999999999999E-3</v>
      </c>
      <c r="H1786" s="47">
        <f t="shared" si="76"/>
        <v>2.7533888020360637E-3</v>
      </c>
      <c r="I1786" s="47">
        <v>0</v>
      </c>
      <c r="J1786" s="47">
        <f t="shared" si="75"/>
        <v>0</v>
      </c>
      <c r="K1786" s="47">
        <v>1.4199999999999999E-2</v>
      </c>
      <c r="L1786" s="47">
        <f t="shared" si="77"/>
        <v>6.2581414006613999E-3</v>
      </c>
      <c r="M1786" s="47">
        <f t="shared" si="73"/>
        <v>-3.5047525986253362E-3</v>
      </c>
      <c r="N1786" s="47">
        <v>0</v>
      </c>
      <c r="O1786" s="47">
        <f t="shared" si="78"/>
        <v>0</v>
      </c>
      <c r="P1786" s="92"/>
    </row>
    <row r="1787" spans="1:16" x14ac:dyDescent="0.25">
      <c r="A1787" s="29">
        <v>54</v>
      </c>
      <c r="B1787" s="30">
        <v>437454.10856199998</v>
      </c>
      <c r="C1787" s="30">
        <v>5688988.3324180003</v>
      </c>
      <c r="D1787" s="30">
        <v>23</v>
      </c>
      <c r="E1787" s="30" t="s">
        <v>123</v>
      </c>
      <c r="F1787" s="46">
        <v>2016</v>
      </c>
      <c r="G1787" s="47">
        <v>3.5099999999999999E-2</v>
      </c>
      <c r="H1787" s="47">
        <f t="shared" si="76"/>
        <v>1.1785847189203152E-2</v>
      </c>
      <c r="I1787" s="47">
        <v>0</v>
      </c>
      <c r="J1787" s="47">
        <f t="shared" si="75"/>
        <v>0</v>
      </c>
      <c r="K1787" s="47">
        <v>2.2499999999999999E-2</v>
      </c>
      <c r="L1787" s="47">
        <f t="shared" si="77"/>
        <v>9.9160691207663028E-3</v>
      </c>
      <c r="M1787" s="47">
        <f t="shared" si="73"/>
        <v>1.869778068436849E-3</v>
      </c>
      <c r="N1787" s="47">
        <v>0</v>
      </c>
      <c r="O1787" s="47">
        <f t="shared" si="78"/>
        <v>0</v>
      </c>
      <c r="P1787" s="92"/>
    </row>
    <row r="1788" spans="1:16" x14ac:dyDescent="0.25">
      <c r="A1788" s="29">
        <v>55</v>
      </c>
      <c r="B1788" s="30">
        <v>438049.10856199998</v>
      </c>
      <c r="C1788" s="30">
        <v>5688988.3324180003</v>
      </c>
      <c r="D1788" s="30">
        <v>23</v>
      </c>
      <c r="E1788" s="30" t="s">
        <v>123</v>
      </c>
      <c r="F1788" s="46">
        <v>2016</v>
      </c>
      <c r="G1788" s="47">
        <v>3.4299999999999997E-2</v>
      </c>
      <c r="H1788" s="47">
        <f t="shared" si="76"/>
        <v>1.1517223891443535E-2</v>
      </c>
      <c r="I1788" s="47">
        <v>0</v>
      </c>
      <c r="J1788" s="47">
        <f t="shared" si="75"/>
        <v>0</v>
      </c>
      <c r="K1788" s="47">
        <v>6.0999999999999995E-3</v>
      </c>
      <c r="L1788" s="47">
        <f t="shared" si="77"/>
        <v>2.6883565171855308E-3</v>
      </c>
      <c r="M1788" s="47">
        <f t="shared" si="73"/>
        <v>8.8288673742580037E-3</v>
      </c>
      <c r="N1788" s="47">
        <v>0</v>
      </c>
      <c r="O1788" s="47">
        <f t="shared" si="78"/>
        <v>0</v>
      </c>
      <c r="P1788" s="92"/>
    </row>
    <row r="1789" spans="1:16" x14ac:dyDescent="0.25">
      <c r="A1789" s="29">
        <v>56</v>
      </c>
      <c r="B1789" s="30">
        <v>438168.10856199998</v>
      </c>
      <c r="C1789" s="30">
        <v>5688988.3324180003</v>
      </c>
      <c r="D1789" s="30">
        <v>23</v>
      </c>
      <c r="E1789" s="30" t="s">
        <v>123</v>
      </c>
      <c r="F1789" s="46">
        <v>2016</v>
      </c>
      <c r="G1789" s="47">
        <v>8.6999999999999994E-3</v>
      </c>
      <c r="H1789" s="47">
        <f t="shared" si="76"/>
        <v>2.9212783631358237E-3</v>
      </c>
      <c r="I1789" s="47">
        <v>0</v>
      </c>
      <c r="J1789" s="47">
        <f t="shared" si="75"/>
        <v>0</v>
      </c>
      <c r="K1789" s="47">
        <v>8.0000000000000004E-4</v>
      </c>
      <c r="L1789" s="47">
        <f t="shared" si="77"/>
        <v>3.5257134651613521E-4</v>
      </c>
      <c r="M1789" s="47">
        <f t="shared" si="73"/>
        <v>2.5687070166196886E-3</v>
      </c>
      <c r="N1789" s="47">
        <v>0</v>
      </c>
      <c r="O1789" s="47">
        <f t="shared" si="78"/>
        <v>0</v>
      </c>
      <c r="P1789" s="92"/>
    </row>
    <row r="1790" spans="1:16" x14ac:dyDescent="0.25">
      <c r="A1790" s="40">
        <v>57</v>
      </c>
      <c r="B1790" s="41">
        <v>438146</v>
      </c>
      <c r="C1790" s="41">
        <v>5688977</v>
      </c>
      <c r="D1790" s="41">
        <v>23</v>
      </c>
      <c r="E1790" s="41" t="s">
        <v>123</v>
      </c>
      <c r="F1790" s="50">
        <v>2016</v>
      </c>
      <c r="G1790" s="51">
        <v>2.3699999999999999E-2</v>
      </c>
      <c r="H1790" s="51">
        <f t="shared" si="76"/>
        <v>7.9579651961286229E-3</v>
      </c>
      <c r="I1790" s="51">
        <v>0</v>
      </c>
      <c r="J1790" s="51">
        <f t="shared" si="75"/>
        <v>0</v>
      </c>
      <c r="K1790" s="51">
        <v>2E-3</v>
      </c>
      <c r="L1790" s="51">
        <f t="shared" si="77"/>
        <v>8.8142836629033809E-4</v>
      </c>
      <c r="M1790" s="51">
        <f t="shared" si="73"/>
        <v>7.0765368298382845E-3</v>
      </c>
      <c r="N1790" s="51">
        <v>0</v>
      </c>
      <c r="O1790" s="51">
        <f t="shared" si="78"/>
        <v>0</v>
      </c>
      <c r="P1790" s="101"/>
    </row>
    <row r="1791" spans="1:16" x14ac:dyDescent="0.25">
      <c r="A1791" s="40">
        <v>58</v>
      </c>
      <c r="B1791" s="41">
        <v>438131</v>
      </c>
      <c r="C1791" s="41">
        <v>5688972</v>
      </c>
      <c r="D1791" s="41">
        <v>23</v>
      </c>
      <c r="E1791" s="41" t="s">
        <v>123</v>
      </c>
      <c r="F1791" s="50">
        <v>2016</v>
      </c>
      <c r="G1791" s="51">
        <v>4.53E-2</v>
      </c>
      <c r="H1791" s="51">
        <f t="shared" si="76"/>
        <v>1.5210794235638255E-2</v>
      </c>
      <c r="I1791" s="51">
        <v>0</v>
      </c>
      <c r="J1791" s="51">
        <f t="shared" si="75"/>
        <v>0</v>
      </c>
      <c r="K1791" s="51">
        <v>1.1699999999999999E-2</v>
      </c>
      <c r="L1791" s="51">
        <f t="shared" si="77"/>
        <v>5.1563559427984769E-3</v>
      </c>
      <c r="M1791" s="51">
        <f t="shared" si="73"/>
        <v>1.0054438292839779E-2</v>
      </c>
      <c r="N1791" s="51">
        <v>0</v>
      </c>
      <c r="O1791" s="51">
        <f t="shared" si="78"/>
        <v>0</v>
      </c>
      <c r="P1791" s="101"/>
    </row>
    <row r="1792" spans="1:16" x14ac:dyDescent="0.25">
      <c r="A1792" s="40">
        <v>59</v>
      </c>
      <c r="B1792" s="41">
        <v>438089</v>
      </c>
      <c r="C1792" s="41">
        <v>5688713</v>
      </c>
      <c r="D1792" s="41">
        <v>23</v>
      </c>
      <c r="E1792" s="41" t="s">
        <v>123</v>
      </c>
      <c r="F1792" s="50">
        <v>2016</v>
      </c>
      <c r="G1792" s="51">
        <v>0.1951</v>
      </c>
      <c r="H1792" s="51">
        <f t="shared" si="76"/>
        <v>6.5510506741126351E-2</v>
      </c>
      <c r="I1792" s="51">
        <v>0</v>
      </c>
      <c r="J1792" s="51">
        <f t="shared" si="75"/>
        <v>0</v>
      </c>
      <c r="K1792" s="51">
        <v>2.35E-2</v>
      </c>
      <c r="L1792" s="51">
        <f t="shared" si="77"/>
        <v>1.0356783303911472E-2</v>
      </c>
      <c r="M1792" s="51">
        <f t="shared" si="73"/>
        <v>5.5153723437214877E-2</v>
      </c>
      <c r="N1792" s="51">
        <v>0</v>
      </c>
      <c r="O1792" s="51">
        <f t="shared" si="78"/>
        <v>0</v>
      </c>
      <c r="P1792" s="101"/>
    </row>
    <row r="1793" spans="1:19" x14ac:dyDescent="0.25">
      <c r="A1793" s="40">
        <v>60</v>
      </c>
      <c r="B1793" s="41">
        <v>438099</v>
      </c>
      <c r="C1793" s="41">
        <v>5688719</v>
      </c>
      <c r="D1793" s="41">
        <v>23</v>
      </c>
      <c r="E1793" s="41" t="s">
        <v>123</v>
      </c>
      <c r="F1793" s="50">
        <v>2016</v>
      </c>
      <c r="G1793" s="51">
        <v>6.4399999999999999E-2</v>
      </c>
      <c r="H1793" s="51">
        <f t="shared" si="76"/>
        <v>2.1624175469649086E-2</v>
      </c>
      <c r="I1793" s="51">
        <v>0</v>
      </c>
      <c r="J1793" s="51">
        <f t="shared" si="75"/>
        <v>0</v>
      </c>
      <c r="K1793" s="51">
        <v>1.34E-2</v>
      </c>
      <c r="L1793" s="51">
        <f t="shared" si="77"/>
        <v>5.9055700541452653E-3</v>
      </c>
      <c r="M1793" s="51">
        <f t="shared" si="73"/>
        <v>1.5718605415503822E-2</v>
      </c>
      <c r="N1793" s="51">
        <v>0</v>
      </c>
      <c r="O1793" s="51">
        <f t="shared" si="78"/>
        <v>0</v>
      </c>
      <c r="P1793" s="101"/>
    </row>
    <row r="1794" spans="1:19" x14ac:dyDescent="0.25">
      <c r="A1794" s="42">
        <v>1</v>
      </c>
      <c r="B1794" s="43">
        <v>437930.10856199998</v>
      </c>
      <c r="C1794" s="43">
        <v>5688036.3324180003</v>
      </c>
      <c r="D1794" s="44">
        <v>20</v>
      </c>
      <c r="E1794" s="44" t="s">
        <v>36</v>
      </c>
      <c r="F1794" s="44">
        <v>2016</v>
      </c>
      <c r="G1794" s="44" t="s">
        <v>18</v>
      </c>
      <c r="H1794" s="44" t="s">
        <v>18</v>
      </c>
      <c r="I1794" s="44" t="s">
        <v>18</v>
      </c>
      <c r="J1794" s="44" t="s">
        <v>18</v>
      </c>
      <c r="K1794" s="44" t="s">
        <v>18</v>
      </c>
      <c r="L1794" s="44" t="s">
        <v>18</v>
      </c>
      <c r="M1794" s="44" t="s">
        <v>18</v>
      </c>
      <c r="N1794" s="44" t="s">
        <v>18</v>
      </c>
      <c r="O1794" s="44" t="s">
        <v>18</v>
      </c>
      <c r="P1794" s="102" t="s">
        <v>109</v>
      </c>
      <c r="R1794" s="5">
        <f>AVERAGE(M1794:M1853)</f>
        <v>1.4757205438679175E-2</v>
      </c>
      <c r="S1794" s="5">
        <f>AVERAGE(H1794:H1853)</f>
        <v>2.4808454195540123E-2</v>
      </c>
    </row>
    <row r="1795" spans="1:19" x14ac:dyDescent="0.25">
      <c r="A1795" s="42">
        <v>2</v>
      </c>
      <c r="B1795" s="43">
        <v>437811.10856199998</v>
      </c>
      <c r="C1795" s="43">
        <v>5688155.3324180003</v>
      </c>
      <c r="D1795" s="44">
        <v>20</v>
      </c>
      <c r="E1795" s="44" t="s">
        <v>36</v>
      </c>
      <c r="F1795" s="44">
        <v>2016</v>
      </c>
      <c r="G1795" s="44" t="s">
        <v>18</v>
      </c>
      <c r="H1795" s="44" t="s">
        <v>18</v>
      </c>
      <c r="I1795" s="44" t="s">
        <v>18</v>
      </c>
      <c r="J1795" s="44" t="s">
        <v>18</v>
      </c>
      <c r="K1795" s="44" t="s">
        <v>18</v>
      </c>
      <c r="L1795" s="44" t="s">
        <v>18</v>
      </c>
      <c r="M1795" s="44" t="s">
        <v>18</v>
      </c>
      <c r="N1795" s="44" t="s">
        <v>18</v>
      </c>
      <c r="O1795" s="44" t="s">
        <v>18</v>
      </c>
      <c r="P1795" s="102" t="s">
        <v>109</v>
      </c>
    </row>
    <row r="1796" spans="1:19" x14ac:dyDescent="0.25">
      <c r="A1796" s="29">
        <v>3</v>
      </c>
      <c r="B1796" s="30">
        <v>437930.10856199998</v>
      </c>
      <c r="C1796" s="30">
        <v>5688155.3324180003</v>
      </c>
      <c r="D1796" s="30">
        <v>20</v>
      </c>
      <c r="E1796" s="30" t="s">
        <v>36</v>
      </c>
      <c r="F1796" s="46">
        <v>2016</v>
      </c>
      <c r="G1796" s="47">
        <v>2.5700000000000001E-2</v>
      </c>
      <c r="H1796" s="47">
        <f>G1796*0.291682407467064</f>
        <v>7.4962378719035444E-3</v>
      </c>
      <c r="I1796" s="47">
        <v>1.4999999999999999E-2</v>
      </c>
      <c r="J1796" s="47">
        <f>I1796*0.262631488938588</f>
        <v>3.9394723340788196E-3</v>
      </c>
      <c r="K1796" s="47">
        <v>1.61E-2</v>
      </c>
      <c r="L1796" s="47">
        <f>K1796*0.399236139082875</f>
        <v>6.4277018392342872E-3</v>
      </c>
      <c r="M1796" s="47">
        <f>H1796-L1796</f>
        <v>1.0685360326692572E-3</v>
      </c>
      <c r="N1796" s="47">
        <v>1.9399999999999997E-2</v>
      </c>
      <c r="O1796" s="47">
        <f>N1796*0.338488707548599</f>
        <v>6.5666809264428192E-3</v>
      </c>
      <c r="P1796" s="92"/>
    </row>
    <row r="1797" spans="1:19" x14ac:dyDescent="0.25">
      <c r="A1797" s="42">
        <v>4</v>
      </c>
      <c r="B1797" s="43">
        <v>438049.10856199998</v>
      </c>
      <c r="C1797" s="43">
        <v>5688155.3324180003</v>
      </c>
      <c r="D1797" s="44">
        <v>20</v>
      </c>
      <c r="E1797" s="44" t="s">
        <v>36</v>
      </c>
      <c r="F1797" s="44">
        <v>2016</v>
      </c>
      <c r="G1797" s="44" t="s">
        <v>18</v>
      </c>
      <c r="H1797" s="44" t="s">
        <v>18</v>
      </c>
      <c r="I1797" s="44" t="s">
        <v>18</v>
      </c>
      <c r="J1797" s="44" t="s">
        <v>18</v>
      </c>
      <c r="K1797" s="44" t="s">
        <v>18</v>
      </c>
      <c r="L1797" s="44" t="s">
        <v>18</v>
      </c>
      <c r="M1797" s="44" t="s">
        <v>18</v>
      </c>
      <c r="N1797" s="44" t="s">
        <v>18</v>
      </c>
      <c r="O1797" s="44" t="s">
        <v>18</v>
      </c>
      <c r="P1797" s="102" t="s">
        <v>109</v>
      </c>
    </row>
    <row r="1798" spans="1:19" x14ac:dyDescent="0.25">
      <c r="A1798" s="42">
        <v>5</v>
      </c>
      <c r="B1798" s="43">
        <v>437573.10856199998</v>
      </c>
      <c r="C1798" s="43">
        <v>5688274.3324180003</v>
      </c>
      <c r="D1798" s="44">
        <v>20</v>
      </c>
      <c r="E1798" s="44" t="s">
        <v>36</v>
      </c>
      <c r="F1798" s="44">
        <v>2016</v>
      </c>
      <c r="G1798" s="44" t="s">
        <v>18</v>
      </c>
      <c r="H1798" s="44" t="s">
        <v>18</v>
      </c>
      <c r="I1798" s="44" t="s">
        <v>18</v>
      </c>
      <c r="J1798" s="44" t="s">
        <v>18</v>
      </c>
      <c r="K1798" s="44" t="s">
        <v>18</v>
      </c>
      <c r="L1798" s="44" t="s">
        <v>18</v>
      </c>
      <c r="M1798" s="44" t="s">
        <v>18</v>
      </c>
      <c r="N1798" s="44" t="s">
        <v>18</v>
      </c>
      <c r="O1798" s="44" t="s">
        <v>18</v>
      </c>
      <c r="P1798" s="102" t="s">
        <v>109</v>
      </c>
    </row>
    <row r="1799" spans="1:19" x14ac:dyDescent="0.25">
      <c r="A1799" s="29">
        <v>6</v>
      </c>
      <c r="B1799" s="30">
        <v>437692.10856199998</v>
      </c>
      <c r="C1799" s="30">
        <v>5688274.3324180003</v>
      </c>
      <c r="D1799" s="30">
        <v>20</v>
      </c>
      <c r="E1799" s="30" t="s">
        <v>36</v>
      </c>
      <c r="F1799" s="46">
        <v>2016</v>
      </c>
      <c r="G1799" s="47">
        <v>3.44E-2</v>
      </c>
      <c r="H1799" s="47">
        <f>G1799*0.291682407467064</f>
        <v>1.0033874816867001E-2</v>
      </c>
      <c r="I1799" s="47">
        <v>8.2799999999999999E-2</v>
      </c>
      <c r="J1799" s="47">
        <f>I1799*0.262631488938588</f>
        <v>2.1745887284115088E-2</v>
      </c>
      <c r="K1799" s="54">
        <v>1.6300000000000002E-2</v>
      </c>
      <c r="L1799" s="47">
        <f>K1799*0.399236139082875</f>
        <v>6.5075490670508628E-3</v>
      </c>
      <c r="M1799" s="47">
        <f t="shared" ref="M1799:M1853" si="79">H1799-L1799</f>
        <v>3.5263257498161383E-3</v>
      </c>
      <c r="N1799" s="47">
        <v>0.14730000000000001</v>
      </c>
      <c r="O1799" s="47">
        <f>N1799*0.338488707548599</f>
        <v>4.9859386621908634E-2</v>
      </c>
      <c r="P1799" s="92"/>
    </row>
    <row r="1800" spans="1:19" x14ac:dyDescent="0.25">
      <c r="A1800" s="29">
        <v>7</v>
      </c>
      <c r="B1800" s="30">
        <v>437811.10856199998</v>
      </c>
      <c r="C1800" s="30">
        <v>5688274.3324180003</v>
      </c>
      <c r="D1800" s="30">
        <v>20</v>
      </c>
      <c r="E1800" s="30" t="s">
        <v>36</v>
      </c>
      <c r="F1800" s="46">
        <v>2016</v>
      </c>
      <c r="G1800" s="47">
        <v>5.7999999999999996E-3</v>
      </c>
      <c r="H1800" s="47">
        <f>G1800*0.291682407467064</f>
        <v>1.6917579633089709E-3</v>
      </c>
      <c r="I1800" s="47">
        <v>1.47E-2</v>
      </c>
      <c r="J1800" s="47">
        <f>I1800*0.262631488938588</f>
        <v>3.8606828873972436E-3</v>
      </c>
      <c r="K1800" s="47">
        <v>7.3000000000000001E-3</v>
      </c>
      <c r="L1800" s="47">
        <f>K1800*0.399236139082875</f>
        <v>2.9144238153049873E-3</v>
      </c>
      <c r="M1800" s="47">
        <f t="shared" si="79"/>
        <v>-1.2226658519960164E-3</v>
      </c>
      <c r="N1800" s="47">
        <v>0</v>
      </c>
      <c r="O1800" s="47">
        <f>N1800*0.338488707548599</f>
        <v>0</v>
      </c>
      <c r="P1800" s="92"/>
    </row>
    <row r="1801" spans="1:19" x14ac:dyDescent="0.25">
      <c r="A1801" s="42">
        <v>8</v>
      </c>
      <c r="B1801" s="43">
        <v>437930.10856199998</v>
      </c>
      <c r="C1801" s="43">
        <v>5688274.3324180003</v>
      </c>
      <c r="D1801" s="44">
        <v>20</v>
      </c>
      <c r="E1801" s="44" t="s">
        <v>36</v>
      </c>
      <c r="F1801" s="44">
        <v>2016</v>
      </c>
      <c r="G1801" s="44" t="s">
        <v>18</v>
      </c>
      <c r="H1801" s="44" t="s">
        <v>18</v>
      </c>
      <c r="I1801" s="44" t="s">
        <v>18</v>
      </c>
      <c r="J1801" s="44" t="s">
        <v>18</v>
      </c>
      <c r="K1801" s="44" t="s">
        <v>18</v>
      </c>
      <c r="L1801" s="44" t="s">
        <v>18</v>
      </c>
      <c r="M1801" s="44" t="s">
        <v>18</v>
      </c>
      <c r="N1801" s="44" t="s">
        <v>18</v>
      </c>
      <c r="O1801" s="44" t="s">
        <v>18</v>
      </c>
      <c r="P1801" s="102" t="s">
        <v>109</v>
      </c>
    </row>
    <row r="1802" spans="1:19" x14ac:dyDescent="0.25">
      <c r="A1802" s="29">
        <v>9</v>
      </c>
      <c r="B1802" s="30">
        <v>438287.10856199998</v>
      </c>
      <c r="C1802" s="30">
        <v>5688274.3324180003</v>
      </c>
      <c r="D1802" s="30">
        <v>19</v>
      </c>
      <c r="E1802" s="30" t="s">
        <v>36</v>
      </c>
      <c r="F1802" s="46">
        <v>2016</v>
      </c>
      <c r="G1802" s="47">
        <v>0.10150000000000001</v>
      </c>
      <c r="H1802" s="47">
        <f>G1802*0.255931724893272</f>
        <v>2.5977070076667108E-2</v>
      </c>
      <c r="I1802" s="47">
        <v>0</v>
      </c>
      <c r="J1802" s="47">
        <f>I1802*0.533333333333333</f>
        <v>0</v>
      </c>
      <c r="K1802" s="47">
        <v>3.5999999999999999E-3</v>
      </c>
      <c r="L1802" s="47">
        <f>K1802*0.357757380302654</f>
        <v>1.2879265690895546E-3</v>
      </c>
      <c r="M1802" s="47">
        <f t="shared" si="79"/>
        <v>2.4689143507577553E-2</v>
      </c>
      <c r="N1802" s="47">
        <v>0</v>
      </c>
      <c r="O1802" s="47">
        <f>N1802*0.464949724934323</f>
        <v>0</v>
      </c>
      <c r="P1802" s="92"/>
    </row>
    <row r="1803" spans="1:19" x14ac:dyDescent="0.25">
      <c r="A1803" s="29">
        <v>10</v>
      </c>
      <c r="B1803" s="30">
        <v>438406.10856199998</v>
      </c>
      <c r="C1803" s="30">
        <v>5688274.3324180003</v>
      </c>
      <c r="D1803" s="30">
        <v>19</v>
      </c>
      <c r="E1803" s="30" t="s">
        <v>36</v>
      </c>
      <c r="F1803" s="46">
        <v>2016</v>
      </c>
      <c r="G1803" s="47">
        <v>7.8400000000000011E-2</v>
      </c>
      <c r="H1803" s="47">
        <f>G1803*0.255931724893272</f>
        <v>2.0065047231632525E-2</v>
      </c>
      <c r="I1803" s="47">
        <v>0</v>
      </c>
      <c r="J1803" s="47">
        <f>I1803*0.533333333333333</f>
        <v>0</v>
      </c>
      <c r="K1803" s="47">
        <v>3.2000000000000002E-3</v>
      </c>
      <c r="L1803" s="47">
        <f>K1803*0.357757380302654</f>
        <v>1.1448236169684929E-3</v>
      </c>
      <c r="M1803" s="47">
        <f t="shared" si="79"/>
        <v>1.8920223614664031E-2</v>
      </c>
      <c r="N1803" s="47">
        <v>0</v>
      </c>
      <c r="O1803" s="47">
        <f>N1803*0.464949724934323</f>
        <v>0</v>
      </c>
      <c r="P1803" s="92"/>
    </row>
    <row r="1804" spans="1:19" x14ac:dyDescent="0.25">
      <c r="A1804" s="42">
        <v>11</v>
      </c>
      <c r="B1804" s="43">
        <v>437454.10856199998</v>
      </c>
      <c r="C1804" s="43">
        <v>5688393.3324180003</v>
      </c>
      <c r="D1804" s="44">
        <v>20</v>
      </c>
      <c r="E1804" s="44" t="s">
        <v>36</v>
      </c>
      <c r="F1804" s="44">
        <v>2016</v>
      </c>
      <c r="G1804" s="44" t="s">
        <v>18</v>
      </c>
      <c r="H1804" s="44" t="s">
        <v>18</v>
      </c>
      <c r="I1804" s="44" t="s">
        <v>18</v>
      </c>
      <c r="J1804" s="44" t="s">
        <v>18</v>
      </c>
      <c r="K1804" s="44" t="s">
        <v>18</v>
      </c>
      <c r="L1804" s="44" t="s">
        <v>18</v>
      </c>
      <c r="M1804" s="44" t="s">
        <v>18</v>
      </c>
      <c r="N1804" s="44" t="s">
        <v>18</v>
      </c>
      <c r="O1804" s="44" t="s">
        <v>18</v>
      </c>
      <c r="P1804" s="102" t="s">
        <v>109</v>
      </c>
    </row>
    <row r="1805" spans="1:19" x14ac:dyDescent="0.25">
      <c r="A1805" s="29">
        <v>12</v>
      </c>
      <c r="B1805" s="30">
        <v>437573.10856199998</v>
      </c>
      <c r="C1805" s="30">
        <v>5688393.3324180003</v>
      </c>
      <c r="D1805" s="30">
        <v>20</v>
      </c>
      <c r="E1805" s="30" t="s">
        <v>36</v>
      </c>
      <c r="F1805" s="46">
        <v>2016</v>
      </c>
      <c r="G1805" s="47">
        <v>3.5999999999999997E-2</v>
      </c>
      <c r="H1805" s="47">
        <f>G1805*0.291682407467064</f>
        <v>1.0500566668814302E-2</v>
      </c>
      <c r="I1805" s="47">
        <v>2.8799999999999999E-2</v>
      </c>
      <c r="J1805" s="47">
        <f>I1805*0.262631488938588</f>
        <v>7.5637868814313345E-3</v>
      </c>
      <c r="K1805" s="47">
        <v>4.5399999999999996E-2</v>
      </c>
      <c r="L1805" s="47">
        <f>K1805*0.399236139082875</f>
        <v>1.8125320714362521E-2</v>
      </c>
      <c r="M1805" s="47">
        <f t="shared" si="79"/>
        <v>-7.6247540455482189E-3</v>
      </c>
      <c r="N1805" s="47">
        <v>1.3099999999999999E-2</v>
      </c>
      <c r="O1805" s="47">
        <f>N1805*0.338488707548599</f>
        <v>4.4342020688866463E-3</v>
      </c>
      <c r="P1805" s="92"/>
    </row>
    <row r="1806" spans="1:19" x14ac:dyDescent="0.25">
      <c r="A1806" s="29">
        <v>13</v>
      </c>
      <c r="B1806" s="30">
        <v>437692.10856199998</v>
      </c>
      <c r="C1806" s="30">
        <v>5688393.3324180003</v>
      </c>
      <c r="D1806" s="30">
        <v>20</v>
      </c>
      <c r="E1806" s="30" t="s">
        <v>36</v>
      </c>
      <c r="F1806" s="46">
        <v>2016</v>
      </c>
      <c r="G1806" s="47">
        <v>9.1700000000000004E-2</v>
      </c>
      <c r="H1806" s="47">
        <f>G1806*0.291682407467064</f>
        <v>2.6747276764729766E-2</v>
      </c>
      <c r="I1806" s="47">
        <v>0.24230000000000002</v>
      </c>
      <c r="J1806" s="47">
        <f>I1806*0.262631488938588</f>
        <v>6.3635609769819884E-2</v>
      </c>
      <c r="K1806" s="47">
        <v>3.27E-2</v>
      </c>
      <c r="L1806" s="47">
        <f>K1806*0.399236139082875</f>
        <v>1.3055021748010012E-2</v>
      </c>
      <c r="M1806" s="47">
        <f t="shared" si="79"/>
        <v>1.3692255016719754E-2</v>
      </c>
      <c r="N1806" s="47">
        <v>3.3600000000000005E-2</v>
      </c>
      <c r="O1806" s="47">
        <f>N1806*0.338488707548599</f>
        <v>1.1373220573632927E-2</v>
      </c>
      <c r="P1806" s="92"/>
    </row>
    <row r="1807" spans="1:19" x14ac:dyDescent="0.25">
      <c r="A1807" s="32">
        <v>14</v>
      </c>
      <c r="B1807" s="33">
        <v>437811.10856199998</v>
      </c>
      <c r="C1807" s="33">
        <v>5688393.3324180003</v>
      </c>
      <c r="D1807" s="48">
        <v>20</v>
      </c>
      <c r="E1807" s="48" t="s">
        <v>36</v>
      </c>
      <c r="F1807" s="48">
        <v>2016</v>
      </c>
      <c r="G1807" s="48" t="s">
        <v>18</v>
      </c>
      <c r="H1807" s="48" t="s">
        <v>18</v>
      </c>
      <c r="I1807" s="48" t="s">
        <v>18</v>
      </c>
      <c r="J1807" s="48" t="s">
        <v>18</v>
      </c>
      <c r="K1807" s="48" t="s">
        <v>18</v>
      </c>
      <c r="L1807" s="48" t="s">
        <v>18</v>
      </c>
      <c r="M1807" s="48" t="s">
        <v>18</v>
      </c>
      <c r="N1807" s="48" t="s">
        <v>18</v>
      </c>
      <c r="O1807" s="48" t="s">
        <v>18</v>
      </c>
      <c r="P1807" s="103" t="s">
        <v>89</v>
      </c>
    </row>
    <row r="1808" spans="1:19" x14ac:dyDescent="0.25">
      <c r="A1808" s="29">
        <v>15</v>
      </c>
      <c r="B1808" s="30">
        <v>437930.10856199998</v>
      </c>
      <c r="C1808" s="30">
        <v>5688393.3324180003</v>
      </c>
      <c r="D1808" s="30">
        <v>20</v>
      </c>
      <c r="E1808" s="30" t="s">
        <v>36</v>
      </c>
      <c r="F1808" s="46">
        <v>2016</v>
      </c>
      <c r="G1808" s="47">
        <v>7.6299999999999993E-2</v>
      </c>
      <c r="H1808" s="47">
        <f>G1808*0.291682407467064</f>
        <v>2.2255367689736981E-2</v>
      </c>
      <c r="I1808" s="47">
        <v>2.2699999999999998E-2</v>
      </c>
      <c r="J1808" s="47">
        <f>I1808*0.262631488938588</f>
        <v>5.9617347989059473E-3</v>
      </c>
      <c r="K1808" s="47">
        <v>6.1600000000000002E-2</v>
      </c>
      <c r="L1808" s="47">
        <f>K1808*0.399236139082875</f>
        <v>2.4592946167505098E-2</v>
      </c>
      <c r="M1808" s="47">
        <f t="shared" si="79"/>
        <v>-2.3375784777681166E-3</v>
      </c>
      <c r="N1808" s="47">
        <v>4.8000000000000001E-2</v>
      </c>
      <c r="O1808" s="47">
        <f>N1808*0.338488707548599</f>
        <v>1.6247457962332752E-2</v>
      </c>
      <c r="P1808" s="92"/>
    </row>
    <row r="1809" spans="1:16" x14ac:dyDescent="0.25">
      <c r="A1809" s="29">
        <v>16</v>
      </c>
      <c r="B1809" s="30">
        <v>438049.10856199998</v>
      </c>
      <c r="C1809" s="30">
        <v>5688393.3324180003</v>
      </c>
      <c r="D1809" s="30">
        <v>20</v>
      </c>
      <c r="E1809" s="30" t="s">
        <v>36</v>
      </c>
      <c r="F1809" s="46">
        <v>2016</v>
      </c>
      <c r="G1809" s="46" t="s">
        <v>18</v>
      </c>
      <c r="H1809" s="46" t="s">
        <v>18</v>
      </c>
      <c r="I1809" s="46" t="s">
        <v>18</v>
      </c>
      <c r="J1809" s="46" t="s">
        <v>18</v>
      </c>
      <c r="K1809" s="47">
        <v>1.8200000000000001E-2</v>
      </c>
      <c r="L1809" s="47">
        <f>K1809*0.399236139082875</f>
        <v>7.2660977313083247E-3</v>
      </c>
      <c r="M1809" s="46" t="s">
        <v>18</v>
      </c>
      <c r="N1809" s="47">
        <v>5.45E-2</v>
      </c>
      <c r="O1809" s="47">
        <f>N1809*0.338488707548599</f>
        <v>1.8447634561398644E-2</v>
      </c>
      <c r="P1809" s="92" t="s">
        <v>151</v>
      </c>
    </row>
    <row r="1810" spans="1:16" x14ac:dyDescent="0.25">
      <c r="A1810" s="29">
        <v>17</v>
      </c>
      <c r="B1810" s="30">
        <v>438168.10856199998</v>
      </c>
      <c r="C1810" s="30">
        <v>5688393.3324180003</v>
      </c>
      <c r="D1810" s="30">
        <v>20</v>
      </c>
      <c r="E1810" s="30" t="s">
        <v>36</v>
      </c>
      <c r="F1810" s="46">
        <v>2016</v>
      </c>
      <c r="G1810" s="47">
        <v>8.5900000000000004E-2</v>
      </c>
      <c r="H1810" s="47">
        <f>G1810*0.291682407467064</f>
        <v>2.5055518801420797E-2</v>
      </c>
      <c r="I1810" s="47">
        <v>0</v>
      </c>
      <c r="J1810" s="47">
        <f>I1810*0.262631488938588</f>
        <v>0</v>
      </c>
      <c r="K1810" s="47">
        <v>2.9899999999999999E-2</v>
      </c>
      <c r="L1810" s="47">
        <f>K1810*0.399236139082875</f>
        <v>1.1937160558577962E-2</v>
      </c>
      <c r="M1810" s="47">
        <f t="shared" si="79"/>
        <v>1.3118358242842834E-2</v>
      </c>
      <c r="N1810" s="47">
        <v>4.2000000000000003E-2</v>
      </c>
      <c r="O1810" s="47">
        <f>N1810*0.338488707548599</f>
        <v>1.4216525717041158E-2</v>
      </c>
      <c r="P1810" s="92"/>
    </row>
    <row r="1811" spans="1:16" x14ac:dyDescent="0.25">
      <c r="A1811" s="29">
        <v>18</v>
      </c>
      <c r="B1811" s="30">
        <v>438287.10856199998</v>
      </c>
      <c r="C1811" s="30">
        <v>5688393.3324180003</v>
      </c>
      <c r="D1811" s="30">
        <v>19</v>
      </c>
      <c r="E1811" s="30" t="s">
        <v>36</v>
      </c>
      <c r="F1811" s="46">
        <v>2016</v>
      </c>
      <c r="G1811" s="47">
        <v>2.5899999999999999E-2</v>
      </c>
      <c r="H1811" s="47">
        <f>G1811*0.255931724893272</f>
        <v>6.6286316747357441E-3</v>
      </c>
      <c r="I1811" s="47">
        <v>0</v>
      </c>
      <c r="J1811" s="47">
        <f>I1811*0.533333333333333</f>
        <v>0</v>
      </c>
      <c r="K1811" s="47">
        <v>2.1700000000000001E-2</v>
      </c>
      <c r="L1811" s="47">
        <f>K1811*0.357757380302654</f>
        <v>7.7633351525675928E-3</v>
      </c>
      <c r="M1811" s="47">
        <f t="shared" si="79"/>
        <v>-1.1347034778318487E-3</v>
      </c>
      <c r="N1811" s="47">
        <v>0</v>
      </c>
      <c r="O1811" s="47">
        <f>N1811*0.464949724934323</f>
        <v>0</v>
      </c>
      <c r="P1811" s="92"/>
    </row>
    <row r="1812" spans="1:16" x14ac:dyDescent="0.25">
      <c r="A1812" s="29">
        <v>19</v>
      </c>
      <c r="B1812" s="30">
        <v>438406.10856199998</v>
      </c>
      <c r="C1812" s="30">
        <v>5688393.3324180003</v>
      </c>
      <c r="D1812" s="30">
        <v>19</v>
      </c>
      <c r="E1812" s="30" t="s">
        <v>36</v>
      </c>
      <c r="F1812" s="46">
        <v>2016</v>
      </c>
      <c r="G1812" s="47">
        <v>8.8400000000000006E-2</v>
      </c>
      <c r="H1812" s="47">
        <f>G1812*0.255931724893272</f>
        <v>2.2624364480565245E-2</v>
      </c>
      <c r="I1812" s="47">
        <v>0</v>
      </c>
      <c r="J1812" s="47">
        <f>I1812*0.533333333333333</f>
        <v>0</v>
      </c>
      <c r="K1812" s="47">
        <v>3.4099999999999998E-2</v>
      </c>
      <c r="L1812" s="47">
        <f>K1812*0.357757380302654</f>
        <v>1.2199526668320502E-2</v>
      </c>
      <c r="M1812" s="47">
        <f t="shared" si="79"/>
        <v>1.0424837812244743E-2</v>
      </c>
      <c r="N1812" s="47">
        <v>0</v>
      </c>
      <c r="O1812" s="47">
        <f>N1812*0.464949724934323</f>
        <v>0</v>
      </c>
      <c r="P1812" s="92"/>
    </row>
    <row r="1813" spans="1:16" x14ac:dyDescent="0.25">
      <c r="A1813" s="42">
        <v>20</v>
      </c>
      <c r="B1813" s="43">
        <v>437335.10856199998</v>
      </c>
      <c r="C1813" s="43">
        <v>5688512.3324180003</v>
      </c>
      <c r="D1813" s="44">
        <v>20</v>
      </c>
      <c r="E1813" s="44" t="s">
        <v>36</v>
      </c>
      <c r="F1813" s="44">
        <v>2016</v>
      </c>
      <c r="G1813" s="44" t="s">
        <v>18</v>
      </c>
      <c r="H1813" s="44" t="s">
        <v>18</v>
      </c>
      <c r="I1813" s="44" t="s">
        <v>18</v>
      </c>
      <c r="J1813" s="44" t="s">
        <v>18</v>
      </c>
      <c r="K1813" s="44" t="s">
        <v>18</v>
      </c>
      <c r="L1813" s="44" t="s">
        <v>18</v>
      </c>
      <c r="M1813" s="44" t="s">
        <v>18</v>
      </c>
      <c r="N1813" s="44" t="s">
        <v>18</v>
      </c>
      <c r="O1813" s="44" t="s">
        <v>18</v>
      </c>
      <c r="P1813" s="102" t="s">
        <v>109</v>
      </c>
    </row>
    <row r="1814" spans="1:16" x14ac:dyDescent="0.25">
      <c r="A1814" s="29">
        <v>21</v>
      </c>
      <c r="B1814" s="30">
        <v>437454.10856199998</v>
      </c>
      <c r="C1814" s="30">
        <v>5688512.3324180003</v>
      </c>
      <c r="D1814" s="30">
        <v>20</v>
      </c>
      <c r="E1814" s="30" t="s">
        <v>36</v>
      </c>
      <c r="F1814" s="46">
        <v>2016</v>
      </c>
      <c r="G1814" s="47">
        <v>7.5200000000000003E-2</v>
      </c>
      <c r="H1814" s="47">
        <f>G1814*0.291682407467064</f>
        <v>2.1934517041523213E-2</v>
      </c>
      <c r="I1814" s="47">
        <v>0</v>
      </c>
      <c r="J1814" s="47">
        <f>I1814*0.262631488938588</f>
        <v>0</v>
      </c>
      <c r="K1814" s="47">
        <v>3.5900000000000001E-2</v>
      </c>
      <c r="L1814" s="47">
        <f>K1814*0.399236139082875</f>
        <v>1.4332577393075212E-2</v>
      </c>
      <c r="M1814" s="47">
        <f t="shared" si="79"/>
        <v>7.6019396484480004E-3</v>
      </c>
      <c r="N1814" s="47">
        <v>0</v>
      </c>
      <c r="O1814" s="47">
        <f>N1814*0.338488707548599</f>
        <v>0</v>
      </c>
      <c r="P1814" s="92"/>
    </row>
    <row r="1815" spans="1:16" x14ac:dyDescent="0.25">
      <c r="A1815" s="29">
        <v>22</v>
      </c>
      <c r="B1815" s="30">
        <v>437573.10856199998</v>
      </c>
      <c r="C1815" s="30">
        <v>5688512.3324180003</v>
      </c>
      <c r="D1815" s="30">
        <v>20</v>
      </c>
      <c r="E1815" s="30" t="s">
        <v>36</v>
      </c>
      <c r="F1815" s="46">
        <v>2016</v>
      </c>
      <c r="G1815" s="47">
        <v>0.114</v>
      </c>
      <c r="H1815" s="47">
        <f>G1815*0.291682407467064</f>
        <v>3.3251794451245292E-2</v>
      </c>
      <c r="I1815" s="47">
        <v>0.41570000000000001</v>
      </c>
      <c r="J1815" s="47">
        <f>I1815*0.262631488938588</f>
        <v>0.10917590995177104</v>
      </c>
      <c r="K1815" s="47">
        <v>4.2900000000000001E-2</v>
      </c>
      <c r="L1815" s="47">
        <f>K1815*0.399236139082875</f>
        <v>1.7127230366655338E-2</v>
      </c>
      <c r="M1815" s="47">
        <f t="shared" si="79"/>
        <v>1.6124564084589954E-2</v>
      </c>
      <c r="N1815" s="47">
        <v>2.5100000000000001E-2</v>
      </c>
      <c r="O1815" s="47">
        <f>N1815*0.338488707548599</f>
        <v>8.4960665594698351E-3</v>
      </c>
      <c r="P1815" s="92"/>
    </row>
    <row r="1816" spans="1:16" x14ac:dyDescent="0.25">
      <c r="A1816" s="29">
        <v>23</v>
      </c>
      <c r="B1816" s="30">
        <v>437692.10856199998</v>
      </c>
      <c r="C1816" s="30">
        <v>5688512.3324180003</v>
      </c>
      <c r="D1816" s="30">
        <v>20</v>
      </c>
      <c r="E1816" s="30" t="s">
        <v>36</v>
      </c>
      <c r="F1816" s="46">
        <v>2016</v>
      </c>
      <c r="G1816" s="47">
        <v>1.77E-2</v>
      </c>
      <c r="H1816" s="47">
        <f>G1816*0.291682407467064</f>
        <v>5.1627786121670322E-3</v>
      </c>
      <c r="I1816" s="47">
        <v>5.5999999999999999E-3</v>
      </c>
      <c r="J1816" s="47">
        <f>I1816*0.262631488938588</f>
        <v>1.4707363380560929E-3</v>
      </c>
      <c r="K1816" s="47">
        <v>3.7200000000000004E-2</v>
      </c>
      <c r="L1816" s="47">
        <f>K1816*0.399236139082875</f>
        <v>1.485158437388295E-2</v>
      </c>
      <c r="M1816" s="47">
        <f t="shared" si="79"/>
        <v>-9.6888057617159178E-3</v>
      </c>
      <c r="N1816" s="47">
        <v>0</v>
      </c>
      <c r="O1816" s="47">
        <f>N1816*0.338488707548599</f>
        <v>0</v>
      </c>
      <c r="P1816" s="92"/>
    </row>
    <row r="1817" spans="1:16" x14ac:dyDescent="0.25">
      <c r="A1817" s="29">
        <v>24</v>
      </c>
      <c r="B1817" s="30">
        <v>437811.10856199998</v>
      </c>
      <c r="C1817" s="30">
        <v>5688512.3324180003</v>
      </c>
      <c r="D1817" s="30">
        <v>20</v>
      </c>
      <c r="E1817" s="30" t="s">
        <v>36</v>
      </c>
      <c r="F1817" s="46">
        <v>2016</v>
      </c>
      <c r="G1817" s="47">
        <v>0.2092</v>
      </c>
      <c r="H1817" s="47">
        <f>G1817*0.291682407467064</f>
        <v>6.1019959642109781E-2</v>
      </c>
      <c r="I1817" s="47">
        <v>0</v>
      </c>
      <c r="J1817" s="47">
        <f>I1817*0.262631488938588</f>
        <v>0</v>
      </c>
      <c r="K1817" s="47">
        <v>8.3599999999999994E-2</v>
      </c>
      <c r="L1817" s="47">
        <f>K1817*0.399236139082875</f>
        <v>3.3376141227328349E-2</v>
      </c>
      <c r="M1817" s="47">
        <f t="shared" si="79"/>
        <v>2.7643818414781432E-2</v>
      </c>
      <c r="N1817" s="47">
        <v>0</v>
      </c>
      <c r="O1817" s="47">
        <f>N1817*0.338488707548599</f>
        <v>0</v>
      </c>
      <c r="P1817" s="92"/>
    </row>
    <row r="1818" spans="1:16" x14ac:dyDescent="0.25">
      <c r="A1818" s="29">
        <v>25</v>
      </c>
      <c r="B1818" s="46">
        <v>437995</v>
      </c>
      <c r="C1818" s="46">
        <v>5688493</v>
      </c>
      <c r="D1818" s="30">
        <v>19</v>
      </c>
      <c r="E1818" s="30" t="s">
        <v>36</v>
      </c>
      <c r="F1818" s="46">
        <v>2016</v>
      </c>
      <c r="G1818" s="47">
        <v>6.720000000000001E-2</v>
      </c>
      <c r="H1818" s="47">
        <f>G1818*0.255931724893272</f>
        <v>1.7198611912827878E-2</v>
      </c>
      <c r="I1818" s="47">
        <v>0</v>
      </c>
      <c r="J1818" s="47">
        <f>I1818*0.533333333333333</f>
        <v>0</v>
      </c>
      <c r="K1818" s="47">
        <v>3.5700000000000003E-2</v>
      </c>
      <c r="L1818" s="47">
        <f>K1818*0.357757380302654</f>
        <v>1.277193847680475E-2</v>
      </c>
      <c r="M1818" s="47">
        <f t="shared" si="79"/>
        <v>4.4266734360231281E-3</v>
      </c>
      <c r="N1818" s="47">
        <v>0</v>
      </c>
      <c r="O1818" s="47">
        <f>N1818*0.464949724934323</f>
        <v>0</v>
      </c>
      <c r="P1818" s="92"/>
    </row>
    <row r="1819" spans="1:16" x14ac:dyDescent="0.25">
      <c r="A1819" s="29">
        <v>26</v>
      </c>
      <c r="B1819" s="46">
        <v>438112</v>
      </c>
      <c r="C1819" s="46">
        <v>5688567</v>
      </c>
      <c r="D1819" s="30">
        <v>19</v>
      </c>
      <c r="E1819" s="30" t="s">
        <v>36</v>
      </c>
      <c r="F1819" s="46">
        <v>2016</v>
      </c>
      <c r="G1819" s="47">
        <v>0.1366</v>
      </c>
      <c r="H1819" s="47">
        <f>G1819*0.255931724893272</f>
        <v>3.4960273620420951E-2</v>
      </c>
      <c r="I1819" s="47">
        <v>6.4999999999999997E-3</v>
      </c>
      <c r="J1819" s="47">
        <f>I1819*0.533333333333333</f>
        <v>3.4666666666666643E-3</v>
      </c>
      <c r="K1819" s="47">
        <v>1.6899999999999998E-2</v>
      </c>
      <c r="L1819" s="47">
        <f>K1819*0.357757380302654</f>
        <v>6.0460997271148528E-3</v>
      </c>
      <c r="M1819" s="47">
        <f t="shared" si="79"/>
        <v>2.8914173893306097E-2</v>
      </c>
      <c r="N1819" s="47">
        <v>0</v>
      </c>
      <c r="O1819" s="47">
        <f>N1819*0.464949724934323</f>
        <v>0</v>
      </c>
      <c r="P1819" s="92"/>
    </row>
    <row r="1820" spans="1:16" x14ac:dyDescent="0.25">
      <c r="A1820" s="32">
        <v>27</v>
      </c>
      <c r="B1820" s="33">
        <v>438168.10856199998</v>
      </c>
      <c r="C1820" s="33">
        <v>5688512.3324180003</v>
      </c>
      <c r="D1820" s="48">
        <v>20</v>
      </c>
      <c r="E1820" s="48" t="s">
        <v>36</v>
      </c>
      <c r="F1820" s="48">
        <v>2016</v>
      </c>
      <c r="G1820" s="48" t="s">
        <v>18</v>
      </c>
      <c r="H1820" s="48" t="s">
        <v>18</v>
      </c>
      <c r="I1820" s="48" t="s">
        <v>18</v>
      </c>
      <c r="J1820" s="48" t="s">
        <v>18</v>
      </c>
      <c r="K1820" s="48" t="s">
        <v>18</v>
      </c>
      <c r="L1820" s="48" t="s">
        <v>18</v>
      </c>
      <c r="M1820" s="48" t="s">
        <v>18</v>
      </c>
      <c r="N1820" s="48" t="s">
        <v>18</v>
      </c>
      <c r="O1820" s="48" t="s">
        <v>18</v>
      </c>
      <c r="P1820" s="103" t="s">
        <v>89</v>
      </c>
    </row>
    <row r="1821" spans="1:16" x14ac:dyDescent="0.25">
      <c r="A1821" s="32">
        <v>28</v>
      </c>
      <c r="B1821" s="33">
        <v>438287.10856199998</v>
      </c>
      <c r="C1821" s="33">
        <v>5688512.3324180003</v>
      </c>
      <c r="D1821" s="48">
        <v>20</v>
      </c>
      <c r="E1821" s="48" t="s">
        <v>36</v>
      </c>
      <c r="F1821" s="48">
        <v>2016</v>
      </c>
      <c r="G1821" s="48" t="s">
        <v>18</v>
      </c>
      <c r="H1821" s="48" t="s">
        <v>18</v>
      </c>
      <c r="I1821" s="48" t="s">
        <v>18</v>
      </c>
      <c r="J1821" s="48" t="s">
        <v>18</v>
      </c>
      <c r="K1821" s="48" t="s">
        <v>18</v>
      </c>
      <c r="L1821" s="48" t="s">
        <v>18</v>
      </c>
      <c r="M1821" s="48" t="s">
        <v>18</v>
      </c>
      <c r="N1821" s="48" t="s">
        <v>18</v>
      </c>
      <c r="O1821" s="48" t="s">
        <v>18</v>
      </c>
      <c r="P1821" s="103" t="s">
        <v>89</v>
      </c>
    </row>
    <row r="1822" spans="1:16" x14ac:dyDescent="0.25">
      <c r="A1822" s="29">
        <v>29</v>
      </c>
      <c r="B1822" s="30">
        <v>438381</v>
      </c>
      <c r="C1822" s="30">
        <v>5688526</v>
      </c>
      <c r="D1822" s="30">
        <v>19</v>
      </c>
      <c r="E1822" s="30" t="s">
        <v>36</v>
      </c>
      <c r="F1822" s="46">
        <v>2016</v>
      </c>
      <c r="G1822" s="47">
        <v>6.6900000000000001E-2</v>
      </c>
      <c r="H1822" s="47">
        <f>G1822*0.255931724893272</f>
        <v>1.7121832395359898E-2</v>
      </c>
      <c r="I1822" s="47">
        <v>0</v>
      </c>
      <c r="J1822" s="47">
        <f>I1822*0.533333333333333</f>
        <v>0</v>
      </c>
      <c r="K1822" s="47">
        <v>0.02</v>
      </c>
      <c r="L1822" s="47">
        <f>K1822*0.357757380302654</f>
        <v>7.1551476060530807E-3</v>
      </c>
      <c r="M1822" s="47">
        <f t="shared" si="79"/>
        <v>9.9666847893068178E-3</v>
      </c>
      <c r="N1822" s="47">
        <v>0</v>
      </c>
      <c r="O1822" s="47">
        <f>N1822*0.464949724934323</f>
        <v>0</v>
      </c>
      <c r="P1822" s="92"/>
    </row>
    <row r="1823" spans="1:16" x14ac:dyDescent="0.25">
      <c r="A1823" s="29">
        <v>30</v>
      </c>
      <c r="B1823" s="30">
        <v>438525.10856199998</v>
      </c>
      <c r="C1823" s="30">
        <v>5688512.3324180003</v>
      </c>
      <c r="D1823" s="30">
        <v>19</v>
      </c>
      <c r="E1823" s="30" t="s">
        <v>36</v>
      </c>
      <c r="F1823" s="46">
        <v>2016</v>
      </c>
      <c r="G1823" s="47">
        <v>5.0200000000000002E-2</v>
      </c>
      <c r="H1823" s="47">
        <f>G1823*0.255931724893272</f>
        <v>1.2847772589642254E-2</v>
      </c>
      <c r="I1823" s="47">
        <v>0</v>
      </c>
      <c r="J1823" s="47">
        <f>I1823*0.533333333333333</f>
        <v>0</v>
      </c>
      <c r="K1823" s="47">
        <v>4.9000000000000007E-3</v>
      </c>
      <c r="L1823" s="47">
        <f>K1823*0.357757380302654</f>
        <v>1.753011163483005E-3</v>
      </c>
      <c r="M1823" s="47">
        <f t="shared" si="79"/>
        <v>1.1094761426159248E-2</v>
      </c>
      <c r="N1823" s="47">
        <v>0</v>
      </c>
      <c r="O1823" s="47">
        <f>N1823*0.464949724934323</f>
        <v>0</v>
      </c>
      <c r="P1823" s="92"/>
    </row>
    <row r="1824" spans="1:16" x14ac:dyDescent="0.25">
      <c r="A1824" s="29">
        <v>31</v>
      </c>
      <c r="B1824" s="30">
        <v>437335.10856199998</v>
      </c>
      <c r="C1824" s="30">
        <v>5688631.3324180003</v>
      </c>
      <c r="D1824" s="30">
        <v>20</v>
      </c>
      <c r="E1824" s="30" t="s">
        <v>36</v>
      </c>
      <c r="F1824" s="46">
        <v>2016</v>
      </c>
      <c r="G1824" s="47">
        <v>4.7799999999999995E-2</v>
      </c>
      <c r="H1824" s="47">
        <f t="shared" ref="H1824:H1829" si="80">G1824*0.291682407467064</f>
        <v>1.3942419076925656E-2</v>
      </c>
      <c r="I1824" s="47">
        <v>0</v>
      </c>
      <c r="J1824" s="47">
        <f t="shared" ref="J1824:J1829" si="81">I1824*0.262631488938588</f>
        <v>0</v>
      </c>
      <c r="K1824" s="47">
        <v>0.18059999999999998</v>
      </c>
      <c r="L1824" s="47">
        <f t="shared" ref="L1824:L1829" si="82">K1824*0.399236139082875</f>
        <v>7.2102046718367216E-2</v>
      </c>
      <c r="M1824" s="47">
        <f t="shared" si="79"/>
        <v>-5.8159627641441558E-2</v>
      </c>
      <c r="N1824" s="47">
        <v>0</v>
      </c>
      <c r="O1824" s="47">
        <f t="shared" ref="O1824:O1829" si="83">N1824*0.338488707548599</f>
        <v>0</v>
      </c>
      <c r="P1824" s="92"/>
    </row>
    <row r="1825" spans="1:16" x14ac:dyDescent="0.25">
      <c r="A1825" s="29">
        <v>32</v>
      </c>
      <c r="B1825" s="30">
        <v>437454.10856199998</v>
      </c>
      <c r="C1825" s="30">
        <v>5688631.3324180003</v>
      </c>
      <c r="D1825" s="30">
        <v>20</v>
      </c>
      <c r="E1825" s="30" t="s">
        <v>36</v>
      </c>
      <c r="F1825" s="46">
        <v>2016</v>
      </c>
      <c r="G1825" s="47">
        <v>0.11120000000000001</v>
      </c>
      <c r="H1825" s="47">
        <f t="shared" si="80"/>
        <v>3.2435083710337514E-2</v>
      </c>
      <c r="I1825" s="47">
        <v>0</v>
      </c>
      <c r="J1825" s="47">
        <f t="shared" si="81"/>
        <v>0</v>
      </c>
      <c r="K1825" s="47">
        <v>1.9600000000000003E-2</v>
      </c>
      <c r="L1825" s="47">
        <f t="shared" si="82"/>
        <v>7.8250283260243511E-3</v>
      </c>
      <c r="M1825" s="47">
        <f t="shared" si="79"/>
        <v>2.4610055384313163E-2</v>
      </c>
      <c r="N1825" s="47">
        <v>0</v>
      </c>
      <c r="O1825" s="47">
        <f t="shared" si="83"/>
        <v>0</v>
      </c>
      <c r="P1825" s="92"/>
    </row>
    <row r="1826" spans="1:16" x14ac:dyDescent="0.25">
      <c r="A1826" s="29">
        <v>33</v>
      </c>
      <c r="B1826" s="30">
        <v>437573.10856199998</v>
      </c>
      <c r="C1826" s="30">
        <v>5688631.3324180003</v>
      </c>
      <c r="D1826" s="30">
        <v>20</v>
      </c>
      <c r="E1826" s="30" t="s">
        <v>36</v>
      </c>
      <c r="F1826" s="46">
        <v>2016</v>
      </c>
      <c r="G1826" s="47">
        <v>6.5599999999999992E-2</v>
      </c>
      <c r="H1826" s="47">
        <f t="shared" si="80"/>
        <v>1.9134365929839393E-2</v>
      </c>
      <c r="I1826" s="47">
        <v>0</v>
      </c>
      <c r="J1826" s="47">
        <f t="shared" si="81"/>
        <v>0</v>
      </c>
      <c r="K1826" s="47">
        <v>2.29E-2</v>
      </c>
      <c r="L1826" s="47">
        <f t="shared" si="82"/>
        <v>9.1425075849978377E-3</v>
      </c>
      <c r="M1826" s="47">
        <f t="shared" si="79"/>
        <v>9.9918583448415556E-3</v>
      </c>
      <c r="N1826" s="47">
        <v>0</v>
      </c>
      <c r="O1826" s="47">
        <f t="shared" si="83"/>
        <v>0</v>
      </c>
      <c r="P1826" s="92"/>
    </row>
    <row r="1827" spans="1:16" x14ac:dyDescent="0.25">
      <c r="A1827" s="29">
        <v>34</v>
      </c>
      <c r="B1827" s="30">
        <v>437692.10856199998</v>
      </c>
      <c r="C1827" s="30">
        <v>5688631.3324180003</v>
      </c>
      <c r="D1827" s="30">
        <v>20</v>
      </c>
      <c r="E1827" s="30" t="s">
        <v>36</v>
      </c>
      <c r="F1827" s="46">
        <v>2016</v>
      </c>
      <c r="G1827" s="47">
        <v>8.929999999999999E-2</v>
      </c>
      <c r="H1827" s="47">
        <f t="shared" si="80"/>
        <v>2.6047238986808809E-2</v>
      </c>
      <c r="I1827" s="47">
        <v>0</v>
      </c>
      <c r="J1827" s="47">
        <f t="shared" si="81"/>
        <v>0</v>
      </c>
      <c r="K1827" s="47">
        <v>8.8999999999999999E-3</v>
      </c>
      <c r="L1827" s="47">
        <f t="shared" si="82"/>
        <v>3.5532016378375872E-3</v>
      </c>
      <c r="M1827" s="47">
        <f t="shared" si="79"/>
        <v>2.2494037348971221E-2</v>
      </c>
      <c r="N1827" s="47">
        <v>0</v>
      </c>
      <c r="O1827" s="47">
        <f t="shared" si="83"/>
        <v>0</v>
      </c>
      <c r="P1827" s="92"/>
    </row>
    <row r="1828" spans="1:16" x14ac:dyDescent="0.25">
      <c r="A1828" s="29">
        <v>35</v>
      </c>
      <c r="B1828" s="30">
        <v>437893</v>
      </c>
      <c r="C1828" s="30">
        <v>5688620</v>
      </c>
      <c r="D1828" s="30">
        <v>20</v>
      </c>
      <c r="E1828" s="30" t="s">
        <v>36</v>
      </c>
      <c r="F1828" s="46">
        <v>2016</v>
      </c>
      <c r="G1828" s="47">
        <v>9.1299999999999992E-2</v>
      </c>
      <c r="H1828" s="47">
        <f t="shared" si="80"/>
        <v>2.6630603801742939E-2</v>
      </c>
      <c r="I1828" s="47">
        <v>0</v>
      </c>
      <c r="J1828" s="47">
        <f t="shared" si="81"/>
        <v>0</v>
      </c>
      <c r="K1828" s="47">
        <v>2.87E-2</v>
      </c>
      <c r="L1828" s="47">
        <f t="shared" si="82"/>
        <v>1.1458077191678512E-2</v>
      </c>
      <c r="M1828" s="47">
        <f t="shared" si="79"/>
        <v>1.5172526610064426E-2</v>
      </c>
      <c r="N1828" s="47">
        <v>0</v>
      </c>
      <c r="O1828" s="47">
        <f t="shared" si="83"/>
        <v>0</v>
      </c>
      <c r="P1828" s="92"/>
    </row>
    <row r="1829" spans="1:16" x14ac:dyDescent="0.25">
      <c r="A1829" s="29">
        <v>36</v>
      </c>
      <c r="B1829" s="30">
        <v>437930.10856199998</v>
      </c>
      <c r="C1829" s="30">
        <v>5688631.3324180003</v>
      </c>
      <c r="D1829" s="30">
        <v>20</v>
      </c>
      <c r="E1829" s="30" t="s">
        <v>36</v>
      </c>
      <c r="F1829" s="46">
        <v>2016</v>
      </c>
      <c r="G1829" s="47">
        <v>0.22059999999999999</v>
      </c>
      <c r="H1829" s="47">
        <f t="shared" si="80"/>
        <v>6.4345139087234313E-2</v>
      </c>
      <c r="I1829" s="47">
        <v>0</v>
      </c>
      <c r="J1829" s="47">
        <f t="shared" si="81"/>
        <v>0</v>
      </c>
      <c r="K1829" s="47">
        <v>1.66E-2</v>
      </c>
      <c r="L1829" s="47">
        <f t="shared" si="82"/>
        <v>6.6273199087757244E-3</v>
      </c>
      <c r="M1829" s="47">
        <f t="shared" si="79"/>
        <v>5.7717819178458585E-2</v>
      </c>
      <c r="N1829" s="47">
        <v>0</v>
      </c>
      <c r="O1829" s="47">
        <f t="shared" si="83"/>
        <v>0</v>
      </c>
      <c r="P1829" s="92"/>
    </row>
    <row r="1830" spans="1:16" x14ac:dyDescent="0.25">
      <c r="A1830" s="32">
        <v>37</v>
      </c>
      <c r="B1830" s="33">
        <v>438049.10856199998</v>
      </c>
      <c r="C1830" s="33">
        <v>5688631.3324180003</v>
      </c>
      <c r="D1830" s="48">
        <v>20</v>
      </c>
      <c r="E1830" s="48" t="s">
        <v>36</v>
      </c>
      <c r="F1830" s="48">
        <v>2016</v>
      </c>
      <c r="G1830" s="48" t="s">
        <v>18</v>
      </c>
      <c r="H1830" s="48" t="s">
        <v>18</v>
      </c>
      <c r="I1830" s="48" t="s">
        <v>18</v>
      </c>
      <c r="J1830" s="48" t="s">
        <v>18</v>
      </c>
      <c r="K1830" s="48" t="s">
        <v>18</v>
      </c>
      <c r="L1830" s="48" t="s">
        <v>18</v>
      </c>
      <c r="M1830" s="48" t="s">
        <v>18</v>
      </c>
      <c r="N1830" s="48" t="s">
        <v>18</v>
      </c>
      <c r="O1830" s="48" t="s">
        <v>18</v>
      </c>
      <c r="P1830" s="103" t="s">
        <v>89</v>
      </c>
    </row>
    <row r="1831" spans="1:16" x14ac:dyDescent="0.25">
      <c r="A1831" s="29">
        <v>38</v>
      </c>
      <c r="B1831" s="30">
        <v>438067</v>
      </c>
      <c r="C1831" s="30">
        <v>5688710</v>
      </c>
      <c r="D1831" s="30">
        <v>17</v>
      </c>
      <c r="E1831" s="30" t="s">
        <v>36</v>
      </c>
      <c r="F1831" s="46">
        <v>2016</v>
      </c>
      <c r="G1831" s="47">
        <v>8.6099999999999996E-2</v>
      </c>
      <c r="H1831" s="47">
        <f>G1831*0.233106974491186</f>
        <v>2.0070510503691113E-2</v>
      </c>
      <c r="I1831" s="47">
        <v>0</v>
      </c>
      <c r="J1831" s="47">
        <f t="shared" ref="J1831:J1853" si="84">I1831*0.446978074142999</f>
        <v>0</v>
      </c>
      <c r="K1831" s="47">
        <v>9.1000000000000004E-3</v>
      </c>
      <c r="L1831" s="47">
        <f>K1831*0.363839285714286</f>
        <v>3.3109375000000027E-3</v>
      </c>
      <c r="M1831" s="47">
        <f t="shared" si="79"/>
        <v>1.675957300369111E-2</v>
      </c>
      <c r="N1831" s="47">
        <v>0</v>
      </c>
      <c r="O1831" s="47">
        <f>N1831*0.256038647342995</f>
        <v>0</v>
      </c>
      <c r="P1831" s="92"/>
    </row>
    <row r="1832" spans="1:16" x14ac:dyDescent="0.25">
      <c r="A1832" s="32">
        <v>39</v>
      </c>
      <c r="B1832" s="33">
        <v>438287.10856199998</v>
      </c>
      <c r="C1832" s="33">
        <v>5688631.3324180003</v>
      </c>
      <c r="D1832" s="48">
        <v>20</v>
      </c>
      <c r="E1832" s="48" t="s">
        <v>36</v>
      </c>
      <c r="F1832" s="48">
        <v>2016</v>
      </c>
      <c r="G1832" s="48" t="s">
        <v>18</v>
      </c>
      <c r="H1832" s="48" t="s">
        <v>18</v>
      </c>
      <c r="I1832" s="48" t="s">
        <v>18</v>
      </c>
      <c r="J1832" s="48" t="s">
        <v>18</v>
      </c>
      <c r="K1832" s="48" t="s">
        <v>18</v>
      </c>
      <c r="L1832" s="48" t="s">
        <v>18</v>
      </c>
      <c r="M1832" s="48" t="s">
        <v>18</v>
      </c>
      <c r="N1832" s="48" t="s">
        <v>18</v>
      </c>
      <c r="O1832" s="48" t="s">
        <v>18</v>
      </c>
      <c r="P1832" s="94" t="s">
        <v>22</v>
      </c>
    </row>
    <row r="1833" spans="1:16" x14ac:dyDescent="0.25">
      <c r="A1833" s="29">
        <v>40</v>
      </c>
      <c r="B1833" s="30">
        <v>438406.10856199998</v>
      </c>
      <c r="C1833" s="30">
        <v>5688631.3324180003</v>
      </c>
      <c r="D1833" s="30">
        <v>19</v>
      </c>
      <c r="E1833" s="30" t="s">
        <v>36</v>
      </c>
      <c r="F1833" s="46">
        <v>2016</v>
      </c>
      <c r="G1833" s="54">
        <v>8.2000000000000003E-2</v>
      </c>
      <c r="H1833" s="47">
        <f>G1833*0.255931724893272</f>
        <v>2.0986401441248304E-2</v>
      </c>
      <c r="I1833" s="47">
        <v>0</v>
      </c>
      <c r="J1833" s="47">
        <f>I1833*0.533333333333333</f>
        <v>0</v>
      </c>
      <c r="K1833" s="47">
        <v>6.3E-3</v>
      </c>
      <c r="L1833" s="47">
        <f>K1833*0.357757380302654</f>
        <v>2.2538714959067204E-3</v>
      </c>
      <c r="M1833" s="47">
        <f t="shared" si="79"/>
        <v>1.8732529945341584E-2</v>
      </c>
      <c r="N1833" s="47">
        <v>0</v>
      </c>
      <c r="O1833" s="47">
        <f t="shared" ref="O1833:O1840" si="85">N1833*0.256038647342995</f>
        <v>0</v>
      </c>
      <c r="P1833" s="92"/>
    </row>
    <row r="1834" spans="1:16" x14ac:dyDescent="0.25">
      <c r="A1834" s="29">
        <v>41</v>
      </c>
      <c r="B1834" s="30">
        <v>437310</v>
      </c>
      <c r="C1834" s="30">
        <v>5688729</v>
      </c>
      <c r="D1834" s="30">
        <v>20</v>
      </c>
      <c r="E1834" s="30" t="s">
        <v>36</v>
      </c>
      <c r="F1834" s="46">
        <v>2016</v>
      </c>
      <c r="G1834" s="54">
        <v>0.1452</v>
      </c>
      <c r="H1834" s="47">
        <f>G1834*0.291682407467064</f>
        <v>4.235228556421769E-2</v>
      </c>
      <c r="I1834" s="47">
        <v>0.1363</v>
      </c>
      <c r="J1834" s="47">
        <f>I1834*0.262631488938588</f>
        <v>3.579667194232955E-2</v>
      </c>
      <c r="K1834" s="47">
        <v>0.10959999999999999</v>
      </c>
      <c r="L1834" s="47">
        <f>K1834*0.399236139082875</f>
        <v>4.375628084348309E-2</v>
      </c>
      <c r="M1834" s="47">
        <f t="shared" si="79"/>
        <v>-1.4039952792654006E-3</v>
      </c>
      <c r="N1834" s="47">
        <v>0</v>
      </c>
      <c r="O1834" s="47">
        <f>N1834*0.338488707548599</f>
        <v>0</v>
      </c>
      <c r="P1834" s="92"/>
    </row>
    <row r="1835" spans="1:16" x14ac:dyDescent="0.25">
      <c r="A1835" s="29">
        <v>42</v>
      </c>
      <c r="B1835" s="30">
        <v>437454.10856199998</v>
      </c>
      <c r="C1835" s="30">
        <v>5688750.3324180003</v>
      </c>
      <c r="D1835" s="30">
        <v>17</v>
      </c>
      <c r="E1835" s="30" t="s">
        <v>36</v>
      </c>
      <c r="F1835" s="46">
        <v>2016</v>
      </c>
      <c r="G1835" s="54">
        <v>8.5500000000000007E-2</v>
      </c>
      <c r="H1835" s="47">
        <f t="shared" ref="H1835:H1840" si="86">G1835*0.233106974491186</f>
        <v>1.9930646318996405E-2</v>
      </c>
      <c r="I1835" s="47">
        <v>0</v>
      </c>
      <c r="J1835" s="47">
        <f t="shared" si="84"/>
        <v>0</v>
      </c>
      <c r="K1835" s="47">
        <v>1.1900000000000001E-2</v>
      </c>
      <c r="L1835" s="47">
        <f t="shared" ref="L1835:L1840" si="87">K1835*0.363839285714286</f>
        <v>4.3296875000000037E-3</v>
      </c>
      <c r="M1835" s="47">
        <f t="shared" si="79"/>
        <v>1.5600958818996402E-2</v>
      </c>
      <c r="N1835" s="47">
        <v>0</v>
      </c>
      <c r="O1835" s="47">
        <f t="shared" si="85"/>
        <v>0</v>
      </c>
      <c r="P1835" s="92"/>
    </row>
    <row r="1836" spans="1:16" x14ac:dyDescent="0.25">
      <c r="A1836" s="29">
        <v>43</v>
      </c>
      <c r="B1836" s="30">
        <v>437573.10856199998</v>
      </c>
      <c r="C1836" s="30">
        <v>5688750.3324180003</v>
      </c>
      <c r="D1836" s="30">
        <v>17</v>
      </c>
      <c r="E1836" s="30" t="s">
        <v>36</v>
      </c>
      <c r="F1836" s="46">
        <v>2016</v>
      </c>
      <c r="G1836" s="54">
        <v>0</v>
      </c>
      <c r="H1836" s="47">
        <f t="shared" si="86"/>
        <v>0</v>
      </c>
      <c r="I1836" s="47">
        <v>0</v>
      </c>
      <c r="J1836" s="47">
        <f t="shared" si="84"/>
        <v>0</v>
      </c>
      <c r="K1836" s="47">
        <v>1.1800000000000001E-2</v>
      </c>
      <c r="L1836" s="47">
        <f t="shared" si="87"/>
        <v>4.2933035714285746E-3</v>
      </c>
      <c r="M1836" s="47">
        <f t="shared" si="79"/>
        <v>-4.2933035714285746E-3</v>
      </c>
      <c r="N1836" s="47">
        <v>0</v>
      </c>
      <c r="O1836" s="47">
        <f t="shared" si="85"/>
        <v>0</v>
      </c>
      <c r="P1836" s="92"/>
    </row>
    <row r="1837" spans="1:16" x14ac:dyDescent="0.25">
      <c r="A1837" s="29">
        <v>44</v>
      </c>
      <c r="B1837" s="30">
        <v>437692.10856199998</v>
      </c>
      <c r="C1837" s="30">
        <v>5688750.3324180003</v>
      </c>
      <c r="D1837" s="30">
        <v>17</v>
      </c>
      <c r="E1837" s="30" t="s">
        <v>36</v>
      </c>
      <c r="F1837" s="46">
        <v>2016</v>
      </c>
      <c r="G1837" s="54">
        <v>7.3099999999999998E-2</v>
      </c>
      <c r="H1837" s="47">
        <f t="shared" si="86"/>
        <v>1.7040119835305696E-2</v>
      </c>
      <c r="I1837" s="47">
        <v>0</v>
      </c>
      <c r="J1837" s="47">
        <f t="shared" si="84"/>
        <v>0</v>
      </c>
      <c r="K1837" s="47">
        <v>1.0199999999999999E-2</v>
      </c>
      <c r="L1837" s="47">
        <f t="shared" si="87"/>
        <v>3.7111607142857168E-3</v>
      </c>
      <c r="M1837" s="47">
        <f t="shared" si="79"/>
        <v>1.3328959121019978E-2</v>
      </c>
      <c r="N1837" s="47">
        <v>0</v>
      </c>
      <c r="O1837" s="47">
        <f t="shared" si="85"/>
        <v>0</v>
      </c>
      <c r="P1837" s="92"/>
    </row>
    <row r="1838" spans="1:16" x14ac:dyDescent="0.25">
      <c r="A1838" s="29">
        <v>45</v>
      </c>
      <c r="B1838" s="30">
        <v>437811.10856199998</v>
      </c>
      <c r="C1838" s="30">
        <v>5688750.3324180003</v>
      </c>
      <c r="D1838" s="30">
        <v>17</v>
      </c>
      <c r="E1838" s="30" t="s">
        <v>36</v>
      </c>
      <c r="F1838" s="46">
        <v>2016</v>
      </c>
      <c r="G1838" s="47">
        <v>0.1066</v>
      </c>
      <c r="H1838" s="47">
        <f t="shared" si="86"/>
        <v>2.4849203480760428E-2</v>
      </c>
      <c r="I1838" s="47">
        <v>0</v>
      </c>
      <c r="J1838" s="47">
        <f t="shared" si="84"/>
        <v>0</v>
      </c>
      <c r="K1838" s="47">
        <v>8.199999999999999E-3</v>
      </c>
      <c r="L1838" s="47">
        <f t="shared" si="87"/>
        <v>2.9834821428571445E-3</v>
      </c>
      <c r="M1838" s="47">
        <f t="shared" si="79"/>
        <v>2.1865721337903283E-2</v>
      </c>
      <c r="N1838" s="47">
        <v>0</v>
      </c>
      <c r="O1838" s="47">
        <f t="shared" si="85"/>
        <v>0</v>
      </c>
      <c r="P1838" s="92"/>
    </row>
    <row r="1839" spans="1:16" x14ac:dyDescent="0.25">
      <c r="A1839" s="29">
        <v>46</v>
      </c>
      <c r="B1839" s="30">
        <v>437930.10856199998</v>
      </c>
      <c r="C1839" s="30">
        <v>5688750.3324180003</v>
      </c>
      <c r="D1839" s="30">
        <v>17</v>
      </c>
      <c r="E1839" s="30" t="s">
        <v>36</v>
      </c>
      <c r="F1839" s="46">
        <v>2016</v>
      </c>
      <c r="G1839" s="47">
        <v>2.07E-2</v>
      </c>
      <c r="H1839" s="47">
        <f t="shared" si="86"/>
        <v>4.8253143719675503E-3</v>
      </c>
      <c r="I1839" s="47">
        <v>0</v>
      </c>
      <c r="J1839" s="47">
        <f t="shared" si="84"/>
        <v>0</v>
      </c>
      <c r="K1839" s="47">
        <v>1.34E-2</v>
      </c>
      <c r="L1839" s="47">
        <f t="shared" si="87"/>
        <v>4.8754464285714321E-3</v>
      </c>
      <c r="M1839" s="47">
        <f t="shared" si="79"/>
        <v>-5.0132056603881779E-5</v>
      </c>
      <c r="N1839" s="47">
        <v>0</v>
      </c>
      <c r="O1839" s="47">
        <f t="shared" si="85"/>
        <v>0</v>
      </c>
      <c r="P1839" s="92"/>
    </row>
    <row r="1840" spans="1:16" x14ac:dyDescent="0.25">
      <c r="A1840" s="29">
        <v>47</v>
      </c>
      <c r="B1840" s="30">
        <v>438061</v>
      </c>
      <c r="C1840" s="30">
        <v>5688779</v>
      </c>
      <c r="D1840" s="30">
        <v>17</v>
      </c>
      <c r="E1840" s="30" t="s">
        <v>36</v>
      </c>
      <c r="F1840" s="46">
        <v>2016</v>
      </c>
      <c r="G1840" s="47">
        <v>8.929999999999999E-2</v>
      </c>
      <c r="H1840" s="47">
        <f t="shared" si="86"/>
        <v>2.0816452822062907E-2</v>
      </c>
      <c r="I1840" s="47">
        <v>0</v>
      </c>
      <c r="J1840" s="47">
        <f t="shared" si="84"/>
        <v>0</v>
      </c>
      <c r="K1840" s="47">
        <v>2.1100000000000001E-2</v>
      </c>
      <c r="L1840" s="47">
        <f t="shared" si="87"/>
        <v>7.6770089285714341E-3</v>
      </c>
      <c r="M1840" s="47">
        <f t="shared" si="79"/>
        <v>1.3139443893491472E-2</v>
      </c>
      <c r="N1840" s="47">
        <v>1.0199999999999999E-2</v>
      </c>
      <c r="O1840" s="47">
        <f t="shared" si="85"/>
        <v>2.6115942028985483E-3</v>
      </c>
      <c r="P1840" s="92"/>
    </row>
    <row r="1841" spans="1:19" x14ac:dyDescent="0.25">
      <c r="A1841" s="32">
        <v>48</v>
      </c>
      <c r="B1841" s="33">
        <v>438168.10856199998</v>
      </c>
      <c r="C1841" s="33">
        <v>5688750.3324180003</v>
      </c>
      <c r="D1841" s="48">
        <v>20</v>
      </c>
      <c r="E1841" s="48" t="s">
        <v>36</v>
      </c>
      <c r="F1841" s="48">
        <v>2016</v>
      </c>
      <c r="G1841" s="48" t="s">
        <v>18</v>
      </c>
      <c r="H1841" s="48" t="s">
        <v>18</v>
      </c>
      <c r="I1841" s="48" t="s">
        <v>18</v>
      </c>
      <c r="J1841" s="48" t="s">
        <v>18</v>
      </c>
      <c r="K1841" s="48" t="s">
        <v>18</v>
      </c>
      <c r="L1841" s="48" t="s">
        <v>18</v>
      </c>
      <c r="M1841" s="48" t="s">
        <v>18</v>
      </c>
      <c r="N1841" s="48" t="s">
        <v>18</v>
      </c>
      <c r="O1841" s="48" t="s">
        <v>18</v>
      </c>
      <c r="P1841" s="103" t="s">
        <v>89</v>
      </c>
    </row>
    <row r="1842" spans="1:19" x14ac:dyDescent="0.25">
      <c r="A1842" s="29">
        <v>49</v>
      </c>
      <c r="B1842" s="30">
        <v>437454.10856199998</v>
      </c>
      <c r="C1842" s="30">
        <v>5688869.3324180003</v>
      </c>
      <c r="D1842" s="30">
        <v>17</v>
      </c>
      <c r="E1842" s="30" t="s">
        <v>36</v>
      </c>
      <c r="F1842" s="46">
        <v>2016</v>
      </c>
      <c r="G1842" s="47">
        <v>9.9199999999999997E-2</v>
      </c>
      <c r="H1842" s="47">
        <f t="shared" ref="H1842:H1853" si="88">G1842*0.233106974491186</f>
        <v>2.3124211869525652E-2</v>
      </c>
      <c r="I1842" s="47">
        <v>0</v>
      </c>
      <c r="J1842" s="47">
        <f t="shared" si="84"/>
        <v>0</v>
      </c>
      <c r="K1842" s="47">
        <v>5.1700000000000003E-2</v>
      </c>
      <c r="L1842" s="47">
        <f t="shared" ref="L1842:L1853" si="89">K1842*0.363839285714286</f>
        <v>1.8810491071428587E-2</v>
      </c>
      <c r="M1842" s="47">
        <f t="shared" si="79"/>
        <v>4.3137207980970642E-3</v>
      </c>
      <c r="N1842" s="47">
        <v>0</v>
      </c>
      <c r="O1842" s="47">
        <f t="shared" ref="O1842:O1853" si="90">N1842*0.256038647342995</f>
        <v>0</v>
      </c>
      <c r="P1842" s="92"/>
    </row>
    <row r="1843" spans="1:19" x14ac:dyDescent="0.25">
      <c r="A1843" s="29">
        <v>50</v>
      </c>
      <c r="B1843" s="30">
        <v>437811.10856199998</v>
      </c>
      <c r="C1843" s="30">
        <v>5688869.3324180003</v>
      </c>
      <c r="D1843" s="30">
        <v>17</v>
      </c>
      <c r="E1843" s="30" t="s">
        <v>36</v>
      </c>
      <c r="F1843" s="46">
        <v>2016</v>
      </c>
      <c r="G1843" s="47">
        <v>0.16219999999999998</v>
      </c>
      <c r="H1843" s="47">
        <f t="shared" si="88"/>
        <v>3.7809951262470366E-2</v>
      </c>
      <c r="I1843" s="47">
        <v>0</v>
      </c>
      <c r="J1843" s="47">
        <f t="shared" si="84"/>
        <v>0</v>
      </c>
      <c r="K1843" s="47">
        <v>8.4000000000000012E-3</v>
      </c>
      <c r="L1843" s="47">
        <f t="shared" si="89"/>
        <v>3.0562500000000025E-3</v>
      </c>
      <c r="M1843" s="47">
        <f t="shared" si="79"/>
        <v>3.4753701262470363E-2</v>
      </c>
      <c r="N1843" s="47">
        <v>0</v>
      </c>
      <c r="O1843" s="47">
        <f t="shared" si="90"/>
        <v>0</v>
      </c>
      <c r="P1843" s="92"/>
    </row>
    <row r="1844" spans="1:19" x14ac:dyDescent="0.25">
      <c r="A1844" s="29">
        <v>51</v>
      </c>
      <c r="B1844" s="30">
        <v>437930.10856199998</v>
      </c>
      <c r="C1844" s="30">
        <v>5688869.3324180003</v>
      </c>
      <c r="D1844" s="30">
        <v>17</v>
      </c>
      <c r="E1844" s="30" t="s">
        <v>36</v>
      </c>
      <c r="F1844" s="46">
        <v>2016</v>
      </c>
      <c r="G1844" s="47">
        <v>0.29719999999999996</v>
      </c>
      <c r="H1844" s="47">
        <f t="shared" si="88"/>
        <v>6.9279392818780469E-2</v>
      </c>
      <c r="I1844" s="47">
        <v>0</v>
      </c>
      <c r="J1844" s="47">
        <f t="shared" si="84"/>
        <v>0</v>
      </c>
      <c r="K1844" s="47">
        <v>2.9100000000000001E-2</v>
      </c>
      <c r="L1844" s="47">
        <f t="shared" si="89"/>
        <v>1.0587723214285721E-2</v>
      </c>
      <c r="M1844" s="47">
        <f t="shared" si="79"/>
        <v>5.8691669604494748E-2</v>
      </c>
      <c r="N1844" s="47">
        <v>0</v>
      </c>
      <c r="O1844" s="47">
        <f t="shared" si="90"/>
        <v>0</v>
      </c>
      <c r="P1844" s="92"/>
    </row>
    <row r="1845" spans="1:19" x14ac:dyDescent="0.25">
      <c r="A1845" s="29">
        <v>52</v>
      </c>
      <c r="B1845" s="30">
        <v>438049.10856199998</v>
      </c>
      <c r="C1845" s="30">
        <v>5688869.3324180003</v>
      </c>
      <c r="D1845" s="30">
        <v>17</v>
      </c>
      <c r="E1845" s="30" t="s">
        <v>36</v>
      </c>
      <c r="F1845" s="46">
        <v>2016</v>
      </c>
      <c r="G1845" s="47">
        <v>1.6199999999999999E-2</v>
      </c>
      <c r="H1845" s="47">
        <f t="shared" si="88"/>
        <v>3.7763329867572131E-3</v>
      </c>
      <c r="I1845" s="47">
        <v>0</v>
      </c>
      <c r="J1845" s="47">
        <f t="shared" si="84"/>
        <v>0</v>
      </c>
      <c r="K1845" s="47">
        <v>4.7000000000000002E-3</v>
      </c>
      <c r="L1845" s="47">
        <f t="shared" si="89"/>
        <v>1.7100446428571442E-3</v>
      </c>
      <c r="M1845" s="47">
        <f t="shared" si="79"/>
        <v>2.0662883439000689E-3</v>
      </c>
      <c r="N1845" s="47">
        <v>3.2600000000000004E-2</v>
      </c>
      <c r="O1845" s="47">
        <f t="shared" si="90"/>
        <v>8.3468599033816367E-3</v>
      </c>
      <c r="P1845" s="92"/>
    </row>
    <row r="1846" spans="1:19" x14ac:dyDescent="0.25">
      <c r="A1846" s="29">
        <v>53</v>
      </c>
      <c r="B1846" s="30">
        <v>438287.10856199998</v>
      </c>
      <c r="C1846" s="30">
        <v>5688869.3324180003</v>
      </c>
      <c r="D1846" s="30">
        <v>17</v>
      </c>
      <c r="E1846" s="30" t="s">
        <v>36</v>
      </c>
      <c r="F1846" s="46">
        <v>2016</v>
      </c>
      <c r="G1846" s="47">
        <v>2.06E-2</v>
      </c>
      <c r="H1846" s="47">
        <f t="shared" si="88"/>
        <v>4.8020036745184316E-3</v>
      </c>
      <c r="I1846" s="47">
        <v>0</v>
      </c>
      <c r="J1846" s="47">
        <f t="shared" si="84"/>
        <v>0</v>
      </c>
      <c r="K1846" s="47">
        <v>1.06E-2</v>
      </c>
      <c r="L1846" s="47">
        <f t="shared" si="89"/>
        <v>3.8566964285714316E-3</v>
      </c>
      <c r="M1846" s="47">
        <f t="shared" si="79"/>
        <v>9.4530724594700001E-4</v>
      </c>
      <c r="N1846" s="47">
        <v>0</v>
      </c>
      <c r="O1846" s="47">
        <f t="shared" si="90"/>
        <v>0</v>
      </c>
      <c r="P1846" s="92"/>
    </row>
    <row r="1847" spans="1:19" x14ac:dyDescent="0.25">
      <c r="A1847" s="29">
        <v>54</v>
      </c>
      <c r="B1847" s="30">
        <v>437454.10856199998</v>
      </c>
      <c r="C1847" s="30">
        <v>5688988.3324180003</v>
      </c>
      <c r="D1847" s="30">
        <v>17</v>
      </c>
      <c r="E1847" s="30" t="s">
        <v>36</v>
      </c>
      <c r="F1847" s="46">
        <v>2016</v>
      </c>
      <c r="G1847" s="47">
        <v>0.122</v>
      </c>
      <c r="H1847" s="47">
        <f t="shared" si="88"/>
        <v>2.8439050887924693E-2</v>
      </c>
      <c r="I1847" s="47">
        <v>0</v>
      </c>
      <c r="J1847" s="47">
        <f t="shared" si="84"/>
        <v>0</v>
      </c>
      <c r="K1847" s="47">
        <v>1.4800000000000001E-2</v>
      </c>
      <c r="L1847" s="47">
        <f t="shared" si="89"/>
        <v>5.3848214285714324E-3</v>
      </c>
      <c r="M1847" s="47">
        <f t="shared" si="79"/>
        <v>2.3054229459353259E-2</v>
      </c>
      <c r="N1847" s="47">
        <v>0</v>
      </c>
      <c r="O1847" s="47">
        <f t="shared" si="90"/>
        <v>0</v>
      </c>
      <c r="P1847" s="92"/>
    </row>
    <row r="1848" spans="1:19" x14ac:dyDescent="0.25">
      <c r="A1848" s="29">
        <v>55</v>
      </c>
      <c r="B1848" s="30">
        <v>438049.10856199998</v>
      </c>
      <c r="C1848" s="30">
        <v>5688988.3324180003</v>
      </c>
      <c r="D1848" s="30">
        <v>17</v>
      </c>
      <c r="E1848" s="30" t="s">
        <v>36</v>
      </c>
      <c r="F1848" s="46">
        <v>2016</v>
      </c>
      <c r="G1848" s="47">
        <v>6.9599999999999995E-2</v>
      </c>
      <c r="H1848" s="47">
        <f t="shared" si="88"/>
        <v>1.6224245424586545E-2</v>
      </c>
      <c r="I1848" s="47">
        <v>0</v>
      </c>
      <c r="J1848" s="47">
        <f t="shared" si="84"/>
        <v>0</v>
      </c>
      <c r="K1848" s="47">
        <v>0.01</v>
      </c>
      <c r="L1848" s="47">
        <f t="shared" si="89"/>
        <v>3.63839285714286E-3</v>
      </c>
      <c r="M1848" s="47">
        <f t="shared" si="79"/>
        <v>1.2585852567443684E-2</v>
      </c>
      <c r="N1848" s="47">
        <v>0</v>
      </c>
      <c r="O1848" s="47">
        <f t="shared" si="90"/>
        <v>0</v>
      </c>
      <c r="P1848" s="92"/>
    </row>
    <row r="1849" spans="1:19" x14ac:dyDescent="0.25">
      <c r="A1849" s="29">
        <v>56</v>
      </c>
      <c r="B1849" s="30">
        <v>438168.10856199998</v>
      </c>
      <c r="C1849" s="30">
        <v>5688988.3324180003</v>
      </c>
      <c r="D1849" s="30">
        <v>17</v>
      </c>
      <c r="E1849" s="30" t="s">
        <v>36</v>
      </c>
      <c r="F1849" s="46">
        <v>2016</v>
      </c>
      <c r="G1849" s="47">
        <v>3.4099999999999998E-2</v>
      </c>
      <c r="H1849" s="47">
        <f t="shared" si="88"/>
        <v>7.9489478301494419E-3</v>
      </c>
      <c r="I1849" s="47">
        <v>0</v>
      </c>
      <c r="J1849" s="47">
        <f t="shared" si="84"/>
        <v>0</v>
      </c>
      <c r="K1849" s="47">
        <v>3.2000000000000002E-3</v>
      </c>
      <c r="L1849" s="47">
        <f t="shared" si="89"/>
        <v>1.1642857142857151E-3</v>
      </c>
      <c r="M1849" s="47">
        <f t="shared" si="79"/>
        <v>6.7846621158637269E-3</v>
      </c>
      <c r="N1849" s="47">
        <v>0</v>
      </c>
      <c r="O1849" s="47">
        <f t="shared" si="90"/>
        <v>0</v>
      </c>
      <c r="P1849" s="92"/>
    </row>
    <row r="1850" spans="1:19" x14ac:dyDescent="0.25">
      <c r="A1850" s="40">
        <v>57</v>
      </c>
      <c r="B1850" s="41">
        <v>438146</v>
      </c>
      <c r="C1850" s="41">
        <v>5688977</v>
      </c>
      <c r="D1850" s="41">
        <v>17</v>
      </c>
      <c r="E1850" s="41" t="s">
        <v>36</v>
      </c>
      <c r="F1850" s="50">
        <v>2016</v>
      </c>
      <c r="G1850" s="51">
        <v>0.23050000000000001</v>
      </c>
      <c r="H1850" s="51">
        <f t="shared" si="88"/>
        <v>5.3731157620218378E-2</v>
      </c>
      <c r="I1850" s="51">
        <v>0</v>
      </c>
      <c r="J1850" s="51">
        <f t="shared" si="84"/>
        <v>0</v>
      </c>
      <c r="K1850" s="51">
        <v>9.5999999999999992E-3</v>
      </c>
      <c r="L1850" s="51">
        <f t="shared" si="89"/>
        <v>3.4928571428571452E-3</v>
      </c>
      <c r="M1850" s="51">
        <f t="shared" si="79"/>
        <v>5.0238300477361233E-2</v>
      </c>
      <c r="N1850" s="51">
        <v>0</v>
      </c>
      <c r="O1850" s="51">
        <f t="shared" si="90"/>
        <v>0</v>
      </c>
      <c r="P1850" s="101"/>
    </row>
    <row r="1851" spans="1:19" x14ac:dyDescent="0.25">
      <c r="A1851" s="40">
        <v>58</v>
      </c>
      <c r="B1851" s="41">
        <v>438131</v>
      </c>
      <c r="C1851" s="41">
        <v>5688972</v>
      </c>
      <c r="D1851" s="41">
        <v>17</v>
      </c>
      <c r="E1851" s="41" t="s">
        <v>36</v>
      </c>
      <c r="F1851" s="50">
        <v>2016</v>
      </c>
      <c r="G1851" s="51">
        <v>0.16209999999999999</v>
      </c>
      <c r="H1851" s="51">
        <f t="shared" si="88"/>
        <v>3.7786640565021248E-2</v>
      </c>
      <c r="I1851" s="51">
        <v>0</v>
      </c>
      <c r="J1851" s="51">
        <f t="shared" si="84"/>
        <v>0</v>
      </c>
      <c r="K1851" s="51">
        <v>3.3E-3</v>
      </c>
      <c r="L1851" s="51">
        <f t="shared" si="89"/>
        <v>1.2006696428571437E-3</v>
      </c>
      <c r="M1851" s="51">
        <f t="shared" si="79"/>
        <v>3.6585970922164104E-2</v>
      </c>
      <c r="N1851" s="51">
        <v>0</v>
      </c>
      <c r="O1851" s="51">
        <f t="shared" si="90"/>
        <v>0</v>
      </c>
      <c r="P1851" s="101"/>
    </row>
    <row r="1852" spans="1:19" x14ac:dyDescent="0.25">
      <c r="A1852" s="40">
        <v>59</v>
      </c>
      <c r="B1852" s="41">
        <v>438089</v>
      </c>
      <c r="C1852" s="41">
        <v>5688713</v>
      </c>
      <c r="D1852" s="41">
        <v>17</v>
      </c>
      <c r="E1852" s="41" t="s">
        <v>36</v>
      </c>
      <c r="F1852" s="50">
        <v>2016</v>
      </c>
      <c r="G1852" s="51">
        <v>0.29339999999999999</v>
      </c>
      <c r="H1852" s="51">
        <f t="shared" si="88"/>
        <v>6.8393586315713975E-2</v>
      </c>
      <c r="I1852" s="51">
        <v>0</v>
      </c>
      <c r="J1852" s="51">
        <f t="shared" si="84"/>
        <v>0</v>
      </c>
      <c r="K1852" s="51">
        <v>1.3699999999999999E-2</v>
      </c>
      <c r="L1852" s="51">
        <f t="shared" si="89"/>
        <v>4.9845982142857174E-3</v>
      </c>
      <c r="M1852" s="51">
        <f t="shared" si="79"/>
        <v>6.3408988101428254E-2</v>
      </c>
      <c r="N1852" s="51">
        <v>0</v>
      </c>
      <c r="O1852" s="51">
        <f t="shared" si="90"/>
        <v>0</v>
      </c>
      <c r="P1852" s="101"/>
    </row>
    <row r="1853" spans="1:19" x14ac:dyDescent="0.25">
      <c r="A1853" s="40">
        <v>60</v>
      </c>
      <c r="B1853" s="41">
        <v>438099</v>
      </c>
      <c r="C1853" s="41">
        <v>5688719</v>
      </c>
      <c r="D1853" s="41">
        <v>17</v>
      </c>
      <c r="E1853" s="41" t="s">
        <v>36</v>
      </c>
      <c r="F1853" s="50">
        <v>2016</v>
      </c>
      <c r="G1853" s="51">
        <v>0.23119999999999999</v>
      </c>
      <c r="H1853" s="51">
        <f t="shared" si="88"/>
        <v>5.3894332502362204E-2</v>
      </c>
      <c r="I1853" s="51">
        <v>0</v>
      </c>
      <c r="J1853" s="51">
        <f t="shared" si="84"/>
        <v>0</v>
      </c>
      <c r="K1853" s="51">
        <v>8.8000000000000005E-3</v>
      </c>
      <c r="L1853" s="51">
        <f t="shared" si="89"/>
        <v>3.2017857142857169E-3</v>
      </c>
      <c r="M1853" s="51">
        <f t="shared" si="79"/>
        <v>5.0692546788076484E-2</v>
      </c>
      <c r="N1853" s="51">
        <v>0</v>
      </c>
      <c r="O1853" s="51">
        <f t="shared" si="90"/>
        <v>0</v>
      </c>
      <c r="P1853" s="101"/>
    </row>
    <row r="1854" spans="1:19" x14ac:dyDescent="0.25">
      <c r="A1854" s="42">
        <v>1</v>
      </c>
      <c r="B1854" s="43">
        <v>437930.10856199998</v>
      </c>
      <c r="C1854" s="43">
        <v>5688036.3324180003</v>
      </c>
      <c r="D1854" s="44">
        <v>9</v>
      </c>
      <c r="E1854" s="44" t="s">
        <v>64</v>
      </c>
      <c r="F1854" s="44">
        <v>2017</v>
      </c>
      <c r="G1854" s="44" t="s">
        <v>18</v>
      </c>
      <c r="H1854" s="44" t="s">
        <v>18</v>
      </c>
      <c r="I1854" s="44" t="s">
        <v>18</v>
      </c>
      <c r="J1854" s="44" t="s">
        <v>18</v>
      </c>
      <c r="K1854" s="44" t="s">
        <v>18</v>
      </c>
      <c r="L1854" s="44" t="s">
        <v>18</v>
      </c>
      <c r="M1854" s="44" t="s">
        <v>18</v>
      </c>
      <c r="N1854" s="44" t="s">
        <v>18</v>
      </c>
      <c r="O1854" s="44" t="s">
        <v>18</v>
      </c>
      <c r="P1854" s="102" t="s">
        <v>109</v>
      </c>
      <c r="R1854" s="5">
        <f>AVERAGE(M1854:M1913)</f>
        <v>1.0175399960606478E-2</v>
      </c>
      <c r="S1854" s="5">
        <f>AVERAGE(H1854:H1913)</f>
        <v>1.3087785597107679E-2</v>
      </c>
    </row>
    <row r="1855" spans="1:19" x14ac:dyDescent="0.25">
      <c r="A1855" s="42">
        <v>2</v>
      </c>
      <c r="B1855" s="43">
        <v>437811.10856199998</v>
      </c>
      <c r="C1855" s="43">
        <v>5688155.3324180003</v>
      </c>
      <c r="D1855" s="44">
        <v>9</v>
      </c>
      <c r="E1855" s="44" t="s">
        <v>64</v>
      </c>
      <c r="F1855" s="44">
        <v>2017</v>
      </c>
      <c r="G1855" s="44" t="s">
        <v>18</v>
      </c>
      <c r="H1855" s="44" t="s">
        <v>18</v>
      </c>
      <c r="I1855" s="44" t="s">
        <v>18</v>
      </c>
      <c r="J1855" s="44" t="s">
        <v>18</v>
      </c>
      <c r="K1855" s="44" t="s">
        <v>18</v>
      </c>
      <c r="L1855" s="44" t="s">
        <v>18</v>
      </c>
      <c r="M1855" s="44" t="s">
        <v>18</v>
      </c>
      <c r="N1855" s="44" t="s">
        <v>18</v>
      </c>
      <c r="O1855" s="44" t="s">
        <v>18</v>
      </c>
      <c r="P1855" s="102" t="s">
        <v>109</v>
      </c>
    </row>
    <row r="1856" spans="1:19" x14ac:dyDescent="0.25">
      <c r="A1856" s="29">
        <v>3</v>
      </c>
      <c r="B1856" s="30">
        <v>437930.10856199998</v>
      </c>
      <c r="C1856" s="30">
        <v>5688155.3324180003</v>
      </c>
      <c r="D1856" s="30">
        <v>9</v>
      </c>
      <c r="E1856" s="30" t="s">
        <v>64</v>
      </c>
      <c r="F1856" s="46">
        <v>2017</v>
      </c>
      <c r="G1856" s="47">
        <v>5.9999999999999995E-4</v>
      </c>
      <c r="H1856" s="47">
        <f>G1856*0.410659424614055</f>
        <v>2.46395654768433E-4</v>
      </c>
      <c r="I1856" s="47">
        <v>2.2600000000000002E-2</v>
      </c>
      <c r="J1856" s="47">
        <f>I1856*0.44797407963886</f>
        <v>1.0124214199838237E-2</v>
      </c>
      <c r="K1856" s="47">
        <v>2.5999999999999999E-3</v>
      </c>
      <c r="L1856" s="47">
        <f>K1856*0.456346013614869</f>
        <v>1.1864996353986594E-3</v>
      </c>
      <c r="M1856" s="47">
        <f>H1856-L1856</f>
        <v>-9.401039806302264E-4</v>
      </c>
      <c r="N1856" s="47">
        <v>3.7000000000000002E-3</v>
      </c>
      <c r="O1856" s="47">
        <f>N1856*0.459026614424507</f>
        <v>1.6983984733706758E-3</v>
      </c>
      <c r="P1856" s="92"/>
    </row>
    <row r="1857" spans="1:16" x14ac:dyDescent="0.25">
      <c r="A1857" s="42">
        <v>4</v>
      </c>
      <c r="B1857" s="43">
        <v>438049.10856199998</v>
      </c>
      <c r="C1857" s="43">
        <v>5688155.3324180003</v>
      </c>
      <c r="D1857" s="44">
        <v>9</v>
      </c>
      <c r="E1857" s="44" t="s">
        <v>64</v>
      </c>
      <c r="F1857" s="44">
        <v>2017</v>
      </c>
      <c r="G1857" s="44" t="s">
        <v>18</v>
      </c>
      <c r="H1857" s="44" t="s">
        <v>18</v>
      </c>
      <c r="I1857" s="44" t="s">
        <v>18</v>
      </c>
      <c r="J1857" s="44" t="s">
        <v>18</v>
      </c>
      <c r="K1857" s="44" t="s">
        <v>18</v>
      </c>
      <c r="L1857" s="44" t="s">
        <v>18</v>
      </c>
      <c r="M1857" s="44" t="s">
        <v>18</v>
      </c>
      <c r="N1857" s="44" t="s">
        <v>18</v>
      </c>
      <c r="O1857" s="44" t="s">
        <v>18</v>
      </c>
      <c r="P1857" s="102" t="s">
        <v>109</v>
      </c>
    </row>
    <row r="1858" spans="1:16" x14ac:dyDescent="0.25">
      <c r="A1858" s="42">
        <v>5</v>
      </c>
      <c r="B1858" s="43">
        <v>437573.10856199998</v>
      </c>
      <c r="C1858" s="43">
        <v>5688274.3324180003</v>
      </c>
      <c r="D1858" s="44">
        <v>9</v>
      </c>
      <c r="E1858" s="44" t="s">
        <v>64</v>
      </c>
      <c r="F1858" s="44">
        <v>2017</v>
      </c>
      <c r="G1858" s="44" t="s">
        <v>18</v>
      </c>
      <c r="H1858" s="44" t="s">
        <v>18</v>
      </c>
      <c r="I1858" s="44" t="s">
        <v>18</v>
      </c>
      <c r="J1858" s="44" t="s">
        <v>18</v>
      </c>
      <c r="K1858" s="44" t="s">
        <v>18</v>
      </c>
      <c r="L1858" s="44" t="s">
        <v>18</v>
      </c>
      <c r="M1858" s="44" t="s">
        <v>18</v>
      </c>
      <c r="N1858" s="44" t="s">
        <v>18</v>
      </c>
      <c r="O1858" s="44" t="s">
        <v>18</v>
      </c>
      <c r="P1858" s="102" t="s">
        <v>109</v>
      </c>
    </row>
    <row r="1859" spans="1:16" x14ac:dyDescent="0.25">
      <c r="A1859" s="29">
        <v>6</v>
      </c>
      <c r="B1859" s="30">
        <v>437692.10856199998</v>
      </c>
      <c r="C1859" s="30">
        <v>5688274.3324180003</v>
      </c>
      <c r="D1859" s="30">
        <v>9</v>
      </c>
      <c r="E1859" s="30" t="s">
        <v>64</v>
      </c>
      <c r="F1859" s="46">
        <v>2017</v>
      </c>
      <c r="G1859" s="47">
        <v>2.5000000000000001E-3</v>
      </c>
      <c r="H1859" s="47">
        <f t="shared" ref="H1859:H1889" si="91">G1859*0.410659424614055</f>
        <v>1.0266485615351376E-3</v>
      </c>
      <c r="I1859" s="47">
        <v>0.1153</v>
      </c>
      <c r="J1859" s="47">
        <f t="shared" ref="J1859:J1889" si="92">I1859*0.44797407963886</f>
        <v>5.1651411382360554E-2</v>
      </c>
      <c r="K1859" s="54">
        <v>5.7000000000000002E-3</v>
      </c>
      <c r="L1859" s="47">
        <f t="shared" ref="L1859:L1889" si="93">K1859*0.456346013614869</f>
        <v>2.6011722776047531E-3</v>
      </c>
      <c r="M1859" s="47">
        <f t="shared" ref="M1859:M1913" si="94">H1859-L1859</f>
        <v>-1.5745237160696155E-3</v>
      </c>
      <c r="N1859" s="47">
        <v>1.2500000000000001E-2</v>
      </c>
      <c r="O1859" s="47">
        <f t="shared" ref="O1859:O1889" si="95">N1859*0.459026614424507</f>
        <v>5.7378326803063373E-3</v>
      </c>
      <c r="P1859" s="92"/>
    </row>
    <row r="1860" spans="1:16" x14ac:dyDescent="0.25">
      <c r="A1860" s="29">
        <v>7</v>
      </c>
      <c r="B1860" s="30">
        <v>437811.10856199998</v>
      </c>
      <c r="C1860" s="30">
        <v>5688274.3324180003</v>
      </c>
      <c r="D1860" s="30">
        <v>9</v>
      </c>
      <c r="E1860" s="30" t="s">
        <v>64</v>
      </c>
      <c r="F1860" s="46">
        <v>2017</v>
      </c>
      <c r="G1860" s="47">
        <v>4.0000000000000002E-4</v>
      </c>
      <c r="H1860" s="47">
        <f t="shared" si="91"/>
        <v>1.6426376984562201E-4</v>
      </c>
      <c r="I1860" s="47">
        <v>2.5899999999999999E-2</v>
      </c>
      <c r="J1860" s="47">
        <f t="shared" si="92"/>
        <v>1.1602528662646473E-2</v>
      </c>
      <c r="K1860" s="47">
        <v>2.9999999999999997E-4</v>
      </c>
      <c r="L1860" s="47">
        <f t="shared" si="93"/>
        <v>1.3690380408446068E-4</v>
      </c>
      <c r="M1860" s="47">
        <f t="shared" si="94"/>
        <v>2.735996576116133E-5</v>
      </c>
      <c r="N1860" s="47">
        <v>8.0000000000000004E-4</v>
      </c>
      <c r="O1860" s="47">
        <f t="shared" si="95"/>
        <v>3.6722129153960559E-4</v>
      </c>
      <c r="P1860" s="92"/>
    </row>
    <row r="1861" spans="1:16" x14ac:dyDescent="0.25">
      <c r="A1861" s="42">
        <v>8</v>
      </c>
      <c r="B1861" s="43">
        <v>437930.10856199998</v>
      </c>
      <c r="C1861" s="43">
        <v>5688274.3324180003</v>
      </c>
      <c r="D1861" s="44">
        <v>9</v>
      </c>
      <c r="E1861" s="44" t="s">
        <v>64</v>
      </c>
      <c r="F1861" s="44">
        <v>2017</v>
      </c>
      <c r="G1861" s="44" t="s">
        <v>18</v>
      </c>
      <c r="H1861" s="44" t="s">
        <v>18</v>
      </c>
      <c r="I1861" s="44" t="s">
        <v>18</v>
      </c>
      <c r="J1861" s="44" t="s">
        <v>18</v>
      </c>
      <c r="K1861" s="44" t="s">
        <v>18</v>
      </c>
      <c r="L1861" s="44" t="s">
        <v>18</v>
      </c>
      <c r="M1861" s="44" t="s">
        <v>18</v>
      </c>
      <c r="N1861" s="44" t="s">
        <v>18</v>
      </c>
      <c r="O1861" s="44" t="s">
        <v>18</v>
      </c>
      <c r="P1861" s="102" t="s">
        <v>109</v>
      </c>
    </row>
    <row r="1862" spans="1:16" x14ac:dyDescent="0.25">
      <c r="A1862" s="29">
        <v>9</v>
      </c>
      <c r="B1862" s="30">
        <v>438287.10856199998</v>
      </c>
      <c r="C1862" s="30">
        <v>5688274.3324180003</v>
      </c>
      <c r="D1862" s="30">
        <v>9</v>
      </c>
      <c r="E1862" s="30" t="s">
        <v>64</v>
      </c>
      <c r="F1862" s="46">
        <v>2017</v>
      </c>
      <c r="G1862" s="47">
        <v>1.43E-2</v>
      </c>
      <c r="H1862" s="47">
        <f t="shared" si="91"/>
        <v>5.8724297719809871E-3</v>
      </c>
      <c r="I1862" s="47">
        <v>0</v>
      </c>
      <c r="J1862" s="47">
        <f t="shared" si="92"/>
        <v>0</v>
      </c>
      <c r="K1862" s="47">
        <v>5.1999999999999998E-3</v>
      </c>
      <c r="L1862" s="47">
        <f t="shared" si="93"/>
        <v>2.3729992707973188E-3</v>
      </c>
      <c r="M1862" s="47">
        <f t="shared" si="94"/>
        <v>3.4994305011836683E-3</v>
      </c>
      <c r="N1862" s="47">
        <v>0</v>
      </c>
      <c r="O1862" s="47">
        <f t="shared" si="95"/>
        <v>0</v>
      </c>
      <c r="P1862" s="92"/>
    </row>
    <row r="1863" spans="1:16" x14ac:dyDescent="0.25">
      <c r="A1863" s="29">
        <v>10</v>
      </c>
      <c r="B1863" s="30">
        <v>438406.10856199998</v>
      </c>
      <c r="C1863" s="30">
        <v>5688274.3324180003</v>
      </c>
      <c r="D1863" s="30">
        <v>9</v>
      </c>
      <c r="E1863" s="30" t="s">
        <v>64</v>
      </c>
      <c r="F1863" s="46">
        <v>2017</v>
      </c>
      <c r="G1863" s="47">
        <v>5.7000000000000002E-2</v>
      </c>
      <c r="H1863" s="47">
        <f t="shared" si="91"/>
        <v>2.3407587203001137E-2</v>
      </c>
      <c r="I1863" s="47">
        <v>0</v>
      </c>
      <c r="J1863" s="47">
        <f t="shared" si="92"/>
        <v>0</v>
      </c>
      <c r="K1863" s="47">
        <v>8.8999999999999999E-3</v>
      </c>
      <c r="L1863" s="47">
        <f t="shared" si="93"/>
        <v>4.0614795211723342E-3</v>
      </c>
      <c r="M1863" s="47">
        <f t="shared" si="94"/>
        <v>1.9346107681828803E-2</v>
      </c>
      <c r="N1863" s="47">
        <v>0</v>
      </c>
      <c r="O1863" s="47">
        <f t="shared" si="95"/>
        <v>0</v>
      </c>
      <c r="P1863" s="92"/>
    </row>
    <row r="1864" spans="1:16" x14ac:dyDescent="0.25">
      <c r="A1864" s="42">
        <v>11</v>
      </c>
      <c r="B1864" s="43">
        <v>437454.10856199998</v>
      </c>
      <c r="C1864" s="43">
        <v>5688393.3324180003</v>
      </c>
      <c r="D1864" s="44">
        <v>9</v>
      </c>
      <c r="E1864" s="44" t="s">
        <v>64</v>
      </c>
      <c r="F1864" s="44">
        <v>2017</v>
      </c>
      <c r="G1864" s="44" t="s">
        <v>18</v>
      </c>
      <c r="H1864" s="44" t="s">
        <v>18</v>
      </c>
      <c r="I1864" s="44" t="s">
        <v>18</v>
      </c>
      <c r="J1864" s="44" t="s">
        <v>18</v>
      </c>
      <c r="K1864" s="44" t="s">
        <v>18</v>
      </c>
      <c r="L1864" s="44" t="s">
        <v>18</v>
      </c>
      <c r="M1864" s="44" t="s">
        <v>18</v>
      </c>
      <c r="N1864" s="44" t="s">
        <v>18</v>
      </c>
      <c r="O1864" s="44" t="s">
        <v>18</v>
      </c>
      <c r="P1864" s="102" t="s">
        <v>109</v>
      </c>
    </row>
    <row r="1865" spans="1:16" x14ac:dyDescent="0.25">
      <c r="A1865" s="29">
        <v>12</v>
      </c>
      <c r="B1865" s="30">
        <v>437573.10856199998</v>
      </c>
      <c r="C1865" s="30">
        <v>5688393.3324180003</v>
      </c>
      <c r="D1865" s="30">
        <v>9</v>
      </c>
      <c r="E1865" s="30" t="s">
        <v>64</v>
      </c>
      <c r="F1865" s="46">
        <v>2017</v>
      </c>
      <c r="G1865" s="47">
        <v>5.5999999999999999E-3</v>
      </c>
      <c r="H1865" s="47">
        <f t="shared" si="91"/>
        <v>2.2996927778387083E-3</v>
      </c>
      <c r="I1865" s="47">
        <v>4.8000000000000001E-2</v>
      </c>
      <c r="J1865" s="47">
        <f t="shared" si="92"/>
        <v>2.1502755822665282E-2</v>
      </c>
      <c r="K1865" s="47">
        <v>2.3999999999999998E-3</v>
      </c>
      <c r="L1865" s="47">
        <f t="shared" si="93"/>
        <v>1.0952304326756854E-3</v>
      </c>
      <c r="M1865" s="47">
        <f t="shared" si="94"/>
        <v>1.2044623451630228E-3</v>
      </c>
      <c r="N1865" s="47">
        <v>1.2699999999999999E-2</v>
      </c>
      <c r="O1865" s="47">
        <f t="shared" si="95"/>
        <v>5.8296380031912388E-3</v>
      </c>
      <c r="P1865" s="92"/>
    </row>
    <row r="1866" spans="1:16" x14ac:dyDescent="0.25">
      <c r="A1866" s="29">
        <v>13</v>
      </c>
      <c r="B1866" s="30">
        <v>437692.10856199998</v>
      </c>
      <c r="C1866" s="30">
        <v>5688393.3324180003</v>
      </c>
      <c r="D1866" s="30">
        <v>9</v>
      </c>
      <c r="E1866" s="30" t="s">
        <v>64</v>
      </c>
      <c r="F1866" s="46">
        <v>2017</v>
      </c>
      <c r="G1866" s="47">
        <v>0</v>
      </c>
      <c r="H1866" s="47">
        <f t="shared" si="91"/>
        <v>0</v>
      </c>
      <c r="I1866" s="47">
        <v>0.248</v>
      </c>
      <c r="J1866" s="47">
        <f t="shared" si="92"/>
        <v>0.11109757175043727</v>
      </c>
      <c r="K1866" s="47">
        <v>2.0000000000000001E-4</v>
      </c>
      <c r="L1866" s="47">
        <f t="shared" si="93"/>
        <v>9.1269202722973807E-5</v>
      </c>
      <c r="M1866" s="47">
        <f t="shared" si="94"/>
        <v>-9.1269202722973807E-5</v>
      </c>
      <c r="N1866" s="47">
        <v>4.41E-2</v>
      </c>
      <c r="O1866" s="47">
        <f t="shared" si="95"/>
        <v>2.0243073696120759E-2</v>
      </c>
      <c r="P1866" s="92"/>
    </row>
    <row r="1867" spans="1:16" x14ac:dyDescent="0.25">
      <c r="A1867" s="32">
        <v>14</v>
      </c>
      <c r="B1867" s="33">
        <v>437811.10856199998</v>
      </c>
      <c r="C1867" s="33">
        <v>5688393.3324180003</v>
      </c>
      <c r="D1867" s="48">
        <v>9</v>
      </c>
      <c r="E1867" s="48" t="s">
        <v>64</v>
      </c>
      <c r="F1867" s="48">
        <v>2017</v>
      </c>
      <c r="G1867" s="48" t="s">
        <v>18</v>
      </c>
      <c r="H1867" s="48" t="s">
        <v>18</v>
      </c>
      <c r="I1867" s="48" t="s">
        <v>18</v>
      </c>
      <c r="J1867" s="48" t="s">
        <v>18</v>
      </c>
      <c r="K1867" s="48" t="s">
        <v>18</v>
      </c>
      <c r="L1867" s="48" t="s">
        <v>18</v>
      </c>
      <c r="M1867" s="48" t="s">
        <v>18</v>
      </c>
      <c r="N1867" s="48" t="s">
        <v>18</v>
      </c>
      <c r="O1867" s="48" t="s">
        <v>18</v>
      </c>
      <c r="P1867" s="103" t="s">
        <v>89</v>
      </c>
    </row>
    <row r="1868" spans="1:16" x14ac:dyDescent="0.25">
      <c r="A1868" s="29">
        <v>15</v>
      </c>
      <c r="B1868" s="30">
        <v>437930.10856199998</v>
      </c>
      <c r="C1868" s="30">
        <v>5688393.3324180003</v>
      </c>
      <c r="D1868" s="30">
        <v>9</v>
      </c>
      <c r="E1868" s="30" t="s">
        <v>64</v>
      </c>
      <c r="F1868" s="46">
        <v>2017</v>
      </c>
      <c r="G1868" s="46" t="s">
        <v>18</v>
      </c>
      <c r="H1868" s="46" t="s">
        <v>18</v>
      </c>
      <c r="I1868" s="46" t="s">
        <v>18</v>
      </c>
      <c r="J1868" s="46" t="s">
        <v>18</v>
      </c>
      <c r="K1868" s="47">
        <v>1.4E-2</v>
      </c>
      <c r="L1868" s="47">
        <f t="shared" si="93"/>
        <v>6.3888441906081658E-3</v>
      </c>
      <c r="M1868" s="46" t="s">
        <v>18</v>
      </c>
      <c r="N1868" s="47">
        <v>0.1399</v>
      </c>
      <c r="O1868" s="47">
        <f t="shared" si="95"/>
        <v>6.4217823357988521E-2</v>
      </c>
      <c r="P1868" s="92" t="s">
        <v>125</v>
      </c>
    </row>
    <row r="1869" spans="1:16" x14ac:dyDescent="0.25">
      <c r="A1869" s="29">
        <v>16</v>
      </c>
      <c r="B1869" s="30">
        <v>438049.10856199998</v>
      </c>
      <c r="C1869" s="30">
        <v>5688393.3324180003</v>
      </c>
      <c r="D1869" s="30">
        <v>9</v>
      </c>
      <c r="E1869" s="30" t="s">
        <v>64</v>
      </c>
      <c r="F1869" s="46">
        <v>2017</v>
      </c>
      <c r="G1869" s="47">
        <v>2.9399999999999999E-2</v>
      </c>
      <c r="H1869" s="47">
        <f t="shared" si="91"/>
        <v>1.2073387083653218E-2</v>
      </c>
      <c r="I1869" s="47">
        <v>0.22259999999999999</v>
      </c>
      <c r="J1869" s="47">
        <f t="shared" si="92"/>
        <v>9.9719030127610228E-2</v>
      </c>
      <c r="K1869" s="47">
        <v>1.0699999999999999E-2</v>
      </c>
      <c r="L1869" s="47">
        <f t="shared" si="93"/>
        <v>4.8829023456790979E-3</v>
      </c>
      <c r="M1869" s="47">
        <f t="shared" si="94"/>
        <v>7.1904847379741198E-3</v>
      </c>
      <c r="N1869" s="47">
        <v>1.34E-2</v>
      </c>
      <c r="O1869" s="47">
        <f t="shared" si="95"/>
        <v>6.1509566332883939E-3</v>
      </c>
      <c r="P1869" s="92"/>
    </row>
    <row r="1870" spans="1:16" x14ac:dyDescent="0.25">
      <c r="A1870" s="29">
        <v>17</v>
      </c>
      <c r="B1870" s="30">
        <v>438168.10856199998</v>
      </c>
      <c r="C1870" s="30">
        <v>5688393.3324180003</v>
      </c>
      <c r="D1870" s="30">
        <v>9</v>
      </c>
      <c r="E1870" s="30" t="s">
        <v>64</v>
      </c>
      <c r="F1870" s="46">
        <v>2017</v>
      </c>
      <c r="G1870" s="47">
        <v>2.1700000000000001E-2</v>
      </c>
      <c r="H1870" s="47">
        <f t="shared" si="91"/>
        <v>8.9113095141249935E-3</v>
      </c>
      <c r="I1870" s="47">
        <v>8.4400000000000003E-2</v>
      </c>
      <c r="J1870" s="47">
        <f t="shared" si="92"/>
        <v>3.7809012321519786E-2</v>
      </c>
      <c r="K1870" s="47">
        <v>1.6899999999999998E-2</v>
      </c>
      <c r="L1870" s="47">
        <f t="shared" si="93"/>
        <v>7.7122476300912849E-3</v>
      </c>
      <c r="M1870" s="47">
        <f t="shared" si="94"/>
        <v>1.1990618840337086E-3</v>
      </c>
      <c r="N1870" s="47">
        <v>4.1500000000000002E-2</v>
      </c>
      <c r="O1870" s="47">
        <f t="shared" si="95"/>
        <v>1.9049604498617041E-2</v>
      </c>
      <c r="P1870" s="92"/>
    </row>
    <row r="1871" spans="1:16" x14ac:dyDescent="0.25">
      <c r="A1871" s="29">
        <v>18</v>
      </c>
      <c r="B1871" s="30">
        <v>438287.10856199998</v>
      </c>
      <c r="C1871" s="30">
        <v>5688393.3324180003</v>
      </c>
      <c r="D1871" s="30">
        <v>9</v>
      </c>
      <c r="E1871" s="30" t="s">
        <v>64</v>
      </c>
      <c r="F1871" s="46">
        <v>2017</v>
      </c>
      <c r="G1871" s="47">
        <v>2.8E-3</v>
      </c>
      <c r="H1871" s="47">
        <f t="shared" si="91"/>
        <v>1.1498463889193541E-3</v>
      </c>
      <c r="I1871" s="47">
        <v>0</v>
      </c>
      <c r="J1871" s="47">
        <f t="shared" si="92"/>
        <v>0</v>
      </c>
      <c r="K1871" s="47">
        <v>7.4000000000000003E-3</v>
      </c>
      <c r="L1871" s="47">
        <f t="shared" si="93"/>
        <v>3.3769605007500304E-3</v>
      </c>
      <c r="M1871" s="47">
        <f t="shared" si="94"/>
        <v>-2.2271141118306763E-3</v>
      </c>
      <c r="N1871" s="47">
        <v>0</v>
      </c>
      <c r="O1871" s="47">
        <f t="shared" si="95"/>
        <v>0</v>
      </c>
      <c r="P1871" s="92"/>
    </row>
    <row r="1872" spans="1:16" x14ac:dyDescent="0.25">
      <c r="A1872" s="29">
        <v>19</v>
      </c>
      <c r="B1872" s="30">
        <v>438406.10856199998</v>
      </c>
      <c r="C1872" s="30">
        <v>5688393.3324180003</v>
      </c>
      <c r="D1872" s="30">
        <v>9</v>
      </c>
      <c r="E1872" s="30" t="s">
        <v>64</v>
      </c>
      <c r="F1872" s="46">
        <v>2017</v>
      </c>
      <c r="G1872" s="47">
        <v>3.49E-2</v>
      </c>
      <c r="H1872" s="47">
        <f t="shared" si="91"/>
        <v>1.4332013919030521E-2</v>
      </c>
      <c r="I1872" s="47">
        <v>0</v>
      </c>
      <c r="J1872" s="47">
        <f t="shared" si="92"/>
        <v>0</v>
      </c>
      <c r="K1872" s="47">
        <v>1.1599999999999999E-2</v>
      </c>
      <c r="L1872" s="47">
        <f t="shared" si="93"/>
        <v>5.2936137579324798E-3</v>
      </c>
      <c r="M1872" s="47">
        <f t="shared" si="94"/>
        <v>9.0384001610980414E-3</v>
      </c>
      <c r="N1872" s="47">
        <v>0</v>
      </c>
      <c r="O1872" s="47">
        <f t="shared" si="95"/>
        <v>0</v>
      </c>
      <c r="P1872" s="92"/>
    </row>
    <row r="1873" spans="1:16" x14ac:dyDescent="0.25">
      <c r="A1873" s="42">
        <v>20</v>
      </c>
      <c r="B1873" s="43">
        <v>437335.10856199998</v>
      </c>
      <c r="C1873" s="43">
        <v>5688512.3324180003</v>
      </c>
      <c r="D1873" s="44">
        <v>9</v>
      </c>
      <c r="E1873" s="44" t="s">
        <v>64</v>
      </c>
      <c r="F1873" s="44">
        <v>2017</v>
      </c>
      <c r="G1873" s="44" t="s">
        <v>18</v>
      </c>
      <c r="H1873" s="44" t="s">
        <v>18</v>
      </c>
      <c r="I1873" s="44" t="s">
        <v>18</v>
      </c>
      <c r="J1873" s="44" t="s">
        <v>18</v>
      </c>
      <c r="K1873" s="44" t="s">
        <v>18</v>
      </c>
      <c r="L1873" s="44" t="s">
        <v>18</v>
      </c>
      <c r="M1873" s="44" t="s">
        <v>18</v>
      </c>
      <c r="N1873" s="44" t="s">
        <v>18</v>
      </c>
      <c r="O1873" s="44" t="s">
        <v>18</v>
      </c>
      <c r="P1873" s="102" t="s">
        <v>109</v>
      </c>
    </row>
    <row r="1874" spans="1:16" x14ac:dyDescent="0.25">
      <c r="A1874" s="29">
        <v>21</v>
      </c>
      <c r="B1874" s="30">
        <v>437454.10856199998</v>
      </c>
      <c r="C1874" s="30">
        <v>5688512.3324180003</v>
      </c>
      <c r="D1874" s="30">
        <v>9</v>
      </c>
      <c r="E1874" s="30" t="s">
        <v>64</v>
      </c>
      <c r="F1874" s="46">
        <v>2017</v>
      </c>
      <c r="G1874" s="47">
        <v>1.32E-2</v>
      </c>
      <c r="H1874" s="47">
        <f t="shared" si="91"/>
        <v>5.4207044049055259E-3</v>
      </c>
      <c r="I1874" s="47">
        <v>0</v>
      </c>
      <c r="J1874" s="47">
        <f t="shared" si="92"/>
        <v>0</v>
      </c>
      <c r="K1874" s="47">
        <v>4.4999999999999997E-3</v>
      </c>
      <c r="L1874" s="47">
        <f t="shared" si="93"/>
        <v>2.0535570612669101E-3</v>
      </c>
      <c r="M1874" s="47">
        <f t="shared" si="94"/>
        <v>3.3671473436386158E-3</v>
      </c>
      <c r="N1874" s="47">
        <v>0</v>
      </c>
      <c r="O1874" s="47">
        <f t="shared" si="95"/>
        <v>0</v>
      </c>
      <c r="P1874" s="92"/>
    </row>
    <row r="1875" spans="1:16" x14ac:dyDescent="0.25">
      <c r="A1875" s="29">
        <v>22</v>
      </c>
      <c r="B1875" s="30">
        <v>437573.10856199998</v>
      </c>
      <c r="C1875" s="30">
        <v>5688512.3324180003</v>
      </c>
      <c r="D1875" s="30">
        <v>9</v>
      </c>
      <c r="E1875" s="30" t="s">
        <v>64</v>
      </c>
      <c r="F1875" s="46">
        <v>2017</v>
      </c>
      <c r="G1875" s="47">
        <v>6.2399999999999997E-2</v>
      </c>
      <c r="H1875" s="47">
        <f t="shared" si="91"/>
        <v>2.5625148095917032E-2</v>
      </c>
      <c r="I1875" s="47">
        <v>0.49789999999999995</v>
      </c>
      <c r="J1875" s="47">
        <f t="shared" si="92"/>
        <v>0.22304629425218836</v>
      </c>
      <c r="K1875" s="47">
        <v>2.3600000000000003E-2</v>
      </c>
      <c r="L1875" s="47">
        <f t="shared" si="93"/>
        <v>1.076976592131091E-2</v>
      </c>
      <c r="M1875" s="47">
        <f t="shared" si="94"/>
        <v>1.4855382174606122E-2</v>
      </c>
      <c r="N1875" s="47">
        <v>5.8000000000000003E-2</v>
      </c>
      <c r="O1875" s="47">
        <f t="shared" si="95"/>
        <v>2.6623543636621408E-2</v>
      </c>
      <c r="P1875" s="92"/>
    </row>
    <row r="1876" spans="1:16" x14ac:dyDescent="0.25">
      <c r="A1876" s="29">
        <v>23</v>
      </c>
      <c r="B1876" s="30">
        <v>437692.10856199998</v>
      </c>
      <c r="C1876" s="30">
        <v>5688512.3324180003</v>
      </c>
      <c r="D1876" s="30">
        <v>9</v>
      </c>
      <c r="E1876" s="30" t="s">
        <v>64</v>
      </c>
      <c r="F1876" s="46">
        <v>2017</v>
      </c>
      <c r="G1876" s="47">
        <v>1.4E-3</v>
      </c>
      <c r="H1876" s="47">
        <f t="shared" si="91"/>
        <v>5.7492319445967706E-4</v>
      </c>
      <c r="I1876" s="47">
        <v>2.9999999999999997E-4</v>
      </c>
      <c r="J1876" s="47">
        <f t="shared" si="92"/>
        <v>1.3439222389165798E-4</v>
      </c>
      <c r="K1876" s="47">
        <v>4.4999999999999997E-3</v>
      </c>
      <c r="L1876" s="47">
        <f t="shared" si="93"/>
        <v>2.0535570612669101E-3</v>
      </c>
      <c r="M1876" s="47">
        <f t="shared" si="94"/>
        <v>-1.478633866807233E-3</v>
      </c>
      <c r="N1876" s="47">
        <v>0</v>
      </c>
      <c r="O1876" s="47">
        <f t="shared" si="95"/>
        <v>0</v>
      </c>
      <c r="P1876" s="92"/>
    </row>
    <row r="1877" spans="1:16" x14ac:dyDescent="0.25">
      <c r="A1877" s="29">
        <v>24</v>
      </c>
      <c r="B1877" s="30">
        <v>437811.10856199998</v>
      </c>
      <c r="C1877" s="30">
        <v>5688512.3324180003</v>
      </c>
      <c r="D1877" s="30">
        <v>9</v>
      </c>
      <c r="E1877" s="30" t="s">
        <v>64</v>
      </c>
      <c r="F1877" s="46">
        <v>2017</v>
      </c>
      <c r="G1877" s="47">
        <v>2.4199999999999999E-2</v>
      </c>
      <c r="H1877" s="47">
        <f t="shared" si="91"/>
        <v>9.9379580756601311E-3</v>
      </c>
      <c r="I1877" s="47">
        <v>7.7000000000000002E-3</v>
      </c>
      <c r="J1877" s="47">
        <f t="shared" si="92"/>
        <v>3.4494004132192219E-3</v>
      </c>
      <c r="K1877" s="47">
        <v>8.0000000000000002E-3</v>
      </c>
      <c r="L1877" s="47">
        <f t="shared" si="93"/>
        <v>3.650768108918952E-3</v>
      </c>
      <c r="M1877" s="47">
        <f t="shared" si="94"/>
        <v>6.2871899667411787E-3</v>
      </c>
      <c r="N1877" s="47">
        <v>0</v>
      </c>
      <c r="O1877" s="47">
        <f t="shared" si="95"/>
        <v>0</v>
      </c>
      <c r="P1877" s="92"/>
    </row>
    <row r="1878" spans="1:16" x14ac:dyDescent="0.25">
      <c r="A1878" s="29">
        <v>25</v>
      </c>
      <c r="B1878" s="46">
        <v>437995</v>
      </c>
      <c r="C1878" s="46">
        <v>5688493</v>
      </c>
      <c r="D1878" s="30">
        <v>9</v>
      </c>
      <c r="E1878" s="30" t="s">
        <v>64</v>
      </c>
      <c r="F1878" s="46">
        <v>2017</v>
      </c>
      <c r="G1878" s="47">
        <v>2.07E-2</v>
      </c>
      <c r="H1878" s="47">
        <f t="shared" si="91"/>
        <v>8.5006500895109388E-3</v>
      </c>
      <c r="I1878" s="47">
        <v>0</v>
      </c>
      <c r="J1878" s="47">
        <f t="shared" si="92"/>
        <v>0</v>
      </c>
      <c r="K1878" s="47">
        <v>4.4000000000000003E-3</v>
      </c>
      <c r="L1878" s="47">
        <f t="shared" si="93"/>
        <v>2.0079224599054237E-3</v>
      </c>
      <c r="M1878" s="47">
        <f t="shared" si="94"/>
        <v>6.4927276296055155E-3</v>
      </c>
      <c r="N1878" s="47">
        <v>0</v>
      </c>
      <c r="O1878" s="47">
        <f t="shared" si="95"/>
        <v>0</v>
      </c>
      <c r="P1878" s="92"/>
    </row>
    <row r="1879" spans="1:16" x14ac:dyDescent="0.25">
      <c r="A1879" s="29">
        <v>26</v>
      </c>
      <c r="B1879" s="46">
        <v>438112</v>
      </c>
      <c r="C1879" s="46">
        <v>5688567</v>
      </c>
      <c r="D1879" s="30">
        <v>9</v>
      </c>
      <c r="E1879" s="30" t="s">
        <v>64</v>
      </c>
      <c r="F1879" s="46">
        <v>2017</v>
      </c>
      <c r="G1879" s="47">
        <v>5.79E-2</v>
      </c>
      <c r="H1879" s="47">
        <f t="shared" si="91"/>
        <v>2.3777180685153786E-2</v>
      </c>
      <c r="I1879" s="47">
        <v>0</v>
      </c>
      <c r="J1879" s="47">
        <f t="shared" si="92"/>
        <v>0</v>
      </c>
      <c r="K1879" s="47">
        <v>5.0000000000000001E-3</v>
      </c>
      <c r="L1879" s="47">
        <f t="shared" si="93"/>
        <v>2.2817300680743448E-3</v>
      </c>
      <c r="M1879" s="47">
        <f t="shared" si="94"/>
        <v>2.1495450617079442E-2</v>
      </c>
      <c r="N1879" s="47">
        <v>0</v>
      </c>
      <c r="O1879" s="47">
        <f t="shared" si="95"/>
        <v>0</v>
      </c>
      <c r="P1879" s="92"/>
    </row>
    <row r="1880" spans="1:16" x14ac:dyDescent="0.25">
      <c r="A1880" s="32">
        <v>27</v>
      </c>
      <c r="B1880" s="33">
        <v>438168.10856199998</v>
      </c>
      <c r="C1880" s="33">
        <v>5688512.3324180003</v>
      </c>
      <c r="D1880" s="48">
        <v>9</v>
      </c>
      <c r="E1880" s="48" t="s">
        <v>64</v>
      </c>
      <c r="F1880" s="48">
        <v>2017</v>
      </c>
      <c r="G1880" s="48" t="s">
        <v>18</v>
      </c>
      <c r="H1880" s="48" t="s">
        <v>18</v>
      </c>
      <c r="I1880" s="48" t="s">
        <v>18</v>
      </c>
      <c r="J1880" s="48" t="s">
        <v>18</v>
      </c>
      <c r="K1880" s="48" t="s">
        <v>18</v>
      </c>
      <c r="L1880" s="48" t="s">
        <v>18</v>
      </c>
      <c r="M1880" s="48" t="s">
        <v>18</v>
      </c>
      <c r="N1880" s="48" t="s">
        <v>18</v>
      </c>
      <c r="O1880" s="48" t="s">
        <v>18</v>
      </c>
      <c r="P1880" s="103" t="s">
        <v>89</v>
      </c>
    </row>
    <row r="1881" spans="1:16" x14ac:dyDescent="0.25">
      <c r="A1881" s="32">
        <v>28</v>
      </c>
      <c r="B1881" s="33">
        <v>438287.10856199998</v>
      </c>
      <c r="C1881" s="33">
        <v>5688512.3324180003</v>
      </c>
      <c r="D1881" s="48">
        <v>9</v>
      </c>
      <c r="E1881" s="48" t="s">
        <v>64</v>
      </c>
      <c r="F1881" s="48">
        <v>2017</v>
      </c>
      <c r="G1881" s="48" t="s">
        <v>18</v>
      </c>
      <c r="H1881" s="48" t="s">
        <v>18</v>
      </c>
      <c r="I1881" s="48" t="s">
        <v>18</v>
      </c>
      <c r="J1881" s="48" t="s">
        <v>18</v>
      </c>
      <c r="K1881" s="48" t="s">
        <v>18</v>
      </c>
      <c r="L1881" s="48" t="s">
        <v>18</v>
      </c>
      <c r="M1881" s="48" t="s">
        <v>18</v>
      </c>
      <c r="N1881" s="48" t="s">
        <v>18</v>
      </c>
      <c r="O1881" s="48" t="s">
        <v>18</v>
      </c>
      <c r="P1881" s="103" t="s">
        <v>89</v>
      </c>
    </row>
    <row r="1882" spans="1:16" x14ac:dyDescent="0.25">
      <c r="A1882" s="29">
        <v>29</v>
      </c>
      <c r="B1882" s="30">
        <v>438381</v>
      </c>
      <c r="C1882" s="30">
        <v>5688526</v>
      </c>
      <c r="D1882" s="30">
        <v>9</v>
      </c>
      <c r="E1882" s="30" t="s">
        <v>64</v>
      </c>
      <c r="F1882" s="46">
        <v>2017</v>
      </c>
      <c r="G1882" s="47">
        <v>8.8000000000000005E-3</v>
      </c>
      <c r="H1882" s="47">
        <f t="shared" si="91"/>
        <v>3.6138029366036845E-3</v>
      </c>
      <c r="I1882" s="47">
        <v>0</v>
      </c>
      <c r="J1882" s="47">
        <f t="shared" si="92"/>
        <v>0</v>
      </c>
      <c r="K1882" s="47">
        <v>5.3899999999999997E-2</v>
      </c>
      <c r="L1882" s="47">
        <f t="shared" si="93"/>
        <v>2.4597050133841437E-2</v>
      </c>
      <c r="M1882" s="47">
        <f t="shared" si="94"/>
        <v>-2.098324719723775E-2</v>
      </c>
      <c r="N1882" s="47">
        <v>0</v>
      </c>
      <c r="O1882" s="47">
        <f t="shared" si="95"/>
        <v>0</v>
      </c>
      <c r="P1882" s="92"/>
    </row>
    <row r="1883" spans="1:16" x14ac:dyDescent="0.25">
      <c r="A1883" s="29">
        <v>30</v>
      </c>
      <c r="B1883" s="30">
        <v>438525.10856199998</v>
      </c>
      <c r="C1883" s="30">
        <v>5688512.3324180003</v>
      </c>
      <c r="D1883" s="30">
        <v>9</v>
      </c>
      <c r="E1883" s="30" t="s">
        <v>64</v>
      </c>
      <c r="F1883" s="46">
        <v>2017</v>
      </c>
      <c r="G1883" s="47">
        <v>2.7899999999999998E-2</v>
      </c>
      <c r="H1883" s="47">
        <f t="shared" si="91"/>
        <v>1.1457397946732135E-2</v>
      </c>
      <c r="I1883" s="47">
        <v>0</v>
      </c>
      <c r="J1883" s="47">
        <f t="shared" si="92"/>
        <v>0</v>
      </c>
      <c r="K1883" s="47">
        <v>1.6000000000000001E-3</v>
      </c>
      <c r="L1883" s="47">
        <f t="shared" si="93"/>
        <v>7.3015362178379046E-4</v>
      </c>
      <c r="M1883" s="47">
        <f t="shared" si="94"/>
        <v>1.0727244324948345E-2</v>
      </c>
      <c r="N1883" s="47">
        <v>0</v>
      </c>
      <c r="O1883" s="47">
        <f t="shared" si="95"/>
        <v>0</v>
      </c>
      <c r="P1883" s="92"/>
    </row>
    <row r="1884" spans="1:16" x14ac:dyDescent="0.25">
      <c r="A1884" s="29">
        <v>31</v>
      </c>
      <c r="B1884" s="30">
        <v>437335.10856199998</v>
      </c>
      <c r="C1884" s="30">
        <v>5688631.3324180003</v>
      </c>
      <c r="D1884" s="30">
        <v>9</v>
      </c>
      <c r="E1884" s="30" t="s">
        <v>64</v>
      </c>
      <c r="F1884" s="46">
        <v>2017</v>
      </c>
      <c r="G1884" s="47">
        <v>1.8800000000000001E-2</v>
      </c>
      <c r="H1884" s="47">
        <f t="shared" si="91"/>
        <v>7.720397182744235E-3</v>
      </c>
      <c r="I1884" s="47">
        <v>0</v>
      </c>
      <c r="J1884" s="47">
        <f t="shared" si="92"/>
        <v>0</v>
      </c>
      <c r="K1884" s="47">
        <v>2.1000000000000003E-3</v>
      </c>
      <c r="L1884" s="47">
        <f t="shared" si="93"/>
        <v>9.5832662859122498E-4</v>
      </c>
      <c r="M1884" s="47">
        <f t="shared" si="94"/>
        <v>6.7620705541530102E-3</v>
      </c>
      <c r="N1884" s="47">
        <v>0</v>
      </c>
      <c r="O1884" s="47">
        <f t="shared" si="95"/>
        <v>0</v>
      </c>
      <c r="P1884" s="92"/>
    </row>
    <row r="1885" spans="1:16" x14ac:dyDescent="0.25">
      <c r="A1885" s="29">
        <v>32</v>
      </c>
      <c r="B1885" s="30">
        <v>437454.10856199998</v>
      </c>
      <c r="C1885" s="30">
        <v>5688631.3324180003</v>
      </c>
      <c r="D1885" s="30">
        <v>9</v>
      </c>
      <c r="E1885" s="30" t="s">
        <v>64</v>
      </c>
      <c r="F1885" s="46">
        <v>2017</v>
      </c>
      <c r="G1885" s="47">
        <v>1.44E-2</v>
      </c>
      <c r="H1885" s="47">
        <f t="shared" si="91"/>
        <v>5.9134957144423919E-3</v>
      </c>
      <c r="I1885" s="47">
        <v>0</v>
      </c>
      <c r="J1885" s="47">
        <f t="shared" si="92"/>
        <v>0</v>
      </c>
      <c r="K1885" s="47">
        <v>4.0999999999999995E-3</v>
      </c>
      <c r="L1885" s="47">
        <f t="shared" si="93"/>
        <v>1.8710186558209625E-3</v>
      </c>
      <c r="M1885" s="47">
        <f t="shared" si="94"/>
        <v>4.0424770586214298E-3</v>
      </c>
      <c r="N1885" s="47">
        <v>8.0000000000000004E-4</v>
      </c>
      <c r="O1885" s="47">
        <f t="shared" si="95"/>
        <v>3.6722129153960559E-4</v>
      </c>
      <c r="P1885" s="92"/>
    </row>
    <row r="1886" spans="1:16" x14ac:dyDescent="0.25">
      <c r="A1886" s="29">
        <v>33</v>
      </c>
      <c r="B1886" s="30">
        <v>437573.10856199998</v>
      </c>
      <c r="C1886" s="30">
        <v>5688631.3324180003</v>
      </c>
      <c r="D1886" s="30">
        <v>9</v>
      </c>
      <c r="E1886" s="30" t="s">
        <v>64</v>
      </c>
      <c r="F1886" s="46">
        <v>2017</v>
      </c>
      <c r="G1886" s="47">
        <v>9.1000000000000004E-3</v>
      </c>
      <c r="H1886" s="47">
        <f t="shared" si="91"/>
        <v>3.737000763987901E-3</v>
      </c>
      <c r="I1886" s="47">
        <v>0</v>
      </c>
      <c r="J1886" s="47">
        <f t="shared" si="92"/>
        <v>0</v>
      </c>
      <c r="K1886" s="47">
        <v>1.6000000000000001E-3</v>
      </c>
      <c r="L1886" s="47">
        <f t="shared" si="93"/>
        <v>7.3015362178379046E-4</v>
      </c>
      <c r="M1886" s="47">
        <f t="shared" si="94"/>
        <v>3.0068471422041105E-3</v>
      </c>
      <c r="N1886" s="47">
        <v>0</v>
      </c>
      <c r="O1886" s="47">
        <f t="shared" si="95"/>
        <v>0</v>
      </c>
      <c r="P1886" s="92"/>
    </row>
    <row r="1887" spans="1:16" x14ac:dyDescent="0.25">
      <c r="A1887" s="29">
        <v>34</v>
      </c>
      <c r="B1887" s="30">
        <v>437692.10856199998</v>
      </c>
      <c r="C1887" s="30">
        <v>5688631.3324180003</v>
      </c>
      <c r="D1887" s="30">
        <v>9</v>
      </c>
      <c r="E1887" s="30" t="s">
        <v>64</v>
      </c>
      <c r="F1887" s="46">
        <v>2017</v>
      </c>
      <c r="G1887" s="47">
        <v>2.2200000000000001E-2</v>
      </c>
      <c r="H1887" s="47">
        <f t="shared" si="91"/>
        <v>9.1166392264320217E-3</v>
      </c>
      <c r="I1887" s="47">
        <v>0</v>
      </c>
      <c r="J1887" s="47">
        <f t="shared" si="92"/>
        <v>0</v>
      </c>
      <c r="K1887" s="47">
        <v>3.3999999999999998E-3</v>
      </c>
      <c r="L1887" s="47">
        <f t="shared" si="93"/>
        <v>1.5515764462905545E-3</v>
      </c>
      <c r="M1887" s="47">
        <f t="shared" si="94"/>
        <v>7.5650627801414671E-3</v>
      </c>
      <c r="N1887" s="47">
        <v>0</v>
      </c>
      <c r="O1887" s="47">
        <f t="shared" si="95"/>
        <v>0</v>
      </c>
      <c r="P1887" s="92"/>
    </row>
    <row r="1888" spans="1:16" x14ac:dyDescent="0.25">
      <c r="A1888" s="29">
        <v>35</v>
      </c>
      <c r="B1888" s="30">
        <v>437893</v>
      </c>
      <c r="C1888" s="30">
        <v>5688620</v>
      </c>
      <c r="D1888" s="30">
        <v>9</v>
      </c>
      <c r="E1888" s="30" t="s">
        <v>64</v>
      </c>
      <c r="F1888" s="46">
        <v>2017</v>
      </c>
      <c r="G1888" s="47">
        <v>1.0500000000000001E-2</v>
      </c>
      <c r="H1888" s="47">
        <f t="shared" si="91"/>
        <v>4.3119239584475779E-3</v>
      </c>
      <c r="I1888" s="47">
        <v>0</v>
      </c>
      <c r="J1888" s="47">
        <f t="shared" si="92"/>
        <v>0</v>
      </c>
      <c r="K1888" s="47">
        <v>5.3E-3</v>
      </c>
      <c r="L1888" s="47">
        <f t="shared" si="93"/>
        <v>2.4186338721588056E-3</v>
      </c>
      <c r="M1888" s="47">
        <f t="shared" si="94"/>
        <v>1.8932900862887723E-3</v>
      </c>
      <c r="N1888" s="47">
        <v>0</v>
      </c>
      <c r="O1888" s="47">
        <f t="shared" si="95"/>
        <v>0</v>
      </c>
      <c r="P1888" s="92"/>
    </row>
    <row r="1889" spans="1:16" x14ac:dyDescent="0.25">
      <c r="A1889" s="29">
        <v>36</v>
      </c>
      <c r="B1889" s="30">
        <v>437930.10856199998</v>
      </c>
      <c r="C1889" s="30">
        <v>5688631.3324180003</v>
      </c>
      <c r="D1889" s="30">
        <v>9</v>
      </c>
      <c r="E1889" s="30" t="s">
        <v>64</v>
      </c>
      <c r="F1889" s="46">
        <v>2017</v>
      </c>
      <c r="G1889" s="47">
        <v>2.0399999999999998E-2</v>
      </c>
      <c r="H1889" s="47">
        <f t="shared" si="91"/>
        <v>8.3774522621267219E-3</v>
      </c>
      <c r="I1889" s="47">
        <v>0</v>
      </c>
      <c r="J1889" s="47">
        <f t="shared" si="92"/>
        <v>0</v>
      </c>
      <c r="K1889" s="47">
        <v>1.8E-3</v>
      </c>
      <c r="L1889" s="47">
        <f t="shared" si="93"/>
        <v>8.2142282450676412E-4</v>
      </c>
      <c r="M1889" s="47">
        <f t="shared" si="94"/>
        <v>7.5560294376199582E-3</v>
      </c>
      <c r="N1889" s="47">
        <v>0</v>
      </c>
      <c r="O1889" s="47">
        <f t="shared" si="95"/>
        <v>0</v>
      </c>
      <c r="P1889" s="92"/>
    </row>
    <row r="1890" spans="1:16" x14ac:dyDescent="0.25">
      <c r="A1890" s="32">
        <v>37</v>
      </c>
      <c r="B1890" s="33">
        <v>438049.10856199998</v>
      </c>
      <c r="C1890" s="33">
        <v>5688631.3324180003</v>
      </c>
      <c r="D1890" s="48">
        <v>9</v>
      </c>
      <c r="E1890" s="48" t="s">
        <v>64</v>
      </c>
      <c r="F1890" s="48">
        <v>2017</v>
      </c>
      <c r="G1890" s="48" t="s">
        <v>18</v>
      </c>
      <c r="H1890" s="48" t="s">
        <v>18</v>
      </c>
      <c r="I1890" s="48" t="s">
        <v>18</v>
      </c>
      <c r="J1890" s="48" t="s">
        <v>18</v>
      </c>
      <c r="K1890" s="48" t="s">
        <v>18</v>
      </c>
      <c r="L1890" s="48" t="s">
        <v>18</v>
      </c>
      <c r="M1890" s="48" t="s">
        <v>18</v>
      </c>
      <c r="N1890" s="48" t="s">
        <v>18</v>
      </c>
      <c r="O1890" s="48" t="s">
        <v>18</v>
      </c>
      <c r="P1890" s="103" t="s">
        <v>89</v>
      </c>
    </row>
    <row r="1891" spans="1:16" x14ac:dyDescent="0.25">
      <c r="A1891" s="29">
        <v>38</v>
      </c>
      <c r="B1891" s="30">
        <v>438067</v>
      </c>
      <c r="C1891" s="30">
        <v>5688710</v>
      </c>
      <c r="D1891" s="30">
        <v>8</v>
      </c>
      <c r="E1891" s="30" t="s">
        <v>64</v>
      </c>
      <c r="F1891" s="46">
        <v>2017</v>
      </c>
      <c r="G1891" s="47">
        <v>4.5600000000000002E-2</v>
      </c>
      <c r="H1891" s="47">
        <f t="shared" ref="H1891:H1913" si="96">G1891*0.383841141029951</f>
        <v>1.7503156030965767E-2</v>
      </c>
      <c r="I1891" s="47">
        <v>0</v>
      </c>
      <c r="J1891" s="47">
        <v>0</v>
      </c>
      <c r="K1891" s="47">
        <v>2.7000000000000001E-3</v>
      </c>
      <c r="L1891" s="47">
        <f t="shared" ref="L1891:L1913" si="97">K1891*0.460905349794239</f>
        <v>1.2444444444444454E-3</v>
      </c>
      <c r="M1891" s="47">
        <f t="shared" si="94"/>
        <v>1.6258711586521323E-2</v>
      </c>
      <c r="N1891" s="47">
        <v>0</v>
      </c>
      <c r="O1891" s="47">
        <v>0</v>
      </c>
      <c r="P1891" s="92"/>
    </row>
    <row r="1892" spans="1:16" x14ac:dyDescent="0.25">
      <c r="A1892" s="32">
        <v>39</v>
      </c>
      <c r="B1892" s="33">
        <v>438287.10856199998</v>
      </c>
      <c r="C1892" s="33">
        <v>5688631.3324180003</v>
      </c>
      <c r="D1892" s="48">
        <v>9</v>
      </c>
      <c r="E1892" s="48" t="s">
        <v>64</v>
      </c>
      <c r="F1892" s="48">
        <v>2017</v>
      </c>
      <c r="G1892" s="48" t="s">
        <v>18</v>
      </c>
      <c r="H1892" s="48" t="s">
        <v>18</v>
      </c>
      <c r="I1892" s="48" t="s">
        <v>18</v>
      </c>
      <c r="J1892" s="48" t="s">
        <v>18</v>
      </c>
      <c r="K1892" s="48" t="s">
        <v>18</v>
      </c>
      <c r="L1892" s="48" t="s">
        <v>18</v>
      </c>
      <c r="M1892" s="48" t="s">
        <v>18</v>
      </c>
      <c r="N1892" s="48" t="s">
        <v>18</v>
      </c>
      <c r="O1892" s="48" t="s">
        <v>18</v>
      </c>
      <c r="P1892" s="94" t="s">
        <v>22</v>
      </c>
    </row>
    <row r="1893" spans="1:16" x14ac:dyDescent="0.25">
      <c r="A1893" s="29">
        <v>40</v>
      </c>
      <c r="B1893" s="30">
        <v>438406.10856199998</v>
      </c>
      <c r="C1893" s="30">
        <v>5688631.3324180003</v>
      </c>
      <c r="D1893" s="30">
        <v>9</v>
      </c>
      <c r="E1893" s="30" t="s">
        <v>64</v>
      </c>
      <c r="F1893" s="46">
        <v>2017</v>
      </c>
      <c r="G1893" s="54">
        <v>3.7499999999999999E-2</v>
      </c>
      <c r="H1893" s="47">
        <f t="shared" ref="H1893:H1899" si="98">G1893*0.410659424614055</f>
        <v>1.5399728423027063E-2</v>
      </c>
      <c r="I1893" s="47">
        <v>0</v>
      </c>
      <c r="J1893" s="47">
        <f t="shared" ref="J1893:J1899" si="99">I1893*0.44797407963886</f>
        <v>0</v>
      </c>
      <c r="K1893" s="47">
        <v>5.1999999999999998E-3</v>
      </c>
      <c r="L1893" s="47">
        <f t="shared" ref="L1893:L1899" si="100">K1893*0.456346013614869</f>
        <v>2.3729992707973188E-3</v>
      </c>
      <c r="M1893" s="47">
        <f t="shared" si="94"/>
        <v>1.3026729152229743E-2</v>
      </c>
      <c r="N1893" s="47">
        <v>0</v>
      </c>
      <c r="O1893" s="47">
        <f t="shared" ref="O1893:O1899" si="101">N1893*0.459026614424507</f>
        <v>0</v>
      </c>
      <c r="P1893" s="92"/>
    </row>
    <row r="1894" spans="1:16" x14ac:dyDescent="0.25">
      <c r="A1894" s="29">
        <v>41</v>
      </c>
      <c r="B1894" s="30">
        <v>437310</v>
      </c>
      <c r="C1894" s="30">
        <v>5688729</v>
      </c>
      <c r="D1894" s="30">
        <v>9</v>
      </c>
      <c r="E1894" s="30" t="s">
        <v>64</v>
      </c>
      <c r="F1894" s="46">
        <v>2017</v>
      </c>
      <c r="G1894" s="54">
        <v>2.3699999999999999E-2</v>
      </c>
      <c r="H1894" s="47">
        <f t="shared" si="98"/>
        <v>9.7326283633531029E-3</v>
      </c>
      <c r="I1894" s="47">
        <v>1.1999999999999999E-3</v>
      </c>
      <c r="J1894" s="47">
        <f t="shared" si="99"/>
        <v>5.3756889556663191E-4</v>
      </c>
      <c r="K1894" s="47">
        <v>1.1000000000000001E-3</v>
      </c>
      <c r="L1894" s="47">
        <f t="shared" si="100"/>
        <v>5.0198061497635593E-4</v>
      </c>
      <c r="M1894" s="47">
        <f t="shared" si="94"/>
        <v>9.2306477483767475E-3</v>
      </c>
      <c r="N1894" s="47">
        <v>0</v>
      </c>
      <c r="O1894" s="47">
        <f t="shared" si="101"/>
        <v>0</v>
      </c>
      <c r="P1894" s="92"/>
    </row>
    <row r="1895" spans="1:16" x14ac:dyDescent="0.25">
      <c r="A1895" s="29">
        <v>42</v>
      </c>
      <c r="B1895" s="30">
        <v>437454.10856199998</v>
      </c>
      <c r="C1895" s="30">
        <v>5688750.3324180003</v>
      </c>
      <c r="D1895" s="30">
        <v>9</v>
      </c>
      <c r="E1895" s="30" t="s">
        <v>64</v>
      </c>
      <c r="F1895" s="46">
        <v>2017</v>
      </c>
      <c r="G1895" s="54">
        <v>1.3699999999999999E-2</v>
      </c>
      <c r="H1895" s="47">
        <f t="shared" si="98"/>
        <v>5.6260341172125533E-3</v>
      </c>
      <c r="I1895" s="47">
        <v>1.5E-3</v>
      </c>
      <c r="J1895" s="47">
        <f t="shared" si="99"/>
        <v>6.7196111945829005E-4</v>
      </c>
      <c r="K1895" s="47">
        <v>4.7000000000000002E-3</v>
      </c>
      <c r="L1895" s="47">
        <f t="shared" si="100"/>
        <v>2.1448262639898845E-3</v>
      </c>
      <c r="M1895" s="47">
        <f t="shared" si="94"/>
        <v>3.4812078532226688E-3</v>
      </c>
      <c r="N1895" s="47">
        <v>0</v>
      </c>
      <c r="O1895" s="47">
        <f t="shared" si="101"/>
        <v>0</v>
      </c>
      <c r="P1895" s="92"/>
    </row>
    <row r="1896" spans="1:16" x14ac:dyDescent="0.25">
      <c r="A1896" s="29">
        <v>43</v>
      </c>
      <c r="B1896" s="30">
        <v>437573.10856199998</v>
      </c>
      <c r="C1896" s="30">
        <v>5688750.3324180003</v>
      </c>
      <c r="D1896" s="30">
        <v>9</v>
      </c>
      <c r="E1896" s="30" t="s">
        <v>64</v>
      </c>
      <c r="F1896" s="46">
        <v>2017</v>
      </c>
      <c r="G1896" s="54">
        <v>2.1399999999999999E-2</v>
      </c>
      <c r="H1896" s="47">
        <f t="shared" si="98"/>
        <v>8.7881116867407766E-3</v>
      </c>
      <c r="I1896" s="47">
        <v>1.1000000000000001E-3</v>
      </c>
      <c r="J1896" s="47">
        <f t="shared" si="99"/>
        <v>4.9277148760274597E-4</v>
      </c>
      <c r="K1896" s="47">
        <v>5.7000000000000002E-3</v>
      </c>
      <c r="L1896" s="47">
        <f t="shared" si="100"/>
        <v>2.6011722776047531E-3</v>
      </c>
      <c r="M1896" s="47">
        <f t="shared" si="94"/>
        <v>6.1869394091360235E-3</v>
      </c>
      <c r="N1896" s="47">
        <v>0</v>
      </c>
      <c r="O1896" s="47">
        <f t="shared" si="101"/>
        <v>0</v>
      </c>
      <c r="P1896" s="92"/>
    </row>
    <row r="1897" spans="1:16" x14ac:dyDescent="0.25">
      <c r="A1897" s="29">
        <v>44</v>
      </c>
      <c r="B1897" s="30">
        <v>437692.10856199998</v>
      </c>
      <c r="C1897" s="30">
        <v>5688750.3324180003</v>
      </c>
      <c r="D1897" s="30">
        <v>9</v>
      </c>
      <c r="E1897" s="30" t="s">
        <v>64</v>
      </c>
      <c r="F1897" s="46">
        <v>2017</v>
      </c>
      <c r="G1897" s="54">
        <v>5.9700000000000003E-2</v>
      </c>
      <c r="H1897" s="47">
        <f t="shared" si="98"/>
        <v>2.4516367649459088E-2</v>
      </c>
      <c r="I1897" s="47">
        <v>0</v>
      </c>
      <c r="J1897" s="47">
        <f t="shared" si="99"/>
        <v>0</v>
      </c>
      <c r="K1897" s="47">
        <v>4.3E-3</v>
      </c>
      <c r="L1897" s="47">
        <f t="shared" si="100"/>
        <v>1.9622878585439365E-3</v>
      </c>
      <c r="M1897" s="47">
        <f t="shared" si="94"/>
        <v>2.2554079790915151E-2</v>
      </c>
      <c r="N1897" s="47">
        <v>0</v>
      </c>
      <c r="O1897" s="47">
        <f t="shared" si="101"/>
        <v>0</v>
      </c>
      <c r="P1897" s="92"/>
    </row>
    <row r="1898" spans="1:16" x14ac:dyDescent="0.25">
      <c r="A1898" s="29">
        <v>45</v>
      </c>
      <c r="B1898" s="30">
        <v>437811.10856199998</v>
      </c>
      <c r="C1898" s="30">
        <v>5688750.3324180003</v>
      </c>
      <c r="D1898" s="30">
        <v>9</v>
      </c>
      <c r="E1898" s="30" t="s">
        <v>64</v>
      </c>
      <c r="F1898" s="46">
        <v>2017</v>
      </c>
      <c r="G1898" s="47">
        <v>2.92E-2</v>
      </c>
      <c r="H1898" s="47">
        <f t="shared" si="98"/>
        <v>1.1991255198730406E-2</v>
      </c>
      <c r="I1898" s="47">
        <v>0</v>
      </c>
      <c r="J1898" s="47">
        <f t="shared" si="99"/>
        <v>0</v>
      </c>
      <c r="K1898" s="47">
        <v>4.4000000000000003E-3</v>
      </c>
      <c r="L1898" s="47">
        <f t="shared" si="100"/>
        <v>2.0079224599054237E-3</v>
      </c>
      <c r="M1898" s="47">
        <f t="shared" si="94"/>
        <v>9.9833327388249831E-3</v>
      </c>
      <c r="N1898" s="47">
        <v>0</v>
      </c>
      <c r="O1898" s="47">
        <f t="shared" si="101"/>
        <v>0</v>
      </c>
      <c r="P1898" s="92"/>
    </row>
    <row r="1899" spans="1:16" x14ac:dyDescent="0.25">
      <c r="A1899" s="29">
        <v>46</v>
      </c>
      <c r="B1899" s="30">
        <v>437930.10856199998</v>
      </c>
      <c r="C1899" s="30">
        <v>5688750.3324180003</v>
      </c>
      <c r="D1899" s="30">
        <v>9</v>
      </c>
      <c r="E1899" s="30" t="s">
        <v>64</v>
      </c>
      <c r="F1899" s="46">
        <v>2017</v>
      </c>
      <c r="G1899" s="47">
        <v>9.9000000000000008E-3</v>
      </c>
      <c r="H1899" s="47">
        <f t="shared" si="98"/>
        <v>4.0655283036791449E-3</v>
      </c>
      <c r="I1899" s="47">
        <v>4.7000000000000002E-3</v>
      </c>
      <c r="J1899" s="47">
        <f t="shared" si="99"/>
        <v>2.1054781743026422E-3</v>
      </c>
      <c r="K1899" s="47">
        <v>2.0000000000000001E-4</v>
      </c>
      <c r="L1899" s="47">
        <f t="shared" si="100"/>
        <v>9.1269202722973807E-5</v>
      </c>
      <c r="M1899" s="47">
        <f t="shared" si="94"/>
        <v>3.9742591009561713E-3</v>
      </c>
      <c r="N1899" s="47">
        <v>3.2000000000000002E-3</v>
      </c>
      <c r="O1899" s="47">
        <f t="shared" si="101"/>
        <v>1.4688851661584224E-3</v>
      </c>
      <c r="P1899" s="92"/>
    </row>
    <row r="1900" spans="1:16" x14ac:dyDescent="0.25">
      <c r="A1900" s="29">
        <v>47</v>
      </c>
      <c r="B1900" s="30">
        <v>438061</v>
      </c>
      <c r="C1900" s="30">
        <v>5688779</v>
      </c>
      <c r="D1900" s="30">
        <v>8</v>
      </c>
      <c r="E1900" s="30" t="s">
        <v>64</v>
      </c>
      <c r="F1900" s="46">
        <v>2017</v>
      </c>
      <c r="G1900" s="47">
        <v>6.8199999999999997E-2</v>
      </c>
      <c r="H1900" s="47">
        <f t="shared" si="96"/>
        <v>2.6177965818242655E-2</v>
      </c>
      <c r="I1900" s="47">
        <v>0</v>
      </c>
      <c r="J1900" s="47">
        <v>0</v>
      </c>
      <c r="K1900" s="47">
        <v>7.7999999999999996E-3</v>
      </c>
      <c r="L1900" s="47">
        <f t="shared" si="97"/>
        <v>3.5950617283950644E-3</v>
      </c>
      <c r="M1900" s="47">
        <f t="shared" si="94"/>
        <v>2.2582904089847592E-2</v>
      </c>
      <c r="N1900" s="47">
        <v>0</v>
      </c>
      <c r="O1900" s="47">
        <v>0</v>
      </c>
      <c r="P1900" s="92"/>
    </row>
    <row r="1901" spans="1:16" x14ac:dyDescent="0.25">
      <c r="A1901" s="32">
        <v>48</v>
      </c>
      <c r="B1901" s="33">
        <v>438168.10856199998</v>
      </c>
      <c r="C1901" s="33">
        <v>5688750.3324180003</v>
      </c>
      <c r="D1901" s="48">
        <v>9</v>
      </c>
      <c r="E1901" s="48" t="s">
        <v>64</v>
      </c>
      <c r="F1901" s="48">
        <v>2017</v>
      </c>
      <c r="G1901" s="48" t="s">
        <v>18</v>
      </c>
      <c r="H1901" s="48" t="s">
        <v>18</v>
      </c>
      <c r="I1901" s="48" t="s">
        <v>18</v>
      </c>
      <c r="J1901" s="48" t="s">
        <v>18</v>
      </c>
      <c r="K1901" s="48" t="s">
        <v>18</v>
      </c>
      <c r="L1901" s="48" t="s">
        <v>18</v>
      </c>
      <c r="M1901" s="48" t="s">
        <v>18</v>
      </c>
      <c r="N1901" s="48" t="s">
        <v>18</v>
      </c>
      <c r="O1901" s="48" t="s">
        <v>18</v>
      </c>
      <c r="P1901" s="103" t="s">
        <v>89</v>
      </c>
    </row>
    <row r="1902" spans="1:16" x14ac:dyDescent="0.25">
      <c r="A1902" s="29">
        <v>49</v>
      </c>
      <c r="B1902" s="30">
        <v>437454.10856199998</v>
      </c>
      <c r="C1902" s="30">
        <v>5688869.3324180003</v>
      </c>
      <c r="D1902" s="30">
        <v>9</v>
      </c>
      <c r="E1902" s="30" t="s">
        <v>64</v>
      </c>
      <c r="F1902" s="46">
        <v>2017</v>
      </c>
      <c r="G1902" s="47">
        <v>4.6600000000000003E-2</v>
      </c>
      <c r="H1902" s="47">
        <f>G1902*0.410659424614055</f>
        <v>1.9136729187014964E-2</v>
      </c>
      <c r="I1902" s="47">
        <v>0</v>
      </c>
      <c r="J1902" s="47">
        <f>I1902*0.44797407963886</f>
        <v>0</v>
      </c>
      <c r="K1902" s="47">
        <v>8.6E-3</v>
      </c>
      <c r="L1902" s="47">
        <f>K1902*0.456346013614869</f>
        <v>3.924575717087873E-3</v>
      </c>
      <c r="M1902" s="47">
        <f t="shared" si="94"/>
        <v>1.5212153469927091E-2</v>
      </c>
      <c r="N1902" s="47">
        <v>0</v>
      </c>
      <c r="O1902" s="47">
        <f>N1902*0.459026614424507</f>
        <v>0</v>
      </c>
      <c r="P1902" s="92"/>
    </row>
    <row r="1903" spans="1:16" x14ac:dyDescent="0.25">
      <c r="A1903" s="29">
        <v>50</v>
      </c>
      <c r="B1903" s="30">
        <v>437811.10856199998</v>
      </c>
      <c r="C1903" s="30">
        <v>5688869.3324180003</v>
      </c>
      <c r="D1903" s="30">
        <v>8</v>
      </c>
      <c r="E1903" s="30" t="s">
        <v>64</v>
      </c>
      <c r="F1903" s="46">
        <v>2017</v>
      </c>
      <c r="G1903" s="47">
        <v>7.8900000000000012E-2</v>
      </c>
      <c r="H1903" s="47">
        <f t="shared" si="96"/>
        <v>3.0285066027263136E-2</v>
      </c>
      <c r="I1903" s="47">
        <v>0</v>
      </c>
      <c r="J1903" s="47">
        <v>0</v>
      </c>
      <c r="K1903" s="47">
        <v>1.15E-2</v>
      </c>
      <c r="L1903" s="47">
        <f t="shared" si="97"/>
        <v>5.3004115226337484E-3</v>
      </c>
      <c r="M1903" s="47">
        <f t="shared" si="94"/>
        <v>2.4984654504629389E-2</v>
      </c>
      <c r="N1903" s="47">
        <v>0</v>
      </c>
      <c r="O1903" s="47">
        <v>0</v>
      </c>
      <c r="P1903" s="92"/>
    </row>
    <row r="1904" spans="1:16" x14ac:dyDescent="0.25">
      <c r="A1904" s="29">
        <v>51</v>
      </c>
      <c r="B1904" s="30">
        <v>437930.10856199998</v>
      </c>
      <c r="C1904" s="30">
        <v>5688869.3324180003</v>
      </c>
      <c r="D1904" s="30">
        <v>8</v>
      </c>
      <c r="E1904" s="30" t="s">
        <v>64</v>
      </c>
      <c r="F1904" s="46">
        <v>2017</v>
      </c>
      <c r="G1904" s="47">
        <v>0.10100000000000001</v>
      </c>
      <c r="H1904" s="47">
        <f t="shared" si="96"/>
        <v>3.876795524402505E-2</v>
      </c>
      <c r="I1904" s="47">
        <v>0</v>
      </c>
      <c r="J1904" s="47">
        <v>0</v>
      </c>
      <c r="K1904" s="47">
        <v>3.7000000000000002E-3</v>
      </c>
      <c r="L1904" s="47">
        <f t="shared" si="97"/>
        <v>1.7053497942386845E-3</v>
      </c>
      <c r="M1904" s="47">
        <f t="shared" si="94"/>
        <v>3.7062605449786366E-2</v>
      </c>
      <c r="N1904" s="47">
        <v>0</v>
      </c>
      <c r="O1904" s="47">
        <v>0</v>
      </c>
      <c r="P1904" s="92"/>
    </row>
    <row r="1905" spans="1:19" x14ac:dyDescent="0.25">
      <c r="A1905" s="29">
        <v>52</v>
      </c>
      <c r="B1905" s="30">
        <v>438049.10856199998</v>
      </c>
      <c r="C1905" s="30">
        <v>5688869.3324180003</v>
      </c>
      <c r="D1905" s="30">
        <v>9</v>
      </c>
      <c r="E1905" s="30" t="s">
        <v>64</v>
      </c>
      <c r="F1905" s="46">
        <v>2017</v>
      </c>
      <c r="G1905" s="46" t="s">
        <v>18</v>
      </c>
      <c r="H1905" s="46" t="s">
        <v>18</v>
      </c>
      <c r="I1905" s="46" t="s">
        <v>18</v>
      </c>
      <c r="J1905" s="46" t="s">
        <v>18</v>
      </c>
      <c r="K1905" s="47">
        <v>0</v>
      </c>
      <c r="L1905" s="47">
        <f>K1905*0.456346013614869</f>
        <v>0</v>
      </c>
      <c r="M1905" s="46" t="s">
        <v>18</v>
      </c>
      <c r="N1905" s="47">
        <v>3.1E-2</v>
      </c>
      <c r="O1905" s="47">
        <f>N1905*0.459026614424507</f>
        <v>1.4229825047159717E-2</v>
      </c>
      <c r="P1905" s="92" t="s">
        <v>125</v>
      </c>
    </row>
    <row r="1906" spans="1:19" x14ac:dyDescent="0.25">
      <c r="A1906" s="29">
        <v>53</v>
      </c>
      <c r="B1906" s="30">
        <v>438287.10856199998</v>
      </c>
      <c r="C1906" s="30">
        <v>5688869.3324180003</v>
      </c>
      <c r="D1906" s="30">
        <v>9</v>
      </c>
      <c r="E1906" s="30" t="s">
        <v>64</v>
      </c>
      <c r="F1906" s="46">
        <v>2017</v>
      </c>
      <c r="G1906" s="47">
        <v>1.26E-2</v>
      </c>
      <c r="H1906" s="47">
        <f>G1906*0.410659424614055</f>
        <v>5.1743087501370929E-3</v>
      </c>
      <c r="I1906" s="47">
        <v>0</v>
      </c>
      <c r="J1906" s="47">
        <f>I1906*0.44797407963886</f>
        <v>0</v>
      </c>
      <c r="K1906" s="47">
        <v>4.0999999999999995E-3</v>
      </c>
      <c r="L1906" s="47">
        <f>K1906*0.456346013614869</f>
        <v>1.8710186558209625E-3</v>
      </c>
      <c r="M1906" s="47">
        <f t="shared" si="94"/>
        <v>3.3032900943161304E-3</v>
      </c>
      <c r="N1906" s="47">
        <v>0</v>
      </c>
      <c r="O1906" s="47">
        <f>N1906*0.459026614424507</f>
        <v>0</v>
      </c>
      <c r="P1906" s="92"/>
    </row>
    <row r="1907" spans="1:19" x14ac:dyDescent="0.25">
      <c r="A1907" s="29">
        <v>54</v>
      </c>
      <c r="B1907" s="30">
        <v>437454.10856199998</v>
      </c>
      <c r="C1907" s="30">
        <v>5688988.3324180003</v>
      </c>
      <c r="D1907" s="30">
        <v>9</v>
      </c>
      <c r="E1907" s="30" t="s">
        <v>64</v>
      </c>
      <c r="F1907" s="46">
        <v>2017</v>
      </c>
      <c r="G1907" s="47">
        <v>4.1200000000000001E-2</v>
      </c>
      <c r="H1907" s="47">
        <f>G1907*0.410659424614055</f>
        <v>1.6919168294099066E-2</v>
      </c>
      <c r="I1907" s="47">
        <v>0</v>
      </c>
      <c r="J1907" s="47">
        <f>I1907*0.44797407963886</f>
        <v>0</v>
      </c>
      <c r="K1907" s="47">
        <v>3.8E-3</v>
      </c>
      <c r="L1907" s="47">
        <f>K1907*0.456346013614869</f>
        <v>1.7341148517365022E-3</v>
      </c>
      <c r="M1907" s="47">
        <f t="shared" si="94"/>
        <v>1.5185053442362564E-2</v>
      </c>
      <c r="N1907" s="47">
        <v>0</v>
      </c>
      <c r="O1907" s="47">
        <f>N1907*0.459026614424507</f>
        <v>0</v>
      </c>
      <c r="P1907" s="92"/>
    </row>
    <row r="1908" spans="1:19" x14ac:dyDescent="0.25">
      <c r="A1908" s="29">
        <v>55</v>
      </c>
      <c r="B1908" s="30">
        <v>438049.10856199998</v>
      </c>
      <c r="C1908" s="30">
        <v>5688988.3324180003</v>
      </c>
      <c r="D1908" s="30">
        <v>8</v>
      </c>
      <c r="E1908" s="30" t="s">
        <v>64</v>
      </c>
      <c r="F1908" s="46">
        <v>2017</v>
      </c>
      <c r="G1908" s="47">
        <v>0.1008</v>
      </c>
      <c r="H1908" s="47">
        <f t="shared" si="96"/>
        <v>3.8691187015819056E-2</v>
      </c>
      <c r="I1908" s="47">
        <v>0</v>
      </c>
      <c r="J1908" s="47">
        <v>0</v>
      </c>
      <c r="K1908" s="47">
        <v>3.5000000000000001E-3</v>
      </c>
      <c r="L1908" s="47">
        <f t="shared" si="97"/>
        <v>1.6131687242798367E-3</v>
      </c>
      <c r="M1908" s="47">
        <f t="shared" si="94"/>
        <v>3.7078018291539221E-2</v>
      </c>
      <c r="N1908" s="47">
        <v>0</v>
      </c>
      <c r="O1908" s="47">
        <v>0</v>
      </c>
      <c r="P1908" s="92"/>
    </row>
    <row r="1909" spans="1:19" x14ac:dyDescent="0.25">
      <c r="A1909" s="29">
        <v>56</v>
      </c>
      <c r="B1909" s="30">
        <v>438168.10856199998</v>
      </c>
      <c r="C1909" s="30">
        <v>5688988.3324180003</v>
      </c>
      <c r="D1909" s="30">
        <v>8</v>
      </c>
      <c r="E1909" s="30" t="s">
        <v>64</v>
      </c>
      <c r="F1909" s="46">
        <v>2017</v>
      </c>
      <c r="G1909" s="47">
        <v>3.5700000000000003E-2</v>
      </c>
      <c r="H1909" s="47">
        <f t="shared" si="96"/>
        <v>1.3703128734769251E-2</v>
      </c>
      <c r="I1909" s="47">
        <v>0</v>
      </c>
      <c r="J1909" s="47">
        <v>0</v>
      </c>
      <c r="K1909" s="47">
        <v>4.0999999999999995E-3</v>
      </c>
      <c r="L1909" s="47">
        <f t="shared" si="97"/>
        <v>1.8897119341563797E-3</v>
      </c>
      <c r="M1909" s="47">
        <f t="shared" si="94"/>
        <v>1.1813416800612871E-2</v>
      </c>
      <c r="N1909" s="47">
        <v>0</v>
      </c>
      <c r="O1909" s="47">
        <v>0</v>
      </c>
      <c r="P1909" s="92"/>
    </row>
    <row r="1910" spans="1:19" x14ac:dyDescent="0.25">
      <c r="A1910" s="40">
        <v>57</v>
      </c>
      <c r="B1910" s="41">
        <v>438146</v>
      </c>
      <c r="C1910" s="41">
        <v>5688977</v>
      </c>
      <c r="D1910" s="41">
        <v>8</v>
      </c>
      <c r="E1910" s="41" t="s">
        <v>64</v>
      </c>
      <c r="F1910" s="50">
        <v>2017</v>
      </c>
      <c r="G1910" s="51">
        <v>6.5799999999999997E-2</v>
      </c>
      <c r="H1910" s="51">
        <f t="shared" si="96"/>
        <v>2.5256747079770773E-2</v>
      </c>
      <c r="I1910" s="51">
        <v>0</v>
      </c>
      <c r="J1910" s="51">
        <v>0</v>
      </c>
      <c r="K1910" s="51">
        <v>1.5E-3</v>
      </c>
      <c r="L1910" s="51">
        <f t="shared" si="97"/>
        <v>6.9135802469135854E-4</v>
      </c>
      <c r="M1910" s="51">
        <f t="shared" si="94"/>
        <v>2.4565389055079413E-2</v>
      </c>
      <c r="N1910" s="51">
        <v>0</v>
      </c>
      <c r="O1910" s="51">
        <v>0</v>
      </c>
      <c r="P1910" s="101"/>
    </row>
    <row r="1911" spans="1:19" x14ac:dyDescent="0.25">
      <c r="A1911" s="40">
        <v>58</v>
      </c>
      <c r="B1911" s="41">
        <v>438131</v>
      </c>
      <c r="C1911" s="41">
        <v>5688972</v>
      </c>
      <c r="D1911" s="41">
        <v>8</v>
      </c>
      <c r="E1911" s="41" t="s">
        <v>64</v>
      </c>
      <c r="F1911" s="50">
        <v>2017</v>
      </c>
      <c r="G1911" s="51">
        <v>0.1016</v>
      </c>
      <c r="H1911" s="51">
        <f t="shared" si="96"/>
        <v>3.8998259928643017E-2</v>
      </c>
      <c r="I1911" s="51">
        <v>0</v>
      </c>
      <c r="J1911" s="51">
        <v>0</v>
      </c>
      <c r="K1911" s="51">
        <v>5.0000000000000001E-3</v>
      </c>
      <c r="L1911" s="51">
        <f t="shared" si="97"/>
        <v>2.3045267489711953E-3</v>
      </c>
      <c r="M1911" s="51">
        <f t="shared" si="94"/>
        <v>3.6693733179671825E-2</v>
      </c>
      <c r="N1911" s="51">
        <v>0</v>
      </c>
      <c r="O1911" s="51">
        <v>0</v>
      </c>
      <c r="P1911" s="101"/>
    </row>
    <row r="1912" spans="1:19" x14ac:dyDescent="0.25">
      <c r="A1912" s="40">
        <v>59</v>
      </c>
      <c r="B1912" s="41">
        <v>438089</v>
      </c>
      <c r="C1912" s="41">
        <v>5688713</v>
      </c>
      <c r="D1912" s="41">
        <v>8</v>
      </c>
      <c r="E1912" s="41" t="s">
        <v>64</v>
      </c>
      <c r="F1912" s="50">
        <v>2017</v>
      </c>
      <c r="G1912" s="51">
        <v>5.1200000000000002E-2</v>
      </c>
      <c r="H1912" s="51">
        <f t="shared" si="96"/>
        <v>1.9652666420733492E-2</v>
      </c>
      <c r="I1912" s="51">
        <v>0</v>
      </c>
      <c r="J1912" s="51">
        <v>0</v>
      </c>
      <c r="K1912" s="51">
        <v>2.8E-3</v>
      </c>
      <c r="L1912" s="51">
        <f t="shared" si="97"/>
        <v>1.2905349794238693E-3</v>
      </c>
      <c r="M1912" s="51">
        <f t="shared" si="94"/>
        <v>1.8362131441309625E-2</v>
      </c>
      <c r="N1912" s="51">
        <v>0</v>
      </c>
      <c r="O1912" s="51">
        <v>0</v>
      </c>
      <c r="P1912" s="101"/>
    </row>
    <row r="1913" spans="1:19" x14ac:dyDescent="0.25">
      <c r="A1913" s="40">
        <v>60</v>
      </c>
      <c r="B1913" s="41">
        <v>438099</v>
      </c>
      <c r="C1913" s="41">
        <v>5688719</v>
      </c>
      <c r="D1913" s="41">
        <v>8</v>
      </c>
      <c r="E1913" s="41" t="s">
        <v>64</v>
      </c>
      <c r="F1913" s="50">
        <v>2017</v>
      </c>
      <c r="G1913" s="51">
        <v>5.4700000000000006E-2</v>
      </c>
      <c r="H1913" s="51">
        <f t="shared" si="96"/>
        <v>2.0996110414338322E-2</v>
      </c>
      <c r="I1913" s="51">
        <v>0</v>
      </c>
      <c r="J1913" s="51">
        <v>0</v>
      </c>
      <c r="K1913" s="51">
        <v>6.3E-3</v>
      </c>
      <c r="L1913" s="51">
        <f t="shared" si="97"/>
        <v>2.9037037037037061E-3</v>
      </c>
      <c r="M1913" s="51">
        <f t="shared" si="94"/>
        <v>1.8092406710634616E-2</v>
      </c>
      <c r="N1913" s="51">
        <v>0</v>
      </c>
      <c r="O1913" s="51">
        <v>0</v>
      </c>
      <c r="P1913" s="101"/>
    </row>
    <row r="1914" spans="1:19" x14ac:dyDescent="0.25">
      <c r="A1914" s="42">
        <v>1</v>
      </c>
      <c r="B1914" s="43">
        <v>437930.10856199998</v>
      </c>
      <c r="C1914" s="43">
        <v>5688036.3324180003</v>
      </c>
      <c r="D1914" s="44">
        <v>28</v>
      </c>
      <c r="E1914" s="44" t="s">
        <v>24</v>
      </c>
      <c r="F1914" s="44">
        <v>2017</v>
      </c>
      <c r="G1914" s="44" t="s">
        <v>18</v>
      </c>
      <c r="H1914" s="44" t="s">
        <v>18</v>
      </c>
      <c r="I1914" s="44" t="s">
        <v>18</v>
      </c>
      <c r="J1914" s="44" t="s">
        <v>18</v>
      </c>
      <c r="K1914" s="44" t="s">
        <v>18</v>
      </c>
      <c r="L1914" s="44" t="s">
        <v>18</v>
      </c>
      <c r="M1914" s="44" t="s">
        <v>18</v>
      </c>
      <c r="N1914" s="44" t="s">
        <v>18</v>
      </c>
      <c r="O1914" s="44" t="s">
        <v>18</v>
      </c>
      <c r="P1914" s="102" t="s">
        <v>109</v>
      </c>
      <c r="R1914" s="5">
        <f>AVERAGE(M1914:M1973)</f>
        <v>1.4563282118310449E-2</v>
      </c>
      <c r="S1914" s="5">
        <f>AVERAGE(H1914:H1973)</f>
        <v>1.7215437309586763E-2</v>
      </c>
    </row>
    <row r="1915" spans="1:19" x14ac:dyDescent="0.25">
      <c r="A1915" s="42">
        <v>2</v>
      </c>
      <c r="B1915" s="43">
        <v>437811.10856199998</v>
      </c>
      <c r="C1915" s="43">
        <v>5688155.3324180003</v>
      </c>
      <c r="D1915" s="44">
        <v>28</v>
      </c>
      <c r="E1915" s="44" t="s">
        <v>24</v>
      </c>
      <c r="F1915" s="44">
        <v>2017</v>
      </c>
      <c r="G1915" s="44" t="s">
        <v>18</v>
      </c>
      <c r="H1915" s="44" t="s">
        <v>18</v>
      </c>
      <c r="I1915" s="44" t="s">
        <v>18</v>
      </c>
      <c r="J1915" s="44" t="s">
        <v>18</v>
      </c>
      <c r="K1915" s="44" t="s">
        <v>18</v>
      </c>
      <c r="L1915" s="44" t="s">
        <v>18</v>
      </c>
      <c r="M1915" s="44" t="s">
        <v>18</v>
      </c>
      <c r="N1915" s="44" t="s">
        <v>18</v>
      </c>
      <c r="O1915" s="44" t="s">
        <v>18</v>
      </c>
      <c r="P1915" s="102" t="s">
        <v>109</v>
      </c>
    </row>
    <row r="1916" spans="1:19" x14ac:dyDescent="0.25">
      <c r="A1916" s="29">
        <v>3</v>
      </c>
      <c r="B1916" s="30">
        <v>437930.10856199998</v>
      </c>
      <c r="C1916" s="30">
        <v>5688155.3324180003</v>
      </c>
      <c r="D1916" s="30">
        <v>28</v>
      </c>
      <c r="E1916" s="30" t="s">
        <v>24</v>
      </c>
      <c r="F1916" s="46">
        <v>2017</v>
      </c>
      <c r="G1916" s="47">
        <v>1.3599999999999999E-2</v>
      </c>
      <c r="H1916" s="47">
        <f>G1916*0.207621943814025</f>
        <v>2.8236584358707398E-3</v>
      </c>
      <c r="I1916" s="47">
        <v>4.5999999999999999E-2</v>
      </c>
      <c r="J1916" s="47">
        <f>I1916*0.404423905496866</f>
        <v>1.8603499652855838E-2</v>
      </c>
      <c r="K1916" s="47">
        <v>1.5E-3</v>
      </c>
      <c r="L1916" s="47">
        <f>K1916*0.278738512949039</f>
        <v>4.1810776942355853E-4</v>
      </c>
      <c r="M1916" s="47">
        <f>H1916-L1916</f>
        <v>2.4055506664471815E-3</v>
      </c>
      <c r="N1916" s="47">
        <v>9.1000000000000004E-3</v>
      </c>
      <c r="O1916" s="47">
        <f>N1916*0.414095315129113</f>
        <v>3.7682673676749288E-3</v>
      </c>
      <c r="P1916" s="92"/>
    </row>
    <row r="1917" spans="1:19" x14ac:dyDescent="0.25">
      <c r="A1917" s="42">
        <v>4</v>
      </c>
      <c r="B1917" s="43">
        <v>438049.10856199998</v>
      </c>
      <c r="C1917" s="43">
        <v>5688155.3324180003</v>
      </c>
      <c r="D1917" s="44">
        <v>28</v>
      </c>
      <c r="E1917" s="44" t="s">
        <v>24</v>
      </c>
      <c r="F1917" s="44">
        <v>2017</v>
      </c>
      <c r="G1917" s="44" t="s">
        <v>18</v>
      </c>
      <c r="H1917" s="44" t="s">
        <v>18</v>
      </c>
      <c r="I1917" s="44" t="s">
        <v>18</v>
      </c>
      <c r="J1917" s="44" t="s">
        <v>18</v>
      </c>
      <c r="K1917" s="44" t="s">
        <v>18</v>
      </c>
      <c r="L1917" s="44" t="s">
        <v>18</v>
      </c>
      <c r="M1917" s="44" t="s">
        <v>18</v>
      </c>
      <c r="N1917" s="44" t="s">
        <v>18</v>
      </c>
      <c r="O1917" s="44" t="s">
        <v>18</v>
      </c>
      <c r="P1917" s="102" t="s">
        <v>109</v>
      </c>
    </row>
    <row r="1918" spans="1:19" x14ac:dyDescent="0.25">
      <c r="A1918" s="42">
        <v>5</v>
      </c>
      <c r="B1918" s="43">
        <v>437573.10856199998</v>
      </c>
      <c r="C1918" s="43">
        <v>5688274.3324180003</v>
      </c>
      <c r="D1918" s="44">
        <v>28</v>
      </c>
      <c r="E1918" s="44" t="s">
        <v>24</v>
      </c>
      <c r="F1918" s="44">
        <v>2017</v>
      </c>
      <c r="G1918" s="44" t="s">
        <v>18</v>
      </c>
      <c r="H1918" s="44" t="s">
        <v>18</v>
      </c>
      <c r="I1918" s="44" t="s">
        <v>18</v>
      </c>
      <c r="J1918" s="44" t="s">
        <v>18</v>
      </c>
      <c r="K1918" s="44" t="s">
        <v>18</v>
      </c>
      <c r="L1918" s="44" t="s">
        <v>18</v>
      </c>
      <c r="M1918" s="44" t="s">
        <v>18</v>
      </c>
      <c r="N1918" s="44" t="s">
        <v>18</v>
      </c>
      <c r="O1918" s="44" t="s">
        <v>18</v>
      </c>
      <c r="P1918" s="102" t="s">
        <v>109</v>
      </c>
    </row>
    <row r="1919" spans="1:19" x14ac:dyDescent="0.25">
      <c r="A1919" s="29">
        <v>6</v>
      </c>
      <c r="B1919" s="30">
        <v>437692.10856199998</v>
      </c>
      <c r="C1919" s="30">
        <v>5688274.3324180003</v>
      </c>
      <c r="D1919" s="30">
        <v>28</v>
      </c>
      <c r="E1919" s="30" t="s">
        <v>24</v>
      </c>
      <c r="F1919" s="46">
        <v>2017</v>
      </c>
      <c r="G1919" s="47">
        <v>3.6400000000000002E-2</v>
      </c>
      <c r="H1919" s="47">
        <f t="shared" ref="H1919:H1939" si="102">G1919*0.207621943814025</f>
        <v>7.5574387548305103E-3</v>
      </c>
      <c r="I1919" s="47">
        <v>0.1396</v>
      </c>
      <c r="J1919" s="47">
        <f>I1919*0.404423905496866</f>
        <v>5.6457577207362497E-2</v>
      </c>
      <c r="K1919" s="54">
        <v>6.7999999999999996E-3</v>
      </c>
      <c r="L1919" s="47">
        <f t="shared" ref="L1919:L1939" si="103">K1919*0.278738512949039</f>
        <v>1.8954218880534652E-3</v>
      </c>
      <c r="M1919" s="47">
        <f t="shared" ref="M1919:M1973" si="104">H1919-L1919</f>
        <v>5.6620168667770449E-3</v>
      </c>
      <c r="N1919" s="47">
        <v>7.1800000000000003E-2</v>
      </c>
      <c r="O1919" s="47">
        <f t="shared" ref="O1919:O1939" si="105">N1919*0.414095315129113</f>
        <v>2.9732043626270317E-2</v>
      </c>
      <c r="P1919" s="92"/>
    </row>
    <row r="1920" spans="1:19" x14ac:dyDescent="0.25">
      <c r="A1920" s="29">
        <v>7</v>
      </c>
      <c r="B1920" s="30">
        <v>437811.10856199998</v>
      </c>
      <c r="C1920" s="30">
        <v>5688274.3324180003</v>
      </c>
      <c r="D1920" s="30">
        <v>28</v>
      </c>
      <c r="E1920" s="30" t="s">
        <v>24</v>
      </c>
      <c r="F1920" s="46">
        <v>2017</v>
      </c>
      <c r="G1920" s="47">
        <v>7.4499999999999997E-2</v>
      </c>
      <c r="H1920" s="47">
        <f t="shared" si="102"/>
        <v>1.5467834814144861E-2</v>
      </c>
      <c r="I1920" s="47">
        <v>4.5899999999999996E-2</v>
      </c>
      <c r="J1920" s="47">
        <f>I1920*0.404423905496866</f>
        <v>1.856305726230615E-2</v>
      </c>
      <c r="K1920" s="47">
        <v>1.34E-2</v>
      </c>
      <c r="L1920" s="47">
        <f t="shared" si="103"/>
        <v>3.7350960735171228E-3</v>
      </c>
      <c r="M1920" s="47">
        <f t="shared" si="104"/>
        <v>1.1732738740627737E-2</v>
      </c>
      <c r="N1920" s="47">
        <v>9.1700000000000004E-2</v>
      </c>
      <c r="O1920" s="47">
        <f t="shared" si="105"/>
        <v>3.7972540397339667E-2</v>
      </c>
      <c r="P1920" s="92"/>
    </row>
    <row r="1921" spans="1:16" x14ac:dyDescent="0.25">
      <c r="A1921" s="42">
        <v>8</v>
      </c>
      <c r="B1921" s="43">
        <v>437930.10856199998</v>
      </c>
      <c r="C1921" s="43">
        <v>5688274.3324180003</v>
      </c>
      <c r="D1921" s="44">
        <v>28</v>
      </c>
      <c r="E1921" s="44" t="s">
        <v>24</v>
      </c>
      <c r="F1921" s="44">
        <v>2017</v>
      </c>
      <c r="G1921" s="44" t="s">
        <v>18</v>
      </c>
      <c r="H1921" s="44" t="s">
        <v>18</v>
      </c>
      <c r="I1921" s="44" t="s">
        <v>18</v>
      </c>
      <c r="J1921" s="44" t="s">
        <v>18</v>
      </c>
      <c r="K1921" s="44" t="s">
        <v>18</v>
      </c>
      <c r="L1921" s="44" t="s">
        <v>18</v>
      </c>
      <c r="M1921" s="44" t="s">
        <v>18</v>
      </c>
      <c r="N1921" s="44" t="s">
        <v>18</v>
      </c>
      <c r="O1921" s="44" t="s">
        <v>18</v>
      </c>
      <c r="P1921" s="102" t="s">
        <v>109</v>
      </c>
    </row>
    <row r="1922" spans="1:16" x14ac:dyDescent="0.25">
      <c r="A1922" s="29">
        <v>9</v>
      </c>
      <c r="B1922" s="30">
        <v>438287.10856199998</v>
      </c>
      <c r="C1922" s="30">
        <v>5688274.3324180003</v>
      </c>
      <c r="D1922" s="30">
        <v>28</v>
      </c>
      <c r="E1922" s="30" t="s">
        <v>24</v>
      </c>
      <c r="F1922" s="46">
        <v>2017</v>
      </c>
      <c r="G1922" s="47">
        <v>7.0300000000000001E-2</v>
      </c>
      <c r="H1922" s="47">
        <f t="shared" si="102"/>
        <v>1.4595822650125958E-2</v>
      </c>
      <c r="I1922" s="47">
        <v>0</v>
      </c>
      <c r="J1922" s="47">
        <f>I1922*0.404423905496866</f>
        <v>0</v>
      </c>
      <c r="K1922" s="47">
        <v>5.7000000000000002E-3</v>
      </c>
      <c r="L1922" s="47">
        <f t="shared" si="103"/>
        <v>1.5888095238095225E-3</v>
      </c>
      <c r="M1922" s="47">
        <f t="shared" si="104"/>
        <v>1.3007013126316436E-2</v>
      </c>
      <c r="N1922" s="47">
        <v>1.29E-2</v>
      </c>
      <c r="O1922" s="47">
        <f t="shared" si="105"/>
        <v>5.3418295651655578E-3</v>
      </c>
      <c r="P1922" s="92"/>
    </row>
    <row r="1923" spans="1:16" x14ac:dyDescent="0.25">
      <c r="A1923" s="29">
        <v>10</v>
      </c>
      <c r="B1923" s="30">
        <v>438406.10856199998</v>
      </c>
      <c r="C1923" s="30">
        <v>5688274.3324180003</v>
      </c>
      <c r="D1923" s="30">
        <v>28</v>
      </c>
      <c r="E1923" s="30" t="s">
        <v>24</v>
      </c>
      <c r="F1923" s="46">
        <v>2017</v>
      </c>
      <c r="G1923" s="47">
        <v>9.1299999999999992E-2</v>
      </c>
      <c r="H1923" s="47">
        <f t="shared" si="102"/>
        <v>1.895588347022048E-2</v>
      </c>
      <c r="I1923" s="47">
        <v>0</v>
      </c>
      <c r="J1923" s="47">
        <f>I1923*0.404423905496866</f>
        <v>0</v>
      </c>
      <c r="K1923" s="47">
        <v>2.7300000000000001E-2</v>
      </c>
      <c r="L1923" s="47">
        <f t="shared" si="103"/>
        <v>7.6095614035087654E-3</v>
      </c>
      <c r="M1923" s="47">
        <f t="shared" si="104"/>
        <v>1.1346322066711715E-2</v>
      </c>
      <c r="N1923" s="47">
        <v>0</v>
      </c>
      <c r="O1923" s="47">
        <f t="shared" si="105"/>
        <v>0</v>
      </c>
      <c r="P1923" s="92"/>
    </row>
    <row r="1924" spans="1:16" x14ac:dyDescent="0.25">
      <c r="A1924" s="42">
        <v>11</v>
      </c>
      <c r="B1924" s="43">
        <v>437454.10856199998</v>
      </c>
      <c r="C1924" s="43">
        <v>5688393.3324180003</v>
      </c>
      <c r="D1924" s="44">
        <v>28</v>
      </c>
      <c r="E1924" s="44" t="s">
        <v>24</v>
      </c>
      <c r="F1924" s="44">
        <v>2017</v>
      </c>
      <c r="G1924" s="44" t="s">
        <v>18</v>
      </c>
      <c r="H1924" s="44" t="s">
        <v>18</v>
      </c>
      <c r="I1924" s="44" t="s">
        <v>18</v>
      </c>
      <c r="J1924" s="44" t="s">
        <v>18</v>
      </c>
      <c r="K1924" s="44" t="s">
        <v>18</v>
      </c>
      <c r="L1924" s="44" t="s">
        <v>18</v>
      </c>
      <c r="M1924" s="44" t="s">
        <v>18</v>
      </c>
      <c r="N1924" s="44" t="s">
        <v>18</v>
      </c>
      <c r="O1924" s="44" t="s">
        <v>18</v>
      </c>
      <c r="P1924" s="102" t="s">
        <v>109</v>
      </c>
    </row>
    <row r="1925" spans="1:16" x14ac:dyDescent="0.25">
      <c r="A1925" s="29">
        <v>12</v>
      </c>
      <c r="B1925" s="30">
        <v>437573.10856199998</v>
      </c>
      <c r="C1925" s="30">
        <v>5688393.3324180003</v>
      </c>
      <c r="D1925" s="30">
        <v>28</v>
      </c>
      <c r="E1925" s="30" t="s">
        <v>24</v>
      </c>
      <c r="F1925" s="46">
        <v>2017</v>
      </c>
      <c r="G1925" s="47">
        <v>3.1100000000000003E-2</v>
      </c>
      <c r="H1925" s="47">
        <f t="shared" si="102"/>
        <v>6.4570424526161777E-3</v>
      </c>
      <c r="I1925" s="47">
        <v>0.1328</v>
      </c>
      <c r="J1925" s="47">
        <f>I1925*0.404423905496866</f>
        <v>5.3707494649983811E-2</v>
      </c>
      <c r="K1925" s="47">
        <v>6.7000000000000002E-3</v>
      </c>
      <c r="L1925" s="47">
        <f t="shared" si="103"/>
        <v>1.8675480367585614E-3</v>
      </c>
      <c r="M1925" s="47">
        <f t="shared" si="104"/>
        <v>4.5894944158576161E-3</v>
      </c>
      <c r="N1925" s="47">
        <v>0</v>
      </c>
      <c r="O1925" s="47">
        <f t="shared" si="105"/>
        <v>0</v>
      </c>
      <c r="P1925" s="92"/>
    </row>
    <row r="1926" spans="1:16" x14ac:dyDescent="0.25">
      <c r="A1926" s="29">
        <v>13</v>
      </c>
      <c r="B1926" s="30">
        <v>437692.10856199998</v>
      </c>
      <c r="C1926" s="30">
        <v>5688393.3324180003</v>
      </c>
      <c r="D1926" s="30">
        <v>28</v>
      </c>
      <c r="E1926" s="30" t="s">
        <v>24</v>
      </c>
      <c r="F1926" s="46">
        <v>2017</v>
      </c>
      <c r="G1926" s="47">
        <v>1.9699999999999999E-2</v>
      </c>
      <c r="H1926" s="47">
        <f t="shared" si="102"/>
        <v>4.0901522931362918E-3</v>
      </c>
      <c r="I1926" s="47">
        <v>4.6899999999999997E-2</v>
      </c>
      <c r="J1926" s="47">
        <f>I1926*0.404423905496866</f>
        <v>1.8967481167803016E-2</v>
      </c>
      <c r="K1926" s="47">
        <v>5.0999999999999995E-3</v>
      </c>
      <c r="L1926" s="47">
        <f t="shared" si="103"/>
        <v>1.4215664160400988E-3</v>
      </c>
      <c r="M1926" s="47">
        <f t="shared" si="104"/>
        <v>2.6685858770961928E-3</v>
      </c>
      <c r="N1926" s="47">
        <v>6.4000000000000003E-3</v>
      </c>
      <c r="O1926" s="47">
        <f t="shared" si="105"/>
        <v>2.6502100168263234E-3</v>
      </c>
      <c r="P1926" s="92"/>
    </row>
    <row r="1927" spans="1:16" x14ac:dyDescent="0.25">
      <c r="A1927" s="32">
        <v>14</v>
      </c>
      <c r="B1927" s="33">
        <v>437811.10856199998</v>
      </c>
      <c r="C1927" s="33">
        <v>5688393.3324180003</v>
      </c>
      <c r="D1927" s="48">
        <v>28</v>
      </c>
      <c r="E1927" s="48" t="s">
        <v>24</v>
      </c>
      <c r="F1927" s="48">
        <v>2017</v>
      </c>
      <c r="G1927" s="48" t="s">
        <v>18</v>
      </c>
      <c r="H1927" s="48" t="s">
        <v>18</v>
      </c>
      <c r="I1927" s="48" t="s">
        <v>18</v>
      </c>
      <c r="J1927" s="48" t="s">
        <v>18</v>
      </c>
      <c r="K1927" s="48" t="s">
        <v>18</v>
      </c>
      <c r="L1927" s="48" t="s">
        <v>18</v>
      </c>
      <c r="M1927" s="48" t="s">
        <v>18</v>
      </c>
      <c r="N1927" s="48" t="s">
        <v>18</v>
      </c>
      <c r="O1927" s="48" t="s">
        <v>18</v>
      </c>
      <c r="P1927" s="103" t="s">
        <v>89</v>
      </c>
    </row>
    <row r="1928" spans="1:16" x14ac:dyDescent="0.25">
      <c r="A1928" s="29">
        <v>15</v>
      </c>
      <c r="B1928" s="30">
        <v>437930.10856199998</v>
      </c>
      <c r="C1928" s="30">
        <v>5688393.3324180003</v>
      </c>
      <c r="D1928" s="30">
        <v>28</v>
      </c>
      <c r="E1928" s="30" t="s">
        <v>24</v>
      </c>
      <c r="F1928" s="46">
        <v>2017</v>
      </c>
      <c r="G1928" s="47">
        <v>4.58E-2</v>
      </c>
      <c r="H1928" s="47">
        <f t="shared" si="102"/>
        <v>9.5090850266823443E-3</v>
      </c>
      <c r="I1928" s="47">
        <v>7.959999999999999E-2</v>
      </c>
      <c r="J1928" s="47">
        <f>I1928*0.404423905496866</f>
        <v>3.2192142877550532E-2</v>
      </c>
      <c r="K1928" s="47">
        <v>1.5800000000000002E-2</v>
      </c>
      <c r="L1928" s="47">
        <f t="shared" si="103"/>
        <v>4.404068504594817E-3</v>
      </c>
      <c r="M1928" s="47">
        <f t="shared" si="104"/>
        <v>5.1050165220875273E-3</v>
      </c>
      <c r="N1928" s="47">
        <v>5.6600000000000004E-2</v>
      </c>
      <c r="O1928" s="47">
        <f t="shared" si="105"/>
        <v>2.3437794836307799E-2</v>
      </c>
      <c r="P1928" s="92"/>
    </row>
    <row r="1929" spans="1:16" x14ac:dyDescent="0.25">
      <c r="A1929" s="29">
        <v>16</v>
      </c>
      <c r="B1929" s="30">
        <v>438049.10856199998</v>
      </c>
      <c r="C1929" s="30">
        <v>5688393.3324180003</v>
      </c>
      <c r="D1929" s="30">
        <v>28</v>
      </c>
      <c r="E1929" s="30" t="s">
        <v>24</v>
      </c>
      <c r="F1929" s="46">
        <v>2017</v>
      </c>
      <c r="G1929" s="47">
        <v>1.9E-2</v>
      </c>
      <c r="H1929" s="47">
        <f t="shared" si="102"/>
        <v>3.944816932466475E-3</v>
      </c>
      <c r="I1929" s="47">
        <v>8.8099999999999998E-2</v>
      </c>
      <c r="J1929" s="47">
        <f>I1929*0.404423905496866</f>
        <v>3.5629746074273896E-2</v>
      </c>
      <c r="K1929" s="47">
        <v>4.5999999999999999E-3</v>
      </c>
      <c r="L1929" s="47">
        <f t="shared" si="103"/>
        <v>1.2821971595655794E-3</v>
      </c>
      <c r="M1929" s="47">
        <f t="shared" si="104"/>
        <v>2.6626197729008958E-3</v>
      </c>
      <c r="N1929" s="47">
        <v>6.1999999999999998E-3</v>
      </c>
      <c r="O1929" s="47">
        <f t="shared" si="105"/>
        <v>2.5673909538005005E-3</v>
      </c>
      <c r="P1929" s="92"/>
    </row>
    <row r="1930" spans="1:16" x14ac:dyDescent="0.25">
      <c r="A1930" s="29">
        <v>17</v>
      </c>
      <c r="B1930" s="30">
        <v>438168.10856199998</v>
      </c>
      <c r="C1930" s="30">
        <v>5688393.3324180003</v>
      </c>
      <c r="D1930" s="30">
        <v>28</v>
      </c>
      <c r="E1930" s="30" t="s">
        <v>24</v>
      </c>
      <c r="F1930" s="46">
        <v>2017</v>
      </c>
      <c r="G1930" s="47">
        <v>5.1400000000000001E-2</v>
      </c>
      <c r="H1930" s="47">
        <f t="shared" si="102"/>
        <v>1.0671767912040884E-2</v>
      </c>
      <c r="I1930" s="47">
        <v>6.9000000000000008E-3</v>
      </c>
      <c r="J1930" s="47">
        <f>I1930*0.404423905496866</f>
        <v>2.7905249479283759E-3</v>
      </c>
      <c r="K1930" s="47">
        <v>1.15E-2</v>
      </c>
      <c r="L1930" s="47">
        <f t="shared" si="103"/>
        <v>3.2054928989139484E-3</v>
      </c>
      <c r="M1930" s="47">
        <f t="shared" si="104"/>
        <v>7.4662750131269358E-3</v>
      </c>
      <c r="N1930" s="47">
        <v>1.6800000000000002E-2</v>
      </c>
      <c r="O1930" s="47">
        <f t="shared" si="105"/>
        <v>6.9568012941691E-3</v>
      </c>
      <c r="P1930" s="92"/>
    </row>
    <row r="1931" spans="1:16" x14ac:dyDescent="0.25">
      <c r="A1931" s="29">
        <v>18</v>
      </c>
      <c r="B1931" s="30">
        <v>438287.10856199998</v>
      </c>
      <c r="C1931" s="30">
        <v>5688393.3324180003</v>
      </c>
      <c r="D1931" s="30">
        <v>28</v>
      </c>
      <c r="E1931" s="30" t="s">
        <v>24</v>
      </c>
      <c r="F1931" s="46">
        <v>2017</v>
      </c>
      <c r="G1931" s="47">
        <v>0.10479999999999999</v>
      </c>
      <c r="H1931" s="47">
        <f t="shared" si="102"/>
        <v>2.1758779711709818E-2</v>
      </c>
      <c r="I1931" s="47">
        <v>0</v>
      </c>
      <c r="J1931" s="47">
        <f>I1931*0.404423905496866</f>
        <v>0</v>
      </c>
      <c r="K1931" s="47">
        <v>4.7000000000000002E-3</v>
      </c>
      <c r="L1931" s="47">
        <f t="shared" si="103"/>
        <v>1.3100710108604834E-3</v>
      </c>
      <c r="M1931" s="47">
        <f t="shared" si="104"/>
        <v>2.0448708700849336E-2</v>
      </c>
      <c r="N1931" s="47">
        <v>0</v>
      </c>
      <c r="O1931" s="47">
        <f t="shared" si="105"/>
        <v>0</v>
      </c>
      <c r="P1931" s="92"/>
    </row>
    <row r="1932" spans="1:16" x14ac:dyDescent="0.25">
      <c r="A1932" s="29">
        <v>19</v>
      </c>
      <c r="B1932" s="30">
        <v>438406.10856199998</v>
      </c>
      <c r="C1932" s="30">
        <v>5688393.3324180003</v>
      </c>
      <c r="D1932" s="30">
        <v>28</v>
      </c>
      <c r="E1932" s="30" t="s">
        <v>24</v>
      </c>
      <c r="F1932" s="46">
        <v>2017</v>
      </c>
      <c r="G1932" s="47">
        <v>0.15480000000000002</v>
      </c>
      <c r="H1932" s="47">
        <f t="shared" si="102"/>
        <v>3.2139876902411074E-2</v>
      </c>
      <c r="I1932" s="47">
        <v>0</v>
      </c>
      <c r="J1932" s="47">
        <f>I1932*0.404423905496866</f>
        <v>0</v>
      </c>
      <c r="K1932" s="47">
        <v>9.6999999999999986E-3</v>
      </c>
      <c r="L1932" s="47">
        <f t="shared" si="103"/>
        <v>2.7037635756056778E-3</v>
      </c>
      <c r="M1932" s="47">
        <f t="shared" si="104"/>
        <v>2.9436113326805395E-2</v>
      </c>
      <c r="N1932" s="47">
        <v>0</v>
      </c>
      <c r="O1932" s="47">
        <f t="shared" si="105"/>
        <v>0</v>
      </c>
      <c r="P1932" s="92"/>
    </row>
    <row r="1933" spans="1:16" x14ac:dyDescent="0.25">
      <c r="A1933" s="42">
        <v>20</v>
      </c>
      <c r="B1933" s="43">
        <v>437335.10856199998</v>
      </c>
      <c r="C1933" s="43">
        <v>5688512.3324180003</v>
      </c>
      <c r="D1933" s="44">
        <v>28</v>
      </c>
      <c r="E1933" s="44" t="s">
        <v>24</v>
      </c>
      <c r="F1933" s="44">
        <v>2017</v>
      </c>
      <c r="G1933" s="44" t="s">
        <v>18</v>
      </c>
      <c r="H1933" s="44" t="s">
        <v>18</v>
      </c>
      <c r="I1933" s="44" t="s">
        <v>18</v>
      </c>
      <c r="J1933" s="44" t="s">
        <v>18</v>
      </c>
      <c r="K1933" s="44" t="s">
        <v>18</v>
      </c>
      <c r="L1933" s="44" t="s">
        <v>18</v>
      </c>
      <c r="M1933" s="44" t="s">
        <v>18</v>
      </c>
      <c r="N1933" s="44" t="s">
        <v>18</v>
      </c>
      <c r="O1933" s="44" t="s">
        <v>18</v>
      </c>
      <c r="P1933" s="102" t="s">
        <v>109</v>
      </c>
    </row>
    <row r="1934" spans="1:16" x14ac:dyDescent="0.25">
      <c r="A1934" s="29">
        <v>21</v>
      </c>
      <c r="B1934" s="30">
        <v>437454.10856199998</v>
      </c>
      <c r="C1934" s="30">
        <v>5688512.3324180003</v>
      </c>
      <c r="D1934" s="30">
        <v>28</v>
      </c>
      <c r="E1934" s="30" t="s">
        <v>24</v>
      </c>
      <c r="F1934" s="46">
        <v>2017</v>
      </c>
      <c r="G1934" s="47">
        <v>3.39E-2</v>
      </c>
      <c r="H1934" s="47">
        <f t="shared" si="102"/>
        <v>7.0383838952954468E-3</v>
      </c>
      <c r="I1934" s="47">
        <v>0</v>
      </c>
      <c r="J1934" s="47">
        <f t="shared" ref="J1934:J1939" si="106">I1934*0.404423905496866</f>
        <v>0</v>
      </c>
      <c r="K1934" s="47">
        <v>6.6799999999999993E-3</v>
      </c>
      <c r="L1934" s="47">
        <f t="shared" si="103"/>
        <v>1.8619732664995803E-3</v>
      </c>
      <c r="M1934" s="47">
        <f t="shared" si="104"/>
        <v>5.1764106287958663E-3</v>
      </c>
      <c r="N1934" s="47">
        <v>0</v>
      </c>
      <c r="O1934" s="47">
        <f t="shared" si="105"/>
        <v>0</v>
      </c>
      <c r="P1934" s="92"/>
    </row>
    <row r="1935" spans="1:16" x14ac:dyDescent="0.25">
      <c r="A1935" s="29">
        <v>22</v>
      </c>
      <c r="B1935" s="30">
        <v>437573.10856199998</v>
      </c>
      <c r="C1935" s="30">
        <v>5688512.3324180003</v>
      </c>
      <c r="D1935" s="30">
        <v>28</v>
      </c>
      <c r="E1935" s="30" t="s">
        <v>24</v>
      </c>
      <c r="F1935" s="46">
        <v>2017</v>
      </c>
      <c r="G1935" s="46" t="s">
        <v>18</v>
      </c>
      <c r="H1935" s="46" t="s">
        <v>18</v>
      </c>
      <c r="I1935" s="46" t="s">
        <v>18</v>
      </c>
      <c r="J1935" s="46" t="s">
        <v>18</v>
      </c>
      <c r="K1935" s="47">
        <v>4.5999999999999999E-3</v>
      </c>
      <c r="L1935" s="47">
        <f t="shared" si="103"/>
        <v>1.2821971595655794E-3</v>
      </c>
      <c r="M1935" s="46" t="s">
        <v>18</v>
      </c>
      <c r="N1935" s="47">
        <v>0.11270000000000001</v>
      </c>
      <c r="O1935" s="47">
        <f t="shared" si="105"/>
        <v>4.6668542015051037E-2</v>
      </c>
      <c r="P1935" s="92" t="s">
        <v>127</v>
      </c>
    </row>
    <row r="1936" spans="1:16" x14ac:dyDescent="0.25">
      <c r="A1936" s="29">
        <v>23</v>
      </c>
      <c r="B1936" s="30">
        <v>437692.10856199998</v>
      </c>
      <c r="C1936" s="30">
        <v>5688512.3324180003</v>
      </c>
      <c r="D1936" s="30">
        <v>28</v>
      </c>
      <c r="E1936" s="30" t="s">
        <v>24</v>
      </c>
      <c r="F1936" s="46">
        <v>2017</v>
      </c>
      <c r="G1936" s="47">
        <v>1.5E-3</v>
      </c>
      <c r="H1936" s="47">
        <f t="shared" si="102"/>
        <v>3.1143291572103751E-4</v>
      </c>
      <c r="I1936" s="47">
        <v>1.8499999999999999E-2</v>
      </c>
      <c r="J1936" s="47">
        <f t="shared" si="106"/>
        <v>7.4818422516920212E-3</v>
      </c>
      <c r="K1936" s="47">
        <v>2.3E-3</v>
      </c>
      <c r="L1936" s="47">
        <f t="shared" si="103"/>
        <v>6.410985797827897E-4</v>
      </c>
      <c r="M1936" s="47">
        <f>H1936-L1936</f>
        <v>-3.2966566406175218E-4</v>
      </c>
      <c r="N1936" s="47">
        <v>0</v>
      </c>
      <c r="O1936" s="47">
        <f t="shared" si="105"/>
        <v>0</v>
      </c>
      <c r="P1936" s="92"/>
    </row>
    <row r="1937" spans="1:16" x14ac:dyDescent="0.25">
      <c r="A1937" s="29">
        <v>24</v>
      </c>
      <c r="B1937" s="30">
        <v>437811.10856199998</v>
      </c>
      <c r="C1937" s="30">
        <v>5688512.3324180003</v>
      </c>
      <c r="D1937" s="30">
        <v>28</v>
      </c>
      <c r="E1937" s="30" t="s">
        <v>24</v>
      </c>
      <c r="F1937" s="46">
        <v>2017</v>
      </c>
      <c r="G1937" s="47">
        <v>6.5000000000000002E-2</v>
      </c>
      <c r="H1937" s="47">
        <f t="shared" si="102"/>
        <v>1.3495426347911624E-2</v>
      </c>
      <c r="I1937" s="47">
        <v>3.0000000000000001E-3</v>
      </c>
      <c r="J1937" s="47">
        <f t="shared" si="106"/>
        <v>1.2132717164905981E-3</v>
      </c>
      <c r="K1937" s="47">
        <v>7.0000000000000001E-3</v>
      </c>
      <c r="L1937" s="47">
        <f t="shared" si="103"/>
        <v>1.951169590643273E-3</v>
      </c>
      <c r="M1937" s="47">
        <f t="shared" si="104"/>
        <v>1.1544256757268351E-2</v>
      </c>
      <c r="N1937" s="47">
        <v>0</v>
      </c>
      <c r="O1937" s="47">
        <f t="shared" si="105"/>
        <v>0</v>
      </c>
      <c r="P1937" s="92"/>
    </row>
    <row r="1938" spans="1:16" x14ac:dyDescent="0.25">
      <c r="A1938" s="29">
        <v>25</v>
      </c>
      <c r="B1938" s="46">
        <v>437995</v>
      </c>
      <c r="C1938" s="46">
        <v>5688493</v>
      </c>
      <c r="D1938" s="30">
        <v>28</v>
      </c>
      <c r="E1938" s="30" t="s">
        <v>24</v>
      </c>
      <c r="F1938" s="46">
        <v>2017</v>
      </c>
      <c r="G1938" s="47">
        <v>5.04E-2</v>
      </c>
      <c r="H1938" s="47">
        <f t="shared" si="102"/>
        <v>1.0464145968226859E-2</v>
      </c>
      <c r="I1938" s="47">
        <v>0</v>
      </c>
      <c r="J1938" s="47">
        <f t="shared" si="106"/>
        <v>0</v>
      </c>
      <c r="K1938" s="47">
        <v>7.3000000000000001E-3</v>
      </c>
      <c r="L1938" s="47">
        <f t="shared" si="103"/>
        <v>2.0347911445279848E-3</v>
      </c>
      <c r="M1938" s="47">
        <f t="shared" si="104"/>
        <v>8.4293548236988747E-3</v>
      </c>
      <c r="N1938" s="47">
        <v>0</v>
      </c>
      <c r="O1938" s="47">
        <f t="shared" si="105"/>
        <v>0</v>
      </c>
      <c r="P1938" s="92"/>
    </row>
    <row r="1939" spans="1:16" x14ac:dyDescent="0.25">
      <c r="A1939" s="29">
        <v>26</v>
      </c>
      <c r="B1939" s="46">
        <v>438112</v>
      </c>
      <c r="C1939" s="46">
        <v>5688567</v>
      </c>
      <c r="D1939" s="30">
        <v>28</v>
      </c>
      <c r="E1939" s="30" t="s">
        <v>24</v>
      </c>
      <c r="F1939" s="46">
        <v>2017</v>
      </c>
      <c r="G1939" s="47">
        <v>0.2225</v>
      </c>
      <c r="H1939" s="47">
        <f t="shared" si="102"/>
        <v>4.6195882498620562E-2</v>
      </c>
      <c r="I1939" s="47">
        <v>1.09E-2</v>
      </c>
      <c r="J1939" s="47">
        <f t="shared" si="106"/>
        <v>4.4082205699158394E-3</v>
      </c>
      <c r="K1939" s="47">
        <v>6.4000000000000003E-3</v>
      </c>
      <c r="L1939" s="47">
        <f t="shared" si="103"/>
        <v>1.7839264828738498E-3</v>
      </c>
      <c r="M1939" s="47">
        <f t="shared" si="104"/>
        <v>4.4411956015746712E-2</v>
      </c>
      <c r="N1939" s="47">
        <v>1.04E-2</v>
      </c>
      <c r="O1939" s="47">
        <f t="shared" si="105"/>
        <v>4.3065912773427749E-3</v>
      </c>
      <c r="P1939" s="92"/>
    </row>
    <row r="1940" spans="1:16" x14ac:dyDescent="0.25">
      <c r="A1940" s="32">
        <v>27</v>
      </c>
      <c r="B1940" s="33">
        <v>438168.10856199998</v>
      </c>
      <c r="C1940" s="33">
        <v>5688512.3324180003</v>
      </c>
      <c r="D1940" s="48">
        <v>28</v>
      </c>
      <c r="E1940" s="48" t="s">
        <v>24</v>
      </c>
      <c r="F1940" s="48">
        <v>2017</v>
      </c>
      <c r="G1940" s="48" t="s">
        <v>18</v>
      </c>
      <c r="H1940" s="48" t="s">
        <v>18</v>
      </c>
      <c r="I1940" s="48" t="s">
        <v>18</v>
      </c>
      <c r="J1940" s="48" t="s">
        <v>18</v>
      </c>
      <c r="K1940" s="48" t="s">
        <v>18</v>
      </c>
      <c r="L1940" s="48" t="s">
        <v>18</v>
      </c>
      <c r="M1940" s="48" t="s">
        <v>18</v>
      </c>
      <c r="N1940" s="48" t="s">
        <v>18</v>
      </c>
      <c r="O1940" s="48" t="s">
        <v>18</v>
      </c>
      <c r="P1940" s="103" t="s">
        <v>89</v>
      </c>
    </row>
    <row r="1941" spans="1:16" x14ac:dyDescent="0.25">
      <c r="A1941" s="32">
        <v>28</v>
      </c>
      <c r="B1941" s="33">
        <v>438287.10856199998</v>
      </c>
      <c r="C1941" s="33">
        <v>5688512.3324180003</v>
      </c>
      <c r="D1941" s="48">
        <v>28</v>
      </c>
      <c r="E1941" s="48" t="s">
        <v>24</v>
      </c>
      <c r="F1941" s="48">
        <v>2017</v>
      </c>
      <c r="G1941" s="48" t="s">
        <v>18</v>
      </c>
      <c r="H1941" s="48" t="s">
        <v>18</v>
      </c>
      <c r="I1941" s="48" t="s">
        <v>18</v>
      </c>
      <c r="J1941" s="48" t="s">
        <v>18</v>
      </c>
      <c r="K1941" s="48" t="s">
        <v>18</v>
      </c>
      <c r="L1941" s="48" t="s">
        <v>18</v>
      </c>
      <c r="M1941" s="48" t="s">
        <v>18</v>
      </c>
      <c r="N1941" s="48" t="s">
        <v>18</v>
      </c>
      <c r="O1941" s="48" t="s">
        <v>18</v>
      </c>
      <c r="P1941" s="103" t="s">
        <v>89</v>
      </c>
    </row>
    <row r="1942" spans="1:16" x14ac:dyDescent="0.25">
      <c r="A1942" s="29">
        <v>29</v>
      </c>
      <c r="B1942" s="30">
        <v>438381</v>
      </c>
      <c r="C1942" s="30">
        <v>5688526</v>
      </c>
      <c r="D1942" s="30">
        <v>27</v>
      </c>
      <c r="E1942" s="30" t="s">
        <v>24</v>
      </c>
      <c r="F1942" s="46">
        <v>2017</v>
      </c>
      <c r="G1942" s="47">
        <v>6.8500000000000005E-2</v>
      </c>
      <c r="H1942" s="47">
        <f>G1942*0.242572921910662</f>
        <v>1.6616245150880348E-2</v>
      </c>
      <c r="I1942" s="47">
        <v>0</v>
      </c>
      <c r="J1942" s="47">
        <f>I1942*0.451612903225806</f>
        <v>0</v>
      </c>
      <c r="K1942" s="47">
        <v>2.7300000000000001E-2</v>
      </c>
      <c r="L1942" s="47">
        <f>K1942*0.33931916771147</f>
        <v>9.2634132785231315E-3</v>
      </c>
      <c r="M1942" s="47">
        <f t="shared" si="104"/>
        <v>7.3528318723572166E-3</v>
      </c>
      <c r="N1942" s="47">
        <v>0</v>
      </c>
      <c r="O1942" s="47">
        <f>N1942*0.472724285244824</f>
        <v>0</v>
      </c>
      <c r="P1942" s="92"/>
    </row>
    <row r="1943" spans="1:16" x14ac:dyDescent="0.25">
      <c r="A1943" s="29">
        <v>30</v>
      </c>
      <c r="B1943" s="30">
        <v>438525.10856199998</v>
      </c>
      <c r="C1943" s="30">
        <v>5688512.3324180003</v>
      </c>
      <c r="D1943" s="30">
        <v>27</v>
      </c>
      <c r="E1943" s="30" t="s">
        <v>24</v>
      </c>
      <c r="F1943" s="46">
        <v>2017</v>
      </c>
      <c r="G1943" s="47">
        <v>5.0200000000000002E-2</v>
      </c>
      <c r="H1943" s="47">
        <f>G1943*0.242572921910662</f>
        <v>1.2177160679915233E-2</v>
      </c>
      <c r="I1943" s="47">
        <v>0</v>
      </c>
      <c r="J1943" s="47">
        <f>I1943*0.451612903225806</f>
        <v>0</v>
      </c>
      <c r="K1943" s="47">
        <v>2.5999999999999999E-3</v>
      </c>
      <c r="L1943" s="47">
        <f>K1943*0.33931916771147</f>
        <v>8.8222983604982204E-4</v>
      </c>
      <c r="M1943" s="47">
        <f t="shared" si="104"/>
        <v>1.1294930843865411E-2</v>
      </c>
      <c r="N1943" s="47">
        <v>0</v>
      </c>
      <c r="O1943" s="47">
        <f>N1943*0.472724285244824</f>
        <v>0</v>
      </c>
      <c r="P1943" s="92"/>
    </row>
    <row r="1944" spans="1:16" x14ac:dyDescent="0.25">
      <c r="A1944" s="29">
        <v>31</v>
      </c>
      <c r="B1944" s="30">
        <v>437335.10856199998</v>
      </c>
      <c r="C1944" s="30">
        <v>5688631.3324180003</v>
      </c>
      <c r="D1944" s="30">
        <v>28</v>
      </c>
      <c r="E1944" s="30" t="s">
        <v>24</v>
      </c>
      <c r="F1944" s="46">
        <v>2017</v>
      </c>
      <c r="G1944" s="47">
        <v>1.9E-2</v>
      </c>
      <c r="H1944" s="47">
        <f>G1944*0.207621943814025</f>
        <v>3.944816932466475E-3</v>
      </c>
      <c r="I1944" s="47">
        <v>0</v>
      </c>
      <c r="J1944" s="47">
        <f>I1944*0.404423905496866</f>
        <v>0</v>
      </c>
      <c r="K1944" s="47">
        <v>3.0999999999999999E-3</v>
      </c>
      <c r="L1944" s="47">
        <f>K1944*0.278738512949039</f>
        <v>8.6408939014202086E-4</v>
      </c>
      <c r="M1944" s="47">
        <f t="shared" si="104"/>
        <v>3.0807275423244541E-3</v>
      </c>
      <c r="N1944" s="47">
        <v>0</v>
      </c>
      <c r="O1944" s="47">
        <f>N1944*0.414095315129113</f>
        <v>0</v>
      </c>
      <c r="P1944" s="92"/>
    </row>
    <row r="1945" spans="1:16" x14ac:dyDescent="0.25">
      <c r="A1945" s="29">
        <v>32</v>
      </c>
      <c r="B1945" s="30">
        <v>437454.10856199998</v>
      </c>
      <c r="C1945" s="30">
        <v>5688631.3324180003</v>
      </c>
      <c r="D1945" s="30">
        <v>27</v>
      </c>
      <c r="E1945" s="30" t="s">
        <v>24</v>
      </c>
      <c r="F1945" s="46">
        <v>2017</v>
      </c>
      <c r="G1945" s="47">
        <v>4.9299999999999997E-2</v>
      </c>
      <c r="H1945" s="47">
        <f t="shared" ref="H1945:H1973" si="107">G1945*0.242572921910662</f>
        <v>1.1958845050195635E-2</v>
      </c>
      <c r="I1945" s="47">
        <v>0</v>
      </c>
      <c r="J1945" s="47">
        <f t="shared" ref="J1945:J1973" si="108">I1945*0.451612903225806</f>
        <v>0</v>
      </c>
      <c r="K1945" s="47">
        <v>3.1199999999999999E-3</v>
      </c>
      <c r="L1945" s="47">
        <f t="shared" ref="L1945:L1973" si="109">K1945*0.33931916771147</f>
        <v>1.0586758032597864E-3</v>
      </c>
      <c r="M1945" s="47">
        <f t="shared" si="104"/>
        <v>1.0900169246935848E-2</v>
      </c>
      <c r="N1945" s="47">
        <v>0</v>
      </c>
      <c r="O1945" s="47">
        <f t="shared" ref="O1945:O1973" si="110">N1945*0.472724285244824</f>
        <v>0</v>
      </c>
      <c r="P1945" s="92"/>
    </row>
    <row r="1946" spans="1:16" x14ac:dyDescent="0.25">
      <c r="A1946" s="29">
        <v>33</v>
      </c>
      <c r="B1946" s="30">
        <v>437573.10856199998</v>
      </c>
      <c r="C1946" s="30">
        <v>5688631.3324180003</v>
      </c>
      <c r="D1946" s="30">
        <v>27</v>
      </c>
      <c r="E1946" s="30" t="s">
        <v>24</v>
      </c>
      <c r="F1946" s="46">
        <v>2017</v>
      </c>
      <c r="G1946" s="47">
        <v>8.8000000000000005E-3</v>
      </c>
      <c r="H1946" s="47">
        <f t="shared" si="107"/>
        <v>2.1346417128138258E-3</v>
      </c>
      <c r="I1946" s="47">
        <v>0</v>
      </c>
      <c r="J1946" s="47">
        <f t="shared" si="108"/>
        <v>0</v>
      </c>
      <c r="K1946" s="47">
        <v>3.8999999999999998E-3</v>
      </c>
      <c r="L1946" s="47">
        <f t="shared" si="109"/>
        <v>1.3233447540747329E-3</v>
      </c>
      <c r="M1946" s="47">
        <f t="shared" si="104"/>
        <v>8.1129695873909287E-4</v>
      </c>
      <c r="N1946" s="47">
        <v>0</v>
      </c>
      <c r="O1946" s="47">
        <f t="shared" si="110"/>
        <v>0</v>
      </c>
      <c r="P1946" s="92"/>
    </row>
    <row r="1947" spans="1:16" x14ac:dyDescent="0.25">
      <c r="A1947" s="29">
        <v>34</v>
      </c>
      <c r="B1947" s="30">
        <v>437692.10856199998</v>
      </c>
      <c r="C1947" s="30">
        <v>5688631.3324180003</v>
      </c>
      <c r="D1947" s="30">
        <v>27</v>
      </c>
      <c r="E1947" s="30" t="s">
        <v>24</v>
      </c>
      <c r="F1947" s="46">
        <v>2017</v>
      </c>
      <c r="G1947" s="47">
        <v>9.5500000000000002E-2</v>
      </c>
      <c r="H1947" s="47">
        <f t="shared" si="107"/>
        <v>2.316571404246822E-2</v>
      </c>
      <c r="I1947" s="47">
        <v>0</v>
      </c>
      <c r="J1947" s="47">
        <f t="shared" si="108"/>
        <v>0</v>
      </c>
      <c r="K1947" s="47">
        <v>3.3999999999999998E-3</v>
      </c>
      <c r="L1947" s="47">
        <f t="shared" si="109"/>
        <v>1.153685170218998E-3</v>
      </c>
      <c r="M1947" s="47">
        <f t="shared" si="104"/>
        <v>2.2012028872249224E-2</v>
      </c>
      <c r="N1947" s="47">
        <v>0</v>
      </c>
      <c r="O1947" s="47">
        <f t="shared" si="110"/>
        <v>0</v>
      </c>
      <c r="P1947" s="92"/>
    </row>
    <row r="1948" spans="1:16" x14ac:dyDescent="0.25">
      <c r="A1948" s="29">
        <v>35</v>
      </c>
      <c r="B1948" s="30">
        <v>437893</v>
      </c>
      <c r="C1948" s="30">
        <v>5688620</v>
      </c>
      <c r="D1948" s="30">
        <v>27</v>
      </c>
      <c r="E1948" s="30" t="s">
        <v>24</v>
      </c>
      <c r="F1948" s="46">
        <v>2017</v>
      </c>
      <c r="G1948" s="47">
        <v>5.4700000000000006E-2</v>
      </c>
      <c r="H1948" s="47">
        <f t="shared" si="107"/>
        <v>1.3268738828513212E-2</v>
      </c>
      <c r="I1948" s="47">
        <v>0</v>
      </c>
      <c r="J1948" s="47">
        <f t="shared" si="108"/>
        <v>0</v>
      </c>
      <c r="K1948" s="47">
        <v>3.7000000000000002E-3</v>
      </c>
      <c r="L1948" s="47">
        <f t="shared" si="109"/>
        <v>1.2554809205324391E-3</v>
      </c>
      <c r="M1948" s="47">
        <f t="shared" si="104"/>
        <v>1.2013257907980773E-2</v>
      </c>
      <c r="N1948" s="47">
        <v>0</v>
      </c>
      <c r="O1948" s="47">
        <f t="shared" si="110"/>
        <v>0</v>
      </c>
      <c r="P1948" s="92"/>
    </row>
    <row r="1949" spans="1:16" x14ac:dyDescent="0.25">
      <c r="A1949" s="29">
        <v>36</v>
      </c>
      <c r="B1949" s="30">
        <v>437930.10856199998</v>
      </c>
      <c r="C1949" s="30">
        <v>5688631.3324180003</v>
      </c>
      <c r="D1949" s="30">
        <v>27</v>
      </c>
      <c r="E1949" s="30" t="s">
        <v>24</v>
      </c>
      <c r="F1949" s="46">
        <v>2017</v>
      </c>
      <c r="G1949" s="47">
        <v>1.09E-2</v>
      </c>
      <c r="H1949" s="47">
        <f t="shared" si="107"/>
        <v>2.6440448488262158E-3</v>
      </c>
      <c r="I1949" s="47">
        <v>0</v>
      </c>
      <c r="J1949" s="47">
        <f t="shared" si="108"/>
        <v>0</v>
      </c>
      <c r="K1949" s="47">
        <v>4.2000000000000006E-3</v>
      </c>
      <c r="L1949" s="47">
        <f t="shared" si="109"/>
        <v>1.4251405043881743E-3</v>
      </c>
      <c r="M1949" s="47">
        <f t="shared" si="104"/>
        <v>1.2189043444380415E-3</v>
      </c>
      <c r="N1949" s="47">
        <v>0</v>
      </c>
      <c r="O1949" s="47">
        <f t="shared" si="110"/>
        <v>0</v>
      </c>
      <c r="P1949" s="92"/>
    </row>
    <row r="1950" spans="1:16" x14ac:dyDescent="0.25">
      <c r="A1950" s="32">
        <v>37</v>
      </c>
      <c r="B1950" s="33">
        <v>438049.10856199998</v>
      </c>
      <c r="C1950" s="33">
        <v>5688631.3324180003</v>
      </c>
      <c r="D1950" s="48">
        <v>28</v>
      </c>
      <c r="E1950" s="48" t="s">
        <v>24</v>
      </c>
      <c r="F1950" s="48">
        <v>2017</v>
      </c>
      <c r="G1950" s="48" t="s">
        <v>18</v>
      </c>
      <c r="H1950" s="48" t="s">
        <v>18</v>
      </c>
      <c r="I1950" s="48" t="s">
        <v>18</v>
      </c>
      <c r="J1950" s="48" t="s">
        <v>18</v>
      </c>
      <c r="K1950" s="48" t="s">
        <v>18</v>
      </c>
      <c r="L1950" s="48" t="s">
        <v>18</v>
      </c>
      <c r="M1950" s="48" t="s">
        <v>18</v>
      </c>
      <c r="N1950" s="48" t="s">
        <v>18</v>
      </c>
      <c r="O1950" s="48" t="s">
        <v>18</v>
      </c>
      <c r="P1950" s="103" t="s">
        <v>89</v>
      </c>
    </row>
    <row r="1951" spans="1:16" x14ac:dyDescent="0.25">
      <c r="A1951" s="29">
        <v>38</v>
      </c>
      <c r="B1951" s="30">
        <v>438067</v>
      </c>
      <c r="C1951" s="30">
        <v>5688710</v>
      </c>
      <c r="D1951" s="30">
        <v>27</v>
      </c>
      <c r="E1951" s="30" t="s">
        <v>24</v>
      </c>
      <c r="F1951" s="46">
        <v>2017</v>
      </c>
      <c r="G1951" s="47">
        <v>0.13550000000000001</v>
      </c>
      <c r="H1951" s="47">
        <f t="shared" si="107"/>
        <v>3.2868630918894699E-2</v>
      </c>
      <c r="I1951" s="47">
        <v>0</v>
      </c>
      <c r="J1951" s="47">
        <f t="shared" si="108"/>
        <v>0</v>
      </c>
      <c r="K1951" s="47">
        <v>5.7999999999999996E-3</v>
      </c>
      <c r="L1951" s="47">
        <f t="shared" si="109"/>
        <v>1.968051172726526E-3</v>
      </c>
      <c r="M1951" s="47">
        <f t="shared" si="104"/>
        <v>3.0900579746168173E-2</v>
      </c>
      <c r="N1951" s="47">
        <v>0</v>
      </c>
      <c r="O1951" s="47">
        <f t="shared" si="110"/>
        <v>0</v>
      </c>
      <c r="P1951" s="92"/>
    </row>
    <row r="1952" spans="1:16" x14ac:dyDescent="0.25">
      <c r="A1952" s="32">
        <v>39</v>
      </c>
      <c r="B1952" s="33">
        <v>438287.10856199998</v>
      </c>
      <c r="C1952" s="33">
        <v>5688631.3324180003</v>
      </c>
      <c r="D1952" s="48">
        <v>28</v>
      </c>
      <c r="E1952" s="48" t="s">
        <v>24</v>
      </c>
      <c r="F1952" s="48">
        <v>2017</v>
      </c>
      <c r="G1952" s="48" t="s">
        <v>18</v>
      </c>
      <c r="H1952" s="48" t="s">
        <v>18</v>
      </c>
      <c r="I1952" s="48" t="s">
        <v>18</v>
      </c>
      <c r="J1952" s="48" t="s">
        <v>18</v>
      </c>
      <c r="K1952" s="48" t="s">
        <v>18</v>
      </c>
      <c r="L1952" s="48" t="s">
        <v>18</v>
      </c>
      <c r="M1952" s="48" t="s">
        <v>18</v>
      </c>
      <c r="N1952" s="48" t="s">
        <v>18</v>
      </c>
      <c r="O1952" s="48" t="s">
        <v>18</v>
      </c>
      <c r="P1952" s="94" t="s">
        <v>22</v>
      </c>
    </row>
    <row r="1953" spans="1:16" x14ac:dyDescent="0.25">
      <c r="A1953" s="29">
        <v>40</v>
      </c>
      <c r="B1953" s="30">
        <v>438406.10856199998</v>
      </c>
      <c r="C1953" s="30">
        <v>5688631.3324180003</v>
      </c>
      <c r="D1953" s="30">
        <v>27</v>
      </c>
      <c r="E1953" s="30" t="s">
        <v>24</v>
      </c>
      <c r="F1953" s="46">
        <v>2017</v>
      </c>
      <c r="G1953" s="54">
        <v>0.1174</v>
      </c>
      <c r="H1953" s="47">
        <f t="shared" si="107"/>
        <v>2.8478061032311718E-2</v>
      </c>
      <c r="I1953" s="47">
        <v>0</v>
      </c>
      <c r="J1953" s="47">
        <f t="shared" si="108"/>
        <v>0</v>
      </c>
      <c r="K1953" s="47">
        <v>3.8999999999999998E-3</v>
      </c>
      <c r="L1953" s="47">
        <f t="shared" si="109"/>
        <v>1.3233447540747329E-3</v>
      </c>
      <c r="M1953" s="47">
        <f t="shared" si="104"/>
        <v>2.7154716278236984E-2</v>
      </c>
      <c r="N1953" s="47">
        <v>0</v>
      </c>
      <c r="O1953" s="47">
        <f t="shared" si="110"/>
        <v>0</v>
      </c>
      <c r="P1953" s="92"/>
    </row>
    <row r="1954" spans="1:16" x14ac:dyDescent="0.25">
      <c r="A1954" s="29">
        <v>41</v>
      </c>
      <c r="B1954" s="30">
        <v>437310</v>
      </c>
      <c r="C1954" s="30">
        <v>5688729</v>
      </c>
      <c r="D1954" s="30">
        <v>27</v>
      </c>
      <c r="E1954" s="30" t="s">
        <v>24</v>
      </c>
      <c r="F1954" s="46">
        <v>2017</v>
      </c>
      <c r="G1954" s="46" t="s">
        <v>18</v>
      </c>
      <c r="H1954" s="46" t="s">
        <v>18</v>
      </c>
      <c r="I1954" s="46" t="s">
        <v>18</v>
      </c>
      <c r="J1954" s="46" t="s">
        <v>18</v>
      </c>
      <c r="K1954" s="47">
        <v>8.199999999999999E-3</v>
      </c>
      <c r="L1954" s="47">
        <f t="shared" si="109"/>
        <v>2.782417175234054E-3</v>
      </c>
      <c r="M1954" s="46" t="s">
        <v>18</v>
      </c>
      <c r="N1954" s="47">
        <v>0</v>
      </c>
      <c r="O1954" s="47">
        <f t="shared" si="110"/>
        <v>0</v>
      </c>
      <c r="P1954" s="92" t="s">
        <v>127</v>
      </c>
    </row>
    <row r="1955" spans="1:16" x14ac:dyDescent="0.25">
      <c r="A1955" s="29">
        <v>42</v>
      </c>
      <c r="B1955" s="30">
        <v>437454.10856199998</v>
      </c>
      <c r="C1955" s="30">
        <v>5688750.3324180003</v>
      </c>
      <c r="D1955" s="30">
        <v>27</v>
      </c>
      <c r="E1955" s="30" t="s">
        <v>24</v>
      </c>
      <c r="F1955" s="46">
        <v>2017</v>
      </c>
      <c r="G1955" s="54">
        <v>3.9100000000000003E-2</v>
      </c>
      <c r="H1955" s="47">
        <f t="shared" si="107"/>
        <v>9.4846012467068846E-3</v>
      </c>
      <c r="I1955" s="47">
        <v>1.8E-3</v>
      </c>
      <c r="J1955" s="47">
        <f t="shared" si="108"/>
        <v>8.1290322580645081E-4</v>
      </c>
      <c r="K1955" s="47">
        <v>8.199999999999999E-3</v>
      </c>
      <c r="L1955" s="47">
        <f t="shared" si="109"/>
        <v>2.782417175234054E-3</v>
      </c>
      <c r="M1955" s="47">
        <f t="shared" si="104"/>
        <v>6.702184071472831E-3</v>
      </c>
      <c r="N1955" s="47">
        <v>0</v>
      </c>
      <c r="O1955" s="47">
        <f t="shared" si="110"/>
        <v>0</v>
      </c>
      <c r="P1955" s="92"/>
    </row>
    <row r="1956" spans="1:16" x14ac:dyDescent="0.25">
      <c r="A1956" s="29">
        <v>43</v>
      </c>
      <c r="B1956" s="30">
        <v>437573.10856199998</v>
      </c>
      <c r="C1956" s="30">
        <v>5688750.3324180003</v>
      </c>
      <c r="D1956" s="30">
        <v>27</v>
      </c>
      <c r="E1956" s="30" t="s">
        <v>24</v>
      </c>
      <c r="F1956" s="46">
        <v>2017</v>
      </c>
      <c r="G1956" s="46" t="s">
        <v>18</v>
      </c>
      <c r="H1956" s="46" t="s">
        <v>18</v>
      </c>
      <c r="I1956" s="46" t="s">
        <v>18</v>
      </c>
      <c r="J1956" s="46" t="s">
        <v>18</v>
      </c>
      <c r="K1956" s="47">
        <v>5.4000000000000003E-3</v>
      </c>
      <c r="L1956" s="47">
        <f t="shared" si="109"/>
        <v>1.8323235056419383E-3</v>
      </c>
      <c r="M1956" s="46" t="s">
        <v>18</v>
      </c>
      <c r="N1956" s="47">
        <v>0</v>
      </c>
      <c r="O1956" s="47">
        <f t="shared" si="110"/>
        <v>0</v>
      </c>
      <c r="P1956" s="92" t="s">
        <v>127</v>
      </c>
    </row>
    <row r="1957" spans="1:16" x14ac:dyDescent="0.25">
      <c r="A1957" s="29">
        <v>44</v>
      </c>
      <c r="B1957" s="30">
        <v>437692.10856199998</v>
      </c>
      <c r="C1957" s="30">
        <v>5688750.3324180003</v>
      </c>
      <c r="D1957" s="30">
        <v>27</v>
      </c>
      <c r="E1957" s="30" t="s">
        <v>24</v>
      </c>
      <c r="F1957" s="46">
        <v>2017</v>
      </c>
      <c r="G1957" s="54">
        <v>7.0099999999999996E-2</v>
      </c>
      <c r="H1957" s="47">
        <f t="shared" si="107"/>
        <v>1.7004361825937404E-2</v>
      </c>
      <c r="I1957" s="47">
        <v>0</v>
      </c>
      <c r="J1957" s="47">
        <f t="shared" si="108"/>
        <v>0</v>
      </c>
      <c r="K1957" s="47">
        <v>7.7000000000000002E-3</v>
      </c>
      <c r="L1957" s="47">
        <f t="shared" si="109"/>
        <v>2.6127575913783194E-3</v>
      </c>
      <c r="M1957" s="47">
        <f t="shared" si="104"/>
        <v>1.4391604234559085E-2</v>
      </c>
      <c r="N1957" s="47">
        <v>0</v>
      </c>
      <c r="O1957" s="47">
        <f t="shared" si="110"/>
        <v>0</v>
      </c>
      <c r="P1957" s="92"/>
    </row>
    <row r="1958" spans="1:16" x14ac:dyDescent="0.25">
      <c r="A1958" s="29">
        <v>45</v>
      </c>
      <c r="B1958" s="30">
        <v>437811.10856199998</v>
      </c>
      <c r="C1958" s="30">
        <v>5688750.3324180003</v>
      </c>
      <c r="D1958" s="30">
        <v>27</v>
      </c>
      <c r="E1958" s="30" t="s">
        <v>24</v>
      </c>
      <c r="F1958" s="46">
        <v>2017</v>
      </c>
      <c r="G1958" s="47">
        <v>4.48E-2</v>
      </c>
      <c r="H1958" s="47">
        <f t="shared" si="107"/>
        <v>1.0867266901597656E-2</v>
      </c>
      <c r="I1958" s="47">
        <v>0</v>
      </c>
      <c r="J1958" s="47">
        <f t="shared" si="108"/>
        <v>0</v>
      </c>
      <c r="K1958" s="47">
        <v>2.52E-2</v>
      </c>
      <c r="L1958" s="47">
        <f t="shared" si="109"/>
        <v>8.5508430263290455E-3</v>
      </c>
      <c r="M1958" s="47">
        <f t="shared" si="104"/>
        <v>2.3164238752686108E-3</v>
      </c>
      <c r="N1958" s="47">
        <v>3.2000000000000002E-3</v>
      </c>
      <c r="O1958" s="47">
        <f t="shared" si="110"/>
        <v>1.5127177127834369E-3</v>
      </c>
      <c r="P1958" s="92"/>
    </row>
    <row r="1959" spans="1:16" x14ac:dyDescent="0.25">
      <c r="A1959" s="29">
        <v>46</v>
      </c>
      <c r="B1959" s="30">
        <v>437930.10856199998</v>
      </c>
      <c r="C1959" s="30">
        <v>5688750.3324180003</v>
      </c>
      <c r="D1959" s="30">
        <v>27</v>
      </c>
      <c r="E1959" s="30" t="s">
        <v>24</v>
      </c>
      <c r="F1959" s="46">
        <v>2017</v>
      </c>
      <c r="G1959" s="47">
        <v>1.29E-2</v>
      </c>
      <c r="H1959" s="47">
        <f t="shared" si="107"/>
        <v>3.1291906926475396E-3</v>
      </c>
      <c r="I1959" s="47">
        <v>7.7000000000000002E-3</v>
      </c>
      <c r="J1959" s="47">
        <f t="shared" si="108"/>
        <v>3.4774193548387064E-3</v>
      </c>
      <c r="K1959" s="47">
        <v>1.6999999999999999E-3</v>
      </c>
      <c r="L1959" s="47">
        <f t="shared" si="109"/>
        <v>5.7684258510949898E-4</v>
      </c>
      <c r="M1959" s="47">
        <f t="shared" si="104"/>
        <v>2.5523481075380404E-3</v>
      </c>
      <c r="N1959" s="47">
        <v>1.5E-3</v>
      </c>
      <c r="O1959" s="47">
        <f t="shared" si="110"/>
        <v>7.0908642786723605E-4</v>
      </c>
      <c r="P1959" s="92"/>
    </row>
    <row r="1960" spans="1:16" x14ac:dyDescent="0.25">
      <c r="A1960" s="29">
        <v>47</v>
      </c>
      <c r="B1960" s="30">
        <v>438061</v>
      </c>
      <c r="C1960" s="30">
        <v>5688779</v>
      </c>
      <c r="D1960" s="30">
        <v>27</v>
      </c>
      <c r="E1960" s="30" t="s">
        <v>24</v>
      </c>
      <c r="F1960" s="46">
        <v>2017</v>
      </c>
      <c r="G1960" s="47">
        <v>0.26400000000000001</v>
      </c>
      <c r="H1960" s="47">
        <f t="shared" si="107"/>
        <v>6.4039251384414769E-2</v>
      </c>
      <c r="I1960" s="47">
        <v>0</v>
      </c>
      <c r="J1960" s="47">
        <f t="shared" si="108"/>
        <v>0</v>
      </c>
      <c r="K1960" s="47">
        <v>3.0000000000000001E-3</v>
      </c>
      <c r="L1960" s="47">
        <f t="shared" si="109"/>
        <v>1.0179575031344101E-3</v>
      </c>
      <c r="M1960" s="47">
        <f t="shared" si="104"/>
        <v>6.302129388128036E-2</v>
      </c>
      <c r="N1960" s="47">
        <v>0</v>
      </c>
      <c r="O1960" s="47">
        <f t="shared" si="110"/>
        <v>0</v>
      </c>
      <c r="P1960" s="92"/>
    </row>
    <row r="1961" spans="1:16" x14ac:dyDescent="0.25">
      <c r="A1961" s="32">
        <v>48</v>
      </c>
      <c r="B1961" s="33">
        <v>438168.10856199998</v>
      </c>
      <c r="C1961" s="33">
        <v>5688750.3324180003</v>
      </c>
      <c r="D1961" s="48">
        <v>28</v>
      </c>
      <c r="E1961" s="48" t="s">
        <v>24</v>
      </c>
      <c r="F1961" s="48">
        <v>2017</v>
      </c>
      <c r="G1961" s="48" t="s">
        <v>18</v>
      </c>
      <c r="H1961" s="48" t="s">
        <v>18</v>
      </c>
      <c r="I1961" s="48" t="s">
        <v>18</v>
      </c>
      <c r="J1961" s="48" t="s">
        <v>18</v>
      </c>
      <c r="K1961" s="48" t="s">
        <v>18</v>
      </c>
      <c r="L1961" s="48" t="s">
        <v>18</v>
      </c>
      <c r="M1961" s="48" t="s">
        <v>18</v>
      </c>
      <c r="N1961" s="48" t="s">
        <v>18</v>
      </c>
      <c r="O1961" s="48" t="s">
        <v>18</v>
      </c>
      <c r="P1961" s="103" t="s">
        <v>89</v>
      </c>
    </row>
    <row r="1962" spans="1:16" x14ac:dyDescent="0.25">
      <c r="A1962" s="29">
        <v>49</v>
      </c>
      <c r="B1962" s="30">
        <v>437454.10856199998</v>
      </c>
      <c r="C1962" s="30">
        <v>5688869.3324180003</v>
      </c>
      <c r="D1962" s="30">
        <v>26</v>
      </c>
      <c r="E1962" s="30" t="s">
        <v>24</v>
      </c>
      <c r="F1962" s="46">
        <v>2017</v>
      </c>
      <c r="G1962" s="47">
        <v>0.12190000000000001</v>
      </c>
      <c r="H1962" s="47">
        <f t="shared" si="107"/>
        <v>2.9569639180909699E-2</v>
      </c>
      <c r="I1962" s="47">
        <v>0</v>
      </c>
      <c r="J1962" s="47">
        <f t="shared" si="108"/>
        <v>0</v>
      </c>
      <c r="K1962" s="47">
        <v>2.92E-2</v>
      </c>
      <c r="L1962" s="47">
        <f t="shared" si="109"/>
        <v>9.9081196971749254E-3</v>
      </c>
      <c r="M1962" s="47">
        <f t="shared" si="104"/>
        <v>1.9661519483734773E-2</v>
      </c>
      <c r="N1962" s="47">
        <v>0</v>
      </c>
      <c r="O1962" s="47">
        <f t="shared" si="110"/>
        <v>0</v>
      </c>
      <c r="P1962" s="92"/>
    </row>
    <row r="1963" spans="1:16" x14ac:dyDescent="0.25">
      <c r="A1963" s="29">
        <v>50</v>
      </c>
      <c r="B1963" s="30">
        <v>437811.10856199998</v>
      </c>
      <c r="C1963" s="30">
        <v>5688869.3324180003</v>
      </c>
      <c r="D1963" s="30">
        <v>26</v>
      </c>
      <c r="E1963" s="30" t="s">
        <v>24</v>
      </c>
      <c r="F1963" s="46">
        <v>2017</v>
      </c>
      <c r="G1963" s="47">
        <v>7.2499999999999995E-2</v>
      </c>
      <c r="H1963" s="47">
        <f t="shared" si="107"/>
        <v>1.7586536838522994E-2</v>
      </c>
      <c r="I1963" s="47">
        <v>0</v>
      </c>
      <c r="J1963" s="47">
        <f t="shared" si="108"/>
        <v>0</v>
      </c>
      <c r="K1963" s="47">
        <v>1.7100000000000001E-2</v>
      </c>
      <c r="L1963" s="47">
        <f t="shared" si="109"/>
        <v>5.802357767866138E-3</v>
      </c>
      <c r="M1963" s="47">
        <f t="shared" si="104"/>
        <v>1.1784179070656856E-2</v>
      </c>
      <c r="N1963" s="47">
        <v>0</v>
      </c>
      <c r="O1963" s="47">
        <f t="shared" si="110"/>
        <v>0</v>
      </c>
      <c r="P1963" s="92"/>
    </row>
    <row r="1964" spans="1:16" x14ac:dyDescent="0.25">
      <c r="A1964" s="29">
        <v>51</v>
      </c>
      <c r="B1964" s="30">
        <v>437930.10856199998</v>
      </c>
      <c r="C1964" s="30">
        <v>5688869.3324180003</v>
      </c>
      <c r="D1964" s="30">
        <v>26</v>
      </c>
      <c r="E1964" s="30" t="s">
        <v>24</v>
      </c>
      <c r="F1964" s="46">
        <v>2017</v>
      </c>
      <c r="G1964" s="47">
        <v>0.12609999999999999</v>
      </c>
      <c r="H1964" s="47">
        <f t="shared" si="107"/>
        <v>3.0588445452934473E-2</v>
      </c>
      <c r="I1964" s="47">
        <v>0</v>
      </c>
      <c r="J1964" s="47">
        <f t="shared" si="108"/>
        <v>0</v>
      </c>
      <c r="K1964" s="47">
        <v>8.5000000000000006E-3</v>
      </c>
      <c r="L1964" s="47">
        <f t="shared" si="109"/>
        <v>2.8842129255474956E-3</v>
      </c>
      <c r="M1964" s="47">
        <f t="shared" si="104"/>
        <v>2.7704232527386977E-2</v>
      </c>
      <c r="N1964" s="47">
        <v>0</v>
      </c>
      <c r="O1964" s="47">
        <f t="shared" si="110"/>
        <v>0</v>
      </c>
      <c r="P1964" s="92"/>
    </row>
    <row r="1965" spans="1:16" x14ac:dyDescent="0.25">
      <c r="A1965" s="29">
        <v>52</v>
      </c>
      <c r="B1965" s="30">
        <v>438049.10856199998</v>
      </c>
      <c r="C1965" s="30">
        <v>5688869.3324180003</v>
      </c>
      <c r="D1965" s="30">
        <v>27</v>
      </c>
      <c r="E1965" s="30" t="s">
        <v>24</v>
      </c>
      <c r="F1965" s="46">
        <v>2017</v>
      </c>
      <c r="G1965" s="47">
        <v>1.14E-2</v>
      </c>
      <c r="H1965" s="47">
        <f t="shared" si="107"/>
        <v>2.7653313097815465E-3</v>
      </c>
      <c r="I1965" s="47">
        <v>0</v>
      </c>
      <c r="J1965" s="47">
        <f t="shared" si="108"/>
        <v>0</v>
      </c>
      <c r="K1965" s="47">
        <v>3.5000000000000001E-3</v>
      </c>
      <c r="L1965" s="47">
        <f t="shared" si="109"/>
        <v>1.1876170869901451E-3</v>
      </c>
      <c r="M1965" s="47">
        <f t="shared" si="104"/>
        <v>1.5777142227914015E-3</v>
      </c>
      <c r="N1965" s="47">
        <v>4.5999999999999999E-2</v>
      </c>
      <c r="O1965" s="47">
        <f t="shared" si="110"/>
        <v>2.1745317121261903E-2</v>
      </c>
      <c r="P1965" s="92"/>
    </row>
    <row r="1966" spans="1:16" x14ac:dyDescent="0.25">
      <c r="A1966" s="29">
        <v>53</v>
      </c>
      <c r="B1966" s="30">
        <v>438287.10856199998</v>
      </c>
      <c r="C1966" s="30">
        <v>5688869.3324180003</v>
      </c>
      <c r="D1966" s="30">
        <v>27</v>
      </c>
      <c r="E1966" s="30" t="s">
        <v>24</v>
      </c>
      <c r="F1966" s="46">
        <v>2017</v>
      </c>
      <c r="G1966" s="47">
        <v>1.89E-2</v>
      </c>
      <c r="H1966" s="47">
        <f t="shared" si="107"/>
        <v>4.5846282241115118E-3</v>
      </c>
      <c r="I1966" s="47">
        <v>0</v>
      </c>
      <c r="J1966" s="47">
        <f t="shared" si="108"/>
        <v>0</v>
      </c>
      <c r="K1966" s="47">
        <v>5.1999999999999998E-3</v>
      </c>
      <c r="L1966" s="47">
        <f t="shared" si="109"/>
        <v>1.7644596720996441E-3</v>
      </c>
      <c r="M1966" s="47">
        <f t="shared" si="104"/>
        <v>2.8201685520118677E-3</v>
      </c>
      <c r="N1966" s="47">
        <v>0</v>
      </c>
      <c r="O1966" s="47">
        <f t="shared" si="110"/>
        <v>0</v>
      </c>
      <c r="P1966" s="92"/>
    </row>
    <row r="1967" spans="1:16" x14ac:dyDescent="0.25">
      <c r="A1967" s="29">
        <v>54</v>
      </c>
      <c r="B1967" s="30">
        <v>437454.10856199998</v>
      </c>
      <c r="C1967" s="30">
        <v>5688988.3324180003</v>
      </c>
      <c r="D1967" s="30">
        <v>26</v>
      </c>
      <c r="E1967" s="30" t="s">
        <v>24</v>
      </c>
      <c r="F1967" s="46">
        <v>2017</v>
      </c>
      <c r="G1967" s="47">
        <v>9.1299999999999992E-2</v>
      </c>
      <c r="H1967" s="47">
        <f t="shared" si="107"/>
        <v>2.2146907770443439E-2</v>
      </c>
      <c r="I1967" s="47">
        <v>0</v>
      </c>
      <c r="J1967" s="47">
        <f t="shared" si="108"/>
        <v>0</v>
      </c>
      <c r="K1967" s="47">
        <v>1.8699999999999998E-2</v>
      </c>
      <c r="L1967" s="47">
        <f t="shared" si="109"/>
        <v>6.3452684362044886E-3</v>
      </c>
      <c r="M1967" s="47">
        <f t="shared" si="104"/>
        <v>1.5801639334238948E-2</v>
      </c>
      <c r="N1967" s="47">
        <v>0</v>
      </c>
      <c r="O1967" s="47">
        <f t="shared" si="110"/>
        <v>0</v>
      </c>
      <c r="P1967" s="92"/>
    </row>
    <row r="1968" spans="1:16" x14ac:dyDescent="0.25">
      <c r="A1968" s="29">
        <v>55</v>
      </c>
      <c r="B1968" s="30">
        <v>438049.10856199998</v>
      </c>
      <c r="C1968" s="30">
        <v>5688988.3324180003</v>
      </c>
      <c r="D1968" s="30">
        <v>27</v>
      </c>
      <c r="E1968" s="30" t="s">
        <v>24</v>
      </c>
      <c r="F1968" s="46">
        <v>2017</v>
      </c>
      <c r="G1968" s="47">
        <v>0.12229999999999999</v>
      </c>
      <c r="H1968" s="47">
        <f t="shared" si="107"/>
        <v>2.966666834967396E-2</v>
      </c>
      <c r="I1968" s="47">
        <v>0</v>
      </c>
      <c r="J1968" s="47">
        <f t="shared" si="108"/>
        <v>0</v>
      </c>
      <c r="K1968" s="47">
        <v>3.0999999999999999E-3</v>
      </c>
      <c r="L1968" s="47">
        <f t="shared" si="109"/>
        <v>1.051889419905557E-3</v>
      </c>
      <c r="M1968" s="47">
        <f t="shared" si="104"/>
        <v>2.8614778929768402E-2</v>
      </c>
      <c r="N1968" s="47">
        <v>0</v>
      </c>
      <c r="O1968" s="47">
        <f t="shared" si="110"/>
        <v>0</v>
      </c>
      <c r="P1968" s="92"/>
    </row>
    <row r="1969" spans="1:19" x14ac:dyDescent="0.25">
      <c r="A1969" s="29">
        <v>56</v>
      </c>
      <c r="B1969" s="30">
        <v>438168.10856199998</v>
      </c>
      <c r="C1969" s="30">
        <v>5688988.3324180003</v>
      </c>
      <c r="D1969" s="30">
        <v>27</v>
      </c>
      <c r="E1969" s="30" t="s">
        <v>24</v>
      </c>
      <c r="F1969" s="46">
        <v>2017</v>
      </c>
      <c r="G1969" s="47">
        <v>4.3799999999999999E-2</v>
      </c>
      <c r="H1969" s="47">
        <f t="shared" si="107"/>
        <v>1.0624693979686994E-2</v>
      </c>
      <c r="I1969" s="47">
        <v>0</v>
      </c>
      <c r="J1969" s="47">
        <f t="shared" si="108"/>
        <v>0</v>
      </c>
      <c r="K1969" s="47">
        <v>1.2999999999999999E-3</v>
      </c>
      <c r="L1969" s="47">
        <f t="shared" si="109"/>
        <v>4.4111491802491102E-4</v>
      </c>
      <c r="M1969" s="47">
        <f t="shared" si="104"/>
        <v>1.0183579061662083E-2</v>
      </c>
      <c r="N1969" s="47">
        <v>0</v>
      </c>
      <c r="O1969" s="47">
        <f t="shared" si="110"/>
        <v>0</v>
      </c>
      <c r="P1969" s="92"/>
    </row>
    <row r="1970" spans="1:19" x14ac:dyDescent="0.25">
      <c r="A1970" s="40">
        <v>57</v>
      </c>
      <c r="B1970" s="41">
        <v>438146</v>
      </c>
      <c r="C1970" s="41">
        <v>5688977</v>
      </c>
      <c r="D1970" s="41">
        <v>27</v>
      </c>
      <c r="E1970" s="41" t="s">
        <v>24</v>
      </c>
      <c r="F1970" s="50">
        <v>2017</v>
      </c>
      <c r="G1970" s="51">
        <v>0.12830000000000003</v>
      </c>
      <c r="H1970" s="51">
        <f t="shared" si="107"/>
        <v>3.1122105881137938E-2</v>
      </c>
      <c r="I1970" s="51">
        <v>0</v>
      </c>
      <c r="J1970" s="51">
        <f t="shared" si="108"/>
        <v>0</v>
      </c>
      <c r="K1970" s="51">
        <v>2.7000000000000001E-3</v>
      </c>
      <c r="L1970" s="51">
        <f t="shared" si="109"/>
        <v>9.1616175282096916E-4</v>
      </c>
      <c r="M1970" s="51">
        <f t="shared" si="104"/>
        <v>3.0205944128316967E-2</v>
      </c>
      <c r="N1970" s="51">
        <v>0</v>
      </c>
      <c r="O1970" s="51">
        <f t="shared" si="110"/>
        <v>0</v>
      </c>
      <c r="P1970" s="101"/>
    </row>
    <row r="1971" spans="1:19" x14ac:dyDescent="0.25">
      <c r="A1971" s="40">
        <v>58</v>
      </c>
      <c r="B1971" s="41">
        <v>438131</v>
      </c>
      <c r="C1971" s="41">
        <v>5688972</v>
      </c>
      <c r="D1971" s="41">
        <v>27</v>
      </c>
      <c r="E1971" s="41" t="s">
        <v>24</v>
      </c>
      <c r="F1971" s="50">
        <v>2017</v>
      </c>
      <c r="G1971" s="51">
        <v>9.0700000000000003E-2</v>
      </c>
      <c r="H1971" s="51">
        <f t="shared" si="107"/>
        <v>2.2001364017297041E-2</v>
      </c>
      <c r="I1971" s="51">
        <v>0</v>
      </c>
      <c r="J1971" s="51">
        <f t="shared" si="108"/>
        <v>0</v>
      </c>
      <c r="K1971" s="51">
        <v>6.9000000000000008E-3</v>
      </c>
      <c r="L1971" s="51">
        <f t="shared" si="109"/>
        <v>2.3413022572091433E-3</v>
      </c>
      <c r="M1971" s="51">
        <f t="shared" si="104"/>
        <v>1.9660061760087898E-2</v>
      </c>
      <c r="N1971" s="51">
        <v>0</v>
      </c>
      <c r="O1971" s="51">
        <f t="shared" si="110"/>
        <v>0</v>
      </c>
      <c r="P1971" s="101"/>
    </row>
    <row r="1972" spans="1:19" x14ac:dyDescent="0.25">
      <c r="A1972" s="40">
        <v>59</v>
      </c>
      <c r="B1972" s="41">
        <v>438089</v>
      </c>
      <c r="C1972" s="41">
        <v>5688713</v>
      </c>
      <c r="D1972" s="41">
        <v>27</v>
      </c>
      <c r="E1972" s="41" t="s">
        <v>24</v>
      </c>
      <c r="F1972" s="50">
        <v>2017</v>
      </c>
      <c r="G1972" s="51">
        <v>0.15430000000000002</v>
      </c>
      <c r="H1972" s="51">
        <f t="shared" si="107"/>
        <v>3.7429001850815151E-2</v>
      </c>
      <c r="I1972" s="51">
        <v>0</v>
      </c>
      <c r="J1972" s="51">
        <f t="shared" si="108"/>
        <v>0</v>
      </c>
      <c r="K1972" s="51">
        <v>5.7999999999999996E-3</v>
      </c>
      <c r="L1972" s="51">
        <f t="shared" si="109"/>
        <v>1.968051172726526E-3</v>
      </c>
      <c r="M1972" s="51">
        <f t="shared" si="104"/>
        <v>3.5460950678088625E-2</v>
      </c>
      <c r="N1972" s="51">
        <v>0</v>
      </c>
      <c r="O1972" s="51">
        <f t="shared" si="110"/>
        <v>0</v>
      </c>
      <c r="P1972" s="101"/>
    </row>
    <row r="1973" spans="1:19" x14ac:dyDescent="0.25">
      <c r="A1973" s="40">
        <v>60</v>
      </c>
      <c r="B1973" s="41">
        <v>438099</v>
      </c>
      <c r="C1973" s="41">
        <v>5688719</v>
      </c>
      <c r="D1973" s="41">
        <v>27</v>
      </c>
      <c r="E1973" s="41" t="s">
        <v>24</v>
      </c>
      <c r="F1973" s="50">
        <v>2017</v>
      </c>
      <c r="G1973" s="51">
        <v>0.17369999999999999</v>
      </c>
      <c r="H1973" s="51">
        <f t="shared" si="107"/>
        <v>4.2134916535881986E-2</v>
      </c>
      <c r="I1973" s="51">
        <v>0</v>
      </c>
      <c r="J1973" s="51">
        <f t="shared" si="108"/>
        <v>0</v>
      </c>
      <c r="K1973" s="51">
        <v>1.8600000000000002E-2</v>
      </c>
      <c r="L1973" s="51">
        <f t="shared" si="109"/>
        <v>6.3113365194333434E-3</v>
      </c>
      <c r="M1973" s="51">
        <f t="shared" si="104"/>
        <v>3.5823580016448642E-2</v>
      </c>
      <c r="N1973" s="51">
        <v>0</v>
      </c>
      <c r="O1973" s="51">
        <f t="shared" si="110"/>
        <v>0</v>
      </c>
      <c r="P1973" s="101"/>
    </row>
    <row r="1974" spans="1:19" x14ac:dyDescent="0.25">
      <c r="A1974" s="42">
        <v>1</v>
      </c>
      <c r="B1974" s="43">
        <v>437930.10856199998</v>
      </c>
      <c r="C1974" s="43">
        <v>5688036.3324180003</v>
      </c>
      <c r="D1974" s="44">
        <v>26</v>
      </c>
      <c r="E1974" s="44" t="s">
        <v>33</v>
      </c>
      <c r="F1974" s="44">
        <v>2017</v>
      </c>
      <c r="G1974" s="44" t="s">
        <v>18</v>
      </c>
      <c r="H1974" s="44" t="s">
        <v>18</v>
      </c>
      <c r="I1974" s="44" t="s">
        <v>18</v>
      </c>
      <c r="J1974" s="44" t="s">
        <v>18</v>
      </c>
      <c r="K1974" s="44" t="s">
        <v>18</v>
      </c>
      <c r="L1974" s="44" t="s">
        <v>18</v>
      </c>
      <c r="M1974" s="44" t="s">
        <v>18</v>
      </c>
      <c r="N1974" s="44" t="s">
        <v>18</v>
      </c>
      <c r="O1974" s="44" t="s">
        <v>18</v>
      </c>
      <c r="P1974" s="102" t="s">
        <v>109</v>
      </c>
      <c r="R1974" s="5">
        <f>AVERAGE(M1974:M2033)</f>
        <v>8.0689540466297952E-3</v>
      </c>
      <c r="S1974" s="5">
        <f>AVERAGE(H1974:H2033)</f>
        <v>1.2834760132212833E-2</v>
      </c>
    </row>
    <row r="1975" spans="1:19" x14ac:dyDescent="0.25">
      <c r="A1975" s="42">
        <v>2</v>
      </c>
      <c r="B1975" s="43">
        <v>437811.10856199998</v>
      </c>
      <c r="C1975" s="43">
        <v>5688155.3324180003</v>
      </c>
      <c r="D1975" s="44">
        <v>26</v>
      </c>
      <c r="E1975" s="44" t="s">
        <v>33</v>
      </c>
      <c r="F1975" s="44">
        <v>2017</v>
      </c>
      <c r="G1975" s="44" t="s">
        <v>18</v>
      </c>
      <c r="H1975" s="44" t="s">
        <v>18</v>
      </c>
      <c r="I1975" s="44" t="s">
        <v>18</v>
      </c>
      <c r="J1975" s="44" t="s">
        <v>18</v>
      </c>
      <c r="K1975" s="44" t="s">
        <v>18</v>
      </c>
      <c r="L1975" s="44" t="s">
        <v>18</v>
      </c>
      <c r="M1975" s="44" t="s">
        <v>18</v>
      </c>
      <c r="N1975" s="44" t="s">
        <v>18</v>
      </c>
      <c r="O1975" s="44" t="s">
        <v>18</v>
      </c>
      <c r="P1975" s="102" t="s">
        <v>109</v>
      </c>
    </row>
    <row r="1976" spans="1:19" x14ac:dyDescent="0.25">
      <c r="A1976" s="29">
        <v>3</v>
      </c>
      <c r="B1976" s="30">
        <v>437930.10856199998</v>
      </c>
      <c r="C1976" s="30">
        <v>5688155.3324180003</v>
      </c>
      <c r="D1976" s="30">
        <v>26</v>
      </c>
      <c r="E1976" s="30" t="s">
        <v>33</v>
      </c>
      <c r="F1976" s="46">
        <v>2017</v>
      </c>
      <c r="G1976" s="47">
        <v>3.0999999999999999E-3</v>
      </c>
      <c r="H1976" s="47">
        <f>G1976*0.337157166043938</f>
        <v>1.0451872147362077E-3</v>
      </c>
      <c r="I1976" s="47">
        <v>1.9600000000000003E-2</v>
      </c>
      <c r="J1976" s="47">
        <f>I1976*0.445137328579331</f>
        <v>8.7246916401548889E-3</v>
      </c>
      <c r="K1976" s="47">
        <v>1.44E-2</v>
      </c>
      <c r="L1976" s="47">
        <f>K1976*0.435142096742235</f>
        <v>6.2660461930881834E-3</v>
      </c>
      <c r="M1976" s="47">
        <f>H1976-L1976</f>
        <v>-5.2208589783519759E-3</v>
      </c>
      <c r="N1976" s="47">
        <v>5.7299999999999997E-2</v>
      </c>
      <c r="O1976" s="47">
        <f>N1976*0.481053927469295</f>
        <v>2.75643900439906E-2</v>
      </c>
      <c r="P1976" s="92"/>
    </row>
    <row r="1977" spans="1:19" x14ac:dyDescent="0.25">
      <c r="A1977" s="42">
        <v>4</v>
      </c>
      <c r="B1977" s="43">
        <v>438049.10856199998</v>
      </c>
      <c r="C1977" s="43">
        <v>5688155.3324180003</v>
      </c>
      <c r="D1977" s="44">
        <v>26</v>
      </c>
      <c r="E1977" s="44" t="s">
        <v>33</v>
      </c>
      <c r="F1977" s="44">
        <v>2017</v>
      </c>
      <c r="G1977" s="44" t="s">
        <v>18</v>
      </c>
      <c r="H1977" s="44" t="s">
        <v>18</v>
      </c>
      <c r="I1977" s="44" t="s">
        <v>18</v>
      </c>
      <c r="J1977" s="44" t="s">
        <v>18</v>
      </c>
      <c r="K1977" s="44" t="s">
        <v>18</v>
      </c>
      <c r="L1977" s="44" t="s">
        <v>18</v>
      </c>
      <c r="M1977" s="44" t="s">
        <v>18</v>
      </c>
      <c r="N1977" s="44" t="s">
        <v>18</v>
      </c>
      <c r="O1977" s="44" t="s">
        <v>18</v>
      </c>
      <c r="P1977" s="102" t="s">
        <v>109</v>
      </c>
    </row>
    <row r="1978" spans="1:19" x14ac:dyDescent="0.25">
      <c r="A1978" s="42">
        <v>5</v>
      </c>
      <c r="B1978" s="43">
        <v>437573.10856199998</v>
      </c>
      <c r="C1978" s="43">
        <v>5688274.3324180003</v>
      </c>
      <c r="D1978" s="44">
        <v>26</v>
      </c>
      <c r="E1978" s="44" t="s">
        <v>33</v>
      </c>
      <c r="F1978" s="44">
        <v>2017</v>
      </c>
      <c r="G1978" s="44" t="s">
        <v>18</v>
      </c>
      <c r="H1978" s="44" t="s">
        <v>18</v>
      </c>
      <c r="I1978" s="44" t="s">
        <v>18</v>
      </c>
      <c r="J1978" s="44" t="s">
        <v>18</v>
      </c>
      <c r="K1978" s="44" t="s">
        <v>18</v>
      </c>
      <c r="L1978" s="44" t="s">
        <v>18</v>
      </c>
      <c r="M1978" s="44" t="s">
        <v>18</v>
      </c>
      <c r="N1978" s="44" t="s">
        <v>18</v>
      </c>
      <c r="O1978" s="44" t="s">
        <v>18</v>
      </c>
      <c r="P1978" s="102" t="s">
        <v>109</v>
      </c>
    </row>
    <row r="1979" spans="1:19" x14ac:dyDescent="0.25">
      <c r="A1979" s="29">
        <v>6</v>
      </c>
      <c r="B1979" s="30">
        <v>437692.10856199998</v>
      </c>
      <c r="C1979" s="30">
        <v>5688274.3324180003</v>
      </c>
      <c r="D1979" s="30">
        <v>26</v>
      </c>
      <c r="E1979" s="30" t="s">
        <v>33</v>
      </c>
      <c r="F1979" s="46">
        <v>2017</v>
      </c>
      <c r="G1979" s="47">
        <v>5.7000000000000002E-3</v>
      </c>
      <c r="H1979" s="47">
        <f t="shared" ref="H1979:H2009" si="111">G1979*0.337157166043938</f>
        <v>1.9217958464504464E-3</v>
      </c>
      <c r="I1979" s="47">
        <v>1.3800000000000002E-2</v>
      </c>
      <c r="J1979" s="47">
        <f t="shared" ref="J1979:J2009" si="112">I1979*0.445137328579331</f>
        <v>6.1428951343947685E-3</v>
      </c>
      <c r="K1979" s="54">
        <v>1.26E-2</v>
      </c>
      <c r="L1979" s="47">
        <f t="shared" ref="L1979:L2009" si="113">K1979*0.435142096742235</f>
        <v>5.4827904189521607E-3</v>
      </c>
      <c r="M1979" s="47">
        <f t="shared" ref="M1979:M2033" si="114">H1979-L1979</f>
        <v>-3.5609945725017141E-3</v>
      </c>
      <c r="N1979" s="47">
        <v>7.1800000000000003E-2</v>
      </c>
      <c r="O1979" s="47">
        <f t="shared" ref="O1979:O2009" si="115">N1979*0.481053927469295</f>
        <v>3.4539671992295379E-2</v>
      </c>
      <c r="P1979" s="92"/>
    </row>
    <row r="1980" spans="1:19" x14ac:dyDescent="0.25">
      <c r="A1980" s="29">
        <v>7</v>
      </c>
      <c r="B1980" s="30">
        <v>437811.10856199998</v>
      </c>
      <c r="C1980" s="30">
        <v>5688274.3324180003</v>
      </c>
      <c r="D1980" s="30">
        <v>26</v>
      </c>
      <c r="E1980" s="30" t="s">
        <v>33</v>
      </c>
      <c r="F1980" s="46">
        <v>2017</v>
      </c>
      <c r="G1980" s="47">
        <v>2.7000000000000001E-3</v>
      </c>
      <c r="H1980" s="47">
        <f t="shared" si="111"/>
        <v>9.1032434831863262E-4</v>
      </c>
      <c r="I1980" s="47">
        <v>0</v>
      </c>
      <c r="J1980" s="47">
        <f t="shared" si="112"/>
        <v>0</v>
      </c>
      <c r="K1980" s="47">
        <v>1.8E-3</v>
      </c>
      <c r="L1980" s="47">
        <f t="shared" si="113"/>
        <v>7.8325577413602293E-4</v>
      </c>
      <c r="M1980" s="47">
        <f t="shared" si="114"/>
        <v>1.270685741826097E-4</v>
      </c>
      <c r="N1980" s="47">
        <v>0</v>
      </c>
      <c r="O1980" s="47">
        <f t="shared" si="115"/>
        <v>0</v>
      </c>
      <c r="P1980" s="92"/>
    </row>
    <row r="1981" spans="1:19" x14ac:dyDescent="0.25">
      <c r="A1981" s="42">
        <v>8</v>
      </c>
      <c r="B1981" s="43">
        <v>437930.10856199998</v>
      </c>
      <c r="C1981" s="43">
        <v>5688274.3324180003</v>
      </c>
      <c r="D1981" s="44">
        <v>26</v>
      </c>
      <c r="E1981" s="44" t="s">
        <v>33</v>
      </c>
      <c r="F1981" s="44">
        <v>2017</v>
      </c>
      <c r="G1981" s="44" t="s">
        <v>18</v>
      </c>
      <c r="H1981" s="44" t="s">
        <v>18</v>
      </c>
      <c r="I1981" s="44" t="s">
        <v>18</v>
      </c>
      <c r="J1981" s="44" t="s">
        <v>18</v>
      </c>
      <c r="K1981" s="44" t="s">
        <v>18</v>
      </c>
      <c r="L1981" s="44" t="s">
        <v>18</v>
      </c>
      <c r="M1981" s="44" t="s">
        <v>18</v>
      </c>
      <c r="N1981" s="44" t="s">
        <v>18</v>
      </c>
      <c r="O1981" s="44" t="s">
        <v>18</v>
      </c>
      <c r="P1981" s="102" t="s">
        <v>109</v>
      </c>
    </row>
    <row r="1982" spans="1:19" x14ac:dyDescent="0.25">
      <c r="A1982" s="29">
        <v>9</v>
      </c>
      <c r="B1982" s="30">
        <v>438287.10856199998</v>
      </c>
      <c r="C1982" s="30">
        <v>5688274.3324180003</v>
      </c>
      <c r="D1982" s="30">
        <v>26</v>
      </c>
      <c r="E1982" s="30" t="s">
        <v>33</v>
      </c>
      <c r="F1982" s="46">
        <v>2017</v>
      </c>
      <c r="G1982" s="5">
        <v>4.1599999999999998E-2</v>
      </c>
      <c r="H1982" s="47">
        <f t="shared" si="111"/>
        <v>1.402573810742782E-2</v>
      </c>
      <c r="I1982" s="47">
        <v>0</v>
      </c>
      <c r="J1982" s="47">
        <f t="shared" si="112"/>
        <v>0</v>
      </c>
      <c r="K1982" s="47">
        <v>3.8799999999999994E-2</v>
      </c>
      <c r="L1982" s="47">
        <f t="shared" si="113"/>
        <v>1.6883513353598716E-2</v>
      </c>
      <c r="M1982" s="47">
        <f t="shared" si="114"/>
        <v>-2.8577752461708961E-3</v>
      </c>
      <c r="N1982" s="47">
        <v>0</v>
      </c>
      <c r="O1982" s="47">
        <f t="shared" si="115"/>
        <v>0</v>
      </c>
      <c r="P1982" s="92"/>
    </row>
    <row r="1983" spans="1:19" x14ac:dyDescent="0.25">
      <c r="A1983" s="29">
        <v>10</v>
      </c>
      <c r="B1983" s="30">
        <v>438406.10856199998</v>
      </c>
      <c r="C1983" s="30">
        <v>5688274.3324180003</v>
      </c>
      <c r="D1983" s="30">
        <v>26</v>
      </c>
      <c r="E1983" s="30" t="s">
        <v>33</v>
      </c>
      <c r="F1983" s="46">
        <v>2017</v>
      </c>
      <c r="G1983" s="47">
        <v>4.5899999999999996E-2</v>
      </c>
      <c r="H1983" s="47">
        <f t="shared" si="111"/>
        <v>1.5475513921416752E-2</v>
      </c>
      <c r="I1983" s="47">
        <v>0</v>
      </c>
      <c r="J1983" s="47">
        <f t="shared" si="112"/>
        <v>0</v>
      </c>
      <c r="K1983" s="47">
        <v>1.44E-2</v>
      </c>
      <c r="L1983" s="47">
        <f t="shared" si="113"/>
        <v>6.2660461930881834E-3</v>
      </c>
      <c r="M1983" s="47">
        <f t="shared" si="114"/>
        <v>9.2094677283285683E-3</v>
      </c>
      <c r="N1983" s="47">
        <v>0</v>
      </c>
      <c r="O1983" s="47">
        <f t="shared" si="115"/>
        <v>0</v>
      </c>
      <c r="P1983" s="92"/>
    </row>
    <row r="1984" spans="1:19" x14ac:dyDescent="0.25">
      <c r="A1984" s="42">
        <v>11</v>
      </c>
      <c r="B1984" s="43">
        <v>437454.10856199998</v>
      </c>
      <c r="C1984" s="43">
        <v>5688393.3324180003</v>
      </c>
      <c r="D1984" s="44">
        <v>26</v>
      </c>
      <c r="E1984" s="44" t="s">
        <v>33</v>
      </c>
      <c r="F1984" s="44">
        <v>2017</v>
      </c>
      <c r="G1984" s="44" t="s">
        <v>18</v>
      </c>
      <c r="H1984" s="44" t="s">
        <v>18</v>
      </c>
      <c r="I1984" s="44" t="s">
        <v>18</v>
      </c>
      <c r="J1984" s="44" t="s">
        <v>18</v>
      </c>
      <c r="K1984" s="44" t="s">
        <v>18</v>
      </c>
      <c r="L1984" s="44" t="s">
        <v>18</v>
      </c>
      <c r="M1984" s="44" t="s">
        <v>18</v>
      </c>
      <c r="N1984" s="44" t="s">
        <v>18</v>
      </c>
      <c r="O1984" s="44" t="s">
        <v>18</v>
      </c>
      <c r="P1984" s="102" t="s">
        <v>109</v>
      </c>
    </row>
    <row r="1985" spans="1:16" x14ac:dyDescent="0.25">
      <c r="A1985" s="29">
        <v>12</v>
      </c>
      <c r="B1985" s="30">
        <v>437573.10856199998</v>
      </c>
      <c r="C1985" s="30">
        <v>5688393.3324180003</v>
      </c>
      <c r="D1985" s="30">
        <v>26</v>
      </c>
      <c r="E1985" s="30" t="s">
        <v>33</v>
      </c>
      <c r="F1985" s="46">
        <v>2017</v>
      </c>
      <c r="G1985" s="47">
        <v>4.24E-2</v>
      </c>
      <c r="H1985" s="47">
        <f t="shared" si="111"/>
        <v>1.429546384026297E-2</v>
      </c>
      <c r="I1985" s="47">
        <v>0</v>
      </c>
      <c r="J1985" s="47">
        <f t="shared" si="112"/>
        <v>0</v>
      </c>
      <c r="K1985" s="47">
        <v>2.1000000000000003E-3</v>
      </c>
      <c r="L1985" s="47">
        <f t="shared" si="113"/>
        <v>9.1379840315869356E-4</v>
      </c>
      <c r="M1985" s="47">
        <f t="shared" si="114"/>
        <v>1.3381665437104276E-2</v>
      </c>
      <c r="N1985" s="47">
        <v>0</v>
      </c>
      <c r="O1985" s="47">
        <f t="shared" si="115"/>
        <v>0</v>
      </c>
      <c r="P1985" s="92"/>
    </row>
    <row r="1986" spans="1:16" x14ac:dyDescent="0.25">
      <c r="A1986" s="29">
        <v>13</v>
      </c>
      <c r="B1986" s="30">
        <v>437692.10856199998</v>
      </c>
      <c r="C1986" s="30">
        <v>5688393.3324180003</v>
      </c>
      <c r="D1986" s="30">
        <v>26</v>
      </c>
      <c r="E1986" s="30" t="s">
        <v>33</v>
      </c>
      <c r="F1986" s="46">
        <v>2017</v>
      </c>
      <c r="G1986" s="47">
        <v>6.3200000000000006E-2</v>
      </c>
      <c r="H1986" s="47">
        <f t="shared" si="111"/>
        <v>2.1308332893976881E-2</v>
      </c>
      <c r="I1986" s="47">
        <v>9.4000000000000004E-3</v>
      </c>
      <c r="J1986" s="47">
        <f t="shared" si="112"/>
        <v>4.1842908886457119E-3</v>
      </c>
      <c r="K1986" s="47">
        <v>6.1999999999999998E-3</v>
      </c>
      <c r="L1986" s="47">
        <f t="shared" si="113"/>
        <v>2.6978809998018569E-3</v>
      </c>
      <c r="M1986" s="47">
        <f t="shared" si="114"/>
        <v>1.8610451894175026E-2</v>
      </c>
      <c r="N1986" s="47">
        <v>1.89E-2</v>
      </c>
      <c r="O1986" s="47">
        <f t="shared" si="115"/>
        <v>9.0919192291696749E-3</v>
      </c>
      <c r="P1986" s="92"/>
    </row>
    <row r="1987" spans="1:16" x14ac:dyDescent="0.25">
      <c r="A1987" s="32">
        <v>14</v>
      </c>
      <c r="B1987" s="33">
        <v>437811.10856199998</v>
      </c>
      <c r="C1987" s="33">
        <v>5688393.3324180003</v>
      </c>
      <c r="D1987" s="48">
        <v>26</v>
      </c>
      <c r="E1987" s="48" t="s">
        <v>33</v>
      </c>
      <c r="F1987" s="48">
        <v>2017</v>
      </c>
      <c r="G1987" s="48" t="s">
        <v>18</v>
      </c>
      <c r="H1987" s="48" t="s">
        <v>18</v>
      </c>
      <c r="I1987" s="48" t="s">
        <v>18</v>
      </c>
      <c r="J1987" s="48" t="s">
        <v>18</v>
      </c>
      <c r="K1987" s="48" t="s">
        <v>18</v>
      </c>
      <c r="L1987" s="48" t="s">
        <v>18</v>
      </c>
      <c r="M1987" s="48" t="s">
        <v>18</v>
      </c>
      <c r="N1987" s="48" t="s">
        <v>18</v>
      </c>
      <c r="O1987" s="48" t="s">
        <v>18</v>
      </c>
      <c r="P1987" s="103" t="s">
        <v>89</v>
      </c>
    </row>
    <row r="1988" spans="1:16" x14ac:dyDescent="0.25">
      <c r="A1988" s="29">
        <v>15</v>
      </c>
      <c r="B1988" s="30">
        <v>437930.10856199998</v>
      </c>
      <c r="C1988" s="30">
        <v>5688393.3324180003</v>
      </c>
      <c r="D1988" s="30">
        <v>26</v>
      </c>
      <c r="E1988" s="30" t="s">
        <v>33</v>
      </c>
      <c r="F1988" s="46">
        <v>2017</v>
      </c>
      <c r="G1988" s="46" t="s">
        <v>18</v>
      </c>
      <c r="H1988" s="46" t="s">
        <v>18</v>
      </c>
      <c r="I1988" s="46" t="s">
        <v>18</v>
      </c>
      <c r="J1988" s="46" t="s">
        <v>18</v>
      </c>
      <c r="K1988" s="47">
        <v>2.53E-2</v>
      </c>
      <c r="L1988" s="47">
        <f t="shared" si="113"/>
        <v>1.1009095047578545E-2</v>
      </c>
      <c r="M1988" s="46" t="s">
        <v>18</v>
      </c>
      <c r="N1988" s="47">
        <v>1.9399999999999997E-2</v>
      </c>
      <c r="O1988" s="47">
        <f t="shared" si="115"/>
        <v>9.3324461929043204E-3</v>
      </c>
      <c r="P1988" s="92" t="s">
        <v>103</v>
      </c>
    </row>
    <row r="1989" spans="1:16" x14ac:dyDescent="0.25">
      <c r="A1989" s="29">
        <v>16</v>
      </c>
      <c r="B1989" s="30">
        <v>438049.10856199998</v>
      </c>
      <c r="C1989" s="30">
        <v>5688393.3324180003</v>
      </c>
      <c r="D1989" s="30">
        <v>26</v>
      </c>
      <c r="E1989" s="30" t="s">
        <v>33</v>
      </c>
      <c r="F1989" s="46">
        <v>2017</v>
      </c>
      <c r="G1989" s="47">
        <v>2.5499999999999998E-2</v>
      </c>
      <c r="H1989" s="47">
        <f t="shared" si="111"/>
        <v>8.597507734120418E-3</v>
      </c>
      <c r="I1989" s="47">
        <v>1.1699999999999999E-2</v>
      </c>
      <c r="J1989" s="47">
        <f t="shared" si="112"/>
        <v>5.2081067443781725E-3</v>
      </c>
      <c r="K1989" s="47">
        <v>2.9000000000000001E-2</v>
      </c>
      <c r="L1989" s="47">
        <f t="shared" si="113"/>
        <v>1.2619120805524815E-2</v>
      </c>
      <c r="M1989" s="47">
        <f t="shared" si="114"/>
        <v>-4.0216130714043966E-3</v>
      </c>
      <c r="N1989" s="47">
        <v>2.8E-3</v>
      </c>
      <c r="O1989" s="47">
        <f t="shared" si="115"/>
        <v>1.3469509969140259E-3</v>
      </c>
      <c r="P1989" s="92"/>
    </row>
    <row r="1990" spans="1:16" x14ac:dyDescent="0.25">
      <c r="A1990" s="29">
        <v>17</v>
      </c>
      <c r="B1990" s="30">
        <v>438168.10856199998</v>
      </c>
      <c r="C1990" s="30">
        <v>5688393.3324180003</v>
      </c>
      <c r="D1990" s="30">
        <v>26</v>
      </c>
      <c r="E1990" s="30" t="s">
        <v>33</v>
      </c>
      <c r="F1990" s="46">
        <v>2017</v>
      </c>
      <c r="G1990" s="47">
        <v>2.3E-2</v>
      </c>
      <c r="H1990" s="47">
        <f t="shared" si="111"/>
        <v>7.7546148190105729E-3</v>
      </c>
      <c r="I1990" s="47">
        <v>6.9900000000000004E-2</v>
      </c>
      <c r="J1990" s="47">
        <f t="shared" si="112"/>
        <v>3.1115099267695241E-2</v>
      </c>
      <c r="K1990" s="47">
        <v>2.9399999999999999E-2</v>
      </c>
      <c r="L1990" s="47">
        <f t="shared" si="113"/>
        <v>1.2793177644221708E-2</v>
      </c>
      <c r="M1990" s="47">
        <f t="shared" si="114"/>
        <v>-5.0385628252111354E-3</v>
      </c>
      <c r="N1990" s="47">
        <v>5.5100000000000003E-2</v>
      </c>
      <c r="O1990" s="47">
        <f t="shared" si="115"/>
        <v>2.6506071403558155E-2</v>
      </c>
      <c r="P1990" s="92"/>
    </row>
    <row r="1991" spans="1:16" x14ac:dyDescent="0.25">
      <c r="A1991" s="29">
        <v>18</v>
      </c>
      <c r="B1991" s="30">
        <v>438287.10856199998</v>
      </c>
      <c r="C1991" s="30">
        <v>5688393.3324180003</v>
      </c>
      <c r="D1991" s="30">
        <v>26</v>
      </c>
      <c r="E1991" s="30" t="s">
        <v>33</v>
      </c>
      <c r="F1991" s="46">
        <v>2017</v>
      </c>
      <c r="G1991" s="47">
        <v>5.7500000000000002E-2</v>
      </c>
      <c r="H1991" s="47">
        <f t="shared" si="111"/>
        <v>1.9386537047526433E-2</v>
      </c>
      <c r="I1991" s="47">
        <v>0</v>
      </c>
      <c r="J1991" s="47">
        <f t="shared" si="112"/>
        <v>0</v>
      </c>
      <c r="K1991" s="47">
        <v>2.7399999999999997E-2</v>
      </c>
      <c r="L1991" s="47">
        <f t="shared" si="113"/>
        <v>1.1922893450737238E-2</v>
      </c>
      <c r="M1991" s="47">
        <f t="shared" si="114"/>
        <v>7.4636435967891952E-3</v>
      </c>
      <c r="N1991" s="47">
        <v>0</v>
      </c>
      <c r="O1991" s="47">
        <f t="shared" si="115"/>
        <v>0</v>
      </c>
      <c r="P1991" s="92"/>
    </row>
    <row r="1992" spans="1:16" x14ac:dyDescent="0.25">
      <c r="A1992" s="29">
        <v>19</v>
      </c>
      <c r="B1992" s="30">
        <v>438406.10856199998</v>
      </c>
      <c r="C1992" s="30">
        <v>5688393.3324180003</v>
      </c>
      <c r="D1992" s="30">
        <v>26</v>
      </c>
      <c r="E1992" s="30" t="s">
        <v>33</v>
      </c>
      <c r="F1992" s="46">
        <v>2017</v>
      </c>
      <c r="G1992" s="47">
        <v>4.4899999999999995E-2</v>
      </c>
      <c r="H1992" s="47">
        <f t="shared" si="111"/>
        <v>1.5138356755372813E-2</v>
      </c>
      <c r="I1992" s="47">
        <v>0</v>
      </c>
      <c r="J1992" s="47">
        <f t="shared" si="112"/>
        <v>0</v>
      </c>
      <c r="K1992" s="47">
        <v>3.7200000000000004E-2</v>
      </c>
      <c r="L1992" s="47">
        <f t="shared" si="113"/>
        <v>1.6187285998811144E-2</v>
      </c>
      <c r="M1992" s="47">
        <f t="shared" si="114"/>
        <v>-1.0489292434383308E-3</v>
      </c>
      <c r="N1992" s="47">
        <v>0</v>
      </c>
      <c r="O1992" s="47">
        <f t="shared" si="115"/>
        <v>0</v>
      </c>
      <c r="P1992" s="92"/>
    </row>
    <row r="1993" spans="1:16" x14ac:dyDescent="0.25">
      <c r="A1993" s="42">
        <v>20</v>
      </c>
      <c r="B1993" s="43">
        <v>437335.10856199998</v>
      </c>
      <c r="C1993" s="43">
        <v>5688512.3324180003</v>
      </c>
      <c r="D1993" s="44">
        <v>26</v>
      </c>
      <c r="E1993" s="44" t="s">
        <v>33</v>
      </c>
      <c r="F1993" s="44">
        <v>2017</v>
      </c>
      <c r="G1993" s="44" t="s">
        <v>18</v>
      </c>
      <c r="H1993" s="44" t="s">
        <v>18</v>
      </c>
      <c r="I1993" s="44" t="s">
        <v>18</v>
      </c>
      <c r="J1993" s="44" t="s">
        <v>18</v>
      </c>
      <c r="K1993" s="44" t="s">
        <v>18</v>
      </c>
      <c r="L1993" s="44" t="s">
        <v>18</v>
      </c>
      <c r="M1993" s="44" t="s">
        <v>18</v>
      </c>
      <c r="N1993" s="44" t="s">
        <v>18</v>
      </c>
      <c r="O1993" s="44" t="s">
        <v>18</v>
      </c>
      <c r="P1993" s="102" t="s">
        <v>109</v>
      </c>
    </row>
    <row r="1994" spans="1:16" x14ac:dyDescent="0.25">
      <c r="A1994" s="29">
        <v>21</v>
      </c>
      <c r="B1994" s="30">
        <v>437454.10856199998</v>
      </c>
      <c r="C1994" s="30">
        <v>5688512.3324180003</v>
      </c>
      <c r="D1994" s="30">
        <v>26</v>
      </c>
      <c r="E1994" s="30" t="s">
        <v>33</v>
      </c>
      <c r="F1994" s="46">
        <v>2017</v>
      </c>
      <c r="G1994" s="47">
        <v>5.1200000000000002E-2</v>
      </c>
      <c r="H1994" s="47">
        <f t="shared" si="111"/>
        <v>1.7262446901449624E-2</v>
      </c>
      <c r="I1994" s="47">
        <v>0</v>
      </c>
      <c r="J1994" s="47">
        <f t="shared" si="112"/>
        <v>0</v>
      </c>
      <c r="K1994" s="47">
        <v>4.0999999999999995E-3</v>
      </c>
      <c r="L1994" s="47">
        <f t="shared" si="113"/>
        <v>1.7840825966431632E-3</v>
      </c>
      <c r="M1994" s="47">
        <f t="shared" si="114"/>
        <v>1.5478364304806461E-2</v>
      </c>
      <c r="N1994" s="47">
        <v>0</v>
      </c>
      <c r="O1994" s="47">
        <f t="shared" si="115"/>
        <v>0</v>
      </c>
      <c r="P1994" s="92"/>
    </row>
    <row r="1995" spans="1:16" x14ac:dyDescent="0.25">
      <c r="A1995" s="29">
        <v>22</v>
      </c>
      <c r="B1995" s="30">
        <v>437573.10856199998</v>
      </c>
      <c r="C1995" s="30">
        <v>5688512.3324180003</v>
      </c>
      <c r="D1995" s="30">
        <v>26</v>
      </c>
      <c r="E1995" s="30" t="s">
        <v>33</v>
      </c>
      <c r="F1995" s="46">
        <v>2017</v>
      </c>
      <c r="G1995" s="47">
        <v>5.1900000000000002E-2</v>
      </c>
      <c r="H1995" s="47">
        <f t="shared" si="111"/>
        <v>1.7498456917680382E-2</v>
      </c>
      <c r="I1995" s="47">
        <v>9.3799999999999994E-2</v>
      </c>
      <c r="J1995" s="47">
        <f t="shared" si="112"/>
        <v>4.1753881420741247E-2</v>
      </c>
      <c r="K1995" s="47">
        <v>8.4000000000000012E-3</v>
      </c>
      <c r="L1995" s="47">
        <f t="shared" si="113"/>
        <v>3.6551936126347742E-3</v>
      </c>
      <c r="M1995" s="47">
        <f t="shared" si="114"/>
        <v>1.3843263305045608E-2</v>
      </c>
      <c r="N1995" s="47">
        <v>5.6500000000000002E-2</v>
      </c>
      <c r="O1995" s="47">
        <f t="shared" si="115"/>
        <v>2.7179546902015166E-2</v>
      </c>
      <c r="P1995" s="92"/>
    </row>
    <row r="1996" spans="1:16" x14ac:dyDescent="0.25">
      <c r="A1996" s="29">
        <v>23</v>
      </c>
      <c r="B1996" s="30">
        <v>437692.10856199998</v>
      </c>
      <c r="C1996" s="30">
        <v>5688512.3324180003</v>
      </c>
      <c r="D1996" s="30">
        <v>26</v>
      </c>
      <c r="E1996" s="30" t="s">
        <v>33</v>
      </c>
      <c r="F1996" s="46">
        <v>2017</v>
      </c>
      <c r="G1996" s="47">
        <v>1.8499999999999999E-2</v>
      </c>
      <c r="H1996" s="47">
        <f t="shared" si="111"/>
        <v>6.2374075718128518E-3</v>
      </c>
      <c r="I1996" s="47">
        <v>1.15E-2</v>
      </c>
      <c r="J1996" s="47">
        <f t="shared" si="112"/>
        <v>5.1190792786623071E-3</v>
      </c>
      <c r="K1996" s="47">
        <v>1.1000000000000001E-3</v>
      </c>
      <c r="L1996" s="47">
        <f t="shared" si="113"/>
        <v>4.786563064164585E-4</v>
      </c>
      <c r="M1996" s="47">
        <f>H1996-L1996</f>
        <v>5.7587512653963936E-3</v>
      </c>
      <c r="N1996" s="47">
        <v>3.5999999999999999E-3</v>
      </c>
      <c r="O1996" s="47">
        <f t="shared" si="115"/>
        <v>1.7317941388894618E-3</v>
      </c>
      <c r="P1996" s="92"/>
    </row>
    <row r="1997" spans="1:16" x14ac:dyDescent="0.25">
      <c r="A1997" s="29">
        <v>24</v>
      </c>
      <c r="B1997" s="30">
        <v>437811.10856199998</v>
      </c>
      <c r="C1997" s="30">
        <v>5688512.3324180003</v>
      </c>
      <c r="D1997" s="30">
        <v>26</v>
      </c>
      <c r="E1997" s="30" t="s">
        <v>33</v>
      </c>
      <c r="F1997" s="46">
        <v>2017</v>
      </c>
      <c r="G1997" s="47">
        <v>9.1200000000000003E-2</v>
      </c>
      <c r="H1997" s="47">
        <f t="shared" si="111"/>
        <v>3.0748733543207143E-2</v>
      </c>
      <c r="I1997" s="47">
        <v>0</v>
      </c>
      <c r="J1997" s="47">
        <f t="shared" si="112"/>
        <v>0</v>
      </c>
      <c r="K1997" s="47">
        <v>3.0999999999999999E-3</v>
      </c>
      <c r="L1997" s="47">
        <f t="shared" si="113"/>
        <v>1.3489404999009285E-3</v>
      </c>
      <c r="M1997" s="47">
        <f t="shared" si="114"/>
        <v>2.9399793043306213E-2</v>
      </c>
      <c r="N1997" s="47">
        <v>0</v>
      </c>
      <c r="O1997" s="47">
        <f t="shared" si="115"/>
        <v>0</v>
      </c>
      <c r="P1997" s="92"/>
    </row>
    <row r="1998" spans="1:16" x14ac:dyDescent="0.25">
      <c r="A1998" s="29">
        <v>25</v>
      </c>
      <c r="B1998" s="46">
        <v>437995</v>
      </c>
      <c r="C1998" s="46">
        <v>5688493</v>
      </c>
      <c r="D1998" s="30">
        <v>26</v>
      </c>
      <c r="E1998" s="30" t="s">
        <v>33</v>
      </c>
      <c r="F1998" s="46">
        <v>2017</v>
      </c>
      <c r="G1998" s="47">
        <v>8.7099999999999997E-2</v>
      </c>
      <c r="H1998" s="47">
        <f t="shared" si="111"/>
        <v>2.9366389162426995E-2</v>
      </c>
      <c r="I1998" s="47">
        <v>0</v>
      </c>
      <c r="J1998" s="47">
        <f t="shared" si="112"/>
        <v>0</v>
      </c>
      <c r="K1998" s="47">
        <v>3.4200000000000001E-2</v>
      </c>
      <c r="L1998" s="47">
        <f t="shared" si="113"/>
        <v>1.4881859708584437E-2</v>
      </c>
      <c r="M1998" s="47">
        <f t="shared" si="114"/>
        <v>1.4484529453842558E-2</v>
      </c>
      <c r="N1998" s="47">
        <v>0</v>
      </c>
      <c r="O1998" s="47">
        <f t="shared" si="115"/>
        <v>0</v>
      </c>
      <c r="P1998" s="92"/>
    </row>
    <row r="1999" spans="1:16" x14ac:dyDescent="0.25">
      <c r="A1999" s="29">
        <v>26</v>
      </c>
      <c r="B1999" s="46">
        <v>438112</v>
      </c>
      <c r="C1999" s="46">
        <v>5688567</v>
      </c>
      <c r="D1999" s="30">
        <v>26</v>
      </c>
      <c r="E1999" s="30" t="s">
        <v>33</v>
      </c>
      <c r="F1999" s="46">
        <v>2017</v>
      </c>
      <c r="G1999" s="47">
        <v>4.5399999999999996E-2</v>
      </c>
      <c r="H1999" s="47">
        <f t="shared" si="111"/>
        <v>1.5306935338394783E-2</v>
      </c>
      <c r="I1999" s="47">
        <v>0</v>
      </c>
      <c r="J1999" s="47">
        <f t="shared" si="112"/>
        <v>0</v>
      </c>
      <c r="K1999" s="47">
        <v>2.9700000000000001E-2</v>
      </c>
      <c r="L1999" s="47">
        <f t="shared" si="113"/>
        <v>1.2923720273244378E-2</v>
      </c>
      <c r="M1999" s="47">
        <f t="shared" si="114"/>
        <v>2.3832150651504052E-3</v>
      </c>
      <c r="N1999" s="47">
        <v>0</v>
      </c>
      <c r="O1999" s="47">
        <f t="shared" si="115"/>
        <v>0</v>
      </c>
      <c r="P1999" s="92"/>
    </row>
    <row r="2000" spans="1:16" x14ac:dyDescent="0.25">
      <c r="A2000" s="32">
        <v>27</v>
      </c>
      <c r="B2000" s="33">
        <v>438168.10856199998</v>
      </c>
      <c r="C2000" s="33">
        <v>5688512.3324180003</v>
      </c>
      <c r="D2000" s="48">
        <v>26</v>
      </c>
      <c r="E2000" s="48" t="s">
        <v>33</v>
      </c>
      <c r="F2000" s="48">
        <v>2017</v>
      </c>
      <c r="G2000" s="48" t="s">
        <v>18</v>
      </c>
      <c r="H2000" s="48" t="s">
        <v>18</v>
      </c>
      <c r="I2000" s="48" t="s">
        <v>18</v>
      </c>
      <c r="J2000" s="48" t="s">
        <v>18</v>
      </c>
      <c r="K2000" s="48" t="s">
        <v>18</v>
      </c>
      <c r="L2000" s="48" t="s">
        <v>18</v>
      </c>
      <c r="M2000" s="48" t="s">
        <v>18</v>
      </c>
      <c r="N2000" s="48" t="s">
        <v>18</v>
      </c>
      <c r="O2000" s="48" t="s">
        <v>18</v>
      </c>
      <c r="P2000" s="103" t="s">
        <v>89</v>
      </c>
    </row>
    <row r="2001" spans="1:16" x14ac:dyDescent="0.25">
      <c r="A2001" s="32">
        <v>28</v>
      </c>
      <c r="B2001" s="33">
        <v>438287.10856199998</v>
      </c>
      <c r="C2001" s="33">
        <v>5688512.3324180003</v>
      </c>
      <c r="D2001" s="48">
        <v>26</v>
      </c>
      <c r="E2001" s="48" t="s">
        <v>33</v>
      </c>
      <c r="F2001" s="48">
        <v>2017</v>
      </c>
      <c r="G2001" s="48" t="s">
        <v>18</v>
      </c>
      <c r="H2001" s="48" t="s">
        <v>18</v>
      </c>
      <c r="I2001" s="48" t="s">
        <v>18</v>
      </c>
      <c r="J2001" s="48" t="s">
        <v>18</v>
      </c>
      <c r="K2001" s="48" t="s">
        <v>18</v>
      </c>
      <c r="L2001" s="48" t="s">
        <v>18</v>
      </c>
      <c r="M2001" s="48" t="s">
        <v>18</v>
      </c>
      <c r="N2001" s="48" t="s">
        <v>18</v>
      </c>
      <c r="O2001" s="48" t="s">
        <v>18</v>
      </c>
      <c r="P2001" s="103" t="s">
        <v>89</v>
      </c>
    </row>
    <row r="2002" spans="1:16" x14ac:dyDescent="0.25">
      <c r="A2002" s="29">
        <v>29</v>
      </c>
      <c r="B2002" s="30">
        <v>438381</v>
      </c>
      <c r="C2002" s="30">
        <v>5688526</v>
      </c>
      <c r="D2002" s="30">
        <v>26</v>
      </c>
      <c r="E2002" s="30" t="s">
        <v>33</v>
      </c>
      <c r="F2002" s="46">
        <v>2017</v>
      </c>
      <c r="G2002" s="47">
        <v>5.2499999999999998E-2</v>
      </c>
      <c r="H2002" s="47">
        <f t="shared" si="111"/>
        <v>1.7700751217306743E-2</v>
      </c>
      <c r="I2002" s="47">
        <v>0</v>
      </c>
      <c r="J2002" s="47">
        <f t="shared" si="112"/>
        <v>0</v>
      </c>
      <c r="K2002" s="47">
        <v>4.3E-3</v>
      </c>
      <c r="L2002" s="47">
        <f t="shared" si="113"/>
        <v>1.8711110159916103E-3</v>
      </c>
      <c r="M2002" s="47">
        <f t="shared" si="114"/>
        <v>1.5829640201315134E-2</v>
      </c>
      <c r="N2002" s="47">
        <v>0</v>
      </c>
      <c r="O2002" s="47">
        <f t="shared" si="115"/>
        <v>0</v>
      </c>
      <c r="P2002" s="92"/>
    </row>
    <row r="2003" spans="1:16" x14ac:dyDescent="0.25">
      <c r="A2003" s="29">
        <v>30</v>
      </c>
      <c r="B2003" s="30">
        <v>438525.10856199998</v>
      </c>
      <c r="C2003" s="30">
        <v>5688512.3324180003</v>
      </c>
      <c r="D2003" s="30">
        <v>26</v>
      </c>
      <c r="E2003" s="30" t="s">
        <v>33</v>
      </c>
      <c r="F2003" s="46">
        <v>2017</v>
      </c>
      <c r="G2003" s="47">
        <v>1.3099999999999999E-2</v>
      </c>
      <c r="H2003" s="47">
        <f t="shared" si="111"/>
        <v>4.4167588751755872E-3</v>
      </c>
      <c r="I2003" s="47">
        <v>0</v>
      </c>
      <c r="J2003" s="47">
        <f t="shared" si="112"/>
        <v>0</v>
      </c>
      <c r="K2003" s="47">
        <v>1.7299999999999999E-2</v>
      </c>
      <c r="L2003" s="47">
        <f t="shared" si="113"/>
        <v>7.5279582736406652E-3</v>
      </c>
      <c r="M2003" s="47">
        <f t="shared" si="114"/>
        <v>-3.111199398465078E-3</v>
      </c>
      <c r="N2003" s="47">
        <v>0</v>
      </c>
      <c r="O2003" s="47">
        <f t="shared" si="115"/>
        <v>0</v>
      </c>
      <c r="P2003" s="92"/>
    </row>
    <row r="2004" spans="1:16" x14ac:dyDescent="0.25">
      <c r="A2004" s="29">
        <v>31</v>
      </c>
      <c r="B2004" s="30">
        <v>437335.10856199998</v>
      </c>
      <c r="C2004" s="30">
        <v>5688631.3324180003</v>
      </c>
      <c r="D2004" s="30">
        <v>26</v>
      </c>
      <c r="E2004" s="30" t="s">
        <v>33</v>
      </c>
      <c r="F2004" s="46">
        <v>2017</v>
      </c>
      <c r="G2004" s="47">
        <v>4.3299999999999998E-2</v>
      </c>
      <c r="H2004" s="47">
        <f t="shared" si="111"/>
        <v>1.4598905289702514E-2</v>
      </c>
      <c r="I2004" s="47">
        <v>0</v>
      </c>
      <c r="J2004" s="47">
        <f t="shared" si="112"/>
        <v>0</v>
      </c>
      <c r="K2004" s="47">
        <v>1.1999999999999999E-3</v>
      </c>
      <c r="L2004" s="47">
        <f t="shared" si="113"/>
        <v>5.2217051609068188E-4</v>
      </c>
      <c r="M2004" s="47">
        <f t="shared" si="114"/>
        <v>1.4076734773611833E-2</v>
      </c>
      <c r="N2004" s="47">
        <v>0</v>
      </c>
      <c r="O2004" s="47">
        <f t="shared" si="115"/>
        <v>0</v>
      </c>
      <c r="P2004" s="92"/>
    </row>
    <row r="2005" spans="1:16" x14ac:dyDescent="0.25">
      <c r="A2005" s="29">
        <v>32</v>
      </c>
      <c r="B2005" s="30">
        <v>437454.10856199998</v>
      </c>
      <c r="C2005" s="30">
        <v>5688631.3324180003</v>
      </c>
      <c r="D2005" s="30">
        <v>26</v>
      </c>
      <c r="E2005" s="30" t="s">
        <v>33</v>
      </c>
      <c r="F2005" s="46">
        <v>2017</v>
      </c>
      <c r="G2005" s="47">
        <v>4.6200000000000005E-2</v>
      </c>
      <c r="H2005" s="47">
        <f t="shared" si="111"/>
        <v>1.5576661071229935E-2</v>
      </c>
      <c r="I2005" s="47">
        <v>0</v>
      </c>
      <c r="J2005" s="47">
        <f t="shared" si="112"/>
        <v>0</v>
      </c>
      <c r="K2005" s="47">
        <v>9.6999999999999986E-3</v>
      </c>
      <c r="L2005" s="47">
        <f t="shared" si="113"/>
        <v>4.2208783383996789E-3</v>
      </c>
      <c r="M2005" s="47">
        <f t="shared" si="114"/>
        <v>1.1355782732830257E-2</v>
      </c>
      <c r="N2005" s="47">
        <v>0</v>
      </c>
      <c r="O2005" s="47">
        <f t="shared" si="115"/>
        <v>0</v>
      </c>
      <c r="P2005" s="92"/>
    </row>
    <row r="2006" spans="1:16" x14ac:dyDescent="0.25">
      <c r="A2006" s="29">
        <v>33</v>
      </c>
      <c r="B2006" s="30">
        <v>437573.10856199998</v>
      </c>
      <c r="C2006" s="30">
        <v>5688631.3324180003</v>
      </c>
      <c r="D2006" s="30">
        <v>26</v>
      </c>
      <c r="E2006" s="30" t="s">
        <v>33</v>
      </c>
      <c r="F2006" s="46">
        <v>2017</v>
      </c>
      <c r="G2006" s="47">
        <v>4.53E-2</v>
      </c>
      <c r="H2006" s="47">
        <f t="shared" si="111"/>
        <v>1.5273219621790389E-2</v>
      </c>
      <c r="I2006" s="47">
        <v>0</v>
      </c>
      <c r="J2006" s="47">
        <f t="shared" si="112"/>
        <v>0</v>
      </c>
      <c r="K2006" s="47">
        <v>1.6399999999999998E-2</v>
      </c>
      <c r="L2006" s="47">
        <f t="shared" si="113"/>
        <v>7.136330386572653E-3</v>
      </c>
      <c r="M2006" s="47">
        <f t="shared" si="114"/>
        <v>8.1368892352177355E-3</v>
      </c>
      <c r="N2006" s="47">
        <v>0</v>
      </c>
      <c r="O2006" s="47">
        <f t="shared" si="115"/>
        <v>0</v>
      </c>
      <c r="P2006" s="92"/>
    </row>
    <row r="2007" spans="1:16" x14ac:dyDescent="0.25">
      <c r="A2007" s="29">
        <v>34</v>
      </c>
      <c r="B2007" s="30">
        <v>437692.10856199998</v>
      </c>
      <c r="C2007" s="30">
        <v>5688631.3324180003</v>
      </c>
      <c r="D2007" s="30">
        <v>26</v>
      </c>
      <c r="E2007" s="30" t="s">
        <v>33</v>
      </c>
      <c r="F2007" s="46">
        <v>2017</v>
      </c>
      <c r="G2007" s="47">
        <v>3.8200000000000005E-2</v>
      </c>
      <c r="H2007" s="47">
        <f t="shared" si="111"/>
        <v>1.2879403742878432E-2</v>
      </c>
      <c r="I2007" s="47">
        <v>0</v>
      </c>
      <c r="J2007" s="47">
        <f t="shared" si="112"/>
        <v>0</v>
      </c>
      <c r="K2007" s="47">
        <v>2.5399999999999999E-2</v>
      </c>
      <c r="L2007" s="47">
        <f t="shared" si="113"/>
        <v>1.1052609257252767E-2</v>
      </c>
      <c r="M2007" s="47">
        <f t="shared" si="114"/>
        <v>1.8267944856256643E-3</v>
      </c>
      <c r="N2007" s="47">
        <v>0</v>
      </c>
      <c r="O2007" s="47">
        <f t="shared" si="115"/>
        <v>0</v>
      </c>
      <c r="P2007" s="92"/>
    </row>
    <row r="2008" spans="1:16" x14ac:dyDescent="0.25">
      <c r="A2008" s="29">
        <v>35</v>
      </c>
      <c r="B2008" s="30">
        <v>437893</v>
      </c>
      <c r="C2008" s="30">
        <v>5688620</v>
      </c>
      <c r="D2008" s="30">
        <v>26</v>
      </c>
      <c r="E2008" s="30" t="s">
        <v>33</v>
      </c>
      <c r="F2008" s="46">
        <v>2017</v>
      </c>
      <c r="G2008" s="47">
        <v>6.54E-2</v>
      </c>
      <c r="H2008" s="47">
        <f t="shared" si="111"/>
        <v>2.2050078659273543E-2</v>
      </c>
      <c r="I2008" s="47">
        <v>0</v>
      </c>
      <c r="J2008" s="47">
        <f t="shared" si="112"/>
        <v>0</v>
      </c>
      <c r="K2008" s="47">
        <v>2.35E-2</v>
      </c>
      <c r="L2008" s="47">
        <f t="shared" si="113"/>
        <v>1.0225839273442523E-2</v>
      </c>
      <c r="M2008" s="47">
        <f t="shared" si="114"/>
        <v>1.182423938583102E-2</v>
      </c>
      <c r="N2008" s="47">
        <v>0</v>
      </c>
      <c r="O2008" s="47">
        <f t="shared" si="115"/>
        <v>0</v>
      </c>
      <c r="P2008" s="92"/>
    </row>
    <row r="2009" spans="1:16" x14ac:dyDescent="0.25">
      <c r="A2009" s="29">
        <v>36</v>
      </c>
      <c r="B2009" s="30">
        <v>437930.10856199998</v>
      </c>
      <c r="C2009" s="30">
        <v>5688631.3324180003</v>
      </c>
      <c r="D2009" s="30">
        <v>26</v>
      </c>
      <c r="E2009" s="30" t="s">
        <v>33</v>
      </c>
      <c r="F2009" s="46">
        <v>2017</v>
      </c>
      <c r="G2009" s="47">
        <v>7.4799999999999991E-2</v>
      </c>
      <c r="H2009" s="47">
        <f t="shared" si="111"/>
        <v>2.5219356020086556E-2</v>
      </c>
      <c r="I2009" s="47">
        <v>0</v>
      </c>
      <c r="J2009" s="47">
        <f t="shared" si="112"/>
        <v>0</v>
      </c>
      <c r="K2009" s="47">
        <v>2.7E-2</v>
      </c>
      <c r="L2009" s="47">
        <f t="shared" si="113"/>
        <v>1.1748836612040344E-2</v>
      </c>
      <c r="M2009" s="47">
        <f t="shared" si="114"/>
        <v>1.3470519408046212E-2</v>
      </c>
      <c r="N2009" s="47">
        <v>0</v>
      </c>
      <c r="O2009" s="47">
        <f t="shared" si="115"/>
        <v>0</v>
      </c>
      <c r="P2009" s="92"/>
    </row>
    <row r="2010" spans="1:16" x14ac:dyDescent="0.25">
      <c r="A2010" s="32">
        <v>37</v>
      </c>
      <c r="B2010" s="33">
        <v>438049.10856199998</v>
      </c>
      <c r="C2010" s="33">
        <v>5688631.3324180003</v>
      </c>
      <c r="D2010" s="48">
        <v>26</v>
      </c>
      <c r="E2010" s="48" t="s">
        <v>33</v>
      </c>
      <c r="F2010" s="48">
        <v>2017</v>
      </c>
      <c r="G2010" s="48" t="s">
        <v>18</v>
      </c>
      <c r="H2010" s="48" t="s">
        <v>18</v>
      </c>
      <c r="I2010" s="48" t="s">
        <v>18</v>
      </c>
      <c r="J2010" s="48" t="s">
        <v>18</v>
      </c>
      <c r="K2010" s="48" t="s">
        <v>18</v>
      </c>
      <c r="L2010" s="48" t="s">
        <v>18</v>
      </c>
      <c r="M2010" s="48" t="s">
        <v>18</v>
      </c>
      <c r="N2010" s="48" t="s">
        <v>18</v>
      </c>
      <c r="O2010" s="48" t="s">
        <v>18</v>
      </c>
      <c r="P2010" s="103" t="s">
        <v>89</v>
      </c>
    </row>
    <row r="2011" spans="1:16" x14ac:dyDescent="0.25">
      <c r="A2011" s="29">
        <v>38</v>
      </c>
      <c r="B2011" s="30">
        <v>438067</v>
      </c>
      <c r="C2011" s="30">
        <v>5688710</v>
      </c>
      <c r="D2011" s="30">
        <v>25</v>
      </c>
      <c r="E2011" s="30" t="s">
        <v>33</v>
      </c>
      <c r="F2011" s="46">
        <v>2017</v>
      </c>
      <c r="G2011" s="47">
        <v>2.06E-2</v>
      </c>
      <c r="H2011" s="47">
        <f>G2011*0.335221633304416</f>
        <v>6.90556564607097E-3</v>
      </c>
      <c r="I2011" s="47">
        <v>0</v>
      </c>
      <c r="J2011" s="47">
        <v>0</v>
      </c>
      <c r="K2011" s="47">
        <v>1.1000000000000001E-3</v>
      </c>
      <c r="L2011" s="47">
        <f>K2011*0.415977961432507</f>
        <v>4.5757575757575771E-4</v>
      </c>
      <c r="M2011" s="47">
        <f t="shared" si="114"/>
        <v>6.4479898884952126E-3</v>
      </c>
      <c r="N2011" s="47">
        <v>0</v>
      </c>
      <c r="O2011" s="47">
        <v>0</v>
      </c>
      <c r="P2011" s="92"/>
    </row>
    <row r="2012" spans="1:16" x14ac:dyDescent="0.25">
      <c r="A2012" s="32">
        <v>39</v>
      </c>
      <c r="B2012" s="33">
        <v>438287.10856199998</v>
      </c>
      <c r="C2012" s="33">
        <v>5688631.3324180003</v>
      </c>
      <c r="D2012" s="48">
        <v>26</v>
      </c>
      <c r="E2012" s="48" t="s">
        <v>33</v>
      </c>
      <c r="F2012" s="48">
        <v>2017</v>
      </c>
      <c r="G2012" s="48" t="s">
        <v>18</v>
      </c>
      <c r="H2012" s="48" t="s">
        <v>18</v>
      </c>
      <c r="I2012" s="48" t="s">
        <v>18</v>
      </c>
      <c r="J2012" s="48" t="s">
        <v>18</v>
      </c>
      <c r="K2012" s="48" t="s">
        <v>18</v>
      </c>
      <c r="L2012" s="48" t="s">
        <v>18</v>
      </c>
      <c r="M2012" s="48" t="s">
        <v>18</v>
      </c>
      <c r="N2012" s="48" t="s">
        <v>18</v>
      </c>
      <c r="O2012" s="48" t="s">
        <v>18</v>
      </c>
      <c r="P2012" s="94" t="s">
        <v>22</v>
      </c>
    </row>
    <row r="2013" spans="1:16" x14ac:dyDescent="0.25">
      <c r="A2013" s="29">
        <v>40</v>
      </c>
      <c r="B2013" s="30">
        <v>438406.10856199998</v>
      </c>
      <c r="C2013" s="30">
        <v>5688631.3324180003</v>
      </c>
      <c r="D2013" s="30">
        <v>26</v>
      </c>
      <c r="E2013" s="30" t="s">
        <v>33</v>
      </c>
      <c r="F2013" s="46">
        <v>2017</v>
      </c>
      <c r="G2013" s="54">
        <v>4.9700000000000001E-2</v>
      </c>
      <c r="H2013" s="47">
        <f>G2013*0.337157166043938</f>
        <v>1.6756711152383717E-2</v>
      </c>
      <c r="I2013" s="47">
        <v>0</v>
      </c>
      <c r="J2013" s="47">
        <f>I2013*0.445137328579331</f>
        <v>0</v>
      </c>
      <c r="K2013" s="47">
        <v>8.6999999999999994E-3</v>
      </c>
      <c r="L2013" s="47">
        <f>K2013*0.435142096742235</f>
        <v>3.7857362416574441E-3</v>
      </c>
      <c r="M2013" s="47">
        <f t="shared" si="114"/>
        <v>1.2970974910726274E-2</v>
      </c>
      <c r="N2013" s="47">
        <v>0</v>
      </c>
      <c r="O2013" s="47">
        <f>N2013*0.481053927469295</f>
        <v>0</v>
      </c>
      <c r="P2013" s="92"/>
    </row>
    <row r="2014" spans="1:16" x14ac:dyDescent="0.25">
      <c r="A2014" s="29">
        <v>41</v>
      </c>
      <c r="B2014" s="30">
        <v>437310</v>
      </c>
      <c r="C2014" s="30">
        <v>5688729</v>
      </c>
      <c r="D2014" s="30">
        <v>26</v>
      </c>
      <c r="E2014" s="30" t="s">
        <v>33</v>
      </c>
      <c r="F2014" s="46">
        <v>2017</v>
      </c>
      <c r="G2014" s="47">
        <v>1.72E-2</v>
      </c>
      <c r="H2014" s="47">
        <f>G2014*0.337157166043938</f>
        <v>5.7991032559557331E-3</v>
      </c>
      <c r="I2014" s="47">
        <v>1.03E-2</v>
      </c>
      <c r="J2014" s="47">
        <f>I2014*0.445137328579331</f>
        <v>4.5849144843671096E-3</v>
      </c>
      <c r="K2014" s="47">
        <v>4.9000000000000007E-3</v>
      </c>
      <c r="L2014" s="47">
        <f>K2014*0.435142096742235</f>
        <v>2.1321962740369518E-3</v>
      </c>
      <c r="M2014" s="47">
        <f t="shared" si="114"/>
        <v>3.6669069819187813E-3</v>
      </c>
      <c r="N2014" s="47">
        <v>8.9999999999999998E-4</v>
      </c>
      <c r="O2014" s="47">
        <f>N2014*0.481053927469295</f>
        <v>4.3294853472236546E-4</v>
      </c>
      <c r="P2014" s="92"/>
    </row>
    <row r="2015" spans="1:16" x14ac:dyDescent="0.25">
      <c r="A2015" s="29">
        <v>42</v>
      </c>
      <c r="B2015" s="30">
        <v>437454.10856199998</v>
      </c>
      <c r="C2015" s="30">
        <v>5688750.3324180003</v>
      </c>
      <c r="D2015" s="30">
        <v>25</v>
      </c>
      <c r="E2015" s="30" t="s">
        <v>33</v>
      </c>
      <c r="F2015" s="46">
        <v>2017</v>
      </c>
      <c r="G2015" s="54">
        <v>3.2899999999999999E-2</v>
      </c>
      <c r="H2015" s="47">
        <f t="shared" ref="H2015:H2033" si="116">G2015*0.335221633304416</f>
        <v>1.1028791735715287E-2</v>
      </c>
      <c r="I2015" s="47">
        <v>0</v>
      </c>
      <c r="J2015" s="47">
        <v>0</v>
      </c>
      <c r="K2015" s="47">
        <v>1.1999999999999999E-3</v>
      </c>
      <c r="L2015" s="47">
        <f t="shared" ref="L2015:L2033" si="117">K2015*0.415977961432507</f>
        <v>4.9917355371900836E-4</v>
      </c>
      <c r="M2015" s="47">
        <f t="shared" si="114"/>
        <v>1.0529618181996278E-2</v>
      </c>
      <c r="N2015" s="47">
        <v>0</v>
      </c>
      <c r="O2015" s="47">
        <v>0</v>
      </c>
      <c r="P2015" s="92"/>
    </row>
    <row r="2016" spans="1:16" x14ac:dyDescent="0.25">
      <c r="A2016" s="29">
        <v>43</v>
      </c>
      <c r="B2016" s="30">
        <v>437573.10856199998</v>
      </c>
      <c r="C2016" s="30">
        <v>5688750.3324180003</v>
      </c>
      <c r="D2016" s="30">
        <v>25</v>
      </c>
      <c r="E2016" s="30" t="s">
        <v>33</v>
      </c>
      <c r="F2016" s="46">
        <v>2017</v>
      </c>
      <c r="G2016" s="47">
        <v>1.7899999999999999E-2</v>
      </c>
      <c r="H2016" s="47">
        <f t="shared" si="116"/>
        <v>6.0004672361490463E-3</v>
      </c>
      <c r="I2016" s="47">
        <v>0</v>
      </c>
      <c r="J2016" s="47">
        <v>0</v>
      </c>
      <c r="K2016" s="47">
        <v>2E-3</v>
      </c>
      <c r="L2016" s="47">
        <f t="shared" si="117"/>
        <v>8.3195592286501401E-4</v>
      </c>
      <c r="M2016" s="47">
        <f t="shared" si="114"/>
        <v>5.1685113132840322E-3</v>
      </c>
      <c r="N2016" s="47">
        <v>0</v>
      </c>
      <c r="O2016" s="47">
        <v>0</v>
      </c>
      <c r="P2016" s="92"/>
    </row>
    <row r="2017" spans="1:16" x14ac:dyDescent="0.25">
      <c r="A2017" s="29">
        <v>44</v>
      </c>
      <c r="B2017" s="30">
        <v>437692.10856199998</v>
      </c>
      <c r="C2017" s="30">
        <v>5688750.3324180003</v>
      </c>
      <c r="D2017" s="30">
        <v>25</v>
      </c>
      <c r="E2017" s="30" t="s">
        <v>33</v>
      </c>
      <c r="F2017" s="46">
        <v>2017</v>
      </c>
      <c r="G2017" s="54">
        <v>2.9600000000000001E-2</v>
      </c>
      <c r="H2017" s="47">
        <f t="shared" si="116"/>
        <v>9.9225603458107138E-3</v>
      </c>
      <c r="I2017" s="47">
        <v>0</v>
      </c>
      <c r="J2017" s="47">
        <v>0</v>
      </c>
      <c r="K2017" s="47">
        <v>2.3E-3</v>
      </c>
      <c r="L2017" s="47">
        <f t="shared" si="117"/>
        <v>9.5674931129476602E-4</v>
      </c>
      <c r="M2017" s="47">
        <f t="shared" si="114"/>
        <v>8.965811034515948E-3</v>
      </c>
      <c r="N2017" s="47">
        <v>0</v>
      </c>
      <c r="O2017" s="47">
        <v>0</v>
      </c>
      <c r="P2017" s="92"/>
    </row>
    <row r="2018" spans="1:16" x14ac:dyDescent="0.25">
      <c r="A2018" s="29">
        <v>45</v>
      </c>
      <c r="B2018" s="30">
        <v>437811.10856199998</v>
      </c>
      <c r="C2018" s="30">
        <v>5688750.3324180003</v>
      </c>
      <c r="D2018" s="30">
        <v>25</v>
      </c>
      <c r="E2018" s="30" t="s">
        <v>33</v>
      </c>
      <c r="F2018" s="46">
        <v>2017</v>
      </c>
      <c r="G2018" s="47">
        <v>1.14E-2</v>
      </c>
      <c r="H2018" s="47">
        <f t="shared" si="116"/>
        <v>3.8215266196703428E-3</v>
      </c>
      <c r="I2018" s="47">
        <v>0</v>
      </c>
      <c r="J2018" s="47">
        <v>0</v>
      </c>
      <c r="K2018" s="47">
        <v>3.5000000000000001E-3</v>
      </c>
      <c r="L2018" s="47">
        <f t="shared" si="117"/>
        <v>1.4559228650137745E-3</v>
      </c>
      <c r="M2018" s="47">
        <f t="shared" si="114"/>
        <v>2.3656037546565681E-3</v>
      </c>
      <c r="N2018" s="47">
        <v>0</v>
      </c>
      <c r="O2018" s="47">
        <v>0</v>
      </c>
      <c r="P2018" s="92"/>
    </row>
    <row r="2019" spans="1:16" x14ac:dyDescent="0.25">
      <c r="A2019" s="29">
        <v>46</v>
      </c>
      <c r="B2019" s="30">
        <v>437930.10856199998</v>
      </c>
      <c r="C2019" s="30">
        <v>5688750.3324180003</v>
      </c>
      <c r="D2019" s="30">
        <v>25</v>
      </c>
      <c r="E2019" s="30" t="s">
        <v>33</v>
      </c>
      <c r="F2019" s="46">
        <v>2017</v>
      </c>
      <c r="G2019" s="47">
        <v>8.0000000000000002E-3</v>
      </c>
      <c r="H2019" s="47">
        <f t="shared" si="116"/>
        <v>2.6817730664353283E-3</v>
      </c>
      <c r="I2019" s="47">
        <v>0</v>
      </c>
      <c r="J2019" s="47">
        <v>0</v>
      </c>
      <c r="K2019" s="47">
        <v>1.2199999999999999E-2</v>
      </c>
      <c r="L2019" s="47">
        <f t="shared" si="117"/>
        <v>5.0749311294765844E-3</v>
      </c>
      <c r="M2019" s="47">
        <f t="shared" si="114"/>
        <v>-2.3931580630412561E-3</v>
      </c>
      <c r="N2019" s="47">
        <v>0</v>
      </c>
      <c r="O2019" s="47">
        <v>0</v>
      </c>
      <c r="P2019" s="92"/>
    </row>
    <row r="2020" spans="1:16" x14ac:dyDescent="0.25">
      <c r="A2020" s="29">
        <v>47</v>
      </c>
      <c r="B2020" s="30">
        <v>438061</v>
      </c>
      <c r="C2020" s="30">
        <v>5688779</v>
      </c>
      <c r="D2020" s="30">
        <v>25</v>
      </c>
      <c r="E2020" s="30" t="s">
        <v>33</v>
      </c>
      <c r="F2020" s="46">
        <v>2017</v>
      </c>
      <c r="G2020" s="47">
        <v>1.35E-2</v>
      </c>
      <c r="H2020" s="47">
        <f t="shared" si="116"/>
        <v>4.5254920496096158E-3</v>
      </c>
      <c r="I2020" s="47">
        <v>0</v>
      </c>
      <c r="J2020" s="47">
        <v>0</v>
      </c>
      <c r="K2020" s="47">
        <v>4.7000000000000002E-3</v>
      </c>
      <c r="L2020" s="47">
        <f t="shared" si="117"/>
        <v>1.9550964187327827E-3</v>
      </c>
      <c r="M2020" s="47">
        <f t="shared" si="114"/>
        <v>2.570395630876833E-3</v>
      </c>
      <c r="N2020" s="47">
        <v>0</v>
      </c>
      <c r="O2020" s="47">
        <v>0</v>
      </c>
      <c r="P2020" s="92"/>
    </row>
    <row r="2021" spans="1:16" x14ac:dyDescent="0.25">
      <c r="A2021" s="32">
        <v>48</v>
      </c>
      <c r="B2021" s="33">
        <v>438168.10856199998</v>
      </c>
      <c r="C2021" s="33">
        <v>5688750.3324180003</v>
      </c>
      <c r="D2021" s="48">
        <v>26</v>
      </c>
      <c r="E2021" s="48" t="s">
        <v>33</v>
      </c>
      <c r="F2021" s="48">
        <v>2017</v>
      </c>
      <c r="G2021" s="48" t="s">
        <v>18</v>
      </c>
      <c r="H2021" s="48" t="s">
        <v>18</v>
      </c>
      <c r="I2021" s="48" t="s">
        <v>18</v>
      </c>
      <c r="J2021" s="48" t="s">
        <v>18</v>
      </c>
      <c r="K2021" s="48" t="s">
        <v>18</v>
      </c>
      <c r="L2021" s="48" t="s">
        <v>18</v>
      </c>
      <c r="M2021" s="48" t="s">
        <v>18</v>
      </c>
      <c r="N2021" s="48" t="s">
        <v>18</v>
      </c>
      <c r="O2021" s="48" t="s">
        <v>18</v>
      </c>
      <c r="P2021" s="103" t="s">
        <v>89</v>
      </c>
    </row>
    <row r="2022" spans="1:16" x14ac:dyDescent="0.25">
      <c r="A2022" s="29">
        <v>49</v>
      </c>
      <c r="B2022" s="30">
        <v>437454.10856199998</v>
      </c>
      <c r="C2022" s="30">
        <v>5688869.3324180003</v>
      </c>
      <c r="D2022" s="30">
        <v>25</v>
      </c>
      <c r="E2022" s="30" t="s">
        <v>33</v>
      </c>
      <c r="F2022" s="46">
        <v>2017</v>
      </c>
      <c r="G2022" s="47">
        <v>8.7999999999999995E-2</v>
      </c>
      <c r="H2022" s="47">
        <f t="shared" si="116"/>
        <v>2.9499503730788607E-2</v>
      </c>
      <c r="I2022" s="47">
        <v>0</v>
      </c>
      <c r="J2022" s="47">
        <v>0</v>
      </c>
      <c r="K2022" s="47">
        <v>1.8E-3</v>
      </c>
      <c r="L2022" s="47">
        <f t="shared" si="117"/>
        <v>7.487603305785126E-4</v>
      </c>
      <c r="M2022" s="47">
        <f t="shared" si="114"/>
        <v>2.8750743400210093E-2</v>
      </c>
      <c r="N2022" s="47">
        <v>0</v>
      </c>
      <c r="O2022" s="47">
        <v>0</v>
      </c>
      <c r="P2022" s="92"/>
    </row>
    <row r="2023" spans="1:16" x14ac:dyDescent="0.25">
      <c r="A2023" s="29">
        <v>50</v>
      </c>
      <c r="B2023" s="30">
        <v>437811.10856199998</v>
      </c>
      <c r="C2023" s="30">
        <v>5688869.3324180003</v>
      </c>
      <c r="D2023" s="30">
        <v>25</v>
      </c>
      <c r="E2023" s="30" t="s">
        <v>33</v>
      </c>
      <c r="F2023" s="46">
        <v>2017</v>
      </c>
      <c r="G2023" s="47">
        <v>3.6200000000000003E-2</v>
      </c>
      <c r="H2023" s="47">
        <f t="shared" si="116"/>
        <v>1.213502312561986E-2</v>
      </c>
      <c r="I2023" s="47">
        <v>0</v>
      </c>
      <c r="J2023" s="47">
        <v>0</v>
      </c>
      <c r="K2023" s="47">
        <v>5.9999999999999995E-4</v>
      </c>
      <c r="L2023" s="47">
        <f t="shared" si="117"/>
        <v>2.4958677685950418E-4</v>
      </c>
      <c r="M2023" s="47">
        <f t="shared" si="114"/>
        <v>1.1885436348760357E-2</v>
      </c>
      <c r="N2023" s="47">
        <v>0</v>
      </c>
      <c r="O2023" s="47">
        <v>0</v>
      </c>
      <c r="P2023" s="92"/>
    </row>
    <row r="2024" spans="1:16" x14ac:dyDescent="0.25">
      <c r="A2024" s="29">
        <v>51</v>
      </c>
      <c r="B2024" s="30">
        <v>437930.10856199998</v>
      </c>
      <c r="C2024" s="30">
        <v>5688869.3324180003</v>
      </c>
      <c r="D2024" s="30">
        <v>25</v>
      </c>
      <c r="E2024" s="30" t="s">
        <v>33</v>
      </c>
      <c r="F2024" s="46">
        <v>2017</v>
      </c>
      <c r="G2024" s="47">
        <v>6.4000000000000003E-3</v>
      </c>
      <c r="H2024" s="47">
        <f t="shared" si="116"/>
        <v>2.1454184531482625E-3</v>
      </c>
      <c r="I2024" s="47">
        <v>0</v>
      </c>
      <c r="J2024" s="47">
        <v>0</v>
      </c>
      <c r="K2024" s="47">
        <v>9.6999999999999986E-3</v>
      </c>
      <c r="L2024" s="47">
        <f t="shared" si="117"/>
        <v>4.0349862258953172E-3</v>
      </c>
      <c r="M2024" s="47">
        <f t="shared" si="114"/>
        <v>-1.8895677727470547E-3</v>
      </c>
      <c r="N2024" s="47">
        <v>0</v>
      </c>
      <c r="O2024" s="47">
        <v>0</v>
      </c>
      <c r="P2024" s="92"/>
    </row>
    <row r="2025" spans="1:16" x14ac:dyDescent="0.25">
      <c r="A2025" s="29">
        <v>52</v>
      </c>
      <c r="B2025" s="30">
        <v>438049.10856199998</v>
      </c>
      <c r="C2025" s="30">
        <v>5688869.3324180003</v>
      </c>
      <c r="D2025" s="30">
        <v>25</v>
      </c>
      <c r="E2025" s="30" t="s">
        <v>33</v>
      </c>
      <c r="F2025" s="46">
        <v>2017</v>
      </c>
      <c r="G2025" s="47">
        <v>7.1999999999999998E-3</v>
      </c>
      <c r="H2025" s="47">
        <f t="shared" si="116"/>
        <v>2.4135957597917952E-3</v>
      </c>
      <c r="I2025" s="47">
        <v>0</v>
      </c>
      <c r="J2025" s="47">
        <v>0</v>
      </c>
      <c r="K2025" s="47">
        <v>2.2000000000000001E-3</v>
      </c>
      <c r="L2025" s="47">
        <f t="shared" si="117"/>
        <v>9.1515151515151542E-4</v>
      </c>
      <c r="M2025" s="47">
        <f t="shared" si="114"/>
        <v>1.4984442446402796E-3</v>
      </c>
      <c r="N2025" s="47">
        <v>0</v>
      </c>
      <c r="O2025" s="47">
        <v>0</v>
      </c>
      <c r="P2025" s="92"/>
    </row>
    <row r="2026" spans="1:16" x14ac:dyDescent="0.25">
      <c r="A2026" s="29">
        <v>53</v>
      </c>
      <c r="B2026" s="30">
        <v>438287.10856199998</v>
      </c>
      <c r="C2026" s="30">
        <v>5688869.3324180003</v>
      </c>
      <c r="D2026" s="30">
        <v>25</v>
      </c>
      <c r="E2026" s="30" t="s">
        <v>33</v>
      </c>
      <c r="F2026" s="46">
        <v>2017</v>
      </c>
      <c r="G2026" s="47">
        <v>9.1999999999999998E-3</v>
      </c>
      <c r="H2026" s="47">
        <f t="shared" si="116"/>
        <v>3.0840390264006271E-3</v>
      </c>
      <c r="I2026" s="47">
        <v>0</v>
      </c>
      <c r="J2026" s="47">
        <v>0</v>
      </c>
      <c r="K2026" s="47">
        <v>8.0000000000000004E-4</v>
      </c>
      <c r="L2026" s="47">
        <f t="shared" si="117"/>
        <v>3.3278236914600559E-4</v>
      </c>
      <c r="M2026" s="47">
        <f t="shared" si="114"/>
        <v>2.7512566572546215E-3</v>
      </c>
      <c r="N2026" s="47">
        <v>0</v>
      </c>
      <c r="O2026" s="47">
        <v>0</v>
      </c>
      <c r="P2026" s="92"/>
    </row>
    <row r="2027" spans="1:16" x14ac:dyDescent="0.25">
      <c r="A2027" s="29">
        <v>54</v>
      </c>
      <c r="B2027" s="30">
        <v>437454.10856199998</v>
      </c>
      <c r="C2027" s="30">
        <v>5688988.3324180003</v>
      </c>
      <c r="D2027" s="30">
        <v>25</v>
      </c>
      <c r="E2027" s="30" t="s">
        <v>33</v>
      </c>
      <c r="F2027" s="46">
        <v>2017</v>
      </c>
      <c r="G2027" s="47">
        <v>2.9700000000000001E-2</v>
      </c>
      <c r="H2027" s="47">
        <f t="shared" si="116"/>
        <v>9.9560825091411561E-3</v>
      </c>
      <c r="I2027" s="47">
        <v>0</v>
      </c>
      <c r="J2027" s="47">
        <v>0</v>
      </c>
      <c r="K2027" s="47">
        <v>1.6999999999999999E-3</v>
      </c>
      <c r="L2027" s="47">
        <f t="shared" si="117"/>
        <v>7.0716253443526178E-4</v>
      </c>
      <c r="M2027" s="47">
        <f t="shared" si="114"/>
        <v>9.2489199747058937E-3</v>
      </c>
      <c r="N2027" s="47">
        <v>0</v>
      </c>
      <c r="O2027" s="47">
        <v>0</v>
      </c>
      <c r="P2027" s="92"/>
    </row>
    <row r="2028" spans="1:16" x14ac:dyDescent="0.25">
      <c r="A2028" s="29">
        <v>55</v>
      </c>
      <c r="B2028" s="30">
        <v>438049.10856199998</v>
      </c>
      <c r="C2028" s="30">
        <v>5688988.3324180003</v>
      </c>
      <c r="D2028" s="30">
        <v>25</v>
      </c>
      <c r="E2028" s="30" t="s">
        <v>33</v>
      </c>
      <c r="F2028" s="46">
        <v>2017</v>
      </c>
      <c r="G2028" s="47">
        <v>4.58E-2</v>
      </c>
      <c r="H2028" s="47">
        <f t="shared" si="116"/>
        <v>1.5353150805342254E-2</v>
      </c>
      <c r="I2028" s="47">
        <v>0</v>
      </c>
      <c r="J2028" s="47">
        <v>0</v>
      </c>
      <c r="K2028" s="47">
        <v>1.2999999999999999E-2</v>
      </c>
      <c r="L2028" s="47">
        <f t="shared" si="117"/>
        <v>5.4077134986225909E-3</v>
      </c>
      <c r="M2028" s="47">
        <f t="shared" si="114"/>
        <v>9.9454373067196632E-3</v>
      </c>
      <c r="N2028" s="47">
        <v>0</v>
      </c>
      <c r="O2028" s="47">
        <v>0</v>
      </c>
      <c r="P2028" s="92"/>
    </row>
    <row r="2029" spans="1:16" x14ac:dyDescent="0.25">
      <c r="A2029" s="29">
        <v>56</v>
      </c>
      <c r="B2029" s="30">
        <v>438168.10856199998</v>
      </c>
      <c r="C2029" s="30">
        <v>5688988.3324180003</v>
      </c>
      <c r="D2029" s="30">
        <v>25</v>
      </c>
      <c r="E2029" s="30" t="s">
        <v>33</v>
      </c>
      <c r="F2029" s="46">
        <v>2017</v>
      </c>
      <c r="G2029" s="47">
        <v>6.1999999999999998E-3</v>
      </c>
      <c r="H2029" s="47">
        <f t="shared" si="116"/>
        <v>2.0783741264873792E-3</v>
      </c>
      <c r="I2029" s="47">
        <v>0</v>
      </c>
      <c r="J2029" s="47">
        <v>0</v>
      </c>
      <c r="K2029" s="47">
        <v>4.0000000000000002E-4</v>
      </c>
      <c r="L2029" s="47">
        <f t="shared" si="117"/>
        <v>1.663911845730028E-4</v>
      </c>
      <c r="M2029" s="47">
        <f t="shared" si="114"/>
        <v>1.9119829419143764E-3</v>
      </c>
      <c r="N2029" s="47">
        <v>0</v>
      </c>
      <c r="O2029" s="47">
        <v>0</v>
      </c>
      <c r="P2029" s="92"/>
    </row>
    <row r="2030" spans="1:16" x14ac:dyDescent="0.25">
      <c r="A2030" s="40">
        <v>57</v>
      </c>
      <c r="B2030" s="41">
        <v>438146</v>
      </c>
      <c r="C2030" s="41">
        <v>5688977</v>
      </c>
      <c r="D2030" s="41">
        <v>25</v>
      </c>
      <c r="E2030" s="41" t="s">
        <v>33</v>
      </c>
      <c r="F2030" s="50">
        <v>2017</v>
      </c>
      <c r="G2030" s="51">
        <v>3.9200000000000006E-2</v>
      </c>
      <c r="H2030" s="51">
        <f t="shared" si="116"/>
        <v>1.314068802553311E-2</v>
      </c>
      <c r="I2030" s="51">
        <v>0</v>
      </c>
      <c r="J2030" s="51">
        <v>0</v>
      </c>
      <c r="K2030" s="51">
        <v>5.7999999999999996E-3</v>
      </c>
      <c r="L2030" s="51">
        <f t="shared" si="117"/>
        <v>2.4126721763085405E-3</v>
      </c>
      <c r="M2030" s="51">
        <f t="shared" si="114"/>
        <v>1.072801584922457E-2</v>
      </c>
      <c r="N2030" s="51">
        <v>0</v>
      </c>
      <c r="O2030" s="51">
        <v>0</v>
      </c>
      <c r="P2030" s="101"/>
    </row>
    <row r="2031" spans="1:16" x14ac:dyDescent="0.25">
      <c r="A2031" s="40">
        <v>58</v>
      </c>
      <c r="B2031" s="41">
        <v>438131</v>
      </c>
      <c r="C2031" s="41">
        <v>5688972</v>
      </c>
      <c r="D2031" s="41">
        <v>25</v>
      </c>
      <c r="E2031" s="41" t="s">
        <v>33</v>
      </c>
      <c r="F2031" s="50">
        <v>2017</v>
      </c>
      <c r="G2031" s="51">
        <v>5.9499999999999997E-2</v>
      </c>
      <c r="H2031" s="51">
        <f t="shared" si="116"/>
        <v>1.9945687181612753E-2</v>
      </c>
      <c r="I2031" s="51">
        <v>0</v>
      </c>
      <c r="J2031" s="51">
        <v>0</v>
      </c>
      <c r="K2031" s="51">
        <v>8.5000000000000006E-3</v>
      </c>
      <c r="L2031" s="51">
        <f t="shared" si="117"/>
        <v>3.5358126721763096E-3</v>
      </c>
      <c r="M2031" s="51">
        <f t="shared" si="114"/>
        <v>1.6409874509436442E-2</v>
      </c>
      <c r="N2031" s="51">
        <v>0</v>
      </c>
      <c r="O2031" s="51">
        <v>0</v>
      </c>
      <c r="P2031" s="101"/>
    </row>
    <row r="2032" spans="1:16" x14ac:dyDescent="0.25">
      <c r="A2032" s="40">
        <v>59</v>
      </c>
      <c r="B2032" s="41">
        <v>438089</v>
      </c>
      <c r="C2032" s="41">
        <v>5688713</v>
      </c>
      <c r="D2032" s="41">
        <v>25</v>
      </c>
      <c r="E2032" s="41" t="s">
        <v>33</v>
      </c>
      <c r="F2032" s="50">
        <v>2017</v>
      </c>
      <c r="G2032" s="51">
        <v>5.8999999999999997E-2</v>
      </c>
      <c r="H2032" s="51">
        <f t="shared" si="116"/>
        <v>1.9778076364960543E-2</v>
      </c>
      <c r="I2032" s="51">
        <v>0</v>
      </c>
      <c r="J2032" s="51">
        <v>0</v>
      </c>
      <c r="K2032" s="51">
        <v>1.4E-3</v>
      </c>
      <c r="L2032" s="51">
        <f t="shared" si="117"/>
        <v>5.8236914600550977E-4</v>
      </c>
      <c r="M2032" s="51">
        <f t="shared" si="114"/>
        <v>1.9195707218955034E-2</v>
      </c>
      <c r="N2032" s="51">
        <v>0</v>
      </c>
      <c r="O2032" s="51">
        <v>0</v>
      </c>
      <c r="P2032" s="101"/>
    </row>
    <row r="2033" spans="1:19" x14ac:dyDescent="0.25">
      <c r="A2033" s="40">
        <v>60</v>
      </c>
      <c r="B2033" s="41">
        <v>438099</v>
      </c>
      <c r="C2033" s="41">
        <v>5688719</v>
      </c>
      <c r="D2033" s="41">
        <v>25</v>
      </c>
      <c r="E2033" s="41" t="s">
        <v>33</v>
      </c>
      <c r="F2033" s="50">
        <v>2017</v>
      </c>
      <c r="G2033" s="51">
        <v>8.7800000000000003E-2</v>
      </c>
      <c r="H2033" s="51">
        <f t="shared" si="116"/>
        <v>2.9432459404127725E-2</v>
      </c>
      <c r="I2033" s="51">
        <v>0</v>
      </c>
      <c r="J2033" s="51">
        <v>0</v>
      </c>
      <c r="K2033" s="51">
        <v>1.9E-3</v>
      </c>
      <c r="L2033" s="51">
        <f t="shared" si="117"/>
        <v>7.903581267217633E-4</v>
      </c>
      <c r="M2033" s="51">
        <f t="shared" si="114"/>
        <v>2.8642101277405962E-2</v>
      </c>
      <c r="N2033" s="51">
        <v>0</v>
      </c>
      <c r="O2033" s="51">
        <v>0</v>
      </c>
      <c r="P2033" s="101"/>
    </row>
    <row r="2034" spans="1:19" x14ac:dyDescent="0.25">
      <c r="A2034" s="42">
        <v>1</v>
      </c>
      <c r="B2034" s="43">
        <v>437930.10856199998</v>
      </c>
      <c r="C2034" s="43">
        <v>5688036.3324180003</v>
      </c>
      <c r="D2034" s="44">
        <v>31</v>
      </c>
      <c r="E2034" s="44" t="s">
        <v>36</v>
      </c>
      <c r="F2034" s="44">
        <v>2017</v>
      </c>
      <c r="G2034" s="44" t="s">
        <v>18</v>
      </c>
      <c r="H2034" s="44" t="s">
        <v>18</v>
      </c>
      <c r="I2034" s="44" t="s">
        <v>18</v>
      </c>
      <c r="J2034" s="44" t="s">
        <v>18</v>
      </c>
      <c r="K2034" s="44" t="s">
        <v>18</v>
      </c>
      <c r="L2034" s="44" t="s">
        <v>18</v>
      </c>
      <c r="M2034" s="44" t="s">
        <v>18</v>
      </c>
      <c r="N2034" s="44" t="s">
        <v>18</v>
      </c>
      <c r="O2034" s="44" t="s">
        <v>18</v>
      </c>
      <c r="P2034" s="102" t="s">
        <v>109</v>
      </c>
      <c r="R2034" s="5">
        <f>AVERAGE(M2034:M2093)</f>
        <v>1.1911491053429845E-2</v>
      </c>
      <c r="S2034" s="5">
        <f>AVERAGE(H2034:H2093)</f>
        <v>2.0155776552110451E-2</v>
      </c>
    </row>
    <row r="2035" spans="1:19" x14ac:dyDescent="0.25">
      <c r="A2035" s="42">
        <v>2</v>
      </c>
      <c r="B2035" s="43">
        <v>437811.10856199998</v>
      </c>
      <c r="C2035" s="43">
        <v>5688155.3324180003</v>
      </c>
      <c r="D2035" s="44">
        <v>31</v>
      </c>
      <c r="E2035" s="44" t="s">
        <v>36</v>
      </c>
      <c r="F2035" s="44">
        <v>2017</v>
      </c>
      <c r="G2035" s="44" t="s">
        <v>18</v>
      </c>
      <c r="H2035" s="44" t="s">
        <v>18</v>
      </c>
      <c r="I2035" s="44" t="s">
        <v>18</v>
      </c>
      <c r="J2035" s="44" t="s">
        <v>18</v>
      </c>
      <c r="K2035" s="44" t="s">
        <v>18</v>
      </c>
      <c r="L2035" s="44" t="s">
        <v>18</v>
      </c>
      <c r="M2035" s="44" t="s">
        <v>18</v>
      </c>
      <c r="N2035" s="44" t="s">
        <v>18</v>
      </c>
      <c r="O2035" s="44" t="s">
        <v>18</v>
      </c>
      <c r="P2035" s="102" t="s">
        <v>109</v>
      </c>
    </row>
    <row r="2036" spans="1:19" x14ac:dyDescent="0.25">
      <c r="A2036" s="29">
        <v>3</v>
      </c>
      <c r="B2036" s="30">
        <v>437930.10856199998</v>
      </c>
      <c r="C2036" s="30">
        <v>5688155.3324180003</v>
      </c>
      <c r="D2036" s="30">
        <v>31</v>
      </c>
      <c r="E2036" s="30" t="s">
        <v>36</v>
      </c>
      <c r="F2036" s="46">
        <v>2017</v>
      </c>
      <c r="G2036" s="47">
        <v>8.8999999999999999E-3</v>
      </c>
      <c r="H2036" s="47">
        <f>G2036*0.254087453808007</f>
        <v>2.2613783388912624E-3</v>
      </c>
      <c r="I2036" s="47">
        <v>0</v>
      </c>
      <c r="J2036" s="47">
        <f>I2036*0.347653845868271</f>
        <v>0</v>
      </c>
      <c r="K2036" s="47">
        <v>1.89E-2</v>
      </c>
      <c r="L2036" s="47">
        <f>K2036*0.382774152544705</f>
        <v>7.2344314830949238E-3</v>
      </c>
      <c r="M2036" s="47">
        <f>H2036-L2036</f>
        <v>-4.973053144203661E-3</v>
      </c>
      <c r="N2036" s="47">
        <v>4.8299999999999996E-2</v>
      </c>
      <c r="O2036" s="47">
        <f>N2036*0.357049916998484</f>
        <v>1.7245510991026777E-2</v>
      </c>
      <c r="P2036" s="92"/>
    </row>
    <row r="2037" spans="1:19" x14ac:dyDescent="0.25">
      <c r="A2037" s="42">
        <v>4</v>
      </c>
      <c r="B2037" s="43">
        <v>438049.10856199998</v>
      </c>
      <c r="C2037" s="43">
        <v>5688155.3324180003</v>
      </c>
      <c r="D2037" s="44">
        <v>31</v>
      </c>
      <c r="E2037" s="44" t="s">
        <v>36</v>
      </c>
      <c r="F2037" s="44">
        <v>2017</v>
      </c>
      <c r="G2037" s="44" t="s">
        <v>18</v>
      </c>
      <c r="H2037" s="44" t="s">
        <v>18</v>
      </c>
      <c r="I2037" s="44" t="s">
        <v>18</v>
      </c>
      <c r="J2037" s="44" t="s">
        <v>18</v>
      </c>
      <c r="K2037" s="44" t="s">
        <v>18</v>
      </c>
      <c r="L2037" s="44" t="s">
        <v>18</v>
      </c>
      <c r="M2037" s="44" t="s">
        <v>18</v>
      </c>
      <c r="N2037" s="44" t="s">
        <v>18</v>
      </c>
      <c r="O2037" s="44" t="s">
        <v>18</v>
      </c>
      <c r="P2037" s="102" t="s">
        <v>109</v>
      </c>
    </row>
    <row r="2038" spans="1:19" x14ac:dyDescent="0.25">
      <c r="A2038" s="42">
        <v>5</v>
      </c>
      <c r="B2038" s="43">
        <v>437573.10856199998</v>
      </c>
      <c r="C2038" s="43">
        <v>5688274.3324180003</v>
      </c>
      <c r="D2038" s="44">
        <v>31</v>
      </c>
      <c r="E2038" s="44" t="s">
        <v>36</v>
      </c>
      <c r="F2038" s="44">
        <v>2017</v>
      </c>
      <c r="G2038" s="44" t="s">
        <v>18</v>
      </c>
      <c r="H2038" s="44" t="s">
        <v>18</v>
      </c>
      <c r="I2038" s="44" t="s">
        <v>18</v>
      </c>
      <c r="J2038" s="44" t="s">
        <v>18</v>
      </c>
      <c r="K2038" s="44" t="s">
        <v>18</v>
      </c>
      <c r="L2038" s="44" t="s">
        <v>18</v>
      </c>
      <c r="M2038" s="44" t="s">
        <v>18</v>
      </c>
      <c r="N2038" s="44" t="s">
        <v>18</v>
      </c>
      <c r="O2038" s="44" t="s">
        <v>18</v>
      </c>
      <c r="P2038" s="102" t="s">
        <v>109</v>
      </c>
    </row>
    <row r="2039" spans="1:19" x14ac:dyDescent="0.25">
      <c r="A2039" s="29">
        <v>6</v>
      </c>
      <c r="B2039" s="30">
        <v>437692.10856199998</v>
      </c>
      <c r="C2039" s="30">
        <v>5688274.3324180003</v>
      </c>
      <c r="D2039" s="30">
        <v>31</v>
      </c>
      <c r="E2039" s="30" t="s">
        <v>36</v>
      </c>
      <c r="F2039" s="46">
        <v>2017</v>
      </c>
      <c r="G2039" s="47">
        <v>0.10299999999999999</v>
      </c>
      <c r="H2039" s="47">
        <f t="shared" ref="H2039:H2068" si="118">G2039*0.254087453808007</f>
        <v>2.6171007742224722E-2</v>
      </c>
      <c r="I2039" s="47">
        <v>0.28699999999999998</v>
      </c>
      <c r="J2039" s="47">
        <f t="shared" ref="J2039:J2068" si="119">I2039*0.347653845868271</f>
        <v>9.9776653764193771E-2</v>
      </c>
      <c r="K2039" s="54">
        <v>1.66E-2</v>
      </c>
      <c r="L2039" s="47">
        <f t="shared" ref="L2039:L2068" si="120">K2039*0.382774152544705</f>
        <v>6.3540509322421029E-3</v>
      </c>
      <c r="M2039" s="47">
        <f t="shared" ref="M2039:M2093" si="121">H2039-L2039</f>
        <v>1.9816956809982619E-2</v>
      </c>
      <c r="N2039" s="47">
        <v>1.5099999999999999E-2</v>
      </c>
      <c r="O2039" s="47">
        <f t="shared" ref="O2039:O2068" si="122">N2039*0.357049916998484</f>
        <v>5.3914537466771073E-3</v>
      </c>
      <c r="P2039" s="92"/>
    </row>
    <row r="2040" spans="1:19" x14ac:dyDescent="0.25">
      <c r="A2040" s="29">
        <v>7</v>
      </c>
      <c r="B2040" s="30">
        <v>437811.10856199998</v>
      </c>
      <c r="C2040" s="30">
        <v>5688274.3324180003</v>
      </c>
      <c r="D2040" s="30">
        <v>31</v>
      </c>
      <c r="E2040" s="30" t="s">
        <v>36</v>
      </c>
      <c r="F2040" s="46">
        <v>2017</v>
      </c>
      <c r="G2040" s="47">
        <v>4.0000000000000001E-3</v>
      </c>
      <c r="H2040" s="47">
        <f t="shared" si="118"/>
        <v>1.0163498152320281E-3</v>
      </c>
      <c r="I2040" s="47">
        <v>3.5999999999999999E-3</v>
      </c>
      <c r="J2040" s="47">
        <f t="shared" si="119"/>
        <v>1.2515538451257757E-3</v>
      </c>
      <c r="K2040" s="47">
        <v>1.6999999999999999E-3</v>
      </c>
      <c r="L2040" s="47">
        <f t="shared" si="120"/>
        <v>6.507160593259984E-4</v>
      </c>
      <c r="M2040" s="47">
        <f t="shared" si="121"/>
        <v>3.6563375590602969E-4</v>
      </c>
      <c r="N2040" s="47">
        <v>5.9700000000000003E-2</v>
      </c>
      <c r="O2040" s="47">
        <f t="shared" si="122"/>
        <v>2.1315880044809495E-2</v>
      </c>
      <c r="P2040" s="92"/>
    </row>
    <row r="2041" spans="1:19" x14ac:dyDescent="0.25">
      <c r="A2041" s="42">
        <v>8</v>
      </c>
      <c r="B2041" s="43">
        <v>437930.10856199998</v>
      </c>
      <c r="C2041" s="43">
        <v>5688274.3324180003</v>
      </c>
      <c r="D2041" s="44">
        <v>31</v>
      </c>
      <c r="E2041" s="44" t="s">
        <v>36</v>
      </c>
      <c r="F2041" s="44">
        <v>2017</v>
      </c>
      <c r="G2041" s="44" t="s">
        <v>18</v>
      </c>
      <c r="H2041" s="44" t="s">
        <v>18</v>
      </c>
      <c r="I2041" s="44" t="s">
        <v>18</v>
      </c>
      <c r="J2041" s="44" t="s">
        <v>18</v>
      </c>
      <c r="K2041" s="44" t="s">
        <v>18</v>
      </c>
      <c r="L2041" s="44" t="s">
        <v>18</v>
      </c>
      <c r="M2041" s="44" t="s">
        <v>18</v>
      </c>
      <c r="N2041" s="44" t="s">
        <v>18</v>
      </c>
      <c r="O2041" s="44" t="s">
        <v>18</v>
      </c>
      <c r="P2041" s="102" t="s">
        <v>109</v>
      </c>
    </row>
    <row r="2042" spans="1:19" x14ac:dyDescent="0.25">
      <c r="A2042" s="29">
        <v>9</v>
      </c>
      <c r="B2042" s="30">
        <v>438287.10856199998</v>
      </c>
      <c r="C2042" s="30">
        <v>5688274.3324180003</v>
      </c>
      <c r="D2042" s="30">
        <v>31</v>
      </c>
      <c r="E2042" s="30" t="s">
        <v>36</v>
      </c>
      <c r="F2042" s="46">
        <v>2017</v>
      </c>
      <c r="G2042" s="47">
        <v>3.3700000000000001E-2</v>
      </c>
      <c r="H2042" s="47">
        <f t="shared" si="118"/>
        <v>8.5627471933298373E-3</v>
      </c>
      <c r="I2042" s="47">
        <v>0</v>
      </c>
      <c r="J2042" s="47">
        <f t="shared" si="119"/>
        <v>0</v>
      </c>
      <c r="K2042" s="47">
        <v>0</v>
      </c>
      <c r="L2042" s="47">
        <f t="shared" si="120"/>
        <v>0</v>
      </c>
      <c r="M2042" s="47">
        <f t="shared" si="121"/>
        <v>8.5627471933298373E-3</v>
      </c>
      <c r="N2042" s="47">
        <v>1.11E-2</v>
      </c>
      <c r="O2042" s="47">
        <f t="shared" si="122"/>
        <v>3.9632540786831722E-3</v>
      </c>
      <c r="P2042" s="92"/>
    </row>
    <row r="2043" spans="1:19" x14ac:dyDescent="0.25">
      <c r="A2043" s="29">
        <v>10</v>
      </c>
      <c r="B2043" s="30">
        <v>438406.10856199998</v>
      </c>
      <c r="C2043" s="30">
        <v>5688274.3324180003</v>
      </c>
      <c r="D2043" s="30">
        <v>31</v>
      </c>
      <c r="E2043" s="30" t="s">
        <v>36</v>
      </c>
      <c r="F2043" s="46">
        <v>2017</v>
      </c>
      <c r="G2043" s="47">
        <v>8.8999999999999996E-2</v>
      </c>
      <c r="H2043" s="47">
        <f t="shared" si="118"/>
        <v>2.2613783388912623E-2</v>
      </c>
      <c r="I2043" s="47">
        <v>0</v>
      </c>
      <c r="J2043" s="47">
        <f t="shared" si="119"/>
        <v>0</v>
      </c>
      <c r="K2043" s="47">
        <v>2.9499999999999998E-2</v>
      </c>
      <c r="L2043" s="47">
        <f t="shared" si="120"/>
        <v>1.1291837500068796E-2</v>
      </c>
      <c r="M2043" s="47">
        <f t="shared" si="121"/>
        <v>1.1321945888843827E-2</v>
      </c>
      <c r="N2043" s="47">
        <v>0</v>
      </c>
      <c r="O2043" s="47">
        <f t="shared" si="122"/>
        <v>0</v>
      </c>
      <c r="P2043" s="92"/>
    </row>
    <row r="2044" spans="1:19" x14ac:dyDescent="0.25">
      <c r="A2044" s="42">
        <v>11</v>
      </c>
      <c r="B2044" s="43">
        <v>437454.10856199998</v>
      </c>
      <c r="C2044" s="43">
        <v>5688393.3324180003</v>
      </c>
      <c r="D2044" s="44">
        <v>31</v>
      </c>
      <c r="E2044" s="44" t="s">
        <v>36</v>
      </c>
      <c r="F2044" s="44">
        <v>2017</v>
      </c>
      <c r="G2044" s="44" t="s">
        <v>18</v>
      </c>
      <c r="H2044" s="44" t="s">
        <v>18</v>
      </c>
      <c r="I2044" s="44" t="s">
        <v>18</v>
      </c>
      <c r="J2044" s="44" t="s">
        <v>18</v>
      </c>
      <c r="K2044" s="44" t="s">
        <v>18</v>
      </c>
      <c r="L2044" s="44" t="s">
        <v>18</v>
      </c>
      <c r="M2044" s="44" t="s">
        <v>18</v>
      </c>
      <c r="N2044" s="44" t="s">
        <v>18</v>
      </c>
      <c r="O2044" s="44" t="s">
        <v>18</v>
      </c>
      <c r="P2044" s="102" t="s">
        <v>109</v>
      </c>
    </row>
    <row r="2045" spans="1:19" x14ac:dyDescent="0.25">
      <c r="A2045" s="29">
        <v>12</v>
      </c>
      <c r="B2045" s="30">
        <v>437573.10856199998</v>
      </c>
      <c r="C2045" s="30">
        <v>5688393.3324180003</v>
      </c>
      <c r="D2045" s="30">
        <v>31</v>
      </c>
      <c r="E2045" s="30" t="s">
        <v>36</v>
      </c>
      <c r="F2045" s="46">
        <v>2017</v>
      </c>
      <c r="G2045" s="47">
        <v>4.1799999999999997E-2</v>
      </c>
      <c r="H2045" s="47">
        <f t="shared" si="118"/>
        <v>1.0620855569174692E-2</v>
      </c>
      <c r="I2045" s="47">
        <v>0</v>
      </c>
      <c r="J2045" s="47">
        <f t="shared" si="119"/>
        <v>0</v>
      </c>
      <c r="K2045" s="47">
        <v>2.5600000000000001E-2</v>
      </c>
      <c r="L2045" s="47">
        <f t="shared" si="120"/>
        <v>9.7990183051444475E-3</v>
      </c>
      <c r="M2045" s="47">
        <f t="shared" si="121"/>
        <v>8.2183726403024446E-4</v>
      </c>
      <c r="N2045" s="47">
        <v>0</v>
      </c>
      <c r="O2045" s="47">
        <f t="shared" si="122"/>
        <v>0</v>
      </c>
      <c r="P2045" s="92"/>
    </row>
    <row r="2046" spans="1:19" x14ac:dyDescent="0.25">
      <c r="A2046" s="29">
        <v>13</v>
      </c>
      <c r="B2046" s="30">
        <v>437692.10856199998</v>
      </c>
      <c r="C2046" s="30">
        <v>5688393.3324180003</v>
      </c>
      <c r="D2046" s="30">
        <v>31</v>
      </c>
      <c r="E2046" s="30" t="s">
        <v>36</v>
      </c>
      <c r="F2046" s="46">
        <v>2017</v>
      </c>
      <c r="G2046" s="47">
        <v>8.5300000000000001E-2</v>
      </c>
      <c r="H2046" s="47">
        <f t="shared" si="118"/>
        <v>2.1673659809822998E-2</v>
      </c>
      <c r="I2046" s="47">
        <v>0.14859999999999998</v>
      </c>
      <c r="J2046" s="47">
        <f t="shared" si="119"/>
        <v>5.1661361496025071E-2</v>
      </c>
      <c r="K2046" s="47">
        <v>2.2200000000000001E-2</v>
      </c>
      <c r="L2046" s="47">
        <f t="shared" si="120"/>
        <v>8.4975861864924514E-3</v>
      </c>
      <c r="M2046" s="47">
        <f t="shared" si="121"/>
        <v>1.3176073623330547E-2</v>
      </c>
      <c r="N2046" s="47">
        <v>2.6800000000000001E-2</v>
      </c>
      <c r="O2046" s="47">
        <f t="shared" si="122"/>
        <v>9.5689377755593715E-3</v>
      </c>
      <c r="P2046" s="92"/>
    </row>
    <row r="2047" spans="1:19" x14ac:dyDescent="0.25">
      <c r="A2047" s="32">
        <v>14</v>
      </c>
      <c r="B2047" s="33">
        <v>437811.10856199998</v>
      </c>
      <c r="C2047" s="33">
        <v>5688393.3324180003</v>
      </c>
      <c r="D2047" s="48">
        <v>31</v>
      </c>
      <c r="E2047" s="48" t="s">
        <v>36</v>
      </c>
      <c r="F2047" s="48">
        <v>2017</v>
      </c>
      <c r="G2047" s="48" t="s">
        <v>18</v>
      </c>
      <c r="H2047" s="48" t="s">
        <v>18</v>
      </c>
      <c r="I2047" s="48" t="s">
        <v>18</v>
      </c>
      <c r="J2047" s="48" t="s">
        <v>18</v>
      </c>
      <c r="K2047" s="48" t="s">
        <v>18</v>
      </c>
      <c r="L2047" s="48" t="s">
        <v>18</v>
      </c>
      <c r="M2047" s="48" t="s">
        <v>18</v>
      </c>
      <c r="N2047" s="48" t="s">
        <v>18</v>
      </c>
      <c r="O2047" s="48" t="s">
        <v>18</v>
      </c>
      <c r="P2047" s="103" t="s">
        <v>89</v>
      </c>
    </row>
    <row r="2048" spans="1:19" x14ac:dyDescent="0.25">
      <c r="A2048" s="29">
        <v>15</v>
      </c>
      <c r="B2048" s="30">
        <v>437930.10856199998</v>
      </c>
      <c r="C2048" s="30">
        <v>5688393.3324180003</v>
      </c>
      <c r="D2048" s="30">
        <v>31</v>
      </c>
      <c r="E2048" s="30" t="s">
        <v>36</v>
      </c>
      <c r="F2048" s="46">
        <v>2017</v>
      </c>
      <c r="G2048" s="47">
        <v>8.1099999999999992E-2</v>
      </c>
      <c r="H2048" s="47">
        <f t="shared" si="118"/>
        <v>2.0606492503829368E-2</v>
      </c>
      <c r="I2048" s="47">
        <v>0</v>
      </c>
      <c r="J2048" s="47">
        <f t="shared" si="119"/>
        <v>0</v>
      </c>
      <c r="K2048" s="47">
        <v>4.8899999999999999E-2</v>
      </c>
      <c r="L2048" s="47">
        <f t="shared" si="120"/>
        <v>1.8717656059436073E-2</v>
      </c>
      <c r="M2048" s="47">
        <f t="shared" si="121"/>
        <v>1.8888364443932944E-3</v>
      </c>
      <c r="N2048" s="47">
        <v>0.1278</v>
      </c>
      <c r="O2048" s="47">
        <f t="shared" si="122"/>
        <v>4.5630979392406255E-2</v>
      </c>
      <c r="P2048" s="92"/>
    </row>
    <row r="2049" spans="1:16" x14ac:dyDescent="0.25">
      <c r="A2049" s="29">
        <v>16</v>
      </c>
      <c r="B2049" s="30">
        <v>438049.10856199998</v>
      </c>
      <c r="C2049" s="30">
        <v>5688393.3324180003</v>
      </c>
      <c r="D2049" s="30">
        <v>31</v>
      </c>
      <c r="E2049" s="30" t="s">
        <v>36</v>
      </c>
      <c r="F2049" s="46">
        <v>2017</v>
      </c>
      <c r="G2049" s="47">
        <v>7.1199999999999999E-2</v>
      </c>
      <c r="H2049" s="47">
        <f t="shared" si="118"/>
        <v>1.8091026711130099E-2</v>
      </c>
      <c r="I2049" s="47">
        <v>0.1065</v>
      </c>
      <c r="J2049" s="47">
        <f t="shared" si="119"/>
        <v>3.7025134584970865E-2</v>
      </c>
      <c r="K2049" s="47">
        <v>3.6499999999999998E-2</v>
      </c>
      <c r="L2049" s="47">
        <f t="shared" si="120"/>
        <v>1.3971256567881731E-2</v>
      </c>
      <c r="M2049" s="47">
        <f t="shared" si="121"/>
        <v>4.1197701432483681E-3</v>
      </c>
      <c r="N2049" s="47">
        <v>5.8999999999999997E-2</v>
      </c>
      <c r="O2049" s="47">
        <f t="shared" si="122"/>
        <v>2.1065945102910554E-2</v>
      </c>
      <c r="P2049" s="92"/>
    </row>
    <row r="2050" spans="1:16" x14ac:dyDescent="0.25">
      <c r="A2050" s="29">
        <v>17</v>
      </c>
      <c r="B2050" s="30">
        <v>438168.10856199998</v>
      </c>
      <c r="C2050" s="30">
        <v>5688393.3324180003</v>
      </c>
      <c r="D2050" s="30">
        <v>31</v>
      </c>
      <c r="E2050" s="30" t="s">
        <v>36</v>
      </c>
      <c r="F2050" s="46">
        <v>2017</v>
      </c>
      <c r="G2050" s="47">
        <v>6.7799999999999999E-2</v>
      </c>
      <c r="H2050" s="47">
        <f t="shared" si="118"/>
        <v>1.7227129368182874E-2</v>
      </c>
      <c r="I2050" s="47">
        <v>1.6800000000000002E-2</v>
      </c>
      <c r="J2050" s="47">
        <f t="shared" si="119"/>
        <v>5.8405846105869545E-3</v>
      </c>
      <c r="K2050" s="47">
        <v>1.8800000000000001E-2</v>
      </c>
      <c r="L2050" s="47">
        <f t="shared" si="120"/>
        <v>7.1961540678404544E-3</v>
      </c>
      <c r="M2050" s="47">
        <f t="shared" si="121"/>
        <v>1.0030975300342419E-2</v>
      </c>
      <c r="N2050" s="47">
        <v>4.2700000000000002E-2</v>
      </c>
      <c r="O2050" s="47">
        <f t="shared" si="122"/>
        <v>1.5246031455835267E-2</v>
      </c>
      <c r="P2050" s="92"/>
    </row>
    <row r="2051" spans="1:16" x14ac:dyDescent="0.25">
      <c r="A2051" s="29">
        <v>18</v>
      </c>
      <c r="B2051" s="30">
        <v>438287.10856199998</v>
      </c>
      <c r="C2051" s="30">
        <v>5688393.3324180003</v>
      </c>
      <c r="D2051" s="30">
        <v>31</v>
      </c>
      <c r="E2051" s="30" t="s">
        <v>36</v>
      </c>
      <c r="F2051" s="46">
        <v>2017</v>
      </c>
      <c r="G2051" s="47">
        <v>2.93E-2</v>
      </c>
      <c r="H2051" s="47">
        <f t="shared" si="118"/>
        <v>7.4447623965746054E-3</v>
      </c>
      <c r="I2051" s="47">
        <v>0</v>
      </c>
      <c r="J2051" s="47">
        <f t="shared" si="119"/>
        <v>0</v>
      </c>
      <c r="K2051" s="47">
        <v>1.2199999999999999E-2</v>
      </c>
      <c r="L2051" s="47">
        <f t="shared" si="120"/>
        <v>4.6698446610454001E-3</v>
      </c>
      <c r="M2051" s="47">
        <f t="shared" si="121"/>
        <v>2.7749177355292053E-3</v>
      </c>
      <c r="N2051" s="47">
        <v>0</v>
      </c>
      <c r="O2051" s="47">
        <f t="shared" si="122"/>
        <v>0</v>
      </c>
      <c r="P2051" s="92"/>
    </row>
    <row r="2052" spans="1:16" x14ac:dyDescent="0.25">
      <c r="A2052" s="29">
        <v>19</v>
      </c>
      <c r="B2052" s="30">
        <v>438406.10856199998</v>
      </c>
      <c r="C2052" s="30">
        <v>5688393.3324180003</v>
      </c>
      <c r="D2052" s="30">
        <v>31</v>
      </c>
      <c r="E2052" s="30" t="s">
        <v>36</v>
      </c>
      <c r="F2052" s="46">
        <v>2017</v>
      </c>
      <c r="G2052" s="47">
        <v>0.16340000000000002</v>
      </c>
      <c r="H2052" s="47">
        <f t="shared" si="118"/>
        <v>4.1517889952228347E-2</v>
      </c>
      <c r="I2052" s="47">
        <v>0</v>
      </c>
      <c r="J2052" s="47">
        <f t="shared" si="119"/>
        <v>0</v>
      </c>
      <c r="K2052" s="47">
        <v>1.2199999999999999E-2</v>
      </c>
      <c r="L2052" s="47">
        <f t="shared" si="120"/>
        <v>4.6698446610454001E-3</v>
      </c>
      <c r="M2052" s="47">
        <f t="shared" si="121"/>
        <v>3.6848045291182949E-2</v>
      </c>
      <c r="N2052" s="47">
        <v>0</v>
      </c>
      <c r="O2052" s="47">
        <f t="shared" si="122"/>
        <v>0</v>
      </c>
      <c r="P2052" s="92"/>
    </row>
    <row r="2053" spans="1:16" x14ac:dyDescent="0.25">
      <c r="A2053" s="42">
        <v>20</v>
      </c>
      <c r="B2053" s="43">
        <v>437335.10856199998</v>
      </c>
      <c r="C2053" s="43">
        <v>5688512.3324180003</v>
      </c>
      <c r="D2053" s="44">
        <v>31</v>
      </c>
      <c r="E2053" s="44" t="s">
        <v>36</v>
      </c>
      <c r="F2053" s="44">
        <v>2017</v>
      </c>
      <c r="G2053" s="44" t="s">
        <v>18</v>
      </c>
      <c r="H2053" s="44" t="s">
        <v>18</v>
      </c>
      <c r="I2053" s="44" t="s">
        <v>18</v>
      </c>
      <c r="J2053" s="44" t="s">
        <v>18</v>
      </c>
      <c r="K2053" s="44" t="s">
        <v>18</v>
      </c>
      <c r="L2053" s="44" t="s">
        <v>18</v>
      </c>
      <c r="M2053" s="44" t="s">
        <v>18</v>
      </c>
      <c r="N2053" s="44" t="s">
        <v>18</v>
      </c>
      <c r="O2053" s="44" t="s">
        <v>18</v>
      </c>
      <c r="P2053" s="102" t="s">
        <v>109</v>
      </c>
    </row>
    <row r="2054" spans="1:16" x14ac:dyDescent="0.25">
      <c r="A2054" s="29">
        <v>21</v>
      </c>
      <c r="B2054" s="30">
        <v>437454.10856199998</v>
      </c>
      <c r="C2054" s="30">
        <v>5688512.3324180003</v>
      </c>
      <c r="D2054" s="30">
        <v>31</v>
      </c>
      <c r="E2054" s="30" t="s">
        <v>36</v>
      </c>
      <c r="F2054" s="46">
        <v>2017</v>
      </c>
      <c r="G2054" s="47">
        <v>4.4400000000000002E-2</v>
      </c>
      <c r="H2054" s="47">
        <f t="shared" si="118"/>
        <v>1.1281482949075512E-2</v>
      </c>
      <c r="I2054" s="47">
        <v>0</v>
      </c>
      <c r="J2054" s="47">
        <f t="shared" si="119"/>
        <v>0</v>
      </c>
      <c r="K2054" s="47">
        <v>2.07E-2</v>
      </c>
      <c r="L2054" s="47">
        <f t="shared" si="120"/>
        <v>7.9234249576753922E-3</v>
      </c>
      <c r="M2054" s="47">
        <f t="shared" si="121"/>
        <v>3.3580579914001193E-3</v>
      </c>
      <c r="N2054" s="47">
        <v>0</v>
      </c>
      <c r="O2054" s="47">
        <f t="shared" si="122"/>
        <v>0</v>
      </c>
      <c r="P2054" s="92"/>
    </row>
    <row r="2055" spans="1:16" x14ac:dyDescent="0.25">
      <c r="A2055" s="29">
        <v>22</v>
      </c>
      <c r="B2055" s="30">
        <v>437573.10856199998</v>
      </c>
      <c r="C2055" s="30">
        <v>5688512.3324180003</v>
      </c>
      <c r="D2055" s="30">
        <v>31</v>
      </c>
      <c r="E2055" s="30" t="s">
        <v>36</v>
      </c>
      <c r="F2055" s="46">
        <v>2017</v>
      </c>
      <c r="G2055" s="47">
        <v>0.14299999999999999</v>
      </c>
      <c r="H2055" s="47">
        <f t="shared" si="118"/>
        <v>3.6334505894544997E-2</v>
      </c>
      <c r="I2055" s="47">
        <v>0.3977</v>
      </c>
      <c r="J2055" s="47">
        <f t="shared" si="119"/>
        <v>0.13826193450181137</v>
      </c>
      <c r="K2055" s="47">
        <v>4.3400000000000001E-2</v>
      </c>
      <c r="L2055" s="47">
        <f t="shared" si="120"/>
        <v>1.6612398220440198E-2</v>
      </c>
      <c r="M2055" s="47">
        <f t="shared" si="121"/>
        <v>1.9722107674104799E-2</v>
      </c>
      <c r="N2055" s="47">
        <v>2.1299999999999999E-2</v>
      </c>
      <c r="O2055" s="47">
        <f t="shared" si="122"/>
        <v>7.6051632320677087E-3</v>
      </c>
      <c r="P2055" s="92"/>
    </row>
    <row r="2056" spans="1:16" x14ac:dyDescent="0.25">
      <c r="A2056" s="29">
        <v>23</v>
      </c>
      <c r="B2056" s="30">
        <v>437692.10856199998</v>
      </c>
      <c r="C2056" s="30">
        <v>5688512.3324180003</v>
      </c>
      <c r="D2056" s="30">
        <v>31</v>
      </c>
      <c r="E2056" s="30" t="s">
        <v>36</v>
      </c>
      <c r="F2056" s="46">
        <v>2017</v>
      </c>
      <c r="G2056" s="47">
        <v>4.5999999999999999E-3</v>
      </c>
      <c r="H2056" s="47">
        <f t="shared" si="118"/>
        <v>1.1688022875168322E-3</v>
      </c>
      <c r="I2056" s="47">
        <v>0</v>
      </c>
      <c r="J2056" s="47">
        <f t="shared" si="119"/>
        <v>0</v>
      </c>
      <c r="K2056" s="47">
        <v>1.43E-2</v>
      </c>
      <c r="L2056" s="47">
        <f t="shared" si="120"/>
        <v>5.4736703813892812E-3</v>
      </c>
      <c r="M2056" s="47">
        <f>H2056-L2056</f>
        <v>-4.3048680938724488E-3</v>
      </c>
      <c r="N2056" s="47">
        <v>0</v>
      </c>
      <c r="O2056" s="47">
        <f t="shared" si="122"/>
        <v>0</v>
      </c>
      <c r="P2056" s="92"/>
    </row>
    <row r="2057" spans="1:16" x14ac:dyDescent="0.25">
      <c r="A2057" s="29">
        <v>24</v>
      </c>
      <c r="B2057" s="30">
        <v>437811.10856199998</v>
      </c>
      <c r="C2057" s="30">
        <v>5688512.3324180003</v>
      </c>
      <c r="D2057" s="30">
        <v>31</v>
      </c>
      <c r="E2057" s="30" t="s">
        <v>36</v>
      </c>
      <c r="F2057" s="46">
        <v>2017</v>
      </c>
      <c r="G2057" s="47">
        <v>0.21909999999999999</v>
      </c>
      <c r="H2057" s="47">
        <f t="shared" si="118"/>
        <v>5.5670561129334335E-2</v>
      </c>
      <c r="I2057" s="47">
        <v>0</v>
      </c>
      <c r="J2057" s="47">
        <f t="shared" si="119"/>
        <v>0</v>
      </c>
      <c r="K2057" s="47">
        <v>5.8599999999999999E-2</v>
      </c>
      <c r="L2057" s="47">
        <f t="shared" si="120"/>
        <v>2.2430565339119711E-2</v>
      </c>
      <c r="M2057" s="47">
        <f t="shared" si="121"/>
        <v>3.3239995790214624E-2</v>
      </c>
      <c r="N2057" s="47">
        <v>0</v>
      </c>
      <c r="O2057" s="47">
        <f t="shared" si="122"/>
        <v>0</v>
      </c>
      <c r="P2057" s="92"/>
    </row>
    <row r="2058" spans="1:16" x14ac:dyDescent="0.25">
      <c r="A2058" s="29">
        <v>25</v>
      </c>
      <c r="B2058" s="46">
        <v>437995</v>
      </c>
      <c r="C2058" s="46">
        <v>5688493</v>
      </c>
      <c r="D2058" s="30">
        <v>31</v>
      </c>
      <c r="E2058" s="30" t="s">
        <v>36</v>
      </c>
      <c r="F2058" s="46">
        <v>2017</v>
      </c>
      <c r="G2058" s="47">
        <v>9.35E-2</v>
      </c>
      <c r="H2058" s="47">
        <f t="shared" si="118"/>
        <v>2.3757176931048656E-2</v>
      </c>
      <c r="I2058" s="47">
        <v>0</v>
      </c>
      <c r="J2058" s="47">
        <f t="shared" si="119"/>
        <v>0</v>
      </c>
      <c r="K2058" s="47">
        <v>3.6400000000000002E-2</v>
      </c>
      <c r="L2058" s="47">
        <f t="shared" si="120"/>
        <v>1.3932979152627261E-2</v>
      </c>
      <c r="M2058" s="47">
        <f t="shared" si="121"/>
        <v>9.8241977784213948E-3</v>
      </c>
      <c r="N2058" s="47">
        <v>0</v>
      </c>
      <c r="O2058" s="47">
        <f t="shared" si="122"/>
        <v>0</v>
      </c>
      <c r="P2058" s="92"/>
    </row>
    <row r="2059" spans="1:16" x14ac:dyDescent="0.25">
      <c r="A2059" s="29">
        <v>26</v>
      </c>
      <c r="B2059" s="46">
        <v>438112</v>
      </c>
      <c r="C2059" s="46">
        <v>5688567</v>
      </c>
      <c r="D2059" s="30">
        <v>31</v>
      </c>
      <c r="E2059" s="30" t="s">
        <v>36</v>
      </c>
      <c r="F2059" s="46">
        <v>2017</v>
      </c>
      <c r="G2059" s="47">
        <v>0.1154</v>
      </c>
      <c r="H2059" s="47">
        <f t="shared" si="118"/>
        <v>2.9321692169444011E-2</v>
      </c>
      <c r="I2059" s="47">
        <v>0</v>
      </c>
      <c r="J2059" s="47">
        <f t="shared" si="119"/>
        <v>0</v>
      </c>
      <c r="K2059" s="47">
        <v>3.8399999999999997E-2</v>
      </c>
      <c r="L2059" s="47">
        <f t="shared" si="120"/>
        <v>1.469852745771667E-2</v>
      </c>
      <c r="M2059" s="47">
        <f t="shared" si="121"/>
        <v>1.4623164711727341E-2</v>
      </c>
      <c r="N2059" s="47">
        <v>0</v>
      </c>
      <c r="O2059" s="47">
        <f t="shared" si="122"/>
        <v>0</v>
      </c>
      <c r="P2059" s="92"/>
    </row>
    <row r="2060" spans="1:16" x14ac:dyDescent="0.25">
      <c r="A2060" s="32">
        <v>27</v>
      </c>
      <c r="B2060" s="33">
        <v>438168.10856199998</v>
      </c>
      <c r="C2060" s="33">
        <v>5688512.3324180003</v>
      </c>
      <c r="D2060" s="48">
        <v>31</v>
      </c>
      <c r="E2060" s="48" t="s">
        <v>36</v>
      </c>
      <c r="F2060" s="48">
        <v>2017</v>
      </c>
      <c r="G2060" s="48" t="s">
        <v>18</v>
      </c>
      <c r="H2060" s="48" t="s">
        <v>18</v>
      </c>
      <c r="I2060" s="48" t="s">
        <v>18</v>
      </c>
      <c r="J2060" s="48" t="s">
        <v>18</v>
      </c>
      <c r="K2060" s="48" t="s">
        <v>18</v>
      </c>
      <c r="L2060" s="48" t="s">
        <v>18</v>
      </c>
      <c r="M2060" s="48" t="s">
        <v>18</v>
      </c>
      <c r="N2060" s="48" t="s">
        <v>18</v>
      </c>
      <c r="O2060" s="48" t="s">
        <v>18</v>
      </c>
      <c r="P2060" s="103" t="s">
        <v>89</v>
      </c>
    </row>
    <row r="2061" spans="1:16" x14ac:dyDescent="0.25">
      <c r="A2061" s="32">
        <v>28</v>
      </c>
      <c r="B2061" s="33">
        <v>438287.10856199998</v>
      </c>
      <c r="C2061" s="33">
        <v>5688512.3324180003</v>
      </c>
      <c r="D2061" s="48">
        <v>31</v>
      </c>
      <c r="E2061" s="48" t="s">
        <v>36</v>
      </c>
      <c r="F2061" s="48">
        <v>2017</v>
      </c>
      <c r="G2061" s="48" t="s">
        <v>18</v>
      </c>
      <c r="H2061" s="48" t="s">
        <v>18</v>
      </c>
      <c r="I2061" s="48" t="s">
        <v>18</v>
      </c>
      <c r="J2061" s="48" t="s">
        <v>18</v>
      </c>
      <c r="K2061" s="48" t="s">
        <v>18</v>
      </c>
      <c r="L2061" s="48" t="s">
        <v>18</v>
      </c>
      <c r="M2061" s="48" t="s">
        <v>18</v>
      </c>
      <c r="N2061" s="48" t="s">
        <v>18</v>
      </c>
      <c r="O2061" s="48" t="s">
        <v>18</v>
      </c>
      <c r="P2061" s="103" t="s">
        <v>89</v>
      </c>
    </row>
    <row r="2062" spans="1:16" x14ac:dyDescent="0.25">
      <c r="A2062" s="29">
        <v>29</v>
      </c>
      <c r="B2062" s="30">
        <v>438381</v>
      </c>
      <c r="C2062" s="30">
        <v>5688526</v>
      </c>
      <c r="D2062" s="30">
        <v>31</v>
      </c>
      <c r="E2062" s="30" t="s">
        <v>36</v>
      </c>
      <c r="F2062" s="46">
        <v>2017</v>
      </c>
      <c r="G2062" s="47">
        <v>0.12140000000000001</v>
      </c>
      <c r="H2062" s="47">
        <f t="shared" si="118"/>
        <v>3.0846216892292052E-2</v>
      </c>
      <c r="I2062" s="47">
        <v>0</v>
      </c>
      <c r="J2062" s="47">
        <f t="shared" si="119"/>
        <v>0</v>
      </c>
      <c r="K2062" s="47">
        <v>5.04E-2</v>
      </c>
      <c r="L2062" s="47">
        <f t="shared" si="120"/>
        <v>1.9291817288253132E-2</v>
      </c>
      <c r="M2062" s="47">
        <f t="shared" si="121"/>
        <v>1.1554399604038919E-2</v>
      </c>
      <c r="N2062" s="47">
        <v>0</v>
      </c>
      <c r="O2062" s="47">
        <f t="shared" si="122"/>
        <v>0</v>
      </c>
      <c r="P2062" s="92"/>
    </row>
    <row r="2063" spans="1:16" x14ac:dyDescent="0.25">
      <c r="A2063" s="29">
        <v>30</v>
      </c>
      <c r="B2063" s="30">
        <v>438525.10856199998</v>
      </c>
      <c r="C2063" s="30">
        <v>5688512.3324180003</v>
      </c>
      <c r="D2063" s="30">
        <v>31</v>
      </c>
      <c r="E2063" s="30" t="s">
        <v>36</v>
      </c>
      <c r="F2063" s="46">
        <v>2017</v>
      </c>
      <c r="G2063" s="47">
        <v>2.0899999999999998E-2</v>
      </c>
      <c r="H2063" s="47">
        <f t="shared" si="118"/>
        <v>5.310427784587346E-3</v>
      </c>
      <c r="I2063" s="47">
        <v>0</v>
      </c>
      <c r="J2063" s="47">
        <f t="shared" si="119"/>
        <v>0</v>
      </c>
      <c r="K2063" s="47">
        <v>1.09E-2</v>
      </c>
      <c r="L2063" s="47">
        <f t="shared" si="120"/>
        <v>4.1722382627372842E-3</v>
      </c>
      <c r="M2063" s="47">
        <f t="shared" si="121"/>
        <v>1.1381895218500618E-3</v>
      </c>
      <c r="N2063" s="47">
        <v>0</v>
      </c>
      <c r="O2063" s="47">
        <f t="shared" si="122"/>
        <v>0</v>
      </c>
      <c r="P2063" s="92"/>
    </row>
    <row r="2064" spans="1:16" x14ac:dyDescent="0.25">
      <c r="A2064" s="29">
        <v>31</v>
      </c>
      <c r="B2064" s="30">
        <v>437335.10856199998</v>
      </c>
      <c r="C2064" s="30">
        <v>5688631.3324180003</v>
      </c>
      <c r="D2064" s="30">
        <v>31</v>
      </c>
      <c r="E2064" s="30" t="s">
        <v>36</v>
      </c>
      <c r="F2064" s="46">
        <v>2017</v>
      </c>
      <c r="G2064" s="47">
        <v>0.15190000000000001</v>
      </c>
      <c r="H2064" s="47">
        <f t="shared" si="118"/>
        <v>3.8595884233436267E-2</v>
      </c>
      <c r="I2064" s="47">
        <v>0</v>
      </c>
      <c r="J2064" s="47">
        <f t="shared" si="119"/>
        <v>0</v>
      </c>
      <c r="K2064" s="47">
        <v>1.9399999999999997E-2</v>
      </c>
      <c r="L2064" s="47">
        <f t="shared" si="120"/>
        <v>7.4258185593672754E-3</v>
      </c>
      <c r="M2064" s="47">
        <f t="shared" si="121"/>
        <v>3.1170065674068992E-2</v>
      </c>
      <c r="N2064" s="47">
        <v>0</v>
      </c>
      <c r="O2064" s="47">
        <f t="shared" si="122"/>
        <v>0</v>
      </c>
      <c r="P2064" s="92"/>
    </row>
    <row r="2065" spans="1:16" x14ac:dyDescent="0.25">
      <c r="A2065" s="29">
        <v>32</v>
      </c>
      <c r="B2065" s="30">
        <v>437454.10856199998</v>
      </c>
      <c r="C2065" s="30">
        <v>5688631.3324180003</v>
      </c>
      <c r="D2065" s="30">
        <v>31</v>
      </c>
      <c r="E2065" s="30" t="s">
        <v>36</v>
      </c>
      <c r="F2065" s="46">
        <v>2017</v>
      </c>
      <c r="G2065" s="47">
        <v>7.640000000000001E-2</v>
      </c>
      <c r="H2065" s="47">
        <f t="shared" si="118"/>
        <v>1.9412281470931738E-2</v>
      </c>
      <c r="I2065" s="47">
        <v>0</v>
      </c>
      <c r="J2065" s="47">
        <f t="shared" si="119"/>
        <v>0</v>
      </c>
      <c r="K2065" s="47">
        <v>1.3800000000000002E-2</v>
      </c>
      <c r="L2065" s="47">
        <f t="shared" si="120"/>
        <v>5.2822833051169296E-3</v>
      </c>
      <c r="M2065" s="47">
        <f t="shared" si="121"/>
        <v>1.4129998165814808E-2</v>
      </c>
      <c r="N2065" s="47">
        <v>0</v>
      </c>
      <c r="O2065" s="47">
        <f t="shared" si="122"/>
        <v>0</v>
      </c>
      <c r="P2065" s="92"/>
    </row>
    <row r="2066" spans="1:16" x14ac:dyDescent="0.25">
      <c r="A2066" s="29">
        <v>33</v>
      </c>
      <c r="B2066" s="30">
        <v>437573.10856199998</v>
      </c>
      <c r="C2066" s="30">
        <v>5688631.3324180003</v>
      </c>
      <c r="D2066" s="30">
        <v>31</v>
      </c>
      <c r="E2066" s="30" t="s">
        <v>36</v>
      </c>
      <c r="F2066" s="46">
        <v>2017</v>
      </c>
      <c r="G2066" s="47">
        <v>5.1999999999999998E-2</v>
      </c>
      <c r="H2066" s="47">
        <f t="shared" si="118"/>
        <v>1.3212547598016364E-2</v>
      </c>
      <c r="I2066" s="47">
        <v>0</v>
      </c>
      <c r="J2066" s="47">
        <f t="shared" si="119"/>
        <v>0</v>
      </c>
      <c r="K2066" s="47">
        <v>1.3900000000000001E-2</v>
      </c>
      <c r="L2066" s="47">
        <f t="shared" si="120"/>
        <v>5.3205607203713999E-3</v>
      </c>
      <c r="M2066" s="47">
        <f t="shared" si="121"/>
        <v>7.8919868776449638E-3</v>
      </c>
      <c r="N2066" s="47">
        <v>0</v>
      </c>
      <c r="O2066" s="47">
        <f t="shared" si="122"/>
        <v>0</v>
      </c>
      <c r="P2066" s="92"/>
    </row>
    <row r="2067" spans="1:16" x14ac:dyDescent="0.25">
      <c r="A2067" s="29">
        <v>34</v>
      </c>
      <c r="B2067" s="30">
        <v>437692.10856199998</v>
      </c>
      <c r="C2067" s="30">
        <v>5688631.3324180003</v>
      </c>
      <c r="D2067" s="30">
        <v>31</v>
      </c>
      <c r="E2067" s="30" t="s">
        <v>36</v>
      </c>
      <c r="F2067" s="46">
        <v>2017</v>
      </c>
      <c r="G2067" s="47">
        <v>5.33E-2</v>
      </c>
      <c r="H2067" s="47">
        <f t="shared" si="118"/>
        <v>1.3542861287966773E-2</v>
      </c>
      <c r="I2067" s="47">
        <v>0</v>
      </c>
      <c r="J2067" s="47">
        <f t="shared" si="119"/>
        <v>0</v>
      </c>
      <c r="K2067" s="47">
        <v>2.3100000000000002E-2</v>
      </c>
      <c r="L2067" s="47">
        <f t="shared" si="120"/>
        <v>8.8420829237826869E-3</v>
      </c>
      <c r="M2067" s="47">
        <f t="shared" si="121"/>
        <v>4.7007783641840866E-3</v>
      </c>
      <c r="N2067" s="47">
        <v>0</v>
      </c>
      <c r="O2067" s="47">
        <f t="shared" si="122"/>
        <v>0</v>
      </c>
      <c r="P2067" s="92"/>
    </row>
    <row r="2068" spans="1:16" x14ac:dyDescent="0.25">
      <c r="A2068" s="29">
        <v>35</v>
      </c>
      <c r="B2068" s="30">
        <v>437893</v>
      </c>
      <c r="C2068" s="30">
        <v>5688620</v>
      </c>
      <c r="D2068" s="30">
        <v>31</v>
      </c>
      <c r="E2068" s="30" t="s">
        <v>36</v>
      </c>
      <c r="F2068" s="46">
        <v>2017</v>
      </c>
      <c r="G2068" s="47">
        <v>6.720000000000001E-2</v>
      </c>
      <c r="H2068" s="47">
        <f t="shared" si="118"/>
        <v>1.7074676895898075E-2</v>
      </c>
      <c r="I2068" s="47">
        <v>0</v>
      </c>
      <c r="J2068" s="47">
        <f t="shared" si="119"/>
        <v>0</v>
      </c>
      <c r="K2068" s="47">
        <v>5.4200000000000005E-2</v>
      </c>
      <c r="L2068" s="47">
        <f t="shared" si="120"/>
        <v>2.0746359067923013E-2</v>
      </c>
      <c r="M2068" s="47">
        <f t="shared" si="121"/>
        <v>-3.6716821720249385E-3</v>
      </c>
      <c r="N2068" s="47">
        <v>0</v>
      </c>
      <c r="O2068" s="47">
        <f t="shared" si="122"/>
        <v>0</v>
      </c>
      <c r="P2068" s="92"/>
    </row>
    <row r="2069" spans="1:16" x14ac:dyDescent="0.25">
      <c r="A2069" s="29">
        <v>36</v>
      </c>
      <c r="B2069" s="30">
        <v>437930.10856199998</v>
      </c>
      <c r="C2069" s="30">
        <v>5688631.3324180003</v>
      </c>
      <c r="D2069" s="30">
        <v>29</v>
      </c>
      <c r="E2069" s="30" t="s">
        <v>36</v>
      </c>
      <c r="F2069" s="46">
        <v>2017</v>
      </c>
      <c r="G2069" s="47">
        <v>0.12279999999999999</v>
      </c>
      <c r="H2069" s="47">
        <f>G2069*0.244230898277025</f>
        <v>2.9991554308418666E-2</v>
      </c>
      <c r="I2069" s="47">
        <v>0</v>
      </c>
      <c r="J2069" s="47">
        <f>I2069*0.278375305725528</f>
        <v>0</v>
      </c>
      <c r="K2069" s="47">
        <v>1.6899999999999998E-2</v>
      </c>
      <c r="L2069" s="47">
        <f>K2069*0.320995007953453</f>
        <v>5.4248156344133547E-3</v>
      </c>
      <c r="M2069" s="47">
        <f t="shared" si="121"/>
        <v>2.4566738674005311E-2</v>
      </c>
      <c r="N2069" s="47">
        <v>0</v>
      </c>
      <c r="O2069" s="47">
        <f>N2069*0.308571428571429</f>
        <v>0</v>
      </c>
      <c r="P2069" s="92"/>
    </row>
    <row r="2070" spans="1:16" x14ac:dyDescent="0.25">
      <c r="A2070" s="32">
        <v>37</v>
      </c>
      <c r="B2070" s="33">
        <v>438049.10856199998</v>
      </c>
      <c r="C2070" s="33">
        <v>5688631.3324180003</v>
      </c>
      <c r="D2070" s="48">
        <v>31</v>
      </c>
      <c r="E2070" s="48" t="s">
        <v>36</v>
      </c>
      <c r="F2070" s="48">
        <v>2017</v>
      </c>
      <c r="G2070" s="48" t="s">
        <v>18</v>
      </c>
      <c r="H2070" s="48" t="s">
        <v>18</v>
      </c>
      <c r="I2070" s="48" t="s">
        <v>18</v>
      </c>
      <c r="J2070" s="48" t="s">
        <v>18</v>
      </c>
      <c r="K2070" s="48" t="s">
        <v>18</v>
      </c>
      <c r="L2070" s="48" t="s">
        <v>18</v>
      </c>
      <c r="M2070" s="48" t="s">
        <v>18</v>
      </c>
      <c r="N2070" s="48" t="s">
        <v>18</v>
      </c>
      <c r="O2070" s="48" t="s">
        <v>18</v>
      </c>
      <c r="P2070" s="103" t="s">
        <v>89</v>
      </c>
    </row>
    <row r="2071" spans="1:16" x14ac:dyDescent="0.25">
      <c r="A2071" s="29">
        <v>38</v>
      </c>
      <c r="B2071" s="30">
        <v>438067</v>
      </c>
      <c r="C2071" s="30">
        <v>5688710</v>
      </c>
      <c r="D2071" s="30">
        <v>29</v>
      </c>
      <c r="E2071" s="30" t="s">
        <v>36</v>
      </c>
      <c r="F2071" s="46">
        <v>2017</v>
      </c>
      <c r="G2071" s="47">
        <v>9.3299999999999994E-2</v>
      </c>
      <c r="H2071" s="47">
        <f>G2071*0.244230898277025</f>
        <v>2.2786742809246429E-2</v>
      </c>
      <c r="I2071" s="47">
        <v>0</v>
      </c>
      <c r="J2071" s="47">
        <f>I2071*0.278375305725528</f>
        <v>0</v>
      </c>
      <c r="K2071" s="47">
        <v>1.6199999999999999E-2</v>
      </c>
      <c r="L2071" s="47">
        <f>K2071*0.320995007953453</f>
        <v>5.2001191288459378E-3</v>
      </c>
      <c r="M2071" s="47">
        <f t="shared" si="121"/>
        <v>1.7586623680400492E-2</v>
      </c>
      <c r="N2071" s="47">
        <v>0</v>
      </c>
      <c r="O2071" s="47">
        <f>N2071*0.308571428571429</f>
        <v>0</v>
      </c>
      <c r="P2071" s="92"/>
    </row>
    <row r="2072" spans="1:16" x14ac:dyDescent="0.25">
      <c r="A2072" s="32">
        <v>39</v>
      </c>
      <c r="B2072" s="33">
        <v>438287.10856199998</v>
      </c>
      <c r="C2072" s="33">
        <v>5688631.3324180003</v>
      </c>
      <c r="D2072" s="48">
        <v>31</v>
      </c>
      <c r="E2072" s="48" t="s">
        <v>36</v>
      </c>
      <c r="F2072" s="48">
        <v>2017</v>
      </c>
      <c r="G2072" s="48" t="s">
        <v>18</v>
      </c>
      <c r="H2072" s="48" t="s">
        <v>18</v>
      </c>
      <c r="I2072" s="48" t="s">
        <v>18</v>
      </c>
      <c r="J2072" s="48" t="s">
        <v>18</v>
      </c>
      <c r="K2072" s="48" t="s">
        <v>18</v>
      </c>
      <c r="L2072" s="48" t="s">
        <v>18</v>
      </c>
      <c r="M2072" s="48" t="s">
        <v>18</v>
      </c>
      <c r="N2072" s="48" t="s">
        <v>18</v>
      </c>
      <c r="O2072" s="48" t="s">
        <v>18</v>
      </c>
      <c r="P2072" s="94" t="s">
        <v>22</v>
      </c>
    </row>
    <row r="2073" spans="1:16" x14ac:dyDescent="0.25">
      <c r="A2073" s="29">
        <v>40</v>
      </c>
      <c r="B2073" s="30">
        <v>438406.10856199998</v>
      </c>
      <c r="C2073" s="30">
        <v>5688631.3324180003</v>
      </c>
      <c r="D2073" s="30">
        <v>31</v>
      </c>
      <c r="E2073" s="30" t="s">
        <v>36</v>
      </c>
      <c r="F2073" s="46">
        <v>2017</v>
      </c>
      <c r="G2073" s="54">
        <v>1.7299999999999999E-2</v>
      </c>
      <c r="H2073" s="47">
        <f>G2073*0.254087453808007</f>
        <v>4.3957129508785213E-3</v>
      </c>
      <c r="I2073" s="47">
        <v>0</v>
      </c>
      <c r="J2073" s="47">
        <f>I2073*0.347653845868271</f>
        <v>0</v>
      </c>
      <c r="K2073" s="47">
        <v>9.4000000000000004E-3</v>
      </c>
      <c r="L2073" s="47">
        <f>K2073*0.382774152544705</f>
        <v>3.5980770339202272E-3</v>
      </c>
      <c r="M2073" s="47">
        <f t="shared" si="121"/>
        <v>7.9763591695829411E-4</v>
      </c>
      <c r="N2073" s="47">
        <v>0</v>
      </c>
      <c r="O2073" s="47">
        <f>N2073*0.357049916998484</f>
        <v>0</v>
      </c>
      <c r="P2073" s="92"/>
    </row>
    <row r="2074" spans="1:16" x14ac:dyDescent="0.25">
      <c r="A2074" s="29">
        <v>41</v>
      </c>
      <c r="B2074" s="30">
        <v>437310</v>
      </c>
      <c r="C2074" s="30">
        <v>5688729</v>
      </c>
      <c r="D2074" s="30">
        <v>31</v>
      </c>
      <c r="E2074" s="30" t="s">
        <v>36</v>
      </c>
      <c r="F2074" s="46">
        <v>2017</v>
      </c>
      <c r="G2074" s="47">
        <v>6.93E-2</v>
      </c>
      <c r="H2074" s="47">
        <f>G2074*0.254087453808007</f>
        <v>1.7608260548894885E-2</v>
      </c>
      <c r="I2074" s="47">
        <v>0.23</v>
      </c>
      <c r="J2074" s="47">
        <f>I2074*0.347653845868271</f>
        <v>7.9960384549702335E-2</v>
      </c>
      <c r="K2074" s="47">
        <v>2.7600000000000003E-2</v>
      </c>
      <c r="L2074" s="47">
        <f>K2074*0.382774152544705</f>
        <v>1.0564566610233859E-2</v>
      </c>
      <c r="M2074" s="47">
        <f t="shared" si="121"/>
        <v>7.0436939386610258E-3</v>
      </c>
      <c r="N2074" s="47">
        <v>0</v>
      </c>
      <c r="O2074" s="47">
        <f>N2074*0.357049916998484</f>
        <v>0</v>
      </c>
      <c r="P2074" s="92"/>
    </row>
    <row r="2075" spans="1:16" x14ac:dyDescent="0.25">
      <c r="A2075" s="29">
        <v>42</v>
      </c>
      <c r="B2075" s="30">
        <v>437454.10856199998</v>
      </c>
      <c r="C2075" s="30">
        <v>5688750.3324180003</v>
      </c>
      <c r="D2075" s="30">
        <v>31</v>
      </c>
      <c r="E2075" s="30" t="s">
        <v>36</v>
      </c>
      <c r="F2075" s="46">
        <v>2017</v>
      </c>
      <c r="G2075" s="54">
        <v>9.7500000000000003E-2</v>
      </c>
      <c r="H2075" s="47">
        <f>G2075*0.254087453808007</f>
        <v>2.4773526746280684E-2</v>
      </c>
      <c r="I2075" s="47">
        <v>0</v>
      </c>
      <c r="J2075" s="47">
        <f>I2075*0.347653845868271</f>
        <v>0</v>
      </c>
      <c r="K2075" s="47">
        <v>7.9000000000000008E-3</v>
      </c>
      <c r="L2075" s="47">
        <f>K2075*0.382774152544705</f>
        <v>3.0239158051031697E-3</v>
      </c>
      <c r="M2075" s="47">
        <f t="shared" si="121"/>
        <v>2.1749610941177513E-2</v>
      </c>
      <c r="N2075" s="47">
        <v>1.9300000000000001E-2</v>
      </c>
      <c r="O2075" s="47">
        <f>N2075*0.357049916998484</f>
        <v>6.8910633980707415E-3</v>
      </c>
      <c r="P2075" s="92"/>
    </row>
    <row r="2076" spans="1:16" x14ac:dyDescent="0.25">
      <c r="A2076" s="29">
        <v>43</v>
      </c>
      <c r="B2076" s="30">
        <v>437573.10856199998</v>
      </c>
      <c r="C2076" s="30">
        <v>5688750.3324180003</v>
      </c>
      <c r="D2076" s="30">
        <v>31</v>
      </c>
      <c r="E2076" s="30" t="s">
        <v>36</v>
      </c>
      <c r="F2076" s="46">
        <v>2017</v>
      </c>
      <c r="G2076" s="47">
        <v>4.4600000000000001E-2</v>
      </c>
      <c r="H2076" s="47">
        <f>G2076*0.254087453808007</f>
        <v>1.1332300439837113E-2</v>
      </c>
      <c r="I2076" s="47">
        <v>6.7599999999999993E-2</v>
      </c>
      <c r="J2076" s="47">
        <f>I2076*0.347653845868271</f>
        <v>2.3501399980695118E-2</v>
      </c>
      <c r="K2076" s="47">
        <v>4.6299999999999994E-2</v>
      </c>
      <c r="L2076" s="47">
        <f>K2076*0.382774152544705</f>
        <v>1.772244326281984E-2</v>
      </c>
      <c r="M2076" s="47">
        <f t="shared" si="121"/>
        <v>-6.3901428229827268E-3</v>
      </c>
      <c r="N2076" s="47">
        <v>0</v>
      </c>
      <c r="O2076" s="47">
        <f>N2076*0.357049916998484</f>
        <v>0</v>
      </c>
      <c r="P2076" s="92"/>
    </row>
    <row r="2077" spans="1:16" x14ac:dyDescent="0.25">
      <c r="A2077" s="29">
        <v>44</v>
      </c>
      <c r="B2077" s="30">
        <v>437692.10856199998</v>
      </c>
      <c r="C2077" s="30">
        <v>5688750.3324180003</v>
      </c>
      <c r="D2077" s="30">
        <v>29</v>
      </c>
      <c r="E2077" s="30" t="s">
        <v>36</v>
      </c>
      <c r="F2077" s="46">
        <v>2017</v>
      </c>
      <c r="G2077" s="54">
        <v>7.4299999999999991E-2</v>
      </c>
      <c r="H2077" s="47">
        <f>G2077*0.244230898277025</f>
        <v>1.8146355741982954E-2</v>
      </c>
      <c r="I2077" s="47">
        <v>0</v>
      </c>
      <c r="J2077" s="47">
        <f>I2077*0.278375305725528</f>
        <v>0</v>
      </c>
      <c r="K2077" s="47">
        <v>1.01E-2</v>
      </c>
      <c r="L2077" s="47">
        <f>K2077*0.320995007953453</f>
        <v>3.2420495803298752E-3</v>
      </c>
      <c r="M2077" s="47">
        <f t="shared" si="121"/>
        <v>1.4904306161653079E-2</v>
      </c>
      <c r="N2077" s="47">
        <v>0</v>
      </c>
      <c r="O2077" s="47">
        <f>N2077*0.308571428571429</f>
        <v>0</v>
      </c>
      <c r="P2077" s="92"/>
    </row>
    <row r="2078" spans="1:16" x14ac:dyDescent="0.25">
      <c r="A2078" s="29">
        <v>45</v>
      </c>
      <c r="B2078" s="30">
        <v>437811.10856199998</v>
      </c>
      <c r="C2078" s="30">
        <v>5688750.3324180003</v>
      </c>
      <c r="D2078" s="30">
        <v>29</v>
      </c>
      <c r="E2078" s="30" t="s">
        <v>36</v>
      </c>
      <c r="F2078" s="46">
        <v>2017</v>
      </c>
      <c r="G2078" s="47">
        <v>9.3900000000000011E-2</v>
      </c>
      <c r="H2078" s="47">
        <f>G2078*0.244230898277025</f>
        <v>2.2933281348212649E-2</v>
      </c>
      <c r="I2078" s="47">
        <v>0</v>
      </c>
      <c r="J2078" s="47">
        <f>I2078*0.278375305725528</f>
        <v>0</v>
      </c>
      <c r="K2078" s="47">
        <v>1.5800000000000002E-2</v>
      </c>
      <c r="L2078" s="47">
        <f>K2078*0.320995007953453</f>
        <v>5.0717211256645573E-3</v>
      </c>
      <c r="M2078" s="47">
        <f t="shared" si="121"/>
        <v>1.7861560222548093E-2</v>
      </c>
      <c r="N2078" s="47">
        <v>0</v>
      </c>
      <c r="O2078" s="47">
        <f>N2078*0.308571428571429</f>
        <v>0</v>
      </c>
      <c r="P2078" s="92"/>
    </row>
    <row r="2079" spans="1:16" x14ac:dyDescent="0.25">
      <c r="A2079" s="29">
        <v>46</v>
      </c>
      <c r="B2079" s="30">
        <v>437930.10856199998</v>
      </c>
      <c r="C2079" s="30">
        <v>5688750.3324180003</v>
      </c>
      <c r="D2079" s="30">
        <v>29</v>
      </c>
      <c r="E2079" s="30" t="s">
        <v>36</v>
      </c>
      <c r="F2079" s="46">
        <v>2017</v>
      </c>
      <c r="G2079" s="47">
        <v>0.10790000000000001</v>
      </c>
      <c r="H2079" s="47">
        <f>G2079*0.244230898277025</f>
        <v>2.6352513924090999E-2</v>
      </c>
      <c r="I2079" s="47">
        <v>0.1603</v>
      </c>
      <c r="J2079" s="47">
        <f>I2079*0.278375305725528</f>
        <v>4.4623561507802133E-2</v>
      </c>
      <c r="K2079" s="47">
        <v>1.55E-2</v>
      </c>
      <c r="L2079" s="47">
        <f>K2079*0.320995007953453</f>
        <v>4.975422623278521E-3</v>
      </c>
      <c r="M2079" s="47">
        <f t="shared" si="121"/>
        <v>2.137709130081248E-2</v>
      </c>
      <c r="N2079" s="47">
        <v>8.8000000000000005E-3</v>
      </c>
      <c r="O2079" s="47">
        <f>N2079*0.308571428571429</f>
        <v>2.7154285714285752E-3</v>
      </c>
      <c r="P2079" s="92"/>
    </row>
    <row r="2080" spans="1:16" x14ac:dyDescent="0.25">
      <c r="A2080" s="29">
        <v>47</v>
      </c>
      <c r="B2080" s="30">
        <v>438061</v>
      </c>
      <c r="C2080" s="30">
        <v>5688779</v>
      </c>
      <c r="D2080" s="30">
        <v>29</v>
      </c>
      <c r="E2080" s="30" t="s">
        <v>36</v>
      </c>
      <c r="F2080" s="46">
        <v>2017</v>
      </c>
      <c r="G2080" s="47">
        <v>5.3800000000000001E-2</v>
      </c>
      <c r="H2080" s="47">
        <f>G2080*0.244230898277025</f>
        <v>1.3139622327303944E-2</v>
      </c>
      <c r="I2080" s="47">
        <v>0</v>
      </c>
      <c r="J2080" s="47">
        <f>I2080*0.278375305725528</f>
        <v>0</v>
      </c>
      <c r="K2080" s="47">
        <v>5.3499999999999999E-2</v>
      </c>
      <c r="L2080" s="47">
        <f>K2080*0.320995007953453</f>
        <v>1.7173232925509735E-2</v>
      </c>
      <c r="M2080" s="47">
        <f t="shared" si="121"/>
        <v>-4.0336105982057904E-3</v>
      </c>
      <c r="N2080" s="47">
        <v>0</v>
      </c>
      <c r="O2080" s="47">
        <f>N2080*0.308571428571429</f>
        <v>0</v>
      </c>
      <c r="P2080" s="92"/>
    </row>
    <row r="2081" spans="1:19" x14ac:dyDescent="0.25">
      <c r="A2081" s="32">
        <v>48</v>
      </c>
      <c r="B2081" s="33">
        <v>438168.10856199998</v>
      </c>
      <c r="C2081" s="33">
        <v>5688750.3324180003</v>
      </c>
      <c r="D2081" s="48">
        <v>31</v>
      </c>
      <c r="E2081" s="48" t="s">
        <v>36</v>
      </c>
      <c r="F2081" s="48">
        <v>2017</v>
      </c>
      <c r="G2081" s="48" t="s">
        <v>18</v>
      </c>
      <c r="H2081" s="48" t="s">
        <v>18</v>
      </c>
      <c r="I2081" s="48" t="s">
        <v>18</v>
      </c>
      <c r="J2081" s="48" t="s">
        <v>18</v>
      </c>
      <c r="K2081" s="48" t="s">
        <v>18</v>
      </c>
      <c r="L2081" s="48" t="s">
        <v>18</v>
      </c>
      <c r="M2081" s="48" t="s">
        <v>18</v>
      </c>
      <c r="N2081" s="48" t="s">
        <v>18</v>
      </c>
      <c r="O2081" s="48" t="s">
        <v>18</v>
      </c>
      <c r="P2081" s="103" t="s">
        <v>89</v>
      </c>
    </row>
    <row r="2082" spans="1:19" x14ac:dyDescent="0.25">
      <c r="A2082" s="29">
        <v>49</v>
      </c>
      <c r="B2082" s="30">
        <v>437454.10856199998</v>
      </c>
      <c r="C2082" s="30">
        <v>5688869.3324180003</v>
      </c>
      <c r="D2082" s="30">
        <v>29</v>
      </c>
      <c r="E2082" s="30" t="s">
        <v>36</v>
      </c>
      <c r="F2082" s="46">
        <v>2017</v>
      </c>
      <c r="G2082" s="47">
        <v>5.8900000000000001E-2</v>
      </c>
      <c r="H2082" s="47">
        <f t="shared" ref="H2082:H2093" si="123">G2082*0.244230898277025</f>
        <v>1.4385199908516772E-2</v>
      </c>
      <c r="I2082" s="47">
        <v>0</v>
      </c>
      <c r="J2082" s="47">
        <f t="shared" ref="J2082:J2093" si="124">I2082*0.278375305725528</f>
        <v>0</v>
      </c>
      <c r="K2082" s="47">
        <v>3.39E-2</v>
      </c>
      <c r="L2082" s="47">
        <f t="shared" ref="L2082:L2093" si="125">K2082*0.320995007953453</f>
        <v>1.0881730769622056E-2</v>
      </c>
      <c r="M2082" s="47">
        <f t="shared" si="121"/>
        <v>3.5034691388947155E-3</v>
      </c>
      <c r="N2082" s="47">
        <v>8.9999999999999993E-3</v>
      </c>
      <c r="O2082" s="47">
        <f t="shared" ref="O2082:O2093" si="126">N2082*0.308571428571429</f>
        <v>2.7771428571428608E-3</v>
      </c>
      <c r="P2082" s="92"/>
    </row>
    <row r="2083" spans="1:19" x14ac:dyDescent="0.25">
      <c r="A2083" s="29">
        <v>50</v>
      </c>
      <c r="B2083" s="30">
        <v>437811.10856199998</v>
      </c>
      <c r="C2083" s="30">
        <v>5688869.3324180003</v>
      </c>
      <c r="D2083" s="30">
        <v>29</v>
      </c>
      <c r="E2083" s="30" t="s">
        <v>36</v>
      </c>
      <c r="F2083" s="46">
        <v>2017</v>
      </c>
      <c r="G2083" s="47">
        <v>8.4199999999999997E-2</v>
      </c>
      <c r="H2083" s="47">
        <f t="shared" si="123"/>
        <v>2.0564241634925505E-2</v>
      </c>
      <c r="I2083" s="47">
        <v>0</v>
      </c>
      <c r="J2083" s="47">
        <f t="shared" si="124"/>
        <v>0</v>
      </c>
      <c r="K2083" s="47">
        <v>2.1399999999999999E-2</v>
      </c>
      <c r="L2083" s="47">
        <f t="shared" si="125"/>
        <v>6.8692931702038938E-3</v>
      </c>
      <c r="M2083" s="47">
        <f t="shared" si="121"/>
        <v>1.369494846472161E-2</v>
      </c>
      <c r="N2083" s="47">
        <v>0</v>
      </c>
      <c r="O2083" s="47">
        <f t="shared" si="126"/>
        <v>0</v>
      </c>
      <c r="P2083" s="92"/>
    </row>
    <row r="2084" spans="1:19" x14ac:dyDescent="0.25">
      <c r="A2084" s="29">
        <v>51</v>
      </c>
      <c r="B2084" s="30">
        <v>437930.10856199998</v>
      </c>
      <c r="C2084" s="30">
        <v>5688869.3324180003</v>
      </c>
      <c r="D2084" s="30">
        <v>29</v>
      </c>
      <c r="E2084" s="30" t="s">
        <v>36</v>
      </c>
      <c r="F2084" s="46">
        <v>2017</v>
      </c>
      <c r="G2084" s="47">
        <v>6.88E-2</v>
      </c>
      <c r="H2084" s="47">
        <f t="shared" si="123"/>
        <v>1.6803085801459318E-2</v>
      </c>
      <c r="I2084" s="47">
        <v>0</v>
      </c>
      <c r="J2084" s="47">
        <f t="shared" si="124"/>
        <v>0</v>
      </c>
      <c r="K2084" s="47">
        <v>2.58E-2</v>
      </c>
      <c r="L2084" s="47">
        <f t="shared" si="125"/>
        <v>8.2816712051990878E-3</v>
      </c>
      <c r="M2084" s="47">
        <f t="shared" si="121"/>
        <v>8.5214145962602302E-3</v>
      </c>
      <c r="N2084" s="47">
        <v>0</v>
      </c>
      <c r="O2084" s="47">
        <f t="shared" si="126"/>
        <v>0</v>
      </c>
      <c r="P2084" s="92"/>
    </row>
    <row r="2085" spans="1:19" x14ac:dyDescent="0.25">
      <c r="A2085" s="29">
        <v>52</v>
      </c>
      <c r="B2085" s="30">
        <v>438049.10856199998</v>
      </c>
      <c r="C2085" s="30">
        <v>5688869.3324180003</v>
      </c>
      <c r="D2085" s="30">
        <v>31</v>
      </c>
      <c r="E2085" s="30" t="s">
        <v>36</v>
      </c>
      <c r="F2085" s="46">
        <v>2017</v>
      </c>
      <c r="G2085" s="47">
        <v>8.199999999999999E-3</v>
      </c>
      <c r="H2085" s="47">
        <f>G2085*0.254087453808007</f>
        <v>2.0835171212256571E-3</v>
      </c>
      <c r="I2085" s="47">
        <v>0.14119999999999999</v>
      </c>
      <c r="J2085" s="47">
        <f>I2085*0.347653845868271</f>
        <v>4.908872303659987E-2</v>
      </c>
      <c r="K2085" s="47">
        <v>2.5000000000000001E-3</v>
      </c>
      <c r="L2085" s="47">
        <f>K2085*0.382774152544705</f>
        <v>9.5693538136176249E-4</v>
      </c>
      <c r="M2085" s="47">
        <f t="shared" si="121"/>
        <v>1.1265817398638947E-3</v>
      </c>
      <c r="N2085" s="47">
        <v>1.6999999999999999E-3</v>
      </c>
      <c r="O2085" s="47">
        <f>N2085*0.357049916998484</f>
        <v>6.0698485889742278E-4</v>
      </c>
      <c r="P2085" s="92"/>
    </row>
    <row r="2086" spans="1:19" x14ac:dyDescent="0.25">
      <c r="A2086" s="29">
        <v>53</v>
      </c>
      <c r="B2086" s="30">
        <v>438287.10856199998</v>
      </c>
      <c r="C2086" s="30">
        <v>5688869.3324180003</v>
      </c>
      <c r="D2086" s="30">
        <v>31</v>
      </c>
      <c r="E2086" s="30" t="s">
        <v>36</v>
      </c>
      <c r="F2086" s="46">
        <v>2017</v>
      </c>
      <c r="G2086" s="47">
        <v>2.1700000000000001E-2</v>
      </c>
      <c r="H2086" s="47">
        <f>G2086*0.254087453808007</f>
        <v>5.5136977476337523E-3</v>
      </c>
      <c r="I2086" s="47">
        <v>0</v>
      </c>
      <c r="J2086" s="47">
        <f>I2086*0.347653845868271</f>
        <v>0</v>
      </c>
      <c r="K2086" s="47">
        <v>1.04E-2</v>
      </c>
      <c r="L2086" s="47">
        <f>K2086*0.382774152544705</f>
        <v>3.9808511864649317E-3</v>
      </c>
      <c r="M2086" s="47">
        <f t="shared" si="121"/>
        <v>1.5328465611688206E-3</v>
      </c>
      <c r="N2086" s="47">
        <v>0</v>
      </c>
      <c r="O2086" s="47">
        <f>N2086*0.357049916998484</f>
        <v>0</v>
      </c>
      <c r="P2086" s="92"/>
    </row>
    <row r="2087" spans="1:19" x14ac:dyDescent="0.25">
      <c r="A2087" s="29">
        <v>54</v>
      </c>
      <c r="B2087" s="30">
        <v>437454.10856199998</v>
      </c>
      <c r="C2087" s="30">
        <v>5688988.3324180003</v>
      </c>
      <c r="D2087" s="30">
        <v>29</v>
      </c>
      <c r="E2087" s="30" t="s">
        <v>36</v>
      </c>
      <c r="F2087" s="46">
        <v>2017</v>
      </c>
      <c r="G2087" s="47">
        <v>6.1499999999999999E-2</v>
      </c>
      <c r="H2087" s="47">
        <f t="shared" si="123"/>
        <v>1.5020200244037036E-2</v>
      </c>
      <c r="I2087" s="47">
        <v>0</v>
      </c>
      <c r="J2087" s="47">
        <f t="shared" si="124"/>
        <v>0</v>
      </c>
      <c r="K2087" s="47">
        <v>1.61E-2</v>
      </c>
      <c r="L2087" s="47">
        <f t="shared" si="125"/>
        <v>5.1680196280505927E-3</v>
      </c>
      <c r="M2087" s="47">
        <f t="shared" si="121"/>
        <v>9.8521806159864445E-3</v>
      </c>
      <c r="N2087" s="47">
        <v>0</v>
      </c>
      <c r="O2087" s="47">
        <f t="shared" si="126"/>
        <v>0</v>
      </c>
      <c r="P2087" s="92"/>
    </row>
    <row r="2088" spans="1:19" x14ac:dyDescent="0.25">
      <c r="A2088" s="29">
        <v>55</v>
      </c>
      <c r="B2088" s="30">
        <v>438049.10856199998</v>
      </c>
      <c r="C2088" s="30">
        <v>5688988.3324180003</v>
      </c>
      <c r="D2088" s="30">
        <v>29</v>
      </c>
      <c r="E2088" s="30" t="s">
        <v>36</v>
      </c>
      <c r="F2088" s="46">
        <v>2017</v>
      </c>
      <c r="G2088" s="47">
        <v>0.1197</v>
      </c>
      <c r="H2088" s="47">
        <f t="shared" si="123"/>
        <v>2.9234438523759891E-2</v>
      </c>
      <c r="I2088" s="47">
        <v>4.2200000000000001E-2</v>
      </c>
      <c r="J2088" s="47">
        <f t="shared" si="124"/>
        <v>1.1747437901617282E-2</v>
      </c>
      <c r="K2088" s="47">
        <v>4.7200000000000006E-2</v>
      </c>
      <c r="L2088" s="47">
        <f t="shared" si="125"/>
        <v>1.5150964375402982E-2</v>
      </c>
      <c r="M2088" s="47">
        <f t="shared" si="121"/>
        <v>1.4083474148356909E-2</v>
      </c>
      <c r="N2088" s="47">
        <v>0</v>
      </c>
      <c r="O2088" s="47">
        <f t="shared" si="126"/>
        <v>0</v>
      </c>
      <c r="P2088" s="92"/>
    </row>
    <row r="2089" spans="1:19" x14ac:dyDescent="0.25">
      <c r="A2089" s="29">
        <v>56</v>
      </c>
      <c r="B2089" s="30">
        <v>438168.10856199998</v>
      </c>
      <c r="C2089" s="30">
        <v>5688988.3324180003</v>
      </c>
      <c r="D2089" s="30">
        <v>29</v>
      </c>
      <c r="E2089" s="30" t="s">
        <v>36</v>
      </c>
      <c r="F2089" s="46">
        <v>2017</v>
      </c>
      <c r="G2089" s="47">
        <v>4.8500000000000001E-2</v>
      </c>
      <c r="H2089" s="47">
        <f t="shared" si="123"/>
        <v>1.1845198566435712E-2</v>
      </c>
      <c r="I2089" s="47">
        <v>0</v>
      </c>
      <c r="J2089" s="47">
        <f t="shared" si="124"/>
        <v>0</v>
      </c>
      <c r="K2089" s="47">
        <v>2.3999999999999998E-3</v>
      </c>
      <c r="L2089" s="47">
        <f t="shared" si="125"/>
        <v>7.7038801908828705E-4</v>
      </c>
      <c r="M2089" s="47">
        <f t="shared" si="121"/>
        <v>1.1074810547347425E-2</v>
      </c>
      <c r="N2089" s="47">
        <v>0</v>
      </c>
      <c r="O2089" s="47">
        <f t="shared" si="126"/>
        <v>0</v>
      </c>
      <c r="P2089" s="92"/>
    </row>
    <row r="2090" spans="1:19" x14ac:dyDescent="0.25">
      <c r="A2090" s="40">
        <v>57</v>
      </c>
      <c r="B2090" s="41">
        <v>438146</v>
      </c>
      <c r="C2090" s="41">
        <v>5688977</v>
      </c>
      <c r="D2090" s="41">
        <v>29</v>
      </c>
      <c r="E2090" s="41" t="s">
        <v>36</v>
      </c>
      <c r="F2090" s="50">
        <v>2017</v>
      </c>
      <c r="G2090" s="51">
        <v>8.5699999999999998E-2</v>
      </c>
      <c r="H2090" s="51">
        <f t="shared" si="123"/>
        <v>2.0930587982341042E-2</v>
      </c>
      <c r="I2090" s="51">
        <v>0</v>
      </c>
      <c r="J2090" s="51">
        <f t="shared" si="124"/>
        <v>0</v>
      </c>
      <c r="K2090" s="51">
        <v>2.07E-2</v>
      </c>
      <c r="L2090" s="51">
        <f t="shared" si="125"/>
        <v>6.6445966646364769E-3</v>
      </c>
      <c r="M2090" s="51">
        <f t="shared" si="121"/>
        <v>1.4285991317704565E-2</v>
      </c>
      <c r="N2090" s="51">
        <v>0</v>
      </c>
      <c r="O2090" s="51">
        <f t="shared" si="126"/>
        <v>0</v>
      </c>
      <c r="P2090" s="101"/>
    </row>
    <row r="2091" spans="1:19" x14ac:dyDescent="0.25">
      <c r="A2091" s="40">
        <v>58</v>
      </c>
      <c r="B2091" s="41">
        <v>438131</v>
      </c>
      <c r="C2091" s="41">
        <v>5688972</v>
      </c>
      <c r="D2091" s="41">
        <v>29</v>
      </c>
      <c r="E2091" s="41" t="s">
        <v>36</v>
      </c>
      <c r="F2091" s="50">
        <v>2017</v>
      </c>
      <c r="G2091" s="51">
        <v>9.3099999999999988E-2</v>
      </c>
      <c r="H2091" s="51">
        <f t="shared" si="123"/>
        <v>2.2737896629591022E-2</v>
      </c>
      <c r="I2091" s="51">
        <v>0</v>
      </c>
      <c r="J2091" s="51">
        <f t="shared" si="124"/>
        <v>0</v>
      </c>
      <c r="K2091" s="51">
        <v>7.1999999999999998E-3</v>
      </c>
      <c r="L2091" s="51">
        <f t="shared" si="125"/>
        <v>2.3111640572648614E-3</v>
      </c>
      <c r="M2091" s="51">
        <f t="shared" si="121"/>
        <v>2.0426732572326162E-2</v>
      </c>
      <c r="N2091" s="51">
        <v>0</v>
      </c>
      <c r="O2091" s="51">
        <f t="shared" si="126"/>
        <v>0</v>
      </c>
      <c r="P2091" s="101"/>
    </row>
    <row r="2092" spans="1:19" x14ac:dyDescent="0.25">
      <c r="A2092" s="40">
        <v>59</v>
      </c>
      <c r="B2092" s="41">
        <v>438089</v>
      </c>
      <c r="C2092" s="41">
        <v>5688713</v>
      </c>
      <c r="D2092" s="41">
        <v>29</v>
      </c>
      <c r="E2092" s="41" t="s">
        <v>36</v>
      </c>
      <c r="F2092" s="50">
        <v>2017</v>
      </c>
      <c r="G2092" s="51">
        <v>0.25619999999999998</v>
      </c>
      <c r="H2092" s="51">
        <f t="shared" si="123"/>
        <v>6.2571956138573803E-2</v>
      </c>
      <c r="I2092" s="51">
        <v>0</v>
      </c>
      <c r="J2092" s="51">
        <f t="shared" si="124"/>
        <v>0</v>
      </c>
      <c r="K2092" s="51">
        <v>8.9999999999999993E-3</v>
      </c>
      <c r="L2092" s="51">
        <f t="shared" si="125"/>
        <v>2.8889550715810765E-3</v>
      </c>
      <c r="M2092" s="51">
        <f t="shared" si="121"/>
        <v>5.968300106699273E-2</v>
      </c>
      <c r="N2092" s="51">
        <v>0</v>
      </c>
      <c r="O2092" s="51">
        <f t="shared" si="126"/>
        <v>0</v>
      </c>
      <c r="P2092" s="101"/>
    </row>
    <row r="2093" spans="1:19" x14ac:dyDescent="0.25">
      <c r="A2093" s="40">
        <v>60</v>
      </c>
      <c r="B2093" s="41">
        <v>438099</v>
      </c>
      <c r="C2093" s="41">
        <v>5688719</v>
      </c>
      <c r="D2093" s="41">
        <v>29</v>
      </c>
      <c r="E2093" s="41" t="s">
        <v>36</v>
      </c>
      <c r="F2093" s="50">
        <v>2017</v>
      </c>
      <c r="G2093" s="51">
        <v>0.16719999999999999</v>
      </c>
      <c r="H2093" s="51">
        <f t="shared" si="123"/>
        <v>4.0835406191918576E-2</v>
      </c>
      <c r="I2093" s="51">
        <v>0</v>
      </c>
      <c r="J2093" s="51">
        <f t="shared" si="124"/>
        <v>0</v>
      </c>
      <c r="K2093" s="51">
        <v>7.4000000000000003E-3</v>
      </c>
      <c r="L2093" s="51">
        <f t="shared" si="125"/>
        <v>2.3753630588555521E-3</v>
      </c>
      <c r="M2093" s="51">
        <f t="shared" si="121"/>
        <v>3.8460043133063025E-2</v>
      </c>
      <c r="N2093" s="51">
        <v>0</v>
      </c>
      <c r="O2093" s="51">
        <f t="shared" si="126"/>
        <v>0</v>
      </c>
      <c r="P2093" s="101"/>
    </row>
    <row r="2094" spans="1:19" x14ac:dyDescent="0.25">
      <c r="A2094" s="42">
        <v>1</v>
      </c>
      <c r="B2094" s="43">
        <v>437930.10856199998</v>
      </c>
      <c r="C2094" s="43">
        <v>5688036.3324180003</v>
      </c>
      <c r="D2094" s="44">
        <v>7</v>
      </c>
      <c r="E2094" s="44" t="s">
        <v>64</v>
      </c>
      <c r="F2094" s="44">
        <v>2018</v>
      </c>
      <c r="G2094" s="44" t="s">
        <v>18</v>
      </c>
      <c r="H2094" s="44" t="s">
        <v>18</v>
      </c>
      <c r="I2094" s="44" t="s">
        <v>18</v>
      </c>
      <c r="J2094" s="44" t="s">
        <v>18</v>
      </c>
      <c r="K2094" s="44" t="s">
        <v>18</v>
      </c>
      <c r="L2094" s="44" t="s">
        <v>18</v>
      </c>
      <c r="M2094" s="44" t="s">
        <v>18</v>
      </c>
      <c r="N2094" s="44" t="s">
        <v>18</v>
      </c>
      <c r="O2094" s="44" t="s">
        <v>18</v>
      </c>
      <c r="P2094" s="102" t="s">
        <v>109</v>
      </c>
      <c r="R2094" s="5">
        <f>AVERAGE(M2094:M2153)</f>
        <v>9.240980227157752E-3</v>
      </c>
      <c r="S2094" s="5">
        <f>AVERAGE(H2094:H2153)</f>
        <v>1.1002399412102825E-2</v>
      </c>
    </row>
    <row r="2095" spans="1:19" x14ac:dyDescent="0.25">
      <c r="A2095" s="42">
        <v>2</v>
      </c>
      <c r="B2095" s="43">
        <v>437811.10856199998</v>
      </c>
      <c r="C2095" s="43">
        <v>5688155.3324180003</v>
      </c>
      <c r="D2095" s="44">
        <v>7</v>
      </c>
      <c r="E2095" s="44" t="s">
        <v>64</v>
      </c>
      <c r="F2095" s="44">
        <v>2018</v>
      </c>
      <c r="G2095" s="44" t="s">
        <v>18</v>
      </c>
      <c r="H2095" s="44" t="s">
        <v>18</v>
      </c>
      <c r="I2095" s="44" t="s">
        <v>18</v>
      </c>
      <c r="J2095" s="44" t="s">
        <v>18</v>
      </c>
      <c r="K2095" s="44" t="s">
        <v>18</v>
      </c>
      <c r="L2095" s="44" t="s">
        <v>18</v>
      </c>
      <c r="M2095" s="44" t="s">
        <v>18</v>
      </c>
      <c r="N2095" s="44" t="s">
        <v>18</v>
      </c>
      <c r="O2095" s="44" t="s">
        <v>18</v>
      </c>
      <c r="P2095" s="102" t="s">
        <v>109</v>
      </c>
    </row>
    <row r="2096" spans="1:19" x14ac:dyDescent="0.25">
      <c r="A2096" s="29">
        <v>3</v>
      </c>
      <c r="B2096" s="30">
        <v>437930.10856199998</v>
      </c>
      <c r="C2096" s="30">
        <v>5688155.3324180003</v>
      </c>
      <c r="D2096" s="30">
        <v>7</v>
      </c>
      <c r="E2096" s="30" t="s">
        <v>64</v>
      </c>
      <c r="F2096" s="46">
        <v>2018</v>
      </c>
      <c r="G2096" s="47">
        <v>3.0999999999999999E-3</v>
      </c>
      <c r="H2096" s="47">
        <f>G2096*0.259680176618227</f>
        <v>8.0500854751650367E-4</v>
      </c>
      <c r="I2096" s="47">
        <v>0</v>
      </c>
      <c r="J2096" s="47">
        <f>I2096*0.427999354963057</f>
        <v>0</v>
      </c>
      <c r="K2096" s="47">
        <v>1E-3</v>
      </c>
      <c r="L2096" s="47">
        <f>K2096*0.298941798941799</f>
        <v>2.98941798941799E-4</v>
      </c>
      <c r="M2096" s="47">
        <f>H2096-L2096</f>
        <v>5.0606674857470472E-4</v>
      </c>
      <c r="N2096" s="47">
        <v>4.4000000000000003E-3</v>
      </c>
      <c r="O2096" s="47">
        <f>N2096*0.367536938666809</f>
        <v>1.6171625301339596E-3</v>
      </c>
      <c r="P2096" s="92"/>
    </row>
    <row r="2097" spans="1:16" x14ac:dyDescent="0.25">
      <c r="A2097" s="42">
        <v>4</v>
      </c>
      <c r="B2097" s="43">
        <v>438049.10856199998</v>
      </c>
      <c r="C2097" s="43">
        <v>5688155.3324180003</v>
      </c>
      <c r="D2097" s="44">
        <v>7</v>
      </c>
      <c r="E2097" s="44" t="s">
        <v>64</v>
      </c>
      <c r="F2097" s="44">
        <v>2018</v>
      </c>
      <c r="G2097" s="44" t="s">
        <v>18</v>
      </c>
      <c r="H2097" s="44" t="s">
        <v>18</v>
      </c>
      <c r="I2097" s="44" t="s">
        <v>18</v>
      </c>
      <c r="J2097" s="44" t="s">
        <v>18</v>
      </c>
      <c r="K2097" s="44" t="s">
        <v>18</v>
      </c>
      <c r="L2097" s="44" t="s">
        <v>18</v>
      </c>
      <c r="M2097" s="44" t="s">
        <v>18</v>
      </c>
      <c r="N2097" s="44" t="s">
        <v>18</v>
      </c>
      <c r="O2097" s="44" t="s">
        <v>18</v>
      </c>
      <c r="P2097" s="102" t="s">
        <v>109</v>
      </c>
    </row>
    <row r="2098" spans="1:16" x14ac:dyDescent="0.25">
      <c r="A2098" s="42">
        <v>5</v>
      </c>
      <c r="B2098" s="43">
        <v>437573.10856199998</v>
      </c>
      <c r="C2098" s="43">
        <v>5688274.3324180003</v>
      </c>
      <c r="D2098" s="44">
        <v>7</v>
      </c>
      <c r="E2098" s="44" t="s">
        <v>64</v>
      </c>
      <c r="F2098" s="44">
        <v>2018</v>
      </c>
      <c r="G2098" s="44" t="s">
        <v>18</v>
      </c>
      <c r="H2098" s="44" t="s">
        <v>18</v>
      </c>
      <c r="I2098" s="44" t="s">
        <v>18</v>
      </c>
      <c r="J2098" s="44" t="s">
        <v>18</v>
      </c>
      <c r="K2098" s="44" t="s">
        <v>18</v>
      </c>
      <c r="L2098" s="44" t="s">
        <v>18</v>
      </c>
      <c r="M2098" s="44" t="s">
        <v>18</v>
      </c>
      <c r="N2098" s="44" t="s">
        <v>18</v>
      </c>
      <c r="O2098" s="44" t="s">
        <v>18</v>
      </c>
      <c r="P2098" s="102" t="s">
        <v>109</v>
      </c>
    </row>
    <row r="2099" spans="1:16" x14ac:dyDescent="0.25">
      <c r="A2099" s="29">
        <v>6</v>
      </c>
      <c r="B2099" s="30">
        <v>437692.10856199998</v>
      </c>
      <c r="C2099" s="30">
        <v>5688274.3324180003</v>
      </c>
      <c r="D2099" s="30">
        <v>7</v>
      </c>
      <c r="E2099" s="30" t="s">
        <v>64</v>
      </c>
      <c r="F2099" s="46">
        <v>2018</v>
      </c>
      <c r="G2099" s="47">
        <v>7.7999999999999996E-3</v>
      </c>
      <c r="H2099" s="47">
        <f t="shared" ref="H2099:H2133" si="127">G2099*0.259680176618227</f>
        <v>2.0255053776221704E-3</v>
      </c>
      <c r="I2099" s="47">
        <v>5.0000000000000001E-4</v>
      </c>
      <c r="J2099" s="47">
        <f t="shared" ref="J2099:J2129" si="128">I2099*0.427999354963057</f>
        <v>2.1399967748152851E-4</v>
      </c>
      <c r="K2099" s="54">
        <v>1.9E-3</v>
      </c>
      <c r="L2099" s="47">
        <f t="shared" ref="L2099:L2129" si="129">K2099*0.298941798941799</f>
        <v>5.6798941798941812E-4</v>
      </c>
      <c r="M2099" s="47">
        <f t="shared" ref="M2099:M2153" si="130">H2099-L2099</f>
        <v>1.4575159596327523E-3</v>
      </c>
      <c r="N2099" s="47">
        <v>1.5300000000000001E-2</v>
      </c>
      <c r="O2099" s="47">
        <f t="shared" ref="O2099:O2129" si="131">N2099*0.367536938666809</f>
        <v>5.6233151616021781E-3</v>
      </c>
      <c r="P2099" s="92"/>
    </row>
    <row r="2100" spans="1:16" x14ac:dyDescent="0.25">
      <c r="A2100" s="29">
        <v>7</v>
      </c>
      <c r="B2100" s="30">
        <v>437811.10856199998</v>
      </c>
      <c r="C2100" s="30">
        <v>5688274.3324180003</v>
      </c>
      <c r="D2100" s="30">
        <v>7</v>
      </c>
      <c r="E2100" s="30" t="s">
        <v>64</v>
      </c>
      <c r="F2100" s="46">
        <v>2018</v>
      </c>
      <c r="G2100" s="47">
        <v>0</v>
      </c>
      <c r="H2100" s="47">
        <f t="shared" si="127"/>
        <v>0</v>
      </c>
      <c r="I2100" s="47">
        <v>2.86E-2</v>
      </c>
      <c r="J2100" s="47">
        <f t="shared" si="128"/>
        <v>1.2240781551943431E-2</v>
      </c>
      <c r="K2100" s="47">
        <v>0</v>
      </c>
      <c r="L2100" s="47">
        <f t="shared" si="129"/>
        <v>0</v>
      </c>
      <c r="M2100" s="47">
        <f t="shared" si="130"/>
        <v>0</v>
      </c>
      <c r="N2100" s="47">
        <v>6.9999999999999999E-4</v>
      </c>
      <c r="O2100" s="47">
        <f t="shared" si="131"/>
        <v>2.572758570667663E-4</v>
      </c>
      <c r="P2100" s="92"/>
    </row>
    <row r="2101" spans="1:16" x14ac:dyDescent="0.25">
      <c r="A2101" s="42">
        <v>8</v>
      </c>
      <c r="B2101" s="43">
        <v>437930.10856199998</v>
      </c>
      <c r="C2101" s="43">
        <v>5688274.3324180003</v>
      </c>
      <c r="D2101" s="44">
        <v>7</v>
      </c>
      <c r="E2101" s="44" t="s">
        <v>64</v>
      </c>
      <c r="F2101" s="44">
        <v>2018</v>
      </c>
      <c r="G2101" s="44" t="s">
        <v>18</v>
      </c>
      <c r="H2101" s="44" t="s">
        <v>18</v>
      </c>
      <c r="I2101" s="44" t="s">
        <v>18</v>
      </c>
      <c r="J2101" s="44" t="s">
        <v>18</v>
      </c>
      <c r="K2101" s="44" t="s">
        <v>18</v>
      </c>
      <c r="L2101" s="44" t="s">
        <v>18</v>
      </c>
      <c r="M2101" s="44" t="s">
        <v>18</v>
      </c>
      <c r="N2101" s="44" t="s">
        <v>18</v>
      </c>
      <c r="O2101" s="44" t="s">
        <v>18</v>
      </c>
      <c r="P2101" s="102" t="s">
        <v>109</v>
      </c>
    </row>
    <row r="2102" spans="1:16" x14ac:dyDescent="0.25">
      <c r="A2102" s="29">
        <v>9</v>
      </c>
      <c r="B2102" s="30">
        <v>438287.10856199998</v>
      </c>
      <c r="C2102" s="30">
        <v>5688274.3324180003</v>
      </c>
      <c r="D2102" s="30">
        <v>7</v>
      </c>
      <c r="E2102" s="30" t="s">
        <v>64</v>
      </c>
      <c r="F2102" s="46">
        <v>2018</v>
      </c>
      <c r="G2102" s="47">
        <v>6.4500000000000002E-2</v>
      </c>
      <c r="H2102" s="47">
        <f t="shared" si="127"/>
        <v>1.6749371391875642E-2</v>
      </c>
      <c r="I2102" s="47">
        <v>0</v>
      </c>
      <c r="J2102" s="47">
        <f t="shared" si="128"/>
        <v>0</v>
      </c>
      <c r="K2102" s="47">
        <v>7.1999999999999998E-3</v>
      </c>
      <c r="L2102" s="47">
        <f t="shared" si="129"/>
        <v>2.1523809523809529E-3</v>
      </c>
      <c r="M2102" s="47">
        <f t="shared" si="130"/>
        <v>1.459699043949469E-2</v>
      </c>
      <c r="N2102" s="47">
        <v>3.4200000000000001E-2</v>
      </c>
      <c r="O2102" s="47">
        <f t="shared" si="131"/>
        <v>1.2569763302404868E-2</v>
      </c>
      <c r="P2102" s="92"/>
    </row>
    <row r="2103" spans="1:16" x14ac:dyDescent="0.25">
      <c r="A2103" s="29">
        <v>10</v>
      </c>
      <c r="B2103" s="30">
        <v>438406.10856199998</v>
      </c>
      <c r="C2103" s="30">
        <v>5688274.3324180003</v>
      </c>
      <c r="D2103" s="30">
        <v>7</v>
      </c>
      <c r="E2103" s="30" t="s">
        <v>64</v>
      </c>
      <c r="F2103" s="46">
        <v>2018</v>
      </c>
      <c r="G2103" s="47">
        <v>6.3799999999999996E-2</v>
      </c>
      <c r="H2103" s="47">
        <f t="shared" si="127"/>
        <v>1.6567595268242884E-2</v>
      </c>
      <c r="I2103" s="47">
        <v>0</v>
      </c>
      <c r="J2103" s="47">
        <f t="shared" si="128"/>
        <v>0</v>
      </c>
      <c r="K2103" s="47">
        <v>8.0999999999999996E-3</v>
      </c>
      <c r="L2103" s="47">
        <f t="shared" si="129"/>
        <v>2.4214285714285718E-3</v>
      </c>
      <c r="M2103" s="47">
        <f t="shared" si="130"/>
        <v>1.4146166696814313E-2</v>
      </c>
      <c r="N2103" s="47">
        <v>0</v>
      </c>
      <c r="O2103" s="47">
        <f t="shared" si="131"/>
        <v>0</v>
      </c>
      <c r="P2103" s="92"/>
    </row>
    <row r="2104" spans="1:16" x14ac:dyDescent="0.25">
      <c r="A2104" s="42">
        <v>11</v>
      </c>
      <c r="B2104" s="43">
        <v>437454.10856199998</v>
      </c>
      <c r="C2104" s="43">
        <v>5688393.3324180003</v>
      </c>
      <c r="D2104" s="44">
        <v>7</v>
      </c>
      <c r="E2104" s="44" t="s">
        <v>64</v>
      </c>
      <c r="F2104" s="44">
        <v>2018</v>
      </c>
      <c r="G2104" s="44" t="s">
        <v>18</v>
      </c>
      <c r="H2104" s="44" t="s">
        <v>18</v>
      </c>
      <c r="I2104" s="44" t="s">
        <v>18</v>
      </c>
      <c r="J2104" s="44" t="s">
        <v>18</v>
      </c>
      <c r="K2104" s="44" t="s">
        <v>18</v>
      </c>
      <c r="L2104" s="44" t="s">
        <v>18</v>
      </c>
      <c r="M2104" s="44" t="s">
        <v>18</v>
      </c>
      <c r="N2104" s="44" t="s">
        <v>18</v>
      </c>
      <c r="O2104" s="44" t="s">
        <v>18</v>
      </c>
      <c r="P2104" s="102" t="s">
        <v>109</v>
      </c>
    </row>
    <row r="2105" spans="1:16" x14ac:dyDescent="0.25">
      <c r="A2105" s="29">
        <v>12</v>
      </c>
      <c r="B2105" s="30">
        <v>437573.10856199998</v>
      </c>
      <c r="C2105" s="30">
        <v>5688393.3324180003</v>
      </c>
      <c r="D2105" s="30">
        <v>7</v>
      </c>
      <c r="E2105" s="30" t="s">
        <v>64</v>
      </c>
      <c r="F2105" s="46">
        <v>2018</v>
      </c>
      <c r="G2105" s="47">
        <v>7.0999999999999995E-3</v>
      </c>
      <c r="H2105" s="47">
        <f t="shared" si="127"/>
        <v>1.8437292539894116E-3</v>
      </c>
      <c r="I2105" s="47">
        <v>3.8399999999999997E-2</v>
      </c>
      <c r="J2105" s="47">
        <f t="shared" si="128"/>
        <v>1.6435175230581387E-2</v>
      </c>
      <c r="K2105" s="47">
        <v>1.1000000000000001E-3</v>
      </c>
      <c r="L2105" s="47">
        <f t="shared" si="129"/>
        <v>3.2883597883597894E-4</v>
      </c>
      <c r="M2105" s="47">
        <f t="shared" si="130"/>
        <v>1.5148932751534328E-3</v>
      </c>
      <c r="N2105" s="47">
        <v>6.6E-3</v>
      </c>
      <c r="O2105" s="47">
        <f t="shared" si="131"/>
        <v>2.4257437952009391E-3</v>
      </c>
      <c r="P2105" s="92"/>
    </row>
    <row r="2106" spans="1:16" x14ac:dyDescent="0.25">
      <c r="A2106" s="29">
        <v>13</v>
      </c>
      <c r="B2106" s="30">
        <v>437692.10856199998</v>
      </c>
      <c r="C2106" s="30">
        <v>5688393.3324180003</v>
      </c>
      <c r="D2106" s="30">
        <v>7</v>
      </c>
      <c r="E2106" s="30" t="s">
        <v>64</v>
      </c>
      <c r="F2106" s="46">
        <v>2018</v>
      </c>
      <c r="G2106" s="47">
        <v>5.3399999999999996E-2</v>
      </c>
      <c r="H2106" s="47">
        <f t="shared" si="127"/>
        <v>1.3866921431413321E-2</v>
      </c>
      <c r="I2106" s="47">
        <v>0.02</v>
      </c>
      <c r="J2106" s="47">
        <f t="shared" si="128"/>
        <v>8.5599870992611408E-3</v>
      </c>
      <c r="K2106" s="47">
        <v>1.04E-2</v>
      </c>
      <c r="L2106" s="47">
        <f t="shared" si="129"/>
        <v>3.1089947089947096E-3</v>
      </c>
      <c r="M2106" s="47">
        <f t="shared" si="130"/>
        <v>1.0757926722418612E-2</v>
      </c>
      <c r="N2106" s="47">
        <v>8.1799999999999998E-2</v>
      </c>
      <c r="O2106" s="47">
        <f t="shared" si="131"/>
        <v>3.0064521582944974E-2</v>
      </c>
      <c r="P2106" s="92"/>
    </row>
    <row r="2107" spans="1:16" x14ac:dyDescent="0.25">
      <c r="A2107" s="32">
        <v>14</v>
      </c>
      <c r="B2107" s="33">
        <v>437811.10856199998</v>
      </c>
      <c r="C2107" s="33">
        <v>5688393.3324180003</v>
      </c>
      <c r="D2107" s="48">
        <v>7</v>
      </c>
      <c r="E2107" s="48" t="s">
        <v>64</v>
      </c>
      <c r="F2107" s="48">
        <v>2018</v>
      </c>
      <c r="G2107" s="48" t="s">
        <v>18</v>
      </c>
      <c r="H2107" s="48" t="s">
        <v>18</v>
      </c>
      <c r="I2107" s="48" t="s">
        <v>18</v>
      </c>
      <c r="J2107" s="48" t="s">
        <v>18</v>
      </c>
      <c r="K2107" s="48" t="s">
        <v>18</v>
      </c>
      <c r="L2107" s="48" t="s">
        <v>18</v>
      </c>
      <c r="M2107" s="48" t="s">
        <v>18</v>
      </c>
      <c r="N2107" s="48" t="s">
        <v>18</v>
      </c>
      <c r="O2107" s="48" t="s">
        <v>18</v>
      </c>
      <c r="P2107" s="103" t="s">
        <v>89</v>
      </c>
    </row>
    <row r="2108" spans="1:16" x14ac:dyDescent="0.25">
      <c r="A2108" s="29">
        <v>15</v>
      </c>
      <c r="B2108" s="30">
        <v>437930.10856199998</v>
      </c>
      <c r="C2108" s="30">
        <v>5688393.3324180003</v>
      </c>
      <c r="D2108" s="30">
        <v>7</v>
      </c>
      <c r="E2108" s="30" t="s">
        <v>64</v>
      </c>
      <c r="F2108" s="46">
        <v>2018</v>
      </c>
      <c r="G2108" s="47">
        <v>3.1800000000000002E-2</v>
      </c>
      <c r="H2108" s="47">
        <f t="shared" si="127"/>
        <v>8.257829616459619E-3</v>
      </c>
      <c r="I2108" s="47">
        <v>0.185</v>
      </c>
      <c r="J2108" s="47">
        <f t="shared" si="128"/>
        <v>7.9179880668165545E-2</v>
      </c>
      <c r="K2108" s="47">
        <v>2.1000000000000003E-3</v>
      </c>
      <c r="L2108" s="47">
        <f t="shared" si="129"/>
        <v>6.2777777777777799E-4</v>
      </c>
      <c r="M2108" s="47">
        <f t="shared" si="130"/>
        <v>7.6300518386818407E-3</v>
      </c>
      <c r="N2108" s="47">
        <v>4.87E-2</v>
      </c>
      <c r="O2108" s="47">
        <f t="shared" si="131"/>
        <v>1.7899048913073597E-2</v>
      </c>
      <c r="P2108" s="92"/>
    </row>
    <row r="2109" spans="1:16" x14ac:dyDescent="0.25">
      <c r="A2109" s="29">
        <v>16</v>
      </c>
      <c r="B2109" s="30">
        <v>438049.10856199998</v>
      </c>
      <c r="C2109" s="30">
        <v>5688393.3324180003</v>
      </c>
      <c r="D2109" s="30">
        <v>7</v>
      </c>
      <c r="E2109" s="30" t="s">
        <v>64</v>
      </c>
      <c r="F2109" s="46">
        <v>2018</v>
      </c>
      <c r="G2109" s="47">
        <v>1.0699999999999999E-2</v>
      </c>
      <c r="H2109" s="47">
        <f t="shared" si="127"/>
        <v>2.7785778898150289E-3</v>
      </c>
      <c r="I2109" s="47">
        <v>5.4399999999999997E-2</v>
      </c>
      <c r="J2109" s="47">
        <f t="shared" si="128"/>
        <v>2.32831649099903E-2</v>
      </c>
      <c r="K2109" s="47">
        <v>2.8999999999999998E-3</v>
      </c>
      <c r="L2109" s="47">
        <f t="shared" si="129"/>
        <v>8.6693121693121706E-4</v>
      </c>
      <c r="M2109" s="47">
        <f t="shared" si="130"/>
        <v>1.911646672883812E-3</v>
      </c>
      <c r="N2109" s="47">
        <v>2.7E-2</v>
      </c>
      <c r="O2109" s="47">
        <f t="shared" si="131"/>
        <v>9.9234973440038426E-3</v>
      </c>
      <c r="P2109" s="92"/>
    </row>
    <row r="2110" spans="1:16" x14ac:dyDescent="0.25">
      <c r="A2110" s="29">
        <v>17</v>
      </c>
      <c r="B2110" s="30">
        <v>438168.10856199998</v>
      </c>
      <c r="C2110" s="30">
        <v>5688393.3324180003</v>
      </c>
      <c r="D2110" s="30">
        <v>7</v>
      </c>
      <c r="E2110" s="30" t="s">
        <v>64</v>
      </c>
      <c r="F2110" s="46">
        <v>2018</v>
      </c>
      <c r="G2110" s="47">
        <v>2.4899999999999999E-2</v>
      </c>
      <c r="H2110" s="47">
        <f t="shared" si="127"/>
        <v>6.4660363977938522E-3</v>
      </c>
      <c r="I2110" s="47">
        <v>7.2499999999999995E-2</v>
      </c>
      <c r="J2110" s="47">
        <f t="shared" si="128"/>
        <v>3.1029953234821633E-2</v>
      </c>
      <c r="K2110" s="47">
        <v>1.1699999999999999E-2</v>
      </c>
      <c r="L2110" s="47">
        <f t="shared" si="129"/>
        <v>3.497619047619048E-3</v>
      </c>
      <c r="M2110" s="47">
        <f t="shared" si="130"/>
        <v>2.9684173501748042E-3</v>
      </c>
      <c r="N2110" s="47">
        <v>1.6999999999999999E-3</v>
      </c>
      <c r="O2110" s="47">
        <f t="shared" si="131"/>
        <v>6.2481279573357526E-4</v>
      </c>
      <c r="P2110" s="92"/>
    </row>
    <row r="2111" spans="1:16" x14ac:dyDescent="0.25">
      <c r="A2111" s="29">
        <v>18</v>
      </c>
      <c r="B2111" s="30">
        <v>438287.10856199998</v>
      </c>
      <c r="C2111" s="30">
        <v>5688393.3324180003</v>
      </c>
      <c r="D2111" s="30">
        <v>7</v>
      </c>
      <c r="E2111" s="30" t="s">
        <v>64</v>
      </c>
      <c r="F2111" s="46">
        <v>2018</v>
      </c>
      <c r="G2111" s="47">
        <v>3.7399999999999996E-2</v>
      </c>
      <c r="H2111" s="47">
        <f t="shared" si="127"/>
        <v>9.7120386055216893E-3</v>
      </c>
      <c r="I2111" s="47">
        <v>0</v>
      </c>
      <c r="J2111" s="47">
        <f t="shared" si="128"/>
        <v>0</v>
      </c>
      <c r="K2111" s="47">
        <v>1E-4</v>
      </c>
      <c r="L2111" s="47">
        <f t="shared" si="129"/>
        <v>2.9894179894179901E-5</v>
      </c>
      <c r="M2111" s="47">
        <f t="shared" si="130"/>
        <v>9.6821444256275091E-3</v>
      </c>
      <c r="N2111" s="47">
        <v>0</v>
      </c>
      <c r="O2111" s="47">
        <f t="shared" si="131"/>
        <v>0</v>
      </c>
      <c r="P2111" s="92"/>
    </row>
    <row r="2112" spans="1:16" x14ac:dyDescent="0.25">
      <c r="A2112" s="29">
        <v>19</v>
      </c>
      <c r="B2112" s="30">
        <v>438406.10856199998</v>
      </c>
      <c r="C2112" s="30">
        <v>5688393.3324180003</v>
      </c>
      <c r="D2112" s="30">
        <v>7</v>
      </c>
      <c r="E2112" s="30" t="s">
        <v>64</v>
      </c>
      <c r="F2112" s="46">
        <v>2018</v>
      </c>
      <c r="G2112" s="47">
        <v>4.8399999999999999E-2</v>
      </c>
      <c r="H2112" s="47">
        <f t="shared" si="127"/>
        <v>1.2568520548322188E-2</v>
      </c>
      <c r="I2112" s="47">
        <v>0</v>
      </c>
      <c r="J2112" s="47">
        <f t="shared" si="128"/>
        <v>0</v>
      </c>
      <c r="K2112" s="47">
        <v>1.4E-3</v>
      </c>
      <c r="L2112" s="47">
        <f t="shared" si="129"/>
        <v>4.1851851851851859E-4</v>
      </c>
      <c r="M2112" s="47">
        <f t="shared" si="130"/>
        <v>1.215000202980367E-2</v>
      </c>
      <c r="N2112" s="47">
        <v>3.5999999999999999E-3</v>
      </c>
      <c r="O2112" s="47">
        <f t="shared" si="131"/>
        <v>1.3231329792005122E-3</v>
      </c>
      <c r="P2112" s="92"/>
    </row>
    <row r="2113" spans="1:16" x14ac:dyDescent="0.25">
      <c r="A2113" s="42">
        <v>20</v>
      </c>
      <c r="B2113" s="43">
        <v>437335.10856199998</v>
      </c>
      <c r="C2113" s="43">
        <v>5688512.3324180003</v>
      </c>
      <c r="D2113" s="44">
        <v>7</v>
      </c>
      <c r="E2113" s="44" t="s">
        <v>64</v>
      </c>
      <c r="F2113" s="44">
        <v>2018</v>
      </c>
      <c r="G2113" s="44" t="s">
        <v>18</v>
      </c>
      <c r="H2113" s="44" t="s">
        <v>18</v>
      </c>
      <c r="I2113" s="44" t="s">
        <v>18</v>
      </c>
      <c r="J2113" s="44" t="s">
        <v>18</v>
      </c>
      <c r="K2113" s="44" t="s">
        <v>18</v>
      </c>
      <c r="L2113" s="44" t="s">
        <v>18</v>
      </c>
      <c r="M2113" s="44" t="s">
        <v>18</v>
      </c>
      <c r="N2113" s="44" t="s">
        <v>18</v>
      </c>
      <c r="O2113" s="44" t="s">
        <v>18</v>
      </c>
      <c r="P2113" s="102" t="s">
        <v>109</v>
      </c>
    </row>
    <row r="2114" spans="1:16" x14ac:dyDescent="0.25">
      <c r="A2114" s="29">
        <v>21</v>
      </c>
      <c r="B2114" s="30">
        <v>437454.10856199998</v>
      </c>
      <c r="C2114" s="30">
        <v>5688512.3324180003</v>
      </c>
      <c r="D2114" s="30">
        <v>7</v>
      </c>
      <c r="E2114" s="30" t="s">
        <v>64</v>
      </c>
      <c r="F2114" s="46">
        <v>2018</v>
      </c>
      <c r="G2114" s="47">
        <v>2.1000000000000003E-3</v>
      </c>
      <c r="H2114" s="47">
        <f t="shared" si="127"/>
        <v>5.4532837089827681E-4</v>
      </c>
      <c r="I2114" s="47">
        <v>0</v>
      </c>
      <c r="J2114" s="47">
        <f t="shared" si="128"/>
        <v>0</v>
      </c>
      <c r="K2114" s="47">
        <v>2.2000000000000001E-3</v>
      </c>
      <c r="L2114" s="47">
        <f t="shared" si="129"/>
        <v>6.5767195767195787E-4</v>
      </c>
      <c r="M2114" s="47">
        <f t="shared" si="130"/>
        <v>-1.1234358677368107E-4</v>
      </c>
      <c r="N2114" s="47">
        <v>0</v>
      </c>
      <c r="O2114" s="47">
        <f t="shared" si="131"/>
        <v>0</v>
      </c>
      <c r="P2114" s="92"/>
    </row>
    <row r="2115" spans="1:16" x14ac:dyDescent="0.25">
      <c r="A2115" s="29">
        <v>22</v>
      </c>
      <c r="B2115" s="30">
        <v>437573.10856199998</v>
      </c>
      <c r="C2115" s="30">
        <v>5688512.3324180003</v>
      </c>
      <c r="D2115" s="30">
        <v>7</v>
      </c>
      <c r="E2115" s="30" t="s">
        <v>64</v>
      </c>
      <c r="F2115" s="46">
        <v>2018</v>
      </c>
      <c r="G2115" s="47">
        <v>1.9100000000000002E-2</v>
      </c>
      <c r="H2115" s="47">
        <f t="shared" si="127"/>
        <v>4.9598913734081361E-3</v>
      </c>
      <c r="I2115" s="47">
        <v>0.2054</v>
      </c>
      <c r="J2115" s="47">
        <f t="shared" si="128"/>
        <v>8.7911067509411911E-2</v>
      </c>
      <c r="K2115" s="47">
        <v>8.4000000000000012E-3</v>
      </c>
      <c r="L2115" s="47">
        <f t="shared" si="129"/>
        <v>2.511111111111112E-3</v>
      </c>
      <c r="M2115" s="47">
        <f t="shared" si="130"/>
        <v>2.4487802622970242E-3</v>
      </c>
      <c r="N2115" s="47">
        <v>0.13109999999999999</v>
      </c>
      <c r="O2115" s="47">
        <f t="shared" si="131"/>
        <v>4.8184092659218657E-2</v>
      </c>
      <c r="P2115" s="92"/>
    </row>
    <row r="2116" spans="1:16" x14ac:dyDescent="0.25">
      <c r="A2116" s="29">
        <v>23</v>
      </c>
      <c r="B2116" s="30">
        <v>437692.10856199998</v>
      </c>
      <c r="C2116" s="30">
        <v>5688512.3324180003</v>
      </c>
      <c r="D2116" s="30">
        <v>7</v>
      </c>
      <c r="E2116" s="30" t="s">
        <v>64</v>
      </c>
      <c r="F2116" s="46">
        <v>2018</v>
      </c>
      <c r="G2116" s="46">
        <v>6.1999999999999998E-3</v>
      </c>
      <c r="H2116" s="47">
        <f t="shared" si="127"/>
        <v>1.6100170950330073E-3</v>
      </c>
      <c r="I2116" s="47">
        <v>3.3999999999999998E-3</v>
      </c>
      <c r="J2116" s="47">
        <f t="shared" si="128"/>
        <v>1.4551978068743938E-3</v>
      </c>
      <c r="K2116" s="47">
        <v>1E-4</v>
      </c>
      <c r="L2116" s="47">
        <f t="shared" si="129"/>
        <v>2.9894179894179901E-5</v>
      </c>
      <c r="M2116" s="47">
        <f>H2116-L2116</f>
        <v>1.5801229151388273E-3</v>
      </c>
      <c r="N2116" s="47">
        <v>5.5999999999999999E-3</v>
      </c>
      <c r="O2116" s="47">
        <f t="shared" si="131"/>
        <v>2.0582068565341304E-3</v>
      </c>
      <c r="P2116" s="92"/>
    </row>
    <row r="2117" spans="1:16" x14ac:dyDescent="0.25">
      <c r="A2117" s="29">
        <v>24</v>
      </c>
      <c r="B2117" s="30">
        <v>437811.10856199998</v>
      </c>
      <c r="C2117" s="30">
        <v>5688512.3324180003</v>
      </c>
      <c r="D2117" s="30">
        <v>7</v>
      </c>
      <c r="E2117" s="30" t="s">
        <v>64</v>
      </c>
      <c r="F2117" s="46">
        <v>2018</v>
      </c>
      <c r="G2117" s="47">
        <v>6.2200000000000005E-2</v>
      </c>
      <c r="H2117" s="47">
        <f t="shared" si="127"/>
        <v>1.6152106985653721E-2</v>
      </c>
      <c r="I2117" s="47">
        <v>2.35E-2</v>
      </c>
      <c r="J2117" s="47">
        <f t="shared" si="128"/>
        <v>1.005798484163184E-2</v>
      </c>
      <c r="K2117" s="47">
        <v>1.9199999999999998E-2</v>
      </c>
      <c r="L2117" s="47">
        <f t="shared" si="129"/>
        <v>5.7396825396825403E-3</v>
      </c>
      <c r="M2117" s="47">
        <f t="shared" si="130"/>
        <v>1.041242444597118E-2</v>
      </c>
      <c r="N2117" s="47">
        <v>0</v>
      </c>
      <c r="O2117" s="47">
        <f t="shared" si="131"/>
        <v>0</v>
      </c>
      <c r="P2117" s="92"/>
    </row>
    <row r="2118" spans="1:16" x14ac:dyDescent="0.25">
      <c r="A2118" s="29">
        <v>25</v>
      </c>
      <c r="B2118" s="46">
        <v>437995</v>
      </c>
      <c r="C2118" s="46">
        <v>5688493</v>
      </c>
      <c r="D2118" s="30">
        <v>7</v>
      </c>
      <c r="E2118" s="30" t="s">
        <v>64</v>
      </c>
      <c r="F2118" s="46">
        <v>2018</v>
      </c>
      <c r="G2118" s="47">
        <v>9.459999999999999E-2</v>
      </c>
      <c r="H2118" s="47">
        <f t="shared" si="127"/>
        <v>2.4565744708084272E-2</v>
      </c>
      <c r="I2118" s="47">
        <v>0</v>
      </c>
      <c r="J2118" s="47">
        <f t="shared" si="128"/>
        <v>0</v>
      </c>
      <c r="K2118" s="47">
        <v>1.4999999999999999E-2</v>
      </c>
      <c r="L2118" s="47">
        <f t="shared" si="129"/>
        <v>4.4841269841269854E-3</v>
      </c>
      <c r="M2118" s="47">
        <f t="shared" si="130"/>
        <v>2.0081617723957286E-2</v>
      </c>
      <c r="N2118" s="47">
        <v>0</v>
      </c>
      <c r="O2118" s="47">
        <f t="shared" si="131"/>
        <v>0</v>
      </c>
      <c r="P2118" s="92"/>
    </row>
    <row r="2119" spans="1:16" x14ac:dyDescent="0.25">
      <c r="A2119" s="29">
        <v>26</v>
      </c>
      <c r="B2119" s="46">
        <v>438112</v>
      </c>
      <c r="C2119" s="46">
        <v>5688567</v>
      </c>
      <c r="D2119" s="30">
        <v>7</v>
      </c>
      <c r="E2119" s="30" t="s">
        <v>64</v>
      </c>
      <c r="F2119" s="46">
        <v>2018</v>
      </c>
      <c r="G2119" s="47">
        <v>4.5399999999999996E-2</v>
      </c>
      <c r="H2119" s="47">
        <f t="shared" si="127"/>
        <v>1.1789480018467505E-2</v>
      </c>
      <c r="I2119" s="47">
        <v>0</v>
      </c>
      <c r="J2119" s="47">
        <f t="shared" si="128"/>
        <v>0</v>
      </c>
      <c r="K2119" s="47">
        <v>2.0199999999999999E-2</v>
      </c>
      <c r="L2119" s="47">
        <f t="shared" si="129"/>
        <v>6.0386243386243398E-3</v>
      </c>
      <c r="M2119" s="47">
        <f t="shared" si="130"/>
        <v>5.7508556798431653E-3</v>
      </c>
      <c r="N2119" s="47">
        <v>0</v>
      </c>
      <c r="O2119" s="47">
        <f t="shared" si="131"/>
        <v>0</v>
      </c>
      <c r="P2119" s="92"/>
    </row>
    <row r="2120" spans="1:16" x14ac:dyDescent="0.25">
      <c r="A2120" s="32">
        <v>27</v>
      </c>
      <c r="B2120" s="33">
        <v>438168.10856199998</v>
      </c>
      <c r="C2120" s="33">
        <v>5688512.3324180003</v>
      </c>
      <c r="D2120" s="48">
        <v>7</v>
      </c>
      <c r="E2120" s="48" t="s">
        <v>64</v>
      </c>
      <c r="F2120" s="48">
        <v>2018</v>
      </c>
      <c r="G2120" s="48" t="s">
        <v>18</v>
      </c>
      <c r="H2120" s="48" t="s">
        <v>18</v>
      </c>
      <c r="I2120" s="48" t="s">
        <v>18</v>
      </c>
      <c r="J2120" s="48" t="s">
        <v>18</v>
      </c>
      <c r="K2120" s="48" t="s">
        <v>18</v>
      </c>
      <c r="L2120" s="48" t="s">
        <v>18</v>
      </c>
      <c r="M2120" s="48" t="s">
        <v>18</v>
      </c>
      <c r="N2120" s="48" t="s">
        <v>18</v>
      </c>
      <c r="O2120" s="48" t="s">
        <v>18</v>
      </c>
      <c r="P2120" s="103" t="s">
        <v>89</v>
      </c>
    </row>
    <row r="2121" spans="1:16" x14ac:dyDescent="0.25">
      <c r="A2121" s="32">
        <v>28</v>
      </c>
      <c r="B2121" s="33">
        <v>438287.10856199998</v>
      </c>
      <c r="C2121" s="33">
        <v>5688512.3324180003</v>
      </c>
      <c r="D2121" s="48">
        <v>7</v>
      </c>
      <c r="E2121" s="48" t="s">
        <v>64</v>
      </c>
      <c r="F2121" s="48">
        <v>2018</v>
      </c>
      <c r="G2121" s="48" t="s">
        <v>18</v>
      </c>
      <c r="H2121" s="48" t="s">
        <v>18</v>
      </c>
      <c r="I2121" s="48" t="s">
        <v>18</v>
      </c>
      <c r="J2121" s="48" t="s">
        <v>18</v>
      </c>
      <c r="K2121" s="48" t="s">
        <v>18</v>
      </c>
      <c r="L2121" s="48" t="s">
        <v>18</v>
      </c>
      <c r="M2121" s="48" t="s">
        <v>18</v>
      </c>
      <c r="N2121" s="48" t="s">
        <v>18</v>
      </c>
      <c r="O2121" s="48" t="s">
        <v>18</v>
      </c>
      <c r="P2121" s="103" t="s">
        <v>89</v>
      </c>
    </row>
    <row r="2122" spans="1:16" x14ac:dyDescent="0.25">
      <c r="A2122" s="29">
        <v>29</v>
      </c>
      <c r="B2122" s="30">
        <v>438381</v>
      </c>
      <c r="C2122" s="30">
        <v>5688526</v>
      </c>
      <c r="D2122" s="30">
        <v>7</v>
      </c>
      <c r="E2122" s="30" t="s">
        <v>64</v>
      </c>
      <c r="F2122" s="46">
        <v>2018</v>
      </c>
      <c r="G2122" s="47">
        <v>0.1095</v>
      </c>
      <c r="H2122" s="47">
        <f t="shared" si="127"/>
        <v>2.8434979339695857E-2</v>
      </c>
      <c r="I2122" s="47">
        <v>0</v>
      </c>
      <c r="J2122" s="47">
        <f t="shared" si="128"/>
        <v>0</v>
      </c>
      <c r="K2122" s="47">
        <v>9.1000000000000004E-3</v>
      </c>
      <c r="L2122" s="47">
        <f t="shared" si="129"/>
        <v>2.7203703703703713E-3</v>
      </c>
      <c r="M2122" s="47">
        <f t="shared" si="130"/>
        <v>2.5714608969325488E-2</v>
      </c>
      <c r="N2122" s="47">
        <v>0</v>
      </c>
      <c r="O2122" s="47">
        <f t="shared" si="131"/>
        <v>0</v>
      </c>
      <c r="P2122" s="92"/>
    </row>
    <row r="2123" spans="1:16" x14ac:dyDescent="0.25">
      <c r="A2123" s="29">
        <v>30</v>
      </c>
      <c r="B2123" s="30">
        <v>438525.10856199998</v>
      </c>
      <c r="C2123" s="30">
        <v>5688512.3324180003</v>
      </c>
      <c r="D2123" s="30">
        <v>7</v>
      </c>
      <c r="E2123" s="30" t="s">
        <v>64</v>
      </c>
      <c r="F2123" s="46">
        <v>2018</v>
      </c>
      <c r="G2123" s="47">
        <v>5.1299999999999998E-2</v>
      </c>
      <c r="H2123" s="47">
        <f t="shared" si="127"/>
        <v>1.3321593060515046E-2</v>
      </c>
      <c r="I2123" s="47">
        <v>1.1000000000000001E-3</v>
      </c>
      <c r="J2123" s="47">
        <f t="shared" si="128"/>
        <v>4.7079929045936277E-4</v>
      </c>
      <c r="K2123" s="47">
        <v>7.4000000000000003E-3</v>
      </c>
      <c r="L2123" s="47">
        <f t="shared" si="129"/>
        <v>2.2121693121693129E-3</v>
      </c>
      <c r="M2123" s="47">
        <f t="shared" si="130"/>
        <v>1.1109423748345733E-2</v>
      </c>
      <c r="N2123" s="47">
        <v>1.95E-2</v>
      </c>
      <c r="O2123" s="47">
        <f t="shared" si="131"/>
        <v>7.1669703040027751E-3</v>
      </c>
      <c r="P2123" s="92"/>
    </row>
    <row r="2124" spans="1:16" x14ac:dyDescent="0.25">
      <c r="A2124" s="29">
        <v>31</v>
      </c>
      <c r="B2124" s="30">
        <v>437335.10856199998</v>
      </c>
      <c r="C2124" s="30">
        <v>5688631.3324180003</v>
      </c>
      <c r="D2124" s="30">
        <v>7</v>
      </c>
      <c r="E2124" s="30" t="s">
        <v>64</v>
      </c>
      <c r="F2124" s="46">
        <v>2018</v>
      </c>
      <c r="G2124" s="47">
        <v>1E-4</v>
      </c>
      <c r="H2124" s="47">
        <f t="shared" si="127"/>
        <v>2.5968017661822701E-5</v>
      </c>
      <c r="I2124" s="47">
        <v>0</v>
      </c>
      <c r="J2124" s="47">
        <f t="shared" si="128"/>
        <v>0</v>
      </c>
      <c r="K2124" s="47">
        <v>1E-4</v>
      </c>
      <c r="L2124" s="47">
        <f t="shared" si="129"/>
        <v>2.9894179894179901E-5</v>
      </c>
      <c r="M2124" s="47">
        <f t="shared" si="130"/>
        <v>-3.9261622323571997E-6</v>
      </c>
      <c r="N2124" s="47">
        <v>0</v>
      </c>
      <c r="O2124" s="47">
        <f t="shared" si="131"/>
        <v>0</v>
      </c>
      <c r="P2124" s="92"/>
    </row>
    <row r="2125" spans="1:16" x14ac:dyDescent="0.25">
      <c r="A2125" s="29">
        <v>32</v>
      </c>
      <c r="B2125" s="30">
        <v>437454.10856199998</v>
      </c>
      <c r="C2125" s="30">
        <v>5688631.3324180003</v>
      </c>
      <c r="D2125" s="30">
        <v>7</v>
      </c>
      <c r="E2125" s="30" t="s">
        <v>64</v>
      </c>
      <c r="F2125" s="46">
        <v>2018</v>
      </c>
      <c r="G2125" s="47">
        <v>5.9999999999999995E-4</v>
      </c>
      <c r="H2125" s="47">
        <f t="shared" si="127"/>
        <v>1.5580810597093619E-4</v>
      </c>
      <c r="I2125" s="47">
        <v>0</v>
      </c>
      <c r="J2125" s="47">
        <f t="shared" si="128"/>
        <v>0</v>
      </c>
      <c r="K2125" s="47">
        <v>0</v>
      </c>
      <c r="L2125" s="47">
        <f t="shared" si="129"/>
        <v>0</v>
      </c>
      <c r="M2125" s="47">
        <f t="shared" si="130"/>
        <v>1.5580810597093619E-4</v>
      </c>
      <c r="N2125" s="47">
        <v>0</v>
      </c>
      <c r="O2125" s="47">
        <f t="shared" si="131"/>
        <v>0</v>
      </c>
      <c r="P2125" s="92"/>
    </row>
    <row r="2126" spans="1:16" x14ac:dyDescent="0.25">
      <c r="A2126" s="29">
        <v>33</v>
      </c>
      <c r="B2126" s="30">
        <v>437573.10856199998</v>
      </c>
      <c r="C2126" s="30">
        <v>5688631.3324180003</v>
      </c>
      <c r="D2126" s="30">
        <v>7</v>
      </c>
      <c r="E2126" s="30" t="s">
        <v>64</v>
      </c>
      <c r="F2126" s="46">
        <v>2018</v>
      </c>
      <c r="G2126" s="47">
        <v>1.5699999999999999E-2</v>
      </c>
      <c r="H2126" s="47">
        <f t="shared" si="127"/>
        <v>4.0769787729061637E-3</v>
      </c>
      <c r="I2126" s="47">
        <v>1.6000000000000001E-3</v>
      </c>
      <c r="J2126" s="47">
        <f t="shared" si="128"/>
        <v>6.8479896794089131E-4</v>
      </c>
      <c r="K2126" s="47">
        <v>1.2999999999999999E-3</v>
      </c>
      <c r="L2126" s="47">
        <f t="shared" si="129"/>
        <v>3.886243386243387E-4</v>
      </c>
      <c r="M2126" s="47">
        <f t="shared" si="130"/>
        <v>3.6883544342818249E-3</v>
      </c>
      <c r="N2126" s="47">
        <v>0</v>
      </c>
      <c r="O2126" s="47">
        <f t="shared" si="131"/>
        <v>0</v>
      </c>
      <c r="P2126" s="92"/>
    </row>
    <row r="2127" spans="1:16" x14ac:dyDescent="0.25">
      <c r="A2127" s="29">
        <v>34</v>
      </c>
      <c r="B2127" s="30">
        <v>437692.10856199998</v>
      </c>
      <c r="C2127" s="30">
        <v>5688631.3324180003</v>
      </c>
      <c r="D2127" s="30">
        <v>7</v>
      </c>
      <c r="E2127" s="30" t="s">
        <v>64</v>
      </c>
      <c r="F2127" s="46">
        <v>2018</v>
      </c>
      <c r="G2127" s="47">
        <v>7.0699999999999999E-2</v>
      </c>
      <c r="H2127" s="47">
        <f t="shared" si="127"/>
        <v>1.835938848690865E-2</v>
      </c>
      <c r="I2127" s="47">
        <v>1.7899999999999999E-2</v>
      </c>
      <c r="J2127" s="47">
        <f t="shared" si="128"/>
        <v>7.6611884538387203E-3</v>
      </c>
      <c r="K2127" s="47">
        <v>9.4000000000000004E-3</v>
      </c>
      <c r="L2127" s="47">
        <f t="shared" si="129"/>
        <v>2.8100529100529106E-3</v>
      </c>
      <c r="M2127" s="47">
        <f t="shared" si="130"/>
        <v>1.5549335576855739E-2</v>
      </c>
      <c r="N2127" s="47">
        <v>1.6999999999999999E-3</v>
      </c>
      <c r="O2127" s="47">
        <f t="shared" si="131"/>
        <v>6.2481279573357526E-4</v>
      </c>
      <c r="P2127" s="92"/>
    </row>
    <row r="2128" spans="1:16" x14ac:dyDescent="0.25">
      <c r="A2128" s="29">
        <v>35</v>
      </c>
      <c r="B2128" s="30">
        <v>437893</v>
      </c>
      <c r="C2128" s="30">
        <v>5688620</v>
      </c>
      <c r="D2128" s="30">
        <v>7</v>
      </c>
      <c r="E2128" s="30" t="s">
        <v>64</v>
      </c>
      <c r="F2128" s="46">
        <v>2018</v>
      </c>
      <c r="G2128" s="47">
        <v>8.7400000000000005E-2</v>
      </c>
      <c r="H2128" s="47">
        <f t="shared" si="127"/>
        <v>2.2696047436433043E-2</v>
      </c>
      <c r="I2128" s="47">
        <v>0</v>
      </c>
      <c r="J2128" s="47">
        <f t="shared" si="128"/>
        <v>0</v>
      </c>
      <c r="K2128" s="47">
        <v>9.8000000000000014E-3</v>
      </c>
      <c r="L2128" s="47">
        <f t="shared" si="129"/>
        <v>2.9296296296296306E-3</v>
      </c>
      <c r="M2128" s="47">
        <f t="shared" si="130"/>
        <v>1.9766417806803414E-2</v>
      </c>
      <c r="N2128" s="47">
        <v>0</v>
      </c>
      <c r="O2128" s="47">
        <f t="shared" si="131"/>
        <v>0</v>
      </c>
      <c r="P2128" s="92"/>
    </row>
    <row r="2129" spans="1:16" x14ac:dyDescent="0.25">
      <c r="A2129" s="29">
        <v>36</v>
      </c>
      <c r="B2129" s="30">
        <v>437930.10856199998</v>
      </c>
      <c r="C2129" s="30">
        <v>5688631.3324180003</v>
      </c>
      <c r="D2129" s="30">
        <v>7</v>
      </c>
      <c r="E2129" s="30" t="s">
        <v>64</v>
      </c>
      <c r="F2129" s="46">
        <v>2018</v>
      </c>
      <c r="G2129" s="47">
        <v>2.2699999999999998E-2</v>
      </c>
      <c r="H2129" s="47">
        <f t="shared" si="127"/>
        <v>5.8947400092337525E-3</v>
      </c>
      <c r="I2129" s="47">
        <v>0</v>
      </c>
      <c r="J2129" s="47">
        <f t="shared" si="128"/>
        <v>0</v>
      </c>
      <c r="K2129" s="47">
        <v>1E-4</v>
      </c>
      <c r="L2129" s="47">
        <f t="shared" si="129"/>
        <v>2.9894179894179901E-5</v>
      </c>
      <c r="M2129" s="47">
        <f t="shared" si="130"/>
        <v>5.8648458293395723E-3</v>
      </c>
      <c r="N2129" s="47">
        <v>0</v>
      </c>
      <c r="O2129" s="47">
        <f t="shared" si="131"/>
        <v>0</v>
      </c>
      <c r="P2129" s="92"/>
    </row>
    <row r="2130" spans="1:16" x14ac:dyDescent="0.25">
      <c r="A2130" s="32">
        <v>37</v>
      </c>
      <c r="B2130" s="33">
        <v>438049.10856199998</v>
      </c>
      <c r="C2130" s="33">
        <v>5688631.3324180003</v>
      </c>
      <c r="D2130" s="48">
        <v>7</v>
      </c>
      <c r="E2130" s="48" t="s">
        <v>64</v>
      </c>
      <c r="F2130" s="48">
        <v>2018</v>
      </c>
      <c r="G2130" s="48" t="s">
        <v>18</v>
      </c>
      <c r="H2130" s="48" t="s">
        <v>18</v>
      </c>
      <c r="I2130" s="48" t="s">
        <v>18</v>
      </c>
      <c r="J2130" s="48" t="s">
        <v>18</v>
      </c>
      <c r="K2130" s="48" t="s">
        <v>18</v>
      </c>
      <c r="L2130" s="48" t="s">
        <v>18</v>
      </c>
      <c r="M2130" s="48" t="s">
        <v>18</v>
      </c>
      <c r="N2130" s="48" t="s">
        <v>18</v>
      </c>
      <c r="O2130" s="48" t="s">
        <v>18</v>
      </c>
      <c r="P2130" s="103" t="s">
        <v>89</v>
      </c>
    </row>
    <row r="2131" spans="1:16" x14ac:dyDescent="0.25">
      <c r="A2131" s="29">
        <v>38</v>
      </c>
      <c r="B2131" s="30">
        <v>438067</v>
      </c>
      <c r="C2131" s="30">
        <v>5688710</v>
      </c>
      <c r="D2131" s="30">
        <v>6</v>
      </c>
      <c r="E2131" s="30" t="s">
        <v>64</v>
      </c>
      <c r="F2131" s="46">
        <v>2018</v>
      </c>
      <c r="G2131" s="54">
        <v>0.2147</v>
      </c>
      <c r="H2131" s="54">
        <f>G2131*0.224684486029107</f>
        <v>4.8239759150449278E-2</v>
      </c>
      <c r="I2131" s="54">
        <v>0</v>
      </c>
      <c r="J2131" s="54">
        <f>I2131*0.351328903654485</f>
        <v>0</v>
      </c>
      <c r="K2131" s="54">
        <v>5.0999999999999995E-3</v>
      </c>
      <c r="L2131" s="47">
        <f>K2131*0.281001263963379</f>
        <v>1.4331064462132328E-3</v>
      </c>
      <c r="M2131" s="47">
        <f t="shared" si="130"/>
        <v>4.6806652704236049E-2</v>
      </c>
      <c r="N2131" s="47">
        <v>0</v>
      </c>
      <c r="O2131" s="47">
        <f>N2131*0.308571428571429</f>
        <v>0</v>
      </c>
      <c r="P2131" s="92"/>
    </row>
    <row r="2132" spans="1:16" x14ac:dyDescent="0.25">
      <c r="A2132" s="32">
        <v>39</v>
      </c>
      <c r="B2132" s="33">
        <v>438287.10856199998</v>
      </c>
      <c r="C2132" s="33">
        <v>5688631.3324180003</v>
      </c>
      <c r="D2132" s="48">
        <v>7</v>
      </c>
      <c r="E2132" s="48" t="s">
        <v>64</v>
      </c>
      <c r="F2132" s="48">
        <v>2018</v>
      </c>
      <c r="G2132" s="48" t="s">
        <v>18</v>
      </c>
      <c r="H2132" s="48" t="s">
        <v>18</v>
      </c>
      <c r="I2132" s="48" t="s">
        <v>18</v>
      </c>
      <c r="J2132" s="48" t="s">
        <v>18</v>
      </c>
      <c r="K2132" s="48" t="s">
        <v>18</v>
      </c>
      <c r="L2132" s="48" t="s">
        <v>18</v>
      </c>
      <c r="M2132" s="48" t="s">
        <v>18</v>
      </c>
      <c r="N2132" s="48" t="s">
        <v>18</v>
      </c>
      <c r="O2132" s="48" t="s">
        <v>18</v>
      </c>
      <c r="P2132" s="94" t="s">
        <v>22</v>
      </c>
    </row>
    <row r="2133" spans="1:16" x14ac:dyDescent="0.25">
      <c r="A2133" s="29">
        <v>40</v>
      </c>
      <c r="B2133" s="30">
        <v>438406.10856199998</v>
      </c>
      <c r="C2133" s="30">
        <v>5688631.3324180003</v>
      </c>
      <c r="D2133" s="30">
        <v>7</v>
      </c>
      <c r="E2133" s="30" t="s">
        <v>64</v>
      </c>
      <c r="F2133" s="46">
        <v>2018</v>
      </c>
      <c r="G2133" s="54">
        <v>4.2700000000000002E-2</v>
      </c>
      <c r="H2133" s="47">
        <f t="shared" si="127"/>
        <v>1.1088343541598294E-2</v>
      </c>
      <c r="I2133" s="47">
        <v>0</v>
      </c>
      <c r="J2133" s="47">
        <f>I2133*0.427999354963057</f>
        <v>0</v>
      </c>
      <c r="K2133" s="47">
        <v>4.0000000000000001E-3</v>
      </c>
      <c r="L2133" s="47">
        <f>K2133*0.298941798941799</f>
        <v>1.195767195767196E-3</v>
      </c>
      <c r="M2133" s="47">
        <f t="shared" si="130"/>
        <v>9.8925763458310983E-3</v>
      </c>
      <c r="N2133" s="47">
        <v>0</v>
      </c>
      <c r="O2133" s="47">
        <f>N2133*0.367536938666809</f>
        <v>0</v>
      </c>
      <c r="P2133" s="92"/>
    </row>
    <row r="2134" spans="1:16" x14ac:dyDescent="0.25">
      <c r="A2134" s="29">
        <v>41</v>
      </c>
      <c r="B2134" s="30">
        <v>437310</v>
      </c>
      <c r="C2134" s="30">
        <v>5688729</v>
      </c>
      <c r="D2134" s="30">
        <v>6</v>
      </c>
      <c r="E2134" s="30" t="s">
        <v>64</v>
      </c>
      <c r="F2134" s="46">
        <v>2018</v>
      </c>
      <c r="G2134" s="47">
        <v>2.1299999999999999E-2</v>
      </c>
      <c r="H2134" s="54">
        <f t="shared" ref="H2134:H2153" si="132">G2134*0.224684486029107</f>
        <v>4.7857795524199791E-3</v>
      </c>
      <c r="I2134" s="47">
        <v>0</v>
      </c>
      <c r="J2134" s="54">
        <f t="shared" ref="J2134:J2153" si="133">I2134*0.351328903654485</f>
        <v>0</v>
      </c>
      <c r="K2134" s="47">
        <v>1.32E-2</v>
      </c>
      <c r="L2134" s="47">
        <f t="shared" ref="L2134:L2153" si="134">K2134*0.281001263963379</f>
        <v>3.7092166843166025E-3</v>
      </c>
      <c r="M2134" s="47">
        <f t="shared" si="130"/>
        <v>1.0765628681033766E-3</v>
      </c>
      <c r="N2134" s="47">
        <v>0</v>
      </c>
      <c r="O2134" s="47">
        <f>N2134*0.381957773512476</f>
        <v>0</v>
      </c>
      <c r="P2134" s="92"/>
    </row>
    <row r="2135" spans="1:16" x14ac:dyDescent="0.25">
      <c r="A2135" s="29">
        <v>42</v>
      </c>
      <c r="B2135" s="30">
        <v>437454.10856199998</v>
      </c>
      <c r="C2135" s="30">
        <v>5688750.3324180003</v>
      </c>
      <c r="D2135" s="30">
        <v>6</v>
      </c>
      <c r="E2135" s="30" t="s">
        <v>64</v>
      </c>
      <c r="F2135" s="46">
        <v>2018</v>
      </c>
      <c r="G2135" s="54">
        <v>8.9200000000000002E-2</v>
      </c>
      <c r="H2135" s="54">
        <f t="shared" si="132"/>
        <v>2.0041856153796347E-2</v>
      </c>
      <c r="I2135" s="47">
        <v>3.2600000000000004E-2</v>
      </c>
      <c r="J2135" s="54">
        <f t="shared" si="133"/>
        <v>1.1453322259136213E-2</v>
      </c>
      <c r="K2135" s="47">
        <v>2.5700000000000001E-2</v>
      </c>
      <c r="L2135" s="47">
        <f t="shared" si="134"/>
        <v>7.22173248385884E-3</v>
      </c>
      <c r="M2135" s="47">
        <f t="shared" si="130"/>
        <v>1.2820123669937507E-2</v>
      </c>
      <c r="N2135" s="47">
        <v>1.2800000000000001E-2</v>
      </c>
      <c r="O2135" s="47">
        <f t="shared" ref="O2135:O2153" si="135">N2135*0.381957773512476</f>
        <v>4.8890595009596933E-3</v>
      </c>
      <c r="P2135" s="92"/>
    </row>
    <row r="2136" spans="1:16" x14ac:dyDescent="0.25">
      <c r="A2136" s="29">
        <v>43</v>
      </c>
      <c r="B2136" s="30">
        <v>437573.10856199998</v>
      </c>
      <c r="C2136" s="30">
        <v>5688750.3324180003</v>
      </c>
      <c r="D2136" s="30">
        <v>6</v>
      </c>
      <c r="E2136" s="30" t="s">
        <v>64</v>
      </c>
      <c r="F2136" s="46">
        <v>2018</v>
      </c>
      <c r="G2136" s="47">
        <v>0.10879999999999999</v>
      </c>
      <c r="H2136" s="54">
        <f t="shared" si="132"/>
        <v>2.444567207996684E-2</v>
      </c>
      <c r="I2136" s="47">
        <v>3.1E-2</v>
      </c>
      <c r="J2136" s="54">
        <f t="shared" si="133"/>
        <v>1.0891196013289035E-2</v>
      </c>
      <c r="K2136" s="47">
        <v>1.14E-2</v>
      </c>
      <c r="L2136" s="47">
        <f t="shared" si="134"/>
        <v>3.2034144091825207E-3</v>
      </c>
      <c r="M2136" s="47">
        <f t="shared" si="130"/>
        <v>2.1242257670784321E-2</v>
      </c>
      <c r="N2136" s="47">
        <v>1.4999999999999999E-2</v>
      </c>
      <c r="O2136" s="47">
        <f t="shared" si="135"/>
        <v>5.7293666026871403E-3</v>
      </c>
      <c r="P2136" s="92"/>
    </row>
    <row r="2137" spans="1:16" x14ac:dyDescent="0.25">
      <c r="A2137" s="29">
        <v>44</v>
      </c>
      <c r="B2137" s="30">
        <v>437692.10856199998</v>
      </c>
      <c r="C2137" s="30">
        <v>5688750.3324180003</v>
      </c>
      <c r="D2137" s="30">
        <v>6</v>
      </c>
      <c r="E2137" s="30" t="s">
        <v>64</v>
      </c>
      <c r="F2137" s="46">
        <v>2018</v>
      </c>
      <c r="G2137" s="54">
        <v>9.8299999999999998E-2</v>
      </c>
      <c r="H2137" s="54">
        <f t="shared" si="132"/>
        <v>2.2086484976661217E-2</v>
      </c>
      <c r="I2137" s="47">
        <v>2.8999999999999998E-3</v>
      </c>
      <c r="J2137" s="54">
        <f t="shared" si="133"/>
        <v>1.0188538205980063E-3</v>
      </c>
      <c r="K2137" s="47">
        <v>1E-4</v>
      </c>
      <c r="L2137" s="47">
        <f t="shared" si="134"/>
        <v>2.81001263963379E-5</v>
      </c>
      <c r="M2137" s="47">
        <f t="shared" si="130"/>
        <v>2.205838485026488E-2</v>
      </c>
      <c r="N2137" s="47">
        <v>1.04E-2</v>
      </c>
      <c r="O2137" s="47">
        <f t="shared" si="135"/>
        <v>3.9723608445297503E-3</v>
      </c>
      <c r="P2137" s="92"/>
    </row>
    <row r="2138" spans="1:16" x14ac:dyDescent="0.25">
      <c r="A2138" s="29">
        <v>45</v>
      </c>
      <c r="B2138" s="30">
        <v>437811.10856199998</v>
      </c>
      <c r="C2138" s="30">
        <v>5688750.3324180003</v>
      </c>
      <c r="D2138" s="30">
        <v>6</v>
      </c>
      <c r="E2138" s="30" t="s">
        <v>64</v>
      </c>
      <c r="F2138" s="46">
        <v>2018</v>
      </c>
      <c r="G2138" s="47">
        <v>7.4700000000000003E-2</v>
      </c>
      <c r="H2138" s="54">
        <f t="shared" si="132"/>
        <v>1.6783931106374293E-2</v>
      </c>
      <c r="I2138" s="47">
        <v>2.5499999999999998E-2</v>
      </c>
      <c r="J2138" s="54">
        <f t="shared" si="133"/>
        <v>8.9588870431893675E-3</v>
      </c>
      <c r="K2138" s="47">
        <v>1.35E-2</v>
      </c>
      <c r="L2138" s="47">
        <f t="shared" si="134"/>
        <v>3.7935170635056163E-3</v>
      </c>
      <c r="M2138" s="47">
        <f t="shared" si="130"/>
        <v>1.2990414042868676E-2</v>
      </c>
      <c r="N2138" s="47">
        <v>2.8999999999999998E-3</v>
      </c>
      <c r="O2138" s="47">
        <f t="shared" si="135"/>
        <v>1.1076775431861803E-3</v>
      </c>
      <c r="P2138" s="92"/>
    </row>
    <row r="2139" spans="1:16" x14ac:dyDescent="0.25">
      <c r="A2139" s="29">
        <v>46</v>
      </c>
      <c r="B2139" s="30">
        <v>437930.10856199998</v>
      </c>
      <c r="C2139" s="30">
        <v>5688750.3324180003</v>
      </c>
      <c r="D2139" s="30">
        <v>6</v>
      </c>
      <c r="E2139" s="30" t="s">
        <v>64</v>
      </c>
      <c r="F2139" s="46">
        <v>2018</v>
      </c>
      <c r="G2139" s="47">
        <v>0</v>
      </c>
      <c r="H2139" s="54">
        <f t="shared" si="132"/>
        <v>0</v>
      </c>
      <c r="I2139" s="47">
        <v>7.1999999999999998E-3</v>
      </c>
      <c r="J2139" s="54">
        <f t="shared" si="133"/>
        <v>2.5295681063122917E-3</v>
      </c>
      <c r="K2139" s="47">
        <v>0</v>
      </c>
      <c r="L2139" s="47">
        <f t="shared" si="134"/>
        <v>0</v>
      </c>
      <c r="M2139" s="47">
        <f t="shared" si="130"/>
        <v>0</v>
      </c>
      <c r="N2139" s="47">
        <v>2.0000000000000001E-4</v>
      </c>
      <c r="O2139" s="47">
        <f t="shared" si="135"/>
        <v>7.6391554702495208E-5</v>
      </c>
      <c r="P2139" s="92" t="s">
        <v>193</v>
      </c>
    </row>
    <row r="2140" spans="1:16" x14ac:dyDescent="0.25">
      <c r="A2140" s="29">
        <v>47</v>
      </c>
      <c r="B2140" s="30">
        <v>438061</v>
      </c>
      <c r="C2140" s="30">
        <v>5688779</v>
      </c>
      <c r="D2140" s="30">
        <v>6</v>
      </c>
      <c r="E2140" s="30" t="s">
        <v>64</v>
      </c>
      <c r="F2140" s="46">
        <v>2018</v>
      </c>
      <c r="G2140" s="47">
        <v>7.8200000000000006E-2</v>
      </c>
      <c r="H2140" s="54">
        <f t="shared" si="132"/>
        <v>1.757032680747617E-2</v>
      </c>
      <c r="I2140" s="47">
        <v>0</v>
      </c>
      <c r="J2140" s="54">
        <f t="shared" si="133"/>
        <v>0</v>
      </c>
      <c r="K2140" s="47">
        <v>1.04E-2</v>
      </c>
      <c r="L2140" s="47">
        <f t="shared" si="134"/>
        <v>2.9224131452191414E-3</v>
      </c>
      <c r="M2140" s="47">
        <f t="shared" si="130"/>
        <v>1.4647913662257029E-2</v>
      </c>
      <c r="N2140" s="47">
        <v>0</v>
      </c>
      <c r="O2140" s="47">
        <f t="shared" si="135"/>
        <v>0</v>
      </c>
      <c r="P2140" s="92"/>
    </row>
    <row r="2141" spans="1:16" x14ac:dyDescent="0.25">
      <c r="A2141" s="32">
        <v>48</v>
      </c>
      <c r="B2141" s="33">
        <v>438168.10856199998</v>
      </c>
      <c r="C2141" s="33">
        <v>5688750.3324180003</v>
      </c>
      <c r="D2141" s="48">
        <v>7</v>
      </c>
      <c r="E2141" s="48" t="s">
        <v>64</v>
      </c>
      <c r="F2141" s="48">
        <v>2018</v>
      </c>
      <c r="G2141" s="48" t="s">
        <v>18</v>
      </c>
      <c r="H2141" s="48" t="s">
        <v>18</v>
      </c>
      <c r="I2141" s="48" t="s">
        <v>18</v>
      </c>
      <c r="J2141" s="48" t="s">
        <v>18</v>
      </c>
      <c r="K2141" s="48" t="s">
        <v>18</v>
      </c>
      <c r="L2141" s="48" t="s">
        <v>18</v>
      </c>
      <c r="M2141" s="48" t="s">
        <v>18</v>
      </c>
      <c r="N2141" s="48" t="s">
        <v>18</v>
      </c>
      <c r="O2141" s="48" t="s">
        <v>18</v>
      </c>
      <c r="P2141" s="103" t="s">
        <v>89</v>
      </c>
    </row>
    <row r="2142" spans="1:16" x14ac:dyDescent="0.25">
      <c r="A2142" s="29">
        <v>49</v>
      </c>
      <c r="B2142" s="30">
        <v>437454.10856199998</v>
      </c>
      <c r="C2142" s="30">
        <v>5688869.3324180003</v>
      </c>
      <c r="D2142" s="30">
        <v>6</v>
      </c>
      <c r="E2142" s="30" t="s">
        <v>64</v>
      </c>
      <c r="F2142" s="46">
        <v>2018</v>
      </c>
      <c r="G2142" s="47">
        <v>2.5100000000000001E-2</v>
      </c>
      <c r="H2142" s="54">
        <f t="shared" si="132"/>
        <v>5.639580599330586E-3</v>
      </c>
      <c r="I2142" s="47">
        <v>0</v>
      </c>
      <c r="J2142" s="54">
        <f t="shared" si="133"/>
        <v>0</v>
      </c>
      <c r="K2142" s="47">
        <v>1.2199999999999999E-2</v>
      </c>
      <c r="L2142" s="47">
        <f t="shared" si="134"/>
        <v>3.4282154203532232E-3</v>
      </c>
      <c r="M2142" s="47">
        <f t="shared" si="130"/>
        <v>2.2113651789773627E-3</v>
      </c>
      <c r="N2142" s="47">
        <v>0</v>
      </c>
      <c r="O2142" s="47">
        <f t="shared" si="135"/>
        <v>0</v>
      </c>
      <c r="P2142" s="92"/>
    </row>
    <row r="2143" spans="1:16" x14ac:dyDescent="0.25">
      <c r="A2143" s="29">
        <v>50</v>
      </c>
      <c r="B2143" s="30">
        <v>437811.10856199998</v>
      </c>
      <c r="C2143" s="30">
        <v>5688869.3324180003</v>
      </c>
      <c r="D2143" s="30">
        <v>6</v>
      </c>
      <c r="E2143" s="30" t="s">
        <v>64</v>
      </c>
      <c r="F2143" s="46">
        <v>2018</v>
      </c>
      <c r="G2143" s="47">
        <v>0</v>
      </c>
      <c r="H2143" s="54">
        <f t="shared" si="132"/>
        <v>0</v>
      </c>
      <c r="I2143" s="47">
        <v>0</v>
      </c>
      <c r="J2143" s="54">
        <f t="shared" si="133"/>
        <v>0</v>
      </c>
      <c r="K2143" s="47">
        <v>0</v>
      </c>
      <c r="L2143" s="47">
        <f t="shared" si="134"/>
        <v>0</v>
      </c>
      <c r="M2143" s="47">
        <f t="shared" si="130"/>
        <v>0</v>
      </c>
      <c r="N2143" s="47">
        <v>0</v>
      </c>
      <c r="O2143" s="47">
        <f t="shared" si="135"/>
        <v>0</v>
      </c>
      <c r="P2143" s="92" t="s">
        <v>194</v>
      </c>
    </row>
    <row r="2144" spans="1:16" x14ac:dyDescent="0.25">
      <c r="A2144" s="29">
        <v>51</v>
      </c>
      <c r="B2144" s="30">
        <v>437930.10856199998</v>
      </c>
      <c r="C2144" s="30">
        <v>5688869.3324180003</v>
      </c>
      <c r="D2144" s="30">
        <v>6</v>
      </c>
      <c r="E2144" s="30" t="s">
        <v>64</v>
      </c>
      <c r="F2144" s="46">
        <v>2018</v>
      </c>
      <c r="G2144" s="47">
        <v>0</v>
      </c>
      <c r="H2144" s="54">
        <f t="shared" si="132"/>
        <v>0</v>
      </c>
      <c r="I2144" s="47">
        <v>0</v>
      </c>
      <c r="J2144" s="54">
        <f t="shared" si="133"/>
        <v>0</v>
      </c>
      <c r="K2144" s="47">
        <v>0</v>
      </c>
      <c r="L2144" s="47">
        <f t="shared" si="134"/>
        <v>0</v>
      </c>
      <c r="M2144" s="47">
        <f t="shared" si="130"/>
        <v>0</v>
      </c>
      <c r="N2144" s="47">
        <v>0</v>
      </c>
      <c r="O2144" s="47">
        <f t="shared" si="135"/>
        <v>0</v>
      </c>
      <c r="P2144" s="92" t="s">
        <v>194</v>
      </c>
    </row>
    <row r="2145" spans="1:19" x14ac:dyDescent="0.25">
      <c r="A2145" s="29">
        <v>52</v>
      </c>
      <c r="B2145" s="30">
        <v>438049.10856199998</v>
      </c>
      <c r="C2145" s="30">
        <v>5688869.3324180003</v>
      </c>
      <c r="D2145" s="30">
        <v>6</v>
      </c>
      <c r="E2145" s="30" t="s">
        <v>64</v>
      </c>
      <c r="F2145" s="46">
        <v>2018</v>
      </c>
      <c r="G2145" s="46" t="s">
        <v>18</v>
      </c>
      <c r="H2145" s="46" t="s">
        <v>18</v>
      </c>
      <c r="I2145" s="46" t="s">
        <v>18</v>
      </c>
      <c r="J2145" s="46" t="s">
        <v>18</v>
      </c>
      <c r="K2145" s="47">
        <v>0</v>
      </c>
      <c r="L2145" s="47">
        <f t="shared" si="134"/>
        <v>0</v>
      </c>
      <c r="M2145" s="46" t="s">
        <v>18</v>
      </c>
      <c r="N2145" s="47">
        <v>1.1599999999999999E-2</v>
      </c>
      <c r="O2145" s="47">
        <f t="shared" si="135"/>
        <v>4.4307101727447213E-3</v>
      </c>
      <c r="P2145" s="92" t="s">
        <v>93</v>
      </c>
    </row>
    <row r="2146" spans="1:19" x14ac:dyDescent="0.25">
      <c r="A2146" s="29">
        <v>53</v>
      </c>
      <c r="B2146" s="30">
        <v>438287.10856199998</v>
      </c>
      <c r="C2146" s="30">
        <v>5688869.3324180003</v>
      </c>
      <c r="D2146" s="30">
        <v>6</v>
      </c>
      <c r="E2146" s="30" t="s">
        <v>64</v>
      </c>
      <c r="F2146" s="46">
        <v>2018</v>
      </c>
      <c r="G2146" s="47">
        <v>1.6999999999999999E-3</v>
      </c>
      <c r="H2146" s="54">
        <f t="shared" si="132"/>
        <v>3.8196362624948188E-4</v>
      </c>
      <c r="I2146" s="47">
        <v>0</v>
      </c>
      <c r="J2146" s="54">
        <f t="shared" si="133"/>
        <v>0</v>
      </c>
      <c r="K2146" s="47">
        <v>5.0000000000000001E-4</v>
      </c>
      <c r="L2146" s="47">
        <f t="shared" si="134"/>
        <v>1.405006319816895E-4</v>
      </c>
      <c r="M2146" s="47">
        <f t="shared" si="130"/>
        <v>2.4146299426779238E-4</v>
      </c>
      <c r="N2146" s="47">
        <v>0</v>
      </c>
      <c r="O2146" s="47">
        <f t="shared" si="135"/>
        <v>0</v>
      </c>
      <c r="P2146" s="92"/>
    </row>
    <row r="2147" spans="1:19" x14ac:dyDescent="0.25">
      <c r="A2147" s="29">
        <v>54</v>
      </c>
      <c r="B2147" s="30">
        <v>437454.10856199998</v>
      </c>
      <c r="C2147" s="30">
        <v>5688988.3324180003</v>
      </c>
      <c r="D2147" s="30">
        <v>6</v>
      </c>
      <c r="E2147" s="30" t="s">
        <v>64</v>
      </c>
      <c r="F2147" s="46">
        <v>2018</v>
      </c>
      <c r="G2147" s="47">
        <v>0.13850000000000001</v>
      </c>
      <c r="H2147" s="54">
        <f t="shared" si="132"/>
        <v>3.1118801315031325E-2</v>
      </c>
      <c r="I2147" s="47">
        <v>0</v>
      </c>
      <c r="J2147" s="54">
        <f t="shared" si="133"/>
        <v>0</v>
      </c>
      <c r="K2147" s="47">
        <v>4.5999999999999999E-3</v>
      </c>
      <c r="L2147" s="47">
        <f t="shared" si="134"/>
        <v>1.2926058142315434E-3</v>
      </c>
      <c r="M2147" s="47">
        <f t="shared" si="130"/>
        <v>2.9826195500799783E-2</v>
      </c>
      <c r="N2147" s="47">
        <v>0</v>
      </c>
      <c r="O2147" s="47">
        <f t="shared" si="135"/>
        <v>0</v>
      </c>
      <c r="P2147" s="92"/>
    </row>
    <row r="2148" spans="1:19" x14ac:dyDescent="0.25">
      <c r="A2148" s="29">
        <v>55</v>
      </c>
      <c r="B2148" s="30">
        <v>438049.10856199998</v>
      </c>
      <c r="C2148" s="30">
        <v>5688988.3324180003</v>
      </c>
      <c r="D2148" s="30">
        <v>6</v>
      </c>
      <c r="E2148" s="30" t="s">
        <v>64</v>
      </c>
      <c r="F2148" s="46">
        <v>2018</v>
      </c>
      <c r="G2148" s="47">
        <v>8.4000000000000012E-3</v>
      </c>
      <c r="H2148" s="54">
        <f t="shared" si="132"/>
        <v>1.8873496826444991E-3</v>
      </c>
      <c r="I2148" s="47">
        <v>2.23E-2</v>
      </c>
      <c r="J2148" s="54">
        <f t="shared" si="133"/>
        <v>7.8346345514950146E-3</v>
      </c>
      <c r="K2148" s="47">
        <v>3.3999999999999998E-3</v>
      </c>
      <c r="L2148" s="47">
        <f t="shared" si="134"/>
        <v>9.5540429747548855E-4</v>
      </c>
      <c r="M2148" s="47">
        <f t="shared" si="130"/>
        <v>9.3194538516901051E-4</v>
      </c>
      <c r="N2148" s="47">
        <v>2.9999999999999997E-4</v>
      </c>
      <c r="O2148" s="47">
        <f t="shared" si="135"/>
        <v>1.145873320537428E-4</v>
      </c>
      <c r="P2148" s="92"/>
    </row>
    <row r="2149" spans="1:19" x14ac:dyDescent="0.25">
      <c r="A2149" s="29">
        <v>56</v>
      </c>
      <c r="B2149" s="30">
        <v>438168.10856199998</v>
      </c>
      <c r="C2149" s="30">
        <v>5688988.3324180003</v>
      </c>
      <c r="D2149" s="30">
        <v>6</v>
      </c>
      <c r="E2149" s="30" t="s">
        <v>64</v>
      </c>
      <c r="F2149" s="46">
        <v>2018</v>
      </c>
      <c r="G2149" s="47">
        <v>4.6799999999999994E-2</v>
      </c>
      <c r="H2149" s="54">
        <f t="shared" si="132"/>
        <v>1.0515233946162206E-2</v>
      </c>
      <c r="I2149" s="47">
        <v>0</v>
      </c>
      <c r="J2149" s="54">
        <f t="shared" si="133"/>
        <v>0</v>
      </c>
      <c r="K2149" s="47">
        <v>9.1999999999999998E-3</v>
      </c>
      <c r="L2149" s="47">
        <f t="shared" si="134"/>
        <v>2.5852116284630867E-3</v>
      </c>
      <c r="M2149" s="47">
        <f t="shared" si="130"/>
        <v>7.9300223176991189E-3</v>
      </c>
      <c r="N2149" s="47">
        <v>0</v>
      </c>
      <c r="O2149" s="47">
        <f t="shared" si="135"/>
        <v>0</v>
      </c>
      <c r="P2149" s="92"/>
    </row>
    <row r="2150" spans="1:19" x14ac:dyDescent="0.25">
      <c r="A2150" s="40">
        <v>57</v>
      </c>
      <c r="B2150" s="41">
        <v>438146</v>
      </c>
      <c r="C2150" s="41">
        <v>5688977</v>
      </c>
      <c r="D2150" s="41">
        <v>6</v>
      </c>
      <c r="E2150" s="41" t="s">
        <v>64</v>
      </c>
      <c r="F2150" s="50">
        <v>2018</v>
      </c>
      <c r="G2150" s="51">
        <v>0.1305</v>
      </c>
      <c r="H2150" s="51">
        <f t="shared" si="132"/>
        <v>2.9321325426798467E-2</v>
      </c>
      <c r="I2150" s="51">
        <v>0</v>
      </c>
      <c r="J2150" s="51">
        <f t="shared" si="133"/>
        <v>0</v>
      </c>
      <c r="K2150" s="51">
        <v>1E-3</v>
      </c>
      <c r="L2150" s="51">
        <f t="shared" si="134"/>
        <v>2.81001263963379E-4</v>
      </c>
      <c r="M2150" s="51">
        <f t="shared" si="130"/>
        <v>2.9040324162835088E-2</v>
      </c>
      <c r="N2150" s="51">
        <v>0</v>
      </c>
      <c r="O2150" s="51">
        <f t="shared" si="135"/>
        <v>0</v>
      </c>
      <c r="P2150" s="101"/>
    </row>
    <row r="2151" spans="1:19" x14ac:dyDescent="0.25">
      <c r="A2151" s="40">
        <v>58</v>
      </c>
      <c r="B2151" s="41">
        <v>438131</v>
      </c>
      <c r="C2151" s="41">
        <v>5688972</v>
      </c>
      <c r="D2151" s="41">
        <v>6</v>
      </c>
      <c r="E2151" s="41" t="s">
        <v>64</v>
      </c>
      <c r="F2151" s="50">
        <v>2018</v>
      </c>
      <c r="G2151" s="51">
        <v>4.6700000000000005E-2</v>
      </c>
      <c r="H2151" s="51">
        <f t="shared" si="132"/>
        <v>1.0492765497559299E-2</v>
      </c>
      <c r="I2151" s="51">
        <v>0</v>
      </c>
      <c r="J2151" s="51">
        <f t="shared" si="133"/>
        <v>0</v>
      </c>
      <c r="K2151" s="51">
        <v>6.9999999999999999E-4</v>
      </c>
      <c r="L2151" s="51">
        <f t="shared" si="134"/>
        <v>1.967008847743653E-4</v>
      </c>
      <c r="M2151" s="51">
        <f t="shared" si="130"/>
        <v>1.0296064612784933E-2</v>
      </c>
      <c r="N2151" s="51">
        <v>0</v>
      </c>
      <c r="O2151" s="51">
        <f t="shared" si="135"/>
        <v>0</v>
      </c>
      <c r="P2151" s="101"/>
    </row>
    <row r="2152" spans="1:19" x14ac:dyDescent="0.25">
      <c r="A2152" s="40">
        <v>59</v>
      </c>
      <c r="B2152" s="41">
        <v>438089</v>
      </c>
      <c r="C2152" s="41">
        <v>5688713</v>
      </c>
      <c r="D2152" s="41">
        <v>6</v>
      </c>
      <c r="E2152" s="41" t="s">
        <v>64</v>
      </c>
      <c r="F2152" s="50">
        <v>2018</v>
      </c>
      <c r="G2152" s="51">
        <v>3.3999999999999998E-3</v>
      </c>
      <c r="H2152" s="51">
        <f t="shared" si="132"/>
        <v>7.6392725249896376E-4</v>
      </c>
      <c r="I2152" s="51">
        <v>0</v>
      </c>
      <c r="J2152" s="51">
        <f t="shared" si="133"/>
        <v>0</v>
      </c>
      <c r="K2152" s="51">
        <v>5.0999999999999995E-3</v>
      </c>
      <c r="L2152" s="51">
        <f t="shared" si="134"/>
        <v>1.4331064462132328E-3</v>
      </c>
      <c r="M2152" s="51">
        <f t="shared" si="130"/>
        <v>-6.6917919371426902E-4</v>
      </c>
      <c r="N2152" s="51">
        <v>0</v>
      </c>
      <c r="O2152" s="51">
        <f t="shared" si="135"/>
        <v>0</v>
      </c>
      <c r="P2152" s="101"/>
    </row>
    <row r="2153" spans="1:19" x14ac:dyDescent="0.25">
      <c r="A2153" s="40">
        <v>60</v>
      </c>
      <c r="B2153" s="41">
        <v>438099</v>
      </c>
      <c r="C2153" s="41">
        <v>5688719</v>
      </c>
      <c r="D2153" s="41">
        <v>6</v>
      </c>
      <c r="E2153" s="41" t="s">
        <v>64</v>
      </c>
      <c r="F2153" s="50">
        <v>2018</v>
      </c>
      <c r="G2153" s="51">
        <v>2.9899999999999999E-2</v>
      </c>
      <c r="H2153" s="51">
        <f t="shared" si="132"/>
        <v>6.7180661322702997E-3</v>
      </c>
      <c r="I2153" s="51">
        <v>0</v>
      </c>
      <c r="J2153" s="51">
        <f t="shared" si="133"/>
        <v>0</v>
      </c>
      <c r="K2153" s="51">
        <v>8.199999999999999E-3</v>
      </c>
      <c r="L2153" s="51">
        <f t="shared" si="134"/>
        <v>2.3042103644997074E-3</v>
      </c>
      <c r="M2153" s="51">
        <f t="shared" si="130"/>
        <v>4.4138557677705923E-3</v>
      </c>
      <c r="N2153" s="51">
        <v>0</v>
      </c>
      <c r="O2153" s="51">
        <f t="shared" si="135"/>
        <v>0</v>
      </c>
      <c r="P2153" s="101"/>
    </row>
    <row r="2154" spans="1:19" x14ac:dyDescent="0.25">
      <c r="A2154" s="42">
        <v>1</v>
      </c>
      <c r="B2154" s="43">
        <v>437930.10856199998</v>
      </c>
      <c r="C2154" s="43">
        <v>5688036.3324180003</v>
      </c>
      <c r="D2154" s="44">
        <v>16</v>
      </c>
      <c r="E2154" s="44" t="s">
        <v>96</v>
      </c>
      <c r="F2154" s="44">
        <v>2018</v>
      </c>
      <c r="G2154" s="44" t="s">
        <v>18</v>
      </c>
      <c r="H2154" s="44" t="s">
        <v>18</v>
      </c>
      <c r="I2154" s="44" t="s">
        <v>18</v>
      </c>
      <c r="J2154" s="44" t="s">
        <v>18</v>
      </c>
      <c r="K2154" s="44" t="s">
        <v>18</v>
      </c>
      <c r="L2154" s="44" t="s">
        <v>18</v>
      </c>
      <c r="M2154" s="44" t="s">
        <v>18</v>
      </c>
      <c r="N2154" s="44" t="s">
        <v>18</v>
      </c>
      <c r="O2154" s="44" t="s">
        <v>18</v>
      </c>
      <c r="P2154" s="102" t="s">
        <v>109</v>
      </c>
      <c r="R2154" s="5">
        <f>AVERAGE(M2154:M2213)</f>
        <v>1.5224600359282341E-2</v>
      </c>
      <c r="S2154" s="5">
        <f>AVERAGE(H2154:H2213)</f>
        <v>2.0145511222271668E-2</v>
      </c>
    </row>
    <row r="2155" spans="1:19" x14ac:dyDescent="0.25">
      <c r="A2155" s="42">
        <v>2</v>
      </c>
      <c r="B2155" s="43">
        <v>437811.10856199998</v>
      </c>
      <c r="C2155" s="43">
        <v>5688155.3324180003</v>
      </c>
      <c r="D2155" s="44">
        <v>16</v>
      </c>
      <c r="E2155" s="44" t="s">
        <v>96</v>
      </c>
      <c r="F2155" s="44">
        <v>2018</v>
      </c>
      <c r="G2155" s="44" t="s">
        <v>18</v>
      </c>
      <c r="H2155" s="44" t="s">
        <v>18</v>
      </c>
      <c r="I2155" s="44" t="s">
        <v>18</v>
      </c>
      <c r="J2155" s="44" t="s">
        <v>18</v>
      </c>
      <c r="K2155" s="44" t="s">
        <v>18</v>
      </c>
      <c r="L2155" s="44" t="s">
        <v>18</v>
      </c>
      <c r="M2155" s="44" t="s">
        <v>18</v>
      </c>
      <c r="N2155" s="44" t="s">
        <v>18</v>
      </c>
      <c r="O2155" s="44" t="s">
        <v>18</v>
      </c>
      <c r="P2155" s="102" t="s">
        <v>109</v>
      </c>
    </row>
    <row r="2156" spans="1:19" x14ac:dyDescent="0.25">
      <c r="A2156" s="29">
        <v>3</v>
      </c>
      <c r="B2156" s="30">
        <v>437930.10856199998</v>
      </c>
      <c r="C2156" s="30">
        <v>5688155.3324180003</v>
      </c>
      <c r="D2156" s="30">
        <v>16</v>
      </c>
      <c r="E2156" s="30" t="s">
        <v>96</v>
      </c>
      <c r="F2156" s="46">
        <v>2018</v>
      </c>
      <c r="G2156" s="47">
        <v>4.7999999999999996E-3</v>
      </c>
      <c r="H2156" s="47">
        <f>G2156*0.300133732359777</f>
        <v>1.4406419153269294E-3</v>
      </c>
      <c r="I2156" s="47">
        <v>2.8999999999999998E-3</v>
      </c>
      <c r="J2156" s="47">
        <f>I2156*0.374167154749368</f>
        <v>1.0850847487731672E-3</v>
      </c>
      <c r="K2156" s="47">
        <v>6.9999999999999999E-4</v>
      </c>
      <c r="L2156" s="47">
        <f>K2156*0.445329598633692</f>
        <v>3.1173071904358436E-4</v>
      </c>
      <c r="M2156" s="47">
        <f>H2156-L2156</f>
        <v>1.1289111962833451E-3</v>
      </c>
      <c r="N2156" s="47">
        <v>4.4999999999999997E-3</v>
      </c>
      <c r="O2156" s="47">
        <f>N2156*0.479024151891665</f>
        <v>2.1556086835124921E-3</v>
      </c>
      <c r="P2156" s="92"/>
    </row>
    <row r="2157" spans="1:19" x14ac:dyDescent="0.25">
      <c r="A2157" s="42">
        <v>4</v>
      </c>
      <c r="B2157" s="43">
        <v>438049.10856199998</v>
      </c>
      <c r="C2157" s="43">
        <v>5688155.3324180003</v>
      </c>
      <c r="D2157" s="44">
        <v>16</v>
      </c>
      <c r="E2157" s="44" t="s">
        <v>96</v>
      </c>
      <c r="F2157" s="44">
        <v>2018</v>
      </c>
      <c r="G2157" s="44" t="s">
        <v>18</v>
      </c>
      <c r="H2157" s="44" t="s">
        <v>18</v>
      </c>
      <c r="I2157" s="44" t="s">
        <v>18</v>
      </c>
      <c r="J2157" s="44" t="s">
        <v>18</v>
      </c>
      <c r="K2157" s="44" t="s">
        <v>18</v>
      </c>
      <c r="L2157" s="44" t="s">
        <v>18</v>
      </c>
      <c r="M2157" s="44" t="s">
        <v>18</v>
      </c>
      <c r="N2157" s="44" t="s">
        <v>18</v>
      </c>
      <c r="O2157" s="44" t="s">
        <v>18</v>
      </c>
      <c r="P2157" s="102" t="s">
        <v>109</v>
      </c>
    </row>
    <row r="2158" spans="1:19" x14ac:dyDescent="0.25">
      <c r="A2158" s="42">
        <v>5</v>
      </c>
      <c r="B2158" s="43">
        <v>437573.10856199998</v>
      </c>
      <c r="C2158" s="43">
        <v>5688274.3324180003</v>
      </c>
      <c r="D2158" s="44">
        <v>16</v>
      </c>
      <c r="E2158" s="44" t="s">
        <v>96</v>
      </c>
      <c r="F2158" s="44">
        <v>2018</v>
      </c>
      <c r="G2158" s="44" t="s">
        <v>18</v>
      </c>
      <c r="H2158" s="44" t="s">
        <v>18</v>
      </c>
      <c r="I2158" s="44" t="s">
        <v>18</v>
      </c>
      <c r="J2158" s="44" t="s">
        <v>18</v>
      </c>
      <c r="K2158" s="44" t="s">
        <v>18</v>
      </c>
      <c r="L2158" s="44" t="s">
        <v>18</v>
      </c>
      <c r="M2158" s="44" t="s">
        <v>18</v>
      </c>
      <c r="N2158" s="44" t="s">
        <v>18</v>
      </c>
      <c r="O2158" s="44" t="s">
        <v>18</v>
      </c>
      <c r="P2158" s="102" t="s">
        <v>109</v>
      </c>
    </row>
    <row r="2159" spans="1:19" x14ac:dyDescent="0.25">
      <c r="A2159" s="29">
        <v>6</v>
      </c>
      <c r="B2159" s="30">
        <v>437692.10856199998</v>
      </c>
      <c r="C2159" s="30">
        <v>5688274.3324180003</v>
      </c>
      <c r="D2159" s="30">
        <v>16</v>
      </c>
      <c r="E2159" s="30" t="s">
        <v>96</v>
      </c>
      <c r="F2159" s="46">
        <v>2018</v>
      </c>
      <c r="G2159" s="47">
        <v>1.4500000000000001E-2</v>
      </c>
      <c r="H2159" s="47">
        <f t="shared" ref="H2159:H2189" si="136">G2159*0.300133732359777</f>
        <v>4.3519391192167666E-3</v>
      </c>
      <c r="I2159" s="47">
        <v>1.52E-2</v>
      </c>
      <c r="J2159" s="47">
        <f t="shared" ref="J2159:J2189" si="137">I2159*0.374167154749368</f>
        <v>5.6873407521903941E-3</v>
      </c>
      <c r="K2159" s="54">
        <v>1E-4</v>
      </c>
      <c r="L2159" s="47">
        <f t="shared" ref="L2159:L2189" si="138">K2159*0.445329598633692</f>
        <v>4.4532959863369201E-5</v>
      </c>
      <c r="M2159" s="47">
        <f t="shared" ref="M2159:M2213" si="139">H2159-L2159</f>
        <v>4.3074061593533974E-3</v>
      </c>
      <c r="N2159" s="47">
        <v>1.12E-2</v>
      </c>
      <c r="O2159" s="47">
        <f t="shared" ref="O2159:O2189" si="140">N2159*0.479024151891665</f>
        <v>5.3650705011866473E-3</v>
      </c>
      <c r="P2159" s="92"/>
    </row>
    <row r="2160" spans="1:19" x14ac:dyDescent="0.25">
      <c r="A2160" s="29">
        <v>7</v>
      </c>
      <c r="B2160" s="30">
        <v>437811.10856199998</v>
      </c>
      <c r="C2160" s="30">
        <v>5688274.3324180003</v>
      </c>
      <c r="D2160" s="30">
        <v>16</v>
      </c>
      <c r="E2160" s="30" t="s">
        <v>96</v>
      </c>
      <c r="F2160" s="46">
        <v>2018</v>
      </c>
      <c r="G2160" s="47">
        <v>1.9E-3</v>
      </c>
      <c r="H2160" s="47">
        <f t="shared" si="136"/>
        <v>5.7025409148357621E-4</v>
      </c>
      <c r="I2160" s="47">
        <v>1.0699999999999999E-2</v>
      </c>
      <c r="J2160" s="47">
        <f t="shared" si="137"/>
        <v>4.0035885558182376E-3</v>
      </c>
      <c r="K2160" s="47">
        <v>0</v>
      </c>
      <c r="L2160" s="47">
        <f t="shared" si="138"/>
        <v>0</v>
      </c>
      <c r="M2160" s="47">
        <f t="shared" si="139"/>
        <v>5.7025409148357621E-4</v>
      </c>
      <c r="N2160" s="47">
        <v>5.0000000000000001E-4</v>
      </c>
      <c r="O2160" s="47">
        <f t="shared" si="140"/>
        <v>2.3951207594583249E-4</v>
      </c>
      <c r="P2160" s="92"/>
    </row>
    <row r="2161" spans="1:16" x14ac:dyDescent="0.25">
      <c r="A2161" s="42">
        <v>8</v>
      </c>
      <c r="B2161" s="43">
        <v>437930.10856199998</v>
      </c>
      <c r="C2161" s="43">
        <v>5688274.3324180003</v>
      </c>
      <c r="D2161" s="44">
        <v>16</v>
      </c>
      <c r="E2161" s="44" t="s">
        <v>96</v>
      </c>
      <c r="F2161" s="44">
        <v>2018</v>
      </c>
      <c r="G2161" s="44" t="s">
        <v>18</v>
      </c>
      <c r="H2161" s="44" t="s">
        <v>18</v>
      </c>
      <c r="I2161" s="44" t="s">
        <v>18</v>
      </c>
      <c r="J2161" s="44" t="s">
        <v>18</v>
      </c>
      <c r="K2161" s="44" t="s">
        <v>18</v>
      </c>
      <c r="L2161" s="44" t="s">
        <v>18</v>
      </c>
      <c r="M2161" s="44" t="s">
        <v>18</v>
      </c>
      <c r="N2161" s="44" t="s">
        <v>18</v>
      </c>
      <c r="O2161" s="44" t="s">
        <v>18</v>
      </c>
      <c r="P2161" s="102" t="s">
        <v>109</v>
      </c>
    </row>
    <row r="2162" spans="1:16" x14ac:dyDescent="0.25">
      <c r="A2162" s="29">
        <v>9</v>
      </c>
      <c r="B2162" s="30">
        <v>438287.10856199998</v>
      </c>
      <c r="C2162" s="30">
        <v>5688274.3324180003</v>
      </c>
      <c r="D2162" s="30">
        <v>16</v>
      </c>
      <c r="E2162" s="30" t="s">
        <v>96</v>
      </c>
      <c r="F2162" s="46">
        <v>2018</v>
      </c>
      <c r="G2162" s="47">
        <v>9.1000000000000004E-3</v>
      </c>
      <c r="H2162" s="47">
        <f t="shared" si="136"/>
        <v>2.7312169644739706E-3</v>
      </c>
      <c r="I2162" s="47">
        <v>0</v>
      </c>
      <c r="J2162" s="47">
        <f t="shared" si="137"/>
        <v>0</v>
      </c>
      <c r="K2162" s="47">
        <v>1.3800000000000002E-2</v>
      </c>
      <c r="L2162" s="47">
        <f t="shared" si="138"/>
        <v>6.1455484611449502E-3</v>
      </c>
      <c r="M2162" s="47">
        <f t="shared" si="139"/>
        <v>-3.4143314966709796E-3</v>
      </c>
      <c r="N2162" s="47">
        <v>0</v>
      </c>
      <c r="O2162" s="47">
        <f t="shared" si="140"/>
        <v>0</v>
      </c>
      <c r="P2162" s="92"/>
    </row>
    <row r="2163" spans="1:16" x14ac:dyDescent="0.25">
      <c r="A2163" s="29">
        <v>10</v>
      </c>
      <c r="B2163" s="30">
        <v>438406.10856199998</v>
      </c>
      <c r="C2163" s="30">
        <v>5688274.3324180003</v>
      </c>
      <c r="D2163" s="30">
        <v>16</v>
      </c>
      <c r="E2163" s="30" t="s">
        <v>96</v>
      </c>
      <c r="F2163" s="46">
        <v>2018</v>
      </c>
      <c r="G2163" s="47">
        <v>4.3099999999999999E-2</v>
      </c>
      <c r="H2163" s="47">
        <f t="shared" si="136"/>
        <v>1.2935763864706388E-2</v>
      </c>
      <c r="I2163" s="47">
        <v>0</v>
      </c>
      <c r="J2163" s="47">
        <f t="shared" si="137"/>
        <v>0</v>
      </c>
      <c r="K2163" s="47">
        <v>9.9000000000000008E-3</v>
      </c>
      <c r="L2163" s="47">
        <f t="shared" si="138"/>
        <v>4.4087630264735512E-3</v>
      </c>
      <c r="M2163" s="47">
        <f t="shared" si="139"/>
        <v>8.5270008382328372E-3</v>
      </c>
      <c r="N2163" s="47">
        <v>8.9999999999999998E-4</v>
      </c>
      <c r="O2163" s="47">
        <f t="shared" si="140"/>
        <v>4.3112173670249845E-4</v>
      </c>
      <c r="P2163" s="92"/>
    </row>
    <row r="2164" spans="1:16" x14ac:dyDescent="0.25">
      <c r="A2164" s="42">
        <v>11</v>
      </c>
      <c r="B2164" s="43">
        <v>437454.10856199998</v>
      </c>
      <c r="C2164" s="43">
        <v>5688393.3324180003</v>
      </c>
      <c r="D2164" s="44">
        <v>16</v>
      </c>
      <c r="E2164" s="44" t="s">
        <v>96</v>
      </c>
      <c r="F2164" s="44">
        <v>2018</v>
      </c>
      <c r="G2164" s="44" t="s">
        <v>18</v>
      </c>
      <c r="H2164" s="44" t="s">
        <v>18</v>
      </c>
      <c r="I2164" s="44" t="s">
        <v>18</v>
      </c>
      <c r="J2164" s="44" t="s">
        <v>18</v>
      </c>
      <c r="K2164" s="44" t="s">
        <v>18</v>
      </c>
      <c r="L2164" s="44" t="s">
        <v>18</v>
      </c>
      <c r="M2164" s="44" t="s">
        <v>18</v>
      </c>
      <c r="N2164" s="44" t="s">
        <v>18</v>
      </c>
      <c r="O2164" s="44" t="s">
        <v>18</v>
      </c>
      <c r="P2164" s="102" t="s">
        <v>109</v>
      </c>
    </row>
    <row r="2165" spans="1:16" x14ac:dyDescent="0.25">
      <c r="A2165" s="29">
        <v>12</v>
      </c>
      <c r="B2165" s="30">
        <v>437573.10856199998</v>
      </c>
      <c r="C2165" s="30">
        <v>5688393.3324180003</v>
      </c>
      <c r="D2165" s="30">
        <v>16</v>
      </c>
      <c r="E2165" s="30" t="s">
        <v>96</v>
      </c>
      <c r="F2165" s="46">
        <v>2018</v>
      </c>
      <c r="G2165" s="47">
        <v>1.1699999999999999E-2</v>
      </c>
      <c r="H2165" s="47">
        <f t="shared" si="136"/>
        <v>3.5115646686093901E-3</v>
      </c>
      <c r="I2165" s="47">
        <v>9.300000000000001E-3</v>
      </c>
      <c r="J2165" s="47">
        <f t="shared" si="137"/>
        <v>3.4797545391691228E-3</v>
      </c>
      <c r="K2165" s="47">
        <v>1.5900000000000001E-2</v>
      </c>
      <c r="L2165" s="47">
        <f t="shared" si="138"/>
        <v>7.0807406182757026E-3</v>
      </c>
      <c r="M2165" s="47">
        <f t="shared" si="139"/>
        <v>-3.5691759496663126E-3</v>
      </c>
      <c r="N2165" s="47">
        <v>1.8800000000000001E-2</v>
      </c>
      <c r="O2165" s="47">
        <f t="shared" si="140"/>
        <v>9.0056540555633023E-3</v>
      </c>
      <c r="P2165" s="92"/>
    </row>
    <row r="2166" spans="1:16" x14ac:dyDescent="0.25">
      <c r="A2166" s="29">
        <v>13</v>
      </c>
      <c r="B2166" s="30">
        <v>437692.10856199998</v>
      </c>
      <c r="C2166" s="30">
        <v>5688393.3324180003</v>
      </c>
      <c r="D2166" s="30">
        <v>16</v>
      </c>
      <c r="E2166" s="30" t="s">
        <v>96</v>
      </c>
      <c r="F2166" s="46">
        <v>2018</v>
      </c>
      <c r="G2166" s="47">
        <v>1.7600000000000001E-2</v>
      </c>
      <c r="H2166" s="47">
        <f t="shared" si="136"/>
        <v>5.2823536895320747E-3</v>
      </c>
      <c r="I2166" s="47">
        <v>4.1200000000000001E-2</v>
      </c>
      <c r="J2166" s="47">
        <f t="shared" si="137"/>
        <v>1.5415686775673962E-2</v>
      </c>
      <c r="K2166" s="47">
        <v>5.4000000000000003E-3</v>
      </c>
      <c r="L2166" s="47">
        <f t="shared" si="138"/>
        <v>2.4047798326219368E-3</v>
      </c>
      <c r="M2166" s="47">
        <f t="shared" si="139"/>
        <v>2.8775738569101379E-3</v>
      </c>
      <c r="N2166" s="47">
        <v>7.3000000000000001E-3</v>
      </c>
      <c r="O2166" s="47">
        <f t="shared" si="140"/>
        <v>3.4968763088091544E-3</v>
      </c>
      <c r="P2166" s="92"/>
    </row>
    <row r="2167" spans="1:16" x14ac:dyDescent="0.25">
      <c r="A2167" s="32">
        <v>14</v>
      </c>
      <c r="B2167" s="33">
        <v>437811.10856199998</v>
      </c>
      <c r="C2167" s="33">
        <v>5688393.3324180003</v>
      </c>
      <c r="D2167" s="48">
        <v>16</v>
      </c>
      <c r="E2167" s="48" t="s">
        <v>96</v>
      </c>
      <c r="F2167" s="48">
        <v>2018</v>
      </c>
      <c r="G2167" s="48" t="s">
        <v>18</v>
      </c>
      <c r="H2167" s="48" t="s">
        <v>18</v>
      </c>
      <c r="I2167" s="48" t="s">
        <v>18</v>
      </c>
      <c r="J2167" s="48" t="s">
        <v>18</v>
      </c>
      <c r="K2167" s="48" t="s">
        <v>18</v>
      </c>
      <c r="L2167" s="48" t="s">
        <v>18</v>
      </c>
      <c r="M2167" s="48" t="s">
        <v>18</v>
      </c>
      <c r="N2167" s="48" t="s">
        <v>18</v>
      </c>
      <c r="O2167" s="48" t="s">
        <v>18</v>
      </c>
      <c r="P2167" s="103" t="s">
        <v>89</v>
      </c>
    </row>
    <row r="2168" spans="1:16" x14ac:dyDescent="0.25">
      <c r="A2168" s="29">
        <v>15</v>
      </c>
      <c r="B2168" s="30">
        <v>437930.10856199998</v>
      </c>
      <c r="C2168" s="30">
        <v>5688393.3324180003</v>
      </c>
      <c r="D2168" s="30">
        <v>16</v>
      </c>
      <c r="E2168" s="30" t="s">
        <v>96</v>
      </c>
      <c r="F2168" s="46">
        <v>2018</v>
      </c>
      <c r="G2168" s="47">
        <v>1.0699999999999999E-2</v>
      </c>
      <c r="H2168" s="47">
        <f t="shared" si="136"/>
        <v>3.2114309362496134E-3</v>
      </c>
      <c r="I2168" s="47">
        <v>6.1999999999999998E-3</v>
      </c>
      <c r="J2168" s="47">
        <f t="shared" si="137"/>
        <v>2.3198363594460814E-3</v>
      </c>
      <c r="K2168" s="47">
        <v>2.8399999999999998E-2</v>
      </c>
      <c r="L2168" s="47">
        <f t="shared" si="138"/>
        <v>1.2647360601196851E-2</v>
      </c>
      <c r="M2168" s="47">
        <f t="shared" si="139"/>
        <v>-9.435929664947237E-3</v>
      </c>
      <c r="N2168" s="47">
        <v>2.5999999999999999E-3</v>
      </c>
      <c r="O2168" s="47">
        <f t="shared" si="140"/>
        <v>1.2454627949183288E-3</v>
      </c>
      <c r="P2168" s="92"/>
    </row>
    <row r="2169" spans="1:16" x14ac:dyDescent="0.25">
      <c r="A2169" s="29">
        <v>16</v>
      </c>
      <c r="B2169" s="30">
        <v>438049.10856199998</v>
      </c>
      <c r="C2169" s="30">
        <v>5688393.3324180003</v>
      </c>
      <c r="D2169" s="30">
        <v>16</v>
      </c>
      <c r="E2169" s="30" t="s">
        <v>96</v>
      </c>
      <c r="F2169" s="46">
        <v>2018</v>
      </c>
      <c r="G2169" s="47">
        <v>1.3800000000000002E-2</v>
      </c>
      <c r="H2169" s="47">
        <f t="shared" si="136"/>
        <v>4.1418455065649227E-3</v>
      </c>
      <c r="I2169" s="47">
        <v>9.4000000000000004E-3</v>
      </c>
      <c r="J2169" s="47">
        <f t="shared" si="137"/>
        <v>3.5171712546440597E-3</v>
      </c>
      <c r="K2169" s="47">
        <v>4.0999999999999995E-3</v>
      </c>
      <c r="L2169" s="47">
        <f t="shared" si="138"/>
        <v>1.8258513543981368E-3</v>
      </c>
      <c r="M2169" s="47">
        <f t="shared" si="139"/>
        <v>2.3159941521667862E-3</v>
      </c>
      <c r="N2169" s="47">
        <v>6.9999999999999999E-4</v>
      </c>
      <c r="O2169" s="47">
        <f t="shared" si="140"/>
        <v>3.3531690632416546E-4</v>
      </c>
      <c r="P2169" s="92"/>
    </row>
    <row r="2170" spans="1:16" x14ac:dyDescent="0.25">
      <c r="A2170" s="29">
        <v>17</v>
      </c>
      <c r="B2170" s="30">
        <v>438168.10856199998</v>
      </c>
      <c r="C2170" s="30">
        <v>5688393.3324180003</v>
      </c>
      <c r="D2170" s="30">
        <v>16</v>
      </c>
      <c r="E2170" s="30" t="s">
        <v>96</v>
      </c>
      <c r="F2170" s="46">
        <v>2018</v>
      </c>
      <c r="G2170" s="47">
        <v>4.8899999999999999E-2</v>
      </c>
      <c r="H2170" s="47">
        <f t="shared" si="136"/>
        <v>1.4676539512393094E-2</v>
      </c>
      <c r="I2170" s="47">
        <v>0</v>
      </c>
      <c r="J2170" s="47">
        <f t="shared" si="137"/>
        <v>0</v>
      </c>
      <c r="K2170" s="47">
        <v>7.0000000000000001E-3</v>
      </c>
      <c r="L2170" s="47">
        <f t="shared" si="138"/>
        <v>3.1173071904358439E-3</v>
      </c>
      <c r="M2170" s="47">
        <f t="shared" si="139"/>
        <v>1.155923232195725E-2</v>
      </c>
      <c r="N2170" s="47">
        <v>0</v>
      </c>
      <c r="O2170" s="47">
        <f t="shared" si="140"/>
        <v>0</v>
      </c>
      <c r="P2170" s="92"/>
    </row>
    <row r="2171" spans="1:16" x14ac:dyDescent="0.25">
      <c r="A2171" s="29">
        <v>18</v>
      </c>
      <c r="B2171" s="30">
        <v>438287.10856199998</v>
      </c>
      <c r="C2171" s="30">
        <v>5688393.3324180003</v>
      </c>
      <c r="D2171" s="30">
        <v>16</v>
      </c>
      <c r="E2171" s="30" t="s">
        <v>96</v>
      </c>
      <c r="F2171" s="46">
        <v>2018</v>
      </c>
      <c r="G2171" s="47">
        <v>3.2100000000000004E-2</v>
      </c>
      <c r="H2171" s="47">
        <f t="shared" si="136"/>
        <v>9.6342928087488414E-3</v>
      </c>
      <c r="I2171" s="47">
        <v>0</v>
      </c>
      <c r="J2171" s="47">
        <f t="shared" si="137"/>
        <v>0</v>
      </c>
      <c r="K2171" s="47">
        <v>2.5000000000000001E-3</v>
      </c>
      <c r="L2171" s="47">
        <f t="shared" si="138"/>
        <v>1.1133239965842299E-3</v>
      </c>
      <c r="M2171" s="47">
        <f t="shared" si="139"/>
        <v>8.5209688121646119E-3</v>
      </c>
      <c r="N2171" s="47">
        <v>0</v>
      </c>
      <c r="O2171" s="47">
        <f t="shared" si="140"/>
        <v>0</v>
      </c>
      <c r="P2171" s="92"/>
    </row>
    <row r="2172" spans="1:16" x14ac:dyDescent="0.25">
      <c r="A2172" s="29">
        <v>19</v>
      </c>
      <c r="B2172" s="30">
        <v>438406.10856199998</v>
      </c>
      <c r="C2172" s="30">
        <v>5688393.3324180003</v>
      </c>
      <c r="D2172" s="30">
        <v>16</v>
      </c>
      <c r="E2172" s="30" t="s">
        <v>96</v>
      </c>
      <c r="F2172" s="46">
        <v>2018</v>
      </c>
      <c r="G2172" s="47">
        <v>0.1123</v>
      </c>
      <c r="H2172" s="47">
        <f t="shared" si="136"/>
        <v>3.3705018144002952E-2</v>
      </c>
      <c r="I2172" s="47">
        <v>3.9299999999999995E-2</v>
      </c>
      <c r="J2172" s="47">
        <f t="shared" si="137"/>
        <v>1.4704769181650161E-2</v>
      </c>
      <c r="K2172" s="47">
        <v>2.18E-2</v>
      </c>
      <c r="L2172" s="47">
        <f t="shared" si="138"/>
        <v>9.7081852502144857E-3</v>
      </c>
      <c r="M2172" s="47">
        <f t="shared" si="139"/>
        <v>2.3996832893788466E-2</v>
      </c>
      <c r="N2172" s="47">
        <v>0</v>
      </c>
      <c r="O2172" s="47">
        <f t="shared" si="140"/>
        <v>0</v>
      </c>
      <c r="P2172" s="92"/>
    </row>
    <row r="2173" spans="1:16" x14ac:dyDescent="0.25">
      <c r="A2173" s="42">
        <v>20</v>
      </c>
      <c r="B2173" s="43">
        <v>437335.10856199998</v>
      </c>
      <c r="C2173" s="43">
        <v>5688512.3324180003</v>
      </c>
      <c r="D2173" s="44">
        <v>16</v>
      </c>
      <c r="E2173" s="44" t="s">
        <v>96</v>
      </c>
      <c r="F2173" s="44">
        <v>2018</v>
      </c>
      <c r="G2173" s="44" t="s">
        <v>18</v>
      </c>
      <c r="H2173" s="44" t="s">
        <v>18</v>
      </c>
      <c r="I2173" s="44" t="s">
        <v>18</v>
      </c>
      <c r="J2173" s="44" t="s">
        <v>18</v>
      </c>
      <c r="K2173" s="44" t="s">
        <v>18</v>
      </c>
      <c r="L2173" s="44" t="s">
        <v>18</v>
      </c>
      <c r="M2173" s="44" t="s">
        <v>18</v>
      </c>
      <c r="N2173" s="44" t="s">
        <v>18</v>
      </c>
      <c r="O2173" s="44" t="s">
        <v>18</v>
      </c>
      <c r="P2173" s="102" t="s">
        <v>109</v>
      </c>
    </row>
    <row r="2174" spans="1:16" x14ac:dyDescent="0.25">
      <c r="A2174" s="29">
        <v>21</v>
      </c>
      <c r="B2174" s="30">
        <v>437454.10856199998</v>
      </c>
      <c r="C2174" s="30">
        <v>5688512.3324180003</v>
      </c>
      <c r="D2174" s="30">
        <v>16</v>
      </c>
      <c r="E2174" s="30" t="s">
        <v>96</v>
      </c>
      <c r="F2174" s="46">
        <v>2018</v>
      </c>
      <c r="G2174" s="47">
        <v>1.01E-2</v>
      </c>
      <c r="H2174" s="47">
        <f t="shared" si="136"/>
        <v>3.0313506968337473E-3</v>
      </c>
      <c r="I2174" s="47">
        <v>0</v>
      </c>
      <c r="J2174" s="47">
        <f t="shared" si="137"/>
        <v>0</v>
      </c>
      <c r="K2174" s="47">
        <v>3.5999999999999999E-3</v>
      </c>
      <c r="L2174" s="47">
        <f t="shared" si="138"/>
        <v>1.6031865550812912E-3</v>
      </c>
      <c r="M2174" s="47">
        <f t="shared" si="139"/>
        <v>1.4281641417524561E-3</v>
      </c>
      <c r="N2174" s="47">
        <v>0</v>
      </c>
      <c r="O2174" s="47">
        <f t="shared" si="140"/>
        <v>0</v>
      </c>
      <c r="P2174" s="92"/>
    </row>
    <row r="2175" spans="1:16" x14ac:dyDescent="0.25">
      <c r="A2175" s="29">
        <v>22</v>
      </c>
      <c r="B2175" s="30">
        <v>437573.10856199998</v>
      </c>
      <c r="C2175" s="30">
        <v>5688512.3324180003</v>
      </c>
      <c r="D2175" s="30">
        <v>16</v>
      </c>
      <c r="E2175" s="30" t="s">
        <v>96</v>
      </c>
      <c r="F2175" s="46">
        <v>2018</v>
      </c>
      <c r="G2175" s="47">
        <v>2.41E-2</v>
      </c>
      <c r="H2175" s="47">
        <f t="shared" si="136"/>
        <v>7.233222949870625E-3</v>
      </c>
      <c r="I2175" s="47">
        <v>2.7899999999999998E-2</v>
      </c>
      <c r="J2175" s="47">
        <f t="shared" si="137"/>
        <v>1.0439263617507367E-2</v>
      </c>
      <c r="K2175" s="47">
        <v>1.8E-3</v>
      </c>
      <c r="L2175" s="47">
        <f t="shared" si="138"/>
        <v>8.015932775406456E-4</v>
      </c>
      <c r="M2175" s="47">
        <f t="shared" si="139"/>
        <v>6.4316296723299794E-3</v>
      </c>
      <c r="N2175" s="47">
        <v>0.1018</v>
      </c>
      <c r="O2175" s="47">
        <f t="shared" si="140"/>
        <v>4.8764658662571493E-2</v>
      </c>
      <c r="P2175" s="92"/>
    </row>
    <row r="2176" spans="1:16" x14ac:dyDescent="0.25">
      <c r="A2176" s="29">
        <v>23</v>
      </c>
      <c r="B2176" s="30">
        <v>437692.10856199998</v>
      </c>
      <c r="C2176" s="30">
        <v>5688512.3324180003</v>
      </c>
      <c r="D2176" s="30">
        <v>16</v>
      </c>
      <c r="E2176" s="30" t="s">
        <v>96</v>
      </c>
      <c r="F2176" s="46">
        <v>2018</v>
      </c>
      <c r="G2176" s="47">
        <v>2.1000000000000003E-3</v>
      </c>
      <c r="H2176" s="47">
        <f t="shared" si="136"/>
        <v>6.3028083795553178E-4</v>
      </c>
      <c r="I2176" s="47">
        <v>0</v>
      </c>
      <c r="J2176" s="47">
        <f t="shared" si="137"/>
        <v>0</v>
      </c>
      <c r="K2176" s="47">
        <v>3.2000000000000002E-3</v>
      </c>
      <c r="L2176" s="47">
        <f t="shared" si="138"/>
        <v>1.4250547156278144E-3</v>
      </c>
      <c r="M2176" s="47">
        <f>H2176-L2176</f>
        <v>-7.9477387767228264E-4</v>
      </c>
      <c r="N2176" s="47">
        <v>0</v>
      </c>
      <c r="O2176" s="47">
        <f t="shared" si="140"/>
        <v>0</v>
      </c>
      <c r="P2176" s="92"/>
    </row>
    <row r="2177" spans="1:16" x14ac:dyDescent="0.25">
      <c r="A2177" s="29">
        <v>24</v>
      </c>
      <c r="B2177" s="30">
        <v>437811.10856199998</v>
      </c>
      <c r="C2177" s="30">
        <v>5688512.3324180003</v>
      </c>
      <c r="D2177" s="30">
        <v>16</v>
      </c>
      <c r="E2177" s="30" t="s">
        <v>96</v>
      </c>
      <c r="F2177" s="46">
        <v>2018</v>
      </c>
      <c r="G2177" s="47">
        <v>0.12869999999999998</v>
      </c>
      <c r="H2177" s="47">
        <f t="shared" si="136"/>
        <v>3.8627211354703289E-2</v>
      </c>
      <c r="I2177" s="47">
        <v>4.82E-2</v>
      </c>
      <c r="J2177" s="47">
        <f t="shared" si="137"/>
        <v>1.8034856858919538E-2</v>
      </c>
      <c r="K2177" s="47">
        <v>2.7199999999999998E-2</v>
      </c>
      <c r="L2177" s="47">
        <f t="shared" si="138"/>
        <v>1.2112965082836422E-2</v>
      </c>
      <c r="M2177" s="47">
        <f t="shared" si="139"/>
        <v>2.6514246271866868E-2</v>
      </c>
      <c r="N2177" s="47">
        <v>0</v>
      </c>
      <c r="O2177" s="47">
        <f t="shared" si="140"/>
        <v>0</v>
      </c>
      <c r="P2177" s="92"/>
    </row>
    <row r="2178" spans="1:16" x14ac:dyDescent="0.25">
      <c r="A2178" s="29">
        <v>25</v>
      </c>
      <c r="B2178" s="46">
        <v>437995</v>
      </c>
      <c r="C2178" s="46">
        <v>5688493</v>
      </c>
      <c r="D2178" s="30">
        <v>16</v>
      </c>
      <c r="E2178" s="30" t="s">
        <v>96</v>
      </c>
      <c r="F2178" s="46">
        <v>2018</v>
      </c>
      <c r="G2178" s="47">
        <v>5.9200000000000003E-2</v>
      </c>
      <c r="H2178" s="47">
        <f t="shared" si="136"/>
        <v>1.7767916955698796E-2</v>
      </c>
      <c r="I2178" s="47">
        <v>0</v>
      </c>
      <c r="J2178" s="47">
        <f t="shared" si="137"/>
        <v>0</v>
      </c>
      <c r="K2178" s="47">
        <v>2.1000000000000003E-3</v>
      </c>
      <c r="L2178" s="47">
        <f t="shared" si="138"/>
        <v>9.3519215713075334E-4</v>
      </c>
      <c r="M2178" s="47">
        <f t="shared" si="139"/>
        <v>1.6832724798568042E-2</v>
      </c>
      <c r="N2178" s="47">
        <v>0</v>
      </c>
      <c r="O2178" s="47">
        <f t="shared" si="140"/>
        <v>0</v>
      </c>
      <c r="P2178" s="92"/>
    </row>
    <row r="2179" spans="1:16" x14ac:dyDescent="0.25">
      <c r="A2179" s="29">
        <v>26</v>
      </c>
      <c r="B2179" s="46">
        <v>438112</v>
      </c>
      <c r="C2179" s="46">
        <v>5688567</v>
      </c>
      <c r="D2179" s="30">
        <v>16</v>
      </c>
      <c r="E2179" s="30" t="s">
        <v>96</v>
      </c>
      <c r="F2179" s="46">
        <v>2018</v>
      </c>
      <c r="G2179" s="47">
        <v>0.13300000000000001</v>
      </c>
      <c r="H2179" s="47">
        <f t="shared" si="136"/>
        <v>3.9917786403850339E-2</v>
      </c>
      <c r="I2179" s="47">
        <v>0</v>
      </c>
      <c r="J2179" s="47">
        <f t="shared" si="137"/>
        <v>0</v>
      </c>
      <c r="K2179" s="47">
        <v>4.6299999999999994E-2</v>
      </c>
      <c r="L2179" s="47">
        <f t="shared" si="138"/>
        <v>2.0618760416739938E-2</v>
      </c>
      <c r="M2179" s="47">
        <f t="shared" si="139"/>
        <v>1.9299025987110401E-2</v>
      </c>
      <c r="N2179" s="47">
        <v>0</v>
      </c>
      <c r="O2179" s="47">
        <f t="shared" si="140"/>
        <v>0</v>
      </c>
      <c r="P2179" s="92"/>
    </row>
    <row r="2180" spans="1:16" x14ac:dyDescent="0.25">
      <c r="A2180" s="32">
        <v>27</v>
      </c>
      <c r="B2180" s="33">
        <v>438168.10856199998</v>
      </c>
      <c r="C2180" s="33">
        <v>5688512.3324180003</v>
      </c>
      <c r="D2180" s="48">
        <v>16</v>
      </c>
      <c r="E2180" s="48" t="s">
        <v>96</v>
      </c>
      <c r="F2180" s="48">
        <v>2018</v>
      </c>
      <c r="G2180" s="48" t="s">
        <v>18</v>
      </c>
      <c r="H2180" s="48" t="s">
        <v>18</v>
      </c>
      <c r="I2180" s="48" t="s">
        <v>18</v>
      </c>
      <c r="J2180" s="48" t="s">
        <v>18</v>
      </c>
      <c r="K2180" s="48" t="s">
        <v>18</v>
      </c>
      <c r="L2180" s="48" t="s">
        <v>18</v>
      </c>
      <c r="M2180" s="48" t="s">
        <v>18</v>
      </c>
      <c r="N2180" s="48" t="s">
        <v>18</v>
      </c>
      <c r="O2180" s="48" t="s">
        <v>18</v>
      </c>
      <c r="P2180" s="103" t="s">
        <v>89</v>
      </c>
    </row>
    <row r="2181" spans="1:16" x14ac:dyDescent="0.25">
      <c r="A2181" s="32">
        <v>28</v>
      </c>
      <c r="B2181" s="33">
        <v>438287.10856199998</v>
      </c>
      <c r="C2181" s="33">
        <v>5688512.3324180003</v>
      </c>
      <c r="D2181" s="48">
        <v>16</v>
      </c>
      <c r="E2181" s="48" t="s">
        <v>96</v>
      </c>
      <c r="F2181" s="48">
        <v>2018</v>
      </c>
      <c r="G2181" s="48" t="s">
        <v>18</v>
      </c>
      <c r="H2181" s="48" t="s">
        <v>18</v>
      </c>
      <c r="I2181" s="48" t="s">
        <v>18</v>
      </c>
      <c r="J2181" s="48" t="s">
        <v>18</v>
      </c>
      <c r="K2181" s="48" t="s">
        <v>18</v>
      </c>
      <c r="L2181" s="48" t="s">
        <v>18</v>
      </c>
      <c r="M2181" s="48" t="s">
        <v>18</v>
      </c>
      <c r="N2181" s="48" t="s">
        <v>18</v>
      </c>
      <c r="O2181" s="48" t="s">
        <v>18</v>
      </c>
      <c r="P2181" s="103" t="s">
        <v>89</v>
      </c>
    </row>
    <row r="2182" spans="1:16" x14ac:dyDescent="0.25">
      <c r="A2182" s="29">
        <v>29</v>
      </c>
      <c r="B2182" s="30">
        <v>438381</v>
      </c>
      <c r="C2182" s="30">
        <v>5688526</v>
      </c>
      <c r="D2182" s="30">
        <v>16</v>
      </c>
      <c r="E2182" s="30" t="s">
        <v>96</v>
      </c>
      <c r="F2182" s="46">
        <v>2018</v>
      </c>
      <c r="G2182" s="47">
        <v>0.1012</v>
      </c>
      <c r="H2182" s="47">
        <f t="shared" si="136"/>
        <v>3.0373533714809428E-2</v>
      </c>
      <c r="I2182" s="47">
        <v>0</v>
      </c>
      <c r="J2182" s="47">
        <f t="shared" si="137"/>
        <v>0</v>
      </c>
      <c r="K2182" s="47">
        <v>4.8100000000000004E-2</v>
      </c>
      <c r="L2182" s="47">
        <f t="shared" si="138"/>
        <v>2.1420353694280587E-2</v>
      </c>
      <c r="M2182" s="47">
        <f t="shared" si="139"/>
        <v>8.9531800205288406E-3</v>
      </c>
      <c r="N2182" s="47">
        <v>0</v>
      </c>
      <c r="O2182" s="47">
        <f t="shared" si="140"/>
        <v>0</v>
      </c>
      <c r="P2182" s="92"/>
    </row>
    <row r="2183" spans="1:16" x14ac:dyDescent="0.25">
      <c r="A2183" s="29">
        <v>30</v>
      </c>
      <c r="B2183" s="30">
        <v>438525.10856199998</v>
      </c>
      <c r="C2183" s="30">
        <v>5688512.3324180003</v>
      </c>
      <c r="D2183" s="30">
        <v>16</v>
      </c>
      <c r="E2183" s="30" t="s">
        <v>96</v>
      </c>
      <c r="F2183" s="46">
        <v>2018</v>
      </c>
      <c r="G2183" s="47">
        <v>4.2799999999999998E-2</v>
      </c>
      <c r="H2183" s="47">
        <f t="shared" si="136"/>
        <v>1.2845723744998453E-2</v>
      </c>
      <c r="I2183" s="47">
        <v>0</v>
      </c>
      <c r="J2183" s="47">
        <f t="shared" si="137"/>
        <v>0</v>
      </c>
      <c r="K2183" s="47">
        <v>2.3600000000000003E-2</v>
      </c>
      <c r="L2183" s="47">
        <f t="shared" si="138"/>
        <v>1.0509778527755132E-2</v>
      </c>
      <c r="M2183" s="47">
        <f t="shared" si="139"/>
        <v>2.3359452172433213E-3</v>
      </c>
      <c r="N2183" s="47">
        <v>0</v>
      </c>
      <c r="O2183" s="47">
        <f t="shared" si="140"/>
        <v>0</v>
      </c>
      <c r="P2183" s="92"/>
    </row>
    <row r="2184" spans="1:16" x14ac:dyDescent="0.25">
      <c r="A2184" s="29">
        <v>31</v>
      </c>
      <c r="B2184" s="30">
        <v>437335.10856199998</v>
      </c>
      <c r="C2184" s="30">
        <v>5688631.3324180003</v>
      </c>
      <c r="D2184" s="30">
        <v>16</v>
      </c>
      <c r="E2184" s="30" t="s">
        <v>96</v>
      </c>
      <c r="F2184" s="46">
        <v>2018</v>
      </c>
      <c r="G2184" s="47">
        <v>5.16E-2</v>
      </c>
      <c r="H2184" s="47">
        <f t="shared" si="136"/>
        <v>1.5486900589764492E-2</v>
      </c>
      <c r="I2184" s="47">
        <v>0</v>
      </c>
      <c r="J2184" s="47">
        <f t="shared" si="137"/>
        <v>0</v>
      </c>
      <c r="K2184" s="47">
        <v>2.8E-3</v>
      </c>
      <c r="L2184" s="47">
        <f t="shared" si="138"/>
        <v>1.2469228761743374E-3</v>
      </c>
      <c r="M2184" s="47">
        <f t="shared" si="139"/>
        <v>1.4239977713590155E-2</v>
      </c>
      <c r="N2184" s="47">
        <v>0</v>
      </c>
      <c r="O2184" s="47">
        <f t="shared" si="140"/>
        <v>0</v>
      </c>
      <c r="P2184" s="92"/>
    </row>
    <row r="2185" spans="1:16" x14ac:dyDescent="0.25">
      <c r="A2185" s="29">
        <v>32</v>
      </c>
      <c r="B2185" s="30">
        <v>437454.10856199998</v>
      </c>
      <c r="C2185" s="30">
        <v>5688631.3324180003</v>
      </c>
      <c r="D2185" s="30">
        <v>16</v>
      </c>
      <c r="E2185" s="30" t="s">
        <v>96</v>
      </c>
      <c r="F2185" s="46">
        <v>2018</v>
      </c>
      <c r="G2185" s="47">
        <v>6.0000000000000001E-3</v>
      </c>
      <c r="H2185" s="47">
        <f t="shared" si="136"/>
        <v>1.8008023941586619E-3</v>
      </c>
      <c r="I2185" s="47">
        <v>0</v>
      </c>
      <c r="J2185" s="47">
        <f t="shared" si="137"/>
        <v>0</v>
      </c>
      <c r="K2185" s="47">
        <v>5.0999999999999995E-3</v>
      </c>
      <c r="L2185" s="47">
        <f t="shared" si="138"/>
        <v>2.271180953031829E-3</v>
      </c>
      <c r="M2185" s="47">
        <f t="shared" si="139"/>
        <v>-4.7037855887316717E-4</v>
      </c>
      <c r="N2185" s="47">
        <v>0</v>
      </c>
      <c r="O2185" s="47">
        <f t="shared" si="140"/>
        <v>0</v>
      </c>
      <c r="P2185" s="92"/>
    </row>
    <row r="2186" spans="1:16" x14ac:dyDescent="0.25">
      <c r="A2186" s="29">
        <v>33</v>
      </c>
      <c r="B2186" s="30">
        <v>437573.10856199998</v>
      </c>
      <c r="C2186" s="30">
        <v>5688631.3324180003</v>
      </c>
      <c r="D2186" s="30">
        <v>16</v>
      </c>
      <c r="E2186" s="30" t="s">
        <v>96</v>
      </c>
      <c r="F2186" s="46">
        <v>2018</v>
      </c>
      <c r="G2186" s="47">
        <v>2.1600000000000001E-2</v>
      </c>
      <c r="H2186" s="47">
        <f t="shared" si="136"/>
        <v>6.4828886189711834E-3</v>
      </c>
      <c r="I2186" s="47">
        <v>0</v>
      </c>
      <c r="J2186" s="47">
        <f t="shared" si="137"/>
        <v>0</v>
      </c>
      <c r="K2186" s="47">
        <v>3.3999999999999998E-3</v>
      </c>
      <c r="L2186" s="47">
        <f t="shared" si="138"/>
        <v>1.5141206353545527E-3</v>
      </c>
      <c r="M2186" s="47">
        <f t="shared" si="139"/>
        <v>4.9687679836166307E-3</v>
      </c>
      <c r="N2186" s="47">
        <v>0</v>
      </c>
      <c r="O2186" s="47">
        <f t="shared" si="140"/>
        <v>0</v>
      </c>
      <c r="P2186" s="92"/>
    </row>
    <row r="2187" spans="1:16" x14ac:dyDescent="0.25">
      <c r="A2187" s="29">
        <v>34</v>
      </c>
      <c r="B2187" s="30">
        <v>437692.10856199998</v>
      </c>
      <c r="C2187" s="30">
        <v>5688631.3324180003</v>
      </c>
      <c r="D2187" s="30">
        <v>16</v>
      </c>
      <c r="E2187" s="30" t="s">
        <v>96</v>
      </c>
      <c r="F2187" s="46">
        <v>2018</v>
      </c>
      <c r="G2187" s="47">
        <v>5.6399999999999999E-2</v>
      </c>
      <c r="H2187" s="47">
        <f t="shared" si="136"/>
        <v>1.692754250509142E-2</v>
      </c>
      <c r="I2187" s="47">
        <v>0</v>
      </c>
      <c r="J2187" s="47">
        <f t="shared" si="137"/>
        <v>0</v>
      </c>
      <c r="K2187" s="47">
        <v>2.3E-2</v>
      </c>
      <c r="L2187" s="47">
        <f t="shared" si="138"/>
        <v>1.0242580768574915E-2</v>
      </c>
      <c r="M2187" s="47">
        <f t="shared" si="139"/>
        <v>6.6849617365165055E-3</v>
      </c>
      <c r="N2187" s="47">
        <v>5.7999999999999996E-3</v>
      </c>
      <c r="O2187" s="47">
        <f t="shared" si="140"/>
        <v>2.7783400809716567E-3</v>
      </c>
      <c r="P2187" s="92"/>
    </row>
    <row r="2188" spans="1:16" x14ac:dyDescent="0.25">
      <c r="A2188" s="29">
        <v>35</v>
      </c>
      <c r="B2188" s="30">
        <v>437893</v>
      </c>
      <c r="C2188" s="30">
        <v>5688620</v>
      </c>
      <c r="D2188" s="30">
        <v>16</v>
      </c>
      <c r="E2188" s="30" t="s">
        <v>96</v>
      </c>
      <c r="F2188" s="46">
        <v>2018</v>
      </c>
      <c r="G2188" s="47">
        <v>2.81E-2</v>
      </c>
      <c r="H2188" s="47">
        <f t="shared" si="136"/>
        <v>8.4337578793097327E-3</v>
      </c>
      <c r="I2188" s="47">
        <v>0</v>
      </c>
      <c r="J2188" s="47">
        <f t="shared" si="137"/>
        <v>0</v>
      </c>
      <c r="K2188" s="47">
        <v>1.46E-2</v>
      </c>
      <c r="L2188" s="47">
        <f t="shared" si="138"/>
        <v>6.5018121400519033E-3</v>
      </c>
      <c r="M2188" s="47">
        <f t="shared" si="139"/>
        <v>1.9319457392578294E-3</v>
      </c>
      <c r="N2188" s="47">
        <v>0</v>
      </c>
      <c r="O2188" s="47">
        <f t="shared" si="140"/>
        <v>0</v>
      </c>
      <c r="P2188" s="92"/>
    </row>
    <row r="2189" spans="1:16" x14ac:dyDescent="0.25">
      <c r="A2189" s="29">
        <v>36</v>
      </c>
      <c r="B2189" s="30">
        <v>437930.10856199998</v>
      </c>
      <c r="C2189" s="30">
        <v>5688631.3324180003</v>
      </c>
      <c r="D2189" s="30">
        <v>16</v>
      </c>
      <c r="E2189" s="30" t="s">
        <v>96</v>
      </c>
      <c r="F2189" s="46">
        <v>2018</v>
      </c>
      <c r="G2189" s="47">
        <v>7.9000000000000001E-2</v>
      </c>
      <c r="H2189" s="47">
        <f t="shared" si="136"/>
        <v>2.3710564856422381E-2</v>
      </c>
      <c r="I2189" s="47">
        <v>0</v>
      </c>
      <c r="J2189" s="47">
        <f t="shared" si="137"/>
        <v>0</v>
      </c>
      <c r="K2189" s="47">
        <v>2.8E-3</v>
      </c>
      <c r="L2189" s="47">
        <f t="shared" si="138"/>
        <v>1.2469228761743374E-3</v>
      </c>
      <c r="M2189" s="47">
        <f t="shared" si="139"/>
        <v>2.2463641980248042E-2</v>
      </c>
      <c r="N2189" s="47">
        <v>0</v>
      </c>
      <c r="O2189" s="47">
        <f t="shared" si="140"/>
        <v>0</v>
      </c>
      <c r="P2189" s="92"/>
    </row>
    <row r="2190" spans="1:16" x14ac:dyDescent="0.25">
      <c r="A2190" s="32">
        <v>37</v>
      </c>
      <c r="B2190" s="33">
        <v>438049.10856199998</v>
      </c>
      <c r="C2190" s="33">
        <v>5688631.3324180003</v>
      </c>
      <c r="D2190" s="48">
        <v>16</v>
      </c>
      <c r="E2190" s="48" t="s">
        <v>96</v>
      </c>
      <c r="F2190" s="48">
        <v>2018</v>
      </c>
      <c r="G2190" s="48" t="s">
        <v>18</v>
      </c>
      <c r="H2190" s="48" t="s">
        <v>18</v>
      </c>
      <c r="I2190" s="48" t="s">
        <v>18</v>
      </c>
      <c r="J2190" s="48" t="s">
        <v>18</v>
      </c>
      <c r="K2190" s="48" t="s">
        <v>18</v>
      </c>
      <c r="L2190" s="48" t="s">
        <v>18</v>
      </c>
      <c r="M2190" s="48" t="s">
        <v>18</v>
      </c>
      <c r="N2190" s="48" t="s">
        <v>18</v>
      </c>
      <c r="O2190" s="48" t="s">
        <v>18</v>
      </c>
      <c r="P2190" s="103" t="s">
        <v>89</v>
      </c>
    </row>
    <row r="2191" spans="1:16" x14ac:dyDescent="0.25">
      <c r="A2191" s="29">
        <v>38</v>
      </c>
      <c r="B2191" s="30">
        <v>438067</v>
      </c>
      <c r="C2191" s="30">
        <v>5688710</v>
      </c>
      <c r="D2191" s="30">
        <v>15</v>
      </c>
      <c r="E2191" s="30" t="s">
        <v>96</v>
      </c>
      <c r="F2191" s="46">
        <v>2018</v>
      </c>
      <c r="G2191" s="54">
        <v>0.34770000000000001</v>
      </c>
      <c r="H2191" s="54">
        <f>G2191*0.275571242774838</f>
        <v>9.5816121112811181E-2</v>
      </c>
      <c r="I2191" s="54">
        <v>0</v>
      </c>
      <c r="J2191" s="54">
        <f>I2191*0.507462686567164</f>
        <v>0</v>
      </c>
      <c r="K2191" s="54">
        <v>6.4999999999999997E-3</v>
      </c>
      <c r="L2191" s="47">
        <f>K2191*0.471881060116354</f>
        <v>3.0672268907563009E-3</v>
      </c>
      <c r="M2191" s="47">
        <f t="shared" si="139"/>
        <v>9.2748894222054887E-2</v>
      </c>
      <c r="N2191" s="47">
        <v>0</v>
      </c>
      <c r="O2191" s="47">
        <f>N2191*0.473684210526316</f>
        <v>0</v>
      </c>
      <c r="P2191" s="92"/>
    </row>
    <row r="2192" spans="1:16" x14ac:dyDescent="0.25">
      <c r="A2192" s="32">
        <v>39</v>
      </c>
      <c r="B2192" s="33">
        <v>438287.10856199998</v>
      </c>
      <c r="C2192" s="33">
        <v>5688631.3324180003</v>
      </c>
      <c r="D2192" s="48">
        <v>16</v>
      </c>
      <c r="E2192" s="48" t="s">
        <v>96</v>
      </c>
      <c r="F2192" s="48">
        <v>2018</v>
      </c>
      <c r="G2192" s="48" t="s">
        <v>18</v>
      </c>
      <c r="H2192" s="48" t="s">
        <v>18</v>
      </c>
      <c r="I2192" s="48" t="s">
        <v>18</v>
      </c>
      <c r="J2192" s="48" t="s">
        <v>18</v>
      </c>
      <c r="K2192" s="48" t="s">
        <v>18</v>
      </c>
      <c r="L2192" s="48" t="s">
        <v>18</v>
      </c>
      <c r="M2192" s="48" t="s">
        <v>18</v>
      </c>
      <c r="N2192" s="48" t="s">
        <v>18</v>
      </c>
      <c r="O2192" s="48" t="s">
        <v>18</v>
      </c>
      <c r="P2192" s="94" t="s">
        <v>22</v>
      </c>
    </row>
    <row r="2193" spans="1:16" x14ac:dyDescent="0.25">
      <c r="A2193" s="29">
        <v>40</v>
      </c>
      <c r="B2193" s="30">
        <v>438406.10856199998</v>
      </c>
      <c r="C2193" s="30">
        <v>5688631.3324180003</v>
      </c>
      <c r="D2193" s="30">
        <v>16</v>
      </c>
      <c r="E2193" s="30" t="s">
        <v>96</v>
      </c>
      <c r="F2193" s="46">
        <v>2018</v>
      </c>
      <c r="G2193" s="54">
        <v>0.1009</v>
      </c>
      <c r="H2193" s="47">
        <f t="shared" ref="H2193:H2196" si="141">G2193*0.300133732359777</f>
        <v>3.0283493595101497E-2</v>
      </c>
      <c r="I2193" s="47">
        <v>0</v>
      </c>
      <c r="J2193" s="47">
        <f t="shared" ref="J2193:J2196" si="142">I2193*0.374167154749368</f>
        <v>0</v>
      </c>
      <c r="K2193" s="47">
        <v>1.1999999999999999E-3</v>
      </c>
      <c r="L2193" s="47">
        <f t="shared" ref="L2193:L2196" si="143">K2193*0.445329598633692</f>
        <v>5.3439551836043033E-4</v>
      </c>
      <c r="M2193" s="47">
        <f t="shared" si="139"/>
        <v>2.9749098076741066E-2</v>
      </c>
      <c r="N2193" s="47">
        <v>0</v>
      </c>
      <c r="O2193" s="47">
        <f t="shared" ref="O2193:O2196" si="144">N2193*0.479024151891665</f>
        <v>0</v>
      </c>
      <c r="P2193" s="92"/>
    </row>
    <row r="2194" spans="1:16" x14ac:dyDescent="0.25">
      <c r="A2194" s="29">
        <v>41</v>
      </c>
      <c r="B2194" s="30">
        <v>437310</v>
      </c>
      <c r="C2194" s="30">
        <v>5688729</v>
      </c>
      <c r="D2194" s="30">
        <v>16</v>
      </c>
      <c r="E2194" s="30" t="s">
        <v>96</v>
      </c>
      <c r="F2194" s="46">
        <v>2018</v>
      </c>
      <c r="G2194" s="47">
        <v>5.04E-2</v>
      </c>
      <c r="H2194" s="47">
        <f t="shared" si="141"/>
        <v>1.5126740110932759E-2</v>
      </c>
      <c r="I2194" s="47">
        <v>1.9E-3</v>
      </c>
      <c r="J2194" s="47">
        <f t="shared" si="142"/>
        <v>7.1091759402379926E-4</v>
      </c>
      <c r="K2194" s="47">
        <v>6.6E-3</v>
      </c>
      <c r="L2194" s="47">
        <f t="shared" si="143"/>
        <v>2.9391753509823669E-3</v>
      </c>
      <c r="M2194" s="47">
        <f t="shared" si="139"/>
        <v>1.2187564759950392E-2</v>
      </c>
      <c r="N2194" s="47">
        <v>0</v>
      </c>
      <c r="O2194" s="47">
        <f t="shared" si="144"/>
        <v>0</v>
      </c>
      <c r="P2194" s="92"/>
    </row>
    <row r="2195" spans="1:16" x14ac:dyDescent="0.25">
      <c r="A2195" s="29">
        <v>42</v>
      </c>
      <c r="B2195" s="30">
        <v>437454.10856199998</v>
      </c>
      <c r="C2195" s="30">
        <v>5688750.3324180003</v>
      </c>
      <c r="D2195" s="30">
        <v>16</v>
      </c>
      <c r="E2195" s="30" t="s">
        <v>96</v>
      </c>
      <c r="F2195" s="46">
        <v>2018</v>
      </c>
      <c r="G2195" s="54">
        <v>2.18E-2</v>
      </c>
      <c r="H2195" s="47">
        <f t="shared" si="141"/>
        <v>6.5429153654431383E-3</v>
      </c>
      <c r="I2195" s="47">
        <v>2.3300000000000001E-2</v>
      </c>
      <c r="J2195" s="47">
        <f t="shared" si="142"/>
        <v>8.7180947056602759E-3</v>
      </c>
      <c r="K2195" s="47">
        <v>2.7000000000000001E-3</v>
      </c>
      <c r="L2195" s="47">
        <f t="shared" si="143"/>
        <v>1.2023899163109684E-3</v>
      </c>
      <c r="M2195" s="47">
        <f t="shared" si="139"/>
        <v>5.3405254491321694E-3</v>
      </c>
      <c r="N2195" s="5">
        <v>4.4999999999999997E-3</v>
      </c>
      <c r="O2195" s="47">
        <f t="shared" si="144"/>
        <v>2.1556086835124921E-3</v>
      </c>
      <c r="P2195" s="92"/>
    </row>
    <row r="2196" spans="1:16" x14ac:dyDescent="0.25">
      <c r="A2196" s="29">
        <v>43</v>
      </c>
      <c r="B2196" s="30">
        <v>437573.10856199998</v>
      </c>
      <c r="C2196" s="30">
        <v>5688750.3324180003</v>
      </c>
      <c r="D2196" s="30">
        <v>16</v>
      </c>
      <c r="E2196" s="30" t="s">
        <v>96</v>
      </c>
      <c r="F2196" s="46">
        <v>2018</v>
      </c>
      <c r="G2196" s="47">
        <v>6.7400000000000002E-2</v>
      </c>
      <c r="H2196" s="47">
        <f t="shared" si="141"/>
        <v>2.0229013561048968E-2</v>
      </c>
      <c r="I2196" s="47">
        <v>5.7999999999999996E-3</v>
      </c>
      <c r="J2196" s="47">
        <f t="shared" si="142"/>
        <v>2.1701694975463344E-3</v>
      </c>
      <c r="K2196" s="47">
        <v>5.0000000000000001E-3</v>
      </c>
      <c r="L2196" s="47">
        <f t="shared" si="143"/>
        <v>2.2266479931684598E-3</v>
      </c>
      <c r="M2196" s="47">
        <f t="shared" si="139"/>
        <v>1.8002365567880509E-2</v>
      </c>
      <c r="N2196" s="47">
        <v>0</v>
      </c>
      <c r="O2196" s="47">
        <f t="shared" si="144"/>
        <v>0</v>
      </c>
      <c r="P2196" s="92"/>
    </row>
    <row r="2197" spans="1:16" x14ac:dyDescent="0.25">
      <c r="A2197" s="29">
        <v>44</v>
      </c>
      <c r="B2197" s="30">
        <v>437692.10856199998</v>
      </c>
      <c r="C2197" s="30">
        <v>5688750.3324180003</v>
      </c>
      <c r="D2197" s="30">
        <v>15</v>
      </c>
      <c r="E2197" s="30" t="s">
        <v>96</v>
      </c>
      <c r="F2197" s="46">
        <v>2018</v>
      </c>
      <c r="G2197" s="54">
        <v>0.17380000000000001</v>
      </c>
      <c r="H2197" s="54">
        <f t="shared" ref="H2197:H2213" si="145">G2197*0.275571242774838</f>
        <v>4.7894281994266853E-2</v>
      </c>
      <c r="I2197" s="47">
        <v>0</v>
      </c>
      <c r="J2197" s="54">
        <f t="shared" ref="J2197:J2213" si="146">I2197*0.507462686567164</f>
        <v>0</v>
      </c>
      <c r="K2197" s="47">
        <v>1.3599999999999999E-2</v>
      </c>
      <c r="L2197" s="47">
        <f t="shared" ref="L2197:L2213" si="147">K2197*0.471881060116354</f>
        <v>6.4175824175824138E-3</v>
      </c>
      <c r="M2197" s="47">
        <f t="shared" si="139"/>
        <v>4.1476699576684442E-2</v>
      </c>
      <c r="N2197" s="47">
        <v>0</v>
      </c>
      <c r="O2197" s="47">
        <f t="shared" ref="O2197:O2213" si="148">N2197*0.473684210526316</f>
        <v>0</v>
      </c>
      <c r="P2197" s="92"/>
    </row>
    <row r="2198" spans="1:16" x14ac:dyDescent="0.25">
      <c r="A2198" s="29">
        <v>45</v>
      </c>
      <c r="B2198" s="30">
        <v>437811.10856199998</v>
      </c>
      <c r="C2198" s="30">
        <v>5688750.3324180003</v>
      </c>
      <c r="D2198" s="30">
        <v>15</v>
      </c>
      <c r="E2198" s="30" t="s">
        <v>96</v>
      </c>
      <c r="F2198" s="46">
        <v>2018</v>
      </c>
      <c r="G2198" s="47">
        <v>7.5299999999999992E-2</v>
      </c>
      <c r="H2198" s="54">
        <f t="shared" si="145"/>
        <v>2.07505145809453E-2</v>
      </c>
      <c r="I2198" s="47">
        <v>0</v>
      </c>
      <c r="J2198" s="54">
        <f t="shared" si="146"/>
        <v>0</v>
      </c>
      <c r="K2198" s="47">
        <v>3.2500000000000001E-2</v>
      </c>
      <c r="L2198" s="47">
        <f t="shared" si="147"/>
        <v>1.5336134453781505E-2</v>
      </c>
      <c r="M2198" s="47">
        <f t="shared" si="139"/>
        <v>5.414380127163795E-3</v>
      </c>
      <c r="N2198" s="47">
        <v>0</v>
      </c>
      <c r="O2198" s="47">
        <f t="shared" si="148"/>
        <v>0</v>
      </c>
      <c r="P2198" s="92"/>
    </row>
    <row r="2199" spans="1:16" x14ac:dyDescent="0.25">
      <c r="A2199" s="29">
        <v>46</v>
      </c>
      <c r="B2199" s="30">
        <v>437930.10856199998</v>
      </c>
      <c r="C2199" s="30">
        <v>5688750.3324180003</v>
      </c>
      <c r="D2199" s="30">
        <v>15</v>
      </c>
      <c r="E2199" s="30" t="s">
        <v>96</v>
      </c>
      <c r="F2199" s="46">
        <v>2018</v>
      </c>
      <c r="G2199" s="47">
        <v>5.9999999999999995E-4</v>
      </c>
      <c r="H2199" s="54">
        <f t="shared" si="145"/>
        <v>1.6534274566490281E-4</v>
      </c>
      <c r="I2199" s="47">
        <v>0</v>
      </c>
      <c r="J2199" s="54">
        <f t="shared" si="146"/>
        <v>0</v>
      </c>
      <c r="K2199" s="47">
        <v>1.8E-3</v>
      </c>
      <c r="L2199" s="47">
        <f t="shared" si="147"/>
        <v>8.4938590820943715E-4</v>
      </c>
      <c r="M2199" s="47">
        <f t="shared" si="139"/>
        <v>-6.8404316254453432E-4</v>
      </c>
      <c r="N2199" s="47">
        <v>0</v>
      </c>
      <c r="O2199" s="47">
        <f t="shared" si="148"/>
        <v>0</v>
      </c>
      <c r="P2199" s="92"/>
    </row>
    <row r="2200" spans="1:16" x14ac:dyDescent="0.25">
      <c r="A2200" s="29">
        <v>47</v>
      </c>
      <c r="B2200" s="30">
        <v>438061</v>
      </c>
      <c r="C2200" s="30">
        <v>5688779</v>
      </c>
      <c r="D2200" s="30">
        <v>16</v>
      </c>
      <c r="E2200" s="30" t="s">
        <v>96</v>
      </c>
      <c r="F2200" s="46">
        <v>2018</v>
      </c>
      <c r="G2200" s="47">
        <v>0.24880000000000002</v>
      </c>
      <c r="H2200" s="47">
        <f>G2200*0.300133732359777</f>
        <v>7.4673272611112521E-2</v>
      </c>
      <c r="I2200" s="47">
        <v>2.2699999999999998E-2</v>
      </c>
      <c r="J2200" s="47">
        <f>I2200*0.374167154749368</f>
        <v>8.4935944128106539E-3</v>
      </c>
      <c r="K2200" s="47">
        <v>2.3E-2</v>
      </c>
      <c r="L2200" s="47">
        <f>K2200*0.445329598633692</f>
        <v>1.0242580768574915E-2</v>
      </c>
      <c r="M2200" s="47">
        <f t="shared" si="139"/>
        <v>6.4430691842537607E-2</v>
      </c>
      <c r="N2200" s="47">
        <v>0</v>
      </c>
      <c r="O2200" s="47">
        <f>N2200*0.479024151891665</f>
        <v>0</v>
      </c>
      <c r="P2200" s="92"/>
    </row>
    <row r="2201" spans="1:16" x14ac:dyDescent="0.25">
      <c r="A2201" s="32">
        <v>48</v>
      </c>
      <c r="B2201" s="33">
        <v>438168.10856199998</v>
      </c>
      <c r="C2201" s="33">
        <v>5688750.3324180003</v>
      </c>
      <c r="D2201" s="48">
        <v>16</v>
      </c>
      <c r="E2201" s="48" t="s">
        <v>96</v>
      </c>
      <c r="F2201" s="48">
        <v>2018</v>
      </c>
      <c r="G2201" s="48" t="s">
        <v>18</v>
      </c>
      <c r="H2201" s="48" t="s">
        <v>18</v>
      </c>
      <c r="I2201" s="48" t="s">
        <v>18</v>
      </c>
      <c r="J2201" s="48" t="s">
        <v>18</v>
      </c>
      <c r="K2201" s="48" t="s">
        <v>18</v>
      </c>
      <c r="L2201" s="48" t="s">
        <v>18</v>
      </c>
      <c r="M2201" s="48" t="s">
        <v>18</v>
      </c>
      <c r="N2201" s="48" t="s">
        <v>18</v>
      </c>
      <c r="O2201" s="48" t="s">
        <v>18</v>
      </c>
      <c r="P2201" s="103" t="s">
        <v>89</v>
      </c>
    </row>
    <row r="2202" spans="1:16" x14ac:dyDescent="0.25">
      <c r="A2202" s="29">
        <v>49</v>
      </c>
      <c r="B2202" s="30">
        <v>437454.10856199998</v>
      </c>
      <c r="C2202" s="30">
        <v>5688869.3324180003</v>
      </c>
      <c r="D2202" s="30">
        <v>15</v>
      </c>
      <c r="E2202" s="30" t="s">
        <v>96</v>
      </c>
      <c r="F2202" s="46">
        <v>2018</v>
      </c>
      <c r="G2202" s="47">
        <v>0.156</v>
      </c>
      <c r="H2202" s="54">
        <f t="shared" si="145"/>
        <v>4.2989113872874733E-2</v>
      </c>
      <c r="I2202" s="47">
        <v>0</v>
      </c>
      <c r="J2202" s="54">
        <f t="shared" si="146"/>
        <v>0</v>
      </c>
      <c r="K2202" s="47">
        <v>4.3200000000000002E-2</v>
      </c>
      <c r="L2202" s="47">
        <f t="shared" si="147"/>
        <v>2.0385261797026495E-2</v>
      </c>
      <c r="M2202" s="47">
        <f t="shared" si="139"/>
        <v>2.2603852075848238E-2</v>
      </c>
      <c r="N2202" s="47">
        <v>0</v>
      </c>
      <c r="O2202" s="47">
        <f t="shared" si="148"/>
        <v>0</v>
      </c>
      <c r="P2202" s="92"/>
    </row>
    <row r="2203" spans="1:16" x14ac:dyDescent="0.25">
      <c r="A2203" s="29">
        <v>50</v>
      </c>
      <c r="B2203" s="30">
        <v>437811.10856199998</v>
      </c>
      <c r="C2203" s="30">
        <v>5688869.3324180003</v>
      </c>
      <c r="D2203" s="30">
        <v>15</v>
      </c>
      <c r="E2203" s="30" t="s">
        <v>96</v>
      </c>
      <c r="F2203" s="46">
        <v>2018</v>
      </c>
      <c r="G2203" s="47">
        <v>6.4000000000000003E-3</v>
      </c>
      <c r="H2203" s="54">
        <f t="shared" si="145"/>
        <v>1.7636559537589633E-3</v>
      </c>
      <c r="I2203" s="47">
        <v>0</v>
      </c>
      <c r="J2203" s="54">
        <f t="shared" si="146"/>
        <v>0</v>
      </c>
      <c r="K2203" s="47">
        <v>6.9999999999999999E-4</v>
      </c>
      <c r="L2203" s="47">
        <f t="shared" si="147"/>
        <v>3.3031674208144782E-4</v>
      </c>
      <c r="M2203" s="47">
        <f t="shared" si="139"/>
        <v>1.4333392116775154E-3</v>
      </c>
      <c r="N2203" s="47">
        <v>0</v>
      </c>
      <c r="O2203" s="47">
        <f t="shared" si="148"/>
        <v>0</v>
      </c>
      <c r="P2203" s="92"/>
    </row>
    <row r="2204" spans="1:16" x14ac:dyDescent="0.25">
      <c r="A2204" s="29">
        <v>51</v>
      </c>
      <c r="B2204" s="30">
        <v>437930.10856199998</v>
      </c>
      <c r="C2204" s="30">
        <v>5688869.3324180003</v>
      </c>
      <c r="D2204" s="30">
        <v>15</v>
      </c>
      <c r="E2204" s="30" t="s">
        <v>96</v>
      </c>
      <c r="F2204" s="46">
        <v>2018</v>
      </c>
      <c r="G2204" s="47">
        <v>3.5000000000000001E-3</v>
      </c>
      <c r="H2204" s="54">
        <f t="shared" si="145"/>
        <v>9.6449934971193309E-4</v>
      </c>
      <c r="I2204" s="47">
        <v>0</v>
      </c>
      <c r="J2204" s="54">
        <f t="shared" si="146"/>
        <v>0</v>
      </c>
      <c r="K2204" s="47">
        <v>2.9999999999999997E-4</v>
      </c>
      <c r="L2204" s="47">
        <f t="shared" si="147"/>
        <v>1.4156431803490619E-4</v>
      </c>
      <c r="M2204" s="47">
        <f t="shared" si="139"/>
        <v>8.2293503167702689E-4</v>
      </c>
      <c r="N2204" s="47">
        <v>0</v>
      </c>
      <c r="O2204" s="47">
        <f t="shared" si="148"/>
        <v>0</v>
      </c>
      <c r="P2204" s="92"/>
    </row>
    <row r="2205" spans="1:16" x14ac:dyDescent="0.25">
      <c r="A2205" s="29">
        <v>52</v>
      </c>
      <c r="B2205" s="30">
        <v>438049.10856199998</v>
      </c>
      <c r="C2205" s="30">
        <v>5688869.3324180003</v>
      </c>
      <c r="D2205" s="30">
        <v>16</v>
      </c>
      <c r="E2205" s="30" t="s">
        <v>96</v>
      </c>
      <c r="F2205" s="46">
        <v>2018</v>
      </c>
      <c r="G2205" s="47">
        <v>5.9999999999999995E-4</v>
      </c>
      <c r="H2205" s="47">
        <f t="shared" ref="H2205:H2206" si="149">G2205*0.300133732359777</f>
        <v>1.8008023941586617E-4</v>
      </c>
      <c r="I2205" s="47">
        <v>4.5100000000000001E-2</v>
      </c>
      <c r="J2205" s="47">
        <f t="shared" ref="J2205:J2206" si="150">I2205*0.374167154749368</f>
        <v>1.6874938679196497E-2</v>
      </c>
      <c r="K2205" s="47">
        <v>4.0000000000000002E-4</v>
      </c>
      <c r="L2205" s="47">
        <f t="shared" ref="L2205:L2206" si="151">K2205*0.445329598633692</f>
        <v>1.781318394534768E-4</v>
      </c>
      <c r="M2205" s="47">
        <f t="shared" si="139"/>
        <v>1.9483999623893687E-6</v>
      </c>
      <c r="N2205" s="47">
        <v>0</v>
      </c>
      <c r="O2205" s="47">
        <f t="shared" ref="O2205:O2206" si="152">N2205*0.479024151891665</f>
        <v>0</v>
      </c>
      <c r="P2205" s="92"/>
    </row>
    <row r="2206" spans="1:16" x14ac:dyDescent="0.25">
      <c r="A2206" s="29">
        <v>53</v>
      </c>
      <c r="B2206" s="30">
        <v>438287.10856199998</v>
      </c>
      <c r="C2206" s="30">
        <v>5688869.3324180003</v>
      </c>
      <c r="D2206" s="30">
        <v>16</v>
      </c>
      <c r="E2206" s="30" t="s">
        <v>96</v>
      </c>
      <c r="F2206" s="46">
        <v>2018</v>
      </c>
      <c r="G2206" s="47">
        <v>4.2000000000000006E-3</v>
      </c>
      <c r="H2206" s="47">
        <f t="shared" si="149"/>
        <v>1.2605616759110636E-3</v>
      </c>
      <c r="I2206" s="47">
        <v>2.3E-3</v>
      </c>
      <c r="J2206" s="47">
        <f t="shared" si="150"/>
        <v>8.6058445592354638E-4</v>
      </c>
      <c r="K2206" s="47">
        <v>5.9999999999999995E-4</v>
      </c>
      <c r="L2206" s="47">
        <f t="shared" si="151"/>
        <v>2.6719775918021516E-4</v>
      </c>
      <c r="M2206" s="47">
        <f t="shared" si="139"/>
        <v>9.933639167308485E-4</v>
      </c>
      <c r="N2206" s="47">
        <v>0</v>
      </c>
      <c r="O2206" s="47">
        <f t="shared" si="152"/>
        <v>0</v>
      </c>
      <c r="P2206" s="92"/>
    </row>
    <row r="2207" spans="1:16" x14ac:dyDescent="0.25">
      <c r="A2207" s="29">
        <v>54</v>
      </c>
      <c r="B2207" s="30">
        <v>437454.10856199998</v>
      </c>
      <c r="C2207" s="30">
        <v>5688988.3324180003</v>
      </c>
      <c r="D2207" s="30">
        <v>15</v>
      </c>
      <c r="E2207" s="30" t="s">
        <v>96</v>
      </c>
      <c r="F2207" s="46">
        <v>2018</v>
      </c>
      <c r="G2207" s="47">
        <v>9.1400000000000009E-2</v>
      </c>
      <c r="H2207" s="54">
        <f t="shared" si="145"/>
        <v>2.5187211589620197E-2</v>
      </c>
      <c r="I2207" s="47">
        <v>6.7999999999999996E-3</v>
      </c>
      <c r="J2207" s="54">
        <f t="shared" si="146"/>
        <v>3.4507462686567147E-3</v>
      </c>
      <c r="K2207" s="47">
        <v>7.3000000000000001E-3</v>
      </c>
      <c r="L2207" s="47">
        <f t="shared" si="147"/>
        <v>3.4447317388493844E-3</v>
      </c>
      <c r="M2207" s="47">
        <f t="shared" si="139"/>
        <v>2.1742479850770813E-2</v>
      </c>
      <c r="N2207" s="47">
        <v>0</v>
      </c>
      <c r="O2207" s="47">
        <f t="shared" si="148"/>
        <v>0</v>
      </c>
      <c r="P2207" s="92"/>
    </row>
    <row r="2208" spans="1:16" x14ac:dyDescent="0.25">
      <c r="A2208" s="29">
        <v>55</v>
      </c>
      <c r="B2208" s="30">
        <v>438049.10856199998</v>
      </c>
      <c r="C2208" s="30">
        <v>5688988.3324180003</v>
      </c>
      <c r="D2208" s="30">
        <v>15</v>
      </c>
      <c r="E2208" s="30" t="s">
        <v>96</v>
      </c>
      <c r="F2208" s="46">
        <v>2018</v>
      </c>
      <c r="G2208" s="47">
        <v>3.0000000000000001E-3</v>
      </c>
      <c r="H2208" s="54">
        <f t="shared" si="145"/>
        <v>8.2671372832451406E-4</v>
      </c>
      <c r="I2208" s="47">
        <v>5.4000000000000003E-3</v>
      </c>
      <c r="J2208" s="54">
        <f t="shared" si="146"/>
        <v>2.7402985074626855E-3</v>
      </c>
      <c r="K2208" s="47">
        <v>5.5999999999999999E-3</v>
      </c>
      <c r="L2208" s="47">
        <f t="shared" si="147"/>
        <v>2.6425339366515825E-3</v>
      </c>
      <c r="M2208" s="47">
        <f t="shared" si="139"/>
        <v>-1.8158202083270684E-3</v>
      </c>
      <c r="N2208" s="47">
        <v>1.9E-3</v>
      </c>
      <c r="O2208" s="47">
        <f t="shared" si="148"/>
        <v>9.0000000000000041E-4</v>
      </c>
      <c r="P2208" s="92"/>
    </row>
    <row r="2209" spans="1:19" x14ac:dyDescent="0.25">
      <c r="A2209" s="29">
        <v>56</v>
      </c>
      <c r="B2209" s="30">
        <v>438168.10856199998</v>
      </c>
      <c r="C2209" s="30">
        <v>5688988.3324180003</v>
      </c>
      <c r="D2209" s="30">
        <v>15</v>
      </c>
      <c r="E2209" s="30" t="s">
        <v>96</v>
      </c>
      <c r="F2209" s="46">
        <v>2018</v>
      </c>
      <c r="G2209" s="47">
        <v>1.1300000000000001E-2</v>
      </c>
      <c r="H2209" s="54">
        <f t="shared" si="145"/>
        <v>3.11395504335567E-3</v>
      </c>
      <c r="I2209" s="47">
        <v>0</v>
      </c>
      <c r="J2209" s="54">
        <f t="shared" si="146"/>
        <v>0</v>
      </c>
      <c r="K2209" s="47">
        <v>2.8999999999999998E-3</v>
      </c>
      <c r="L2209" s="47">
        <f t="shared" si="147"/>
        <v>1.3684550743374266E-3</v>
      </c>
      <c r="M2209" s="47">
        <f t="shared" si="139"/>
        <v>1.7454999690182434E-3</v>
      </c>
      <c r="N2209" s="47">
        <v>0</v>
      </c>
      <c r="O2209" s="47">
        <f t="shared" si="148"/>
        <v>0</v>
      </c>
      <c r="P2209" s="92"/>
    </row>
    <row r="2210" spans="1:19" x14ac:dyDescent="0.25">
      <c r="A2210" s="40">
        <v>57</v>
      </c>
      <c r="B2210" s="41">
        <v>438146</v>
      </c>
      <c r="C2210" s="41">
        <v>5688977</v>
      </c>
      <c r="D2210" s="41">
        <v>15</v>
      </c>
      <c r="E2210" s="41" t="s">
        <v>96</v>
      </c>
      <c r="F2210" s="50">
        <v>2018</v>
      </c>
      <c r="G2210" s="51">
        <v>5.6899999999999999E-2</v>
      </c>
      <c r="H2210" s="51">
        <f t="shared" si="145"/>
        <v>1.5680003713888283E-2</v>
      </c>
      <c r="I2210" s="51">
        <v>0</v>
      </c>
      <c r="J2210" s="51">
        <f t="shared" si="146"/>
        <v>0</v>
      </c>
      <c r="K2210" s="51">
        <v>8.8999999999999999E-3</v>
      </c>
      <c r="L2210" s="51">
        <f t="shared" si="147"/>
        <v>4.1997414350355509E-3</v>
      </c>
      <c r="M2210" s="51">
        <f t="shared" si="139"/>
        <v>1.1480262278852732E-2</v>
      </c>
      <c r="N2210" s="51">
        <v>0</v>
      </c>
      <c r="O2210" s="51">
        <f t="shared" si="148"/>
        <v>0</v>
      </c>
      <c r="P2210" s="101"/>
    </row>
    <row r="2211" spans="1:19" x14ac:dyDescent="0.25">
      <c r="A2211" s="40">
        <v>58</v>
      </c>
      <c r="B2211" s="41">
        <v>438131</v>
      </c>
      <c r="C2211" s="41">
        <v>5688972</v>
      </c>
      <c r="D2211" s="41">
        <v>15</v>
      </c>
      <c r="E2211" s="41" t="s">
        <v>96</v>
      </c>
      <c r="F2211" s="50">
        <v>2018</v>
      </c>
      <c r="G2211" s="51">
        <v>0.11309999999999999</v>
      </c>
      <c r="H2211" s="51">
        <f t="shared" si="145"/>
        <v>3.1167107557834178E-2</v>
      </c>
      <c r="I2211" s="51">
        <v>0</v>
      </c>
      <c r="J2211" s="51">
        <f t="shared" si="146"/>
        <v>0</v>
      </c>
      <c r="K2211" s="51">
        <v>5.0999999999999995E-3</v>
      </c>
      <c r="L2211" s="51">
        <f t="shared" si="147"/>
        <v>2.4065934065934051E-3</v>
      </c>
      <c r="M2211" s="51">
        <f t="shared" si="139"/>
        <v>2.8760514151240771E-2</v>
      </c>
      <c r="N2211" s="51">
        <v>0</v>
      </c>
      <c r="O2211" s="51">
        <f t="shared" si="148"/>
        <v>0</v>
      </c>
      <c r="P2211" s="101"/>
    </row>
    <row r="2212" spans="1:19" x14ac:dyDescent="0.25">
      <c r="A2212" s="40">
        <v>59</v>
      </c>
      <c r="B2212" s="41">
        <v>438089</v>
      </c>
      <c r="C2212" s="41">
        <v>5688713</v>
      </c>
      <c r="D2212" s="41">
        <v>15</v>
      </c>
      <c r="E2212" s="41" t="s">
        <v>96</v>
      </c>
      <c r="F2212" s="50">
        <v>2018</v>
      </c>
      <c r="G2212" s="51">
        <v>0.45669999999999999</v>
      </c>
      <c r="H2212" s="51">
        <f t="shared" si="145"/>
        <v>0.12585338657526851</v>
      </c>
      <c r="I2212" s="51">
        <v>0</v>
      </c>
      <c r="J2212" s="51">
        <f t="shared" si="146"/>
        <v>0</v>
      </c>
      <c r="K2212" s="51">
        <v>6.4999999999999997E-3</v>
      </c>
      <c r="L2212" s="51">
        <f t="shared" si="147"/>
        <v>3.0672268907563009E-3</v>
      </c>
      <c r="M2212" s="51">
        <f t="shared" si="139"/>
        <v>0.12278615968451222</v>
      </c>
      <c r="N2212" s="51">
        <v>0</v>
      </c>
      <c r="O2212" s="51">
        <f t="shared" si="148"/>
        <v>0</v>
      </c>
      <c r="P2212" s="101"/>
    </row>
    <row r="2213" spans="1:19" x14ac:dyDescent="0.25">
      <c r="A2213" s="40">
        <v>60</v>
      </c>
      <c r="B2213" s="41">
        <v>438099</v>
      </c>
      <c r="C2213" s="41">
        <v>5688719</v>
      </c>
      <c r="D2213" s="41">
        <v>15</v>
      </c>
      <c r="E2213" s="41" t="s">
        <v>96</v>
      </c>
      <c r="F2213" s="50">
        <v>2018</v>
      </c>
      <c r="G2213" s="51">
        <v>0.24280000000000002</v>
      </c>
      <c r="H2213" s="51">
        <f t="shared" si="145"/>
        <v>6.6908697745730675E-2</v>
      </c>
      <c r="I2213" s="51">
        <v>7.9000000000000008E-3</v>
      </c>
      <c r="J2213" s="51">
        <f t="shared" si="146"/>
        <v>4.0089552238805962E-3</v>
      </c>
      <c r="K2213" s="51">
        <v>1.8600000000000002E-2</v>
      </c>
      <c r="L2213" s="51">
        <f t="shared" si="147"/>
        <v>8.7769877181641861E-3</v>
      </c>
      <c r="M2213" s="51">
        <f t="shared" si="139"/>
        <v>5.8131710027566487E-2</v>
      </c>
      <c r="N2213" s="51">
        <v>0</v>
      </c>
      <c r="O2213" s="51">
        <f t="shared" si="148"/>
        <v>0</v>
      </c>
      <c r="P2213" s="101"/>
    </row>
    <row r="2214" spans="1:19" x14ac:dyDescent="0.25">
      <c r="A2214" s="42">
        <v>1</v>
      </c>
      <c r="B2214" s="43">
        <v>437930.10856199998</v>
      </c>
      <c r="C2214" s="43">
        <v>5688036.3324180003</v>
      </c>
      <c r="D2214" s="44">
        <v>1</v>
      </c>
      <c r="E2214" s="44" t="s">
        <v>99</v>
      </c>
      <c r="F2214" s="44">
        <v>2018</v>
      </c>
      <c r="G2214" s="44" t="s">
        <v>18</v>
      </c>
      <c r="H2214" s="44" t="s">
        <v>18</v>
      </c>
      <c r="I2214" s="44" t="s">
        <v>18</v>
      </c>
      <c r="J2214" s="44" t="s">
        <v>18</v>
      </c>
      <c r="K2214" s="44" t="s">
        <v>18</v>
      </c>
      <c r="L2214" s="44" t="s">
        <v>18</v>
      </c>
      <c r="M2214" s="44" t="s">
        <v>18</v>
      </c>
      <c r="N2214" s="44" t="s">
        <v>18</v>
      </c>
      <c r="O2214" s="44" t="s">
        <v>18</v>
      </c>
      <c r="P2214" s="102" t="s">
        <v>109</v>
      </c>
      <c r="R2214" s="5">
        <f>AVERAGE(M2214:M2273)</f>
        <v>5.0340668174955108E-3</v>
      </c>
      <c r="S2214" s="5">
        <f>AVERAGE(H2214:H2273)</f>
        <v>9.0211623759593965E-3</v>
      </c>
    </row>
    <row r="2215" spans="1:19" x14ac:dyDescent="0.25">
      <c r="A2215" s="42">
        <v>2</v>
      </c>
      <c r="B2215" s="43">
        <v>437811.10856199998</v>
      </c>
      <c r="C2215" s="43">
        <v>5688155.3324180003</v>
      </c>
      <c r="D2215" s="44">
        <v>1</v>
      </c>
      <c r="E2215" s="44" t="s">
        <v>99</v>
      </c>
      <c r="F2215" s="44">
        <v>2018</v>
      </c>
      <c r="G2215" s="44" t="s">
        <v>18</v>
      </c>
      <c r="H2215" s="44" t="s">
        <v>18</v>
      </c>
      <c r="I2215" s="44" t="s">
        <v>18</v>
      </c>
      <c r="J2215" s="44" t="s">
        <v>18</v>
      </c>
      <c r="K2215" s="44" t="s">
        <v>18</v>
      </c>
      <c r="L2215" s="44" t="s">
        <v>18</v>
      </c>
      <c r="M2215" s="44" t="s">
        <v>18</v>
      </c>
      <c r="N2215" s="44" t="s">
        <v>18</v>
      </c>
      <c r="O2215" s="44" t="s">
        <v>18</v>
      </c>
      <c r="P2215" s="102" t="s">
        <v>109</v>
      </c>
    </row>
    <row r="2216" spans="1:19" x14ac:dyDescent="0.25">
      <c r="A2216" s="29">
        <v>3</v>
      </c>
      <c r="B2216" s="30">
        <v>437930.10856199998</v>
      </c>
      <c r="C2216" s="30">
        <v>5688155.3324180003</v>
      </c>
      <c r="D2216" s="30">
        <v>1</v>
      </c>
      <c r="E2216" s="30" t="s">
        <v>99</v>
      </c>
      <c r="F2216" s="46">
        <v>2018</v>
      </c>
      <c r="G2216" s="47">
        <v>7.0999999999999995E-3</v>
      </c>
      <c r="H2216" s="47">
        <f>G2216*0.363974721846272</f>
        <v>2.5842205251085312E-3</v>
      </c>
      <c r="I2216" s="47">
        <v>0</v>
      </c>
      <c r="J2216" s="47">
        <f>I2216*0.406813627254509</f>
        <v>0</v>
      </c>
      <c r="K2216" s="47">
        <v>1.1999999999999999E-3</v>
      </c>
      <c r="L2216" s="47">
        <f>K2216*0.477511244377811</f>
        <v>5.7301349325337319E-4</v>
      </c>
      <c r="M2216" s="47">
        <f>H2216-L2216</f>
        <v>2.0112070318551579E-3</v>
      </c>
      <c r="N2216" s="47">
        <v>0</v>
      </c>
      <c r="O2216" s="47">
        <f>N2216*0.525423728813559</f>
        <v>0</v>
      </c>
      <c r="P2216" s="92"/>
    </row>
    <row r="2217" spans="1:19" x14ac:dyDescent="0.25">
      <c r="A2217" s="42">
        <v>4</v>
      </c>
      <c r="B2217" s="43">
        <v>438049.10856199998</v>
      </c>
      <c r="C2217" s="43">
        <v>5688155.3324180003</v>
      </c>
      <c r="D2217" s="44">
        <v>1</v>
      </c>
      <c r="E2217" s="44" t="s">
        <v>99</v>
      </c>
      <c r="F2217" s="44">
        <v>2018</v>
      </c>
      <c r="G2217" s="44" t="s">
        <v>18</v>
      </c>
      <c r="H2217" s="44" t="s">
        <v>18</v>
      </c>
      <c r="I2217" s="44" t="s">
        <v>18</v>
      </c>
      <c r="J2217" s="44" t="s">
        <v>18</v>
      </c>
      <c r="K2217" s="44" t="s">
        <v>18</v>
      </c>
      <c r="L2217" s="44" t="s">
        <v>18</v>
      </c>
      <c r="M2217" s="44" t="s">
        <v>18</v>
      </c>
      <c r="N2217" s="44" t="s">
        <v>18</v>
      </c>
      <c r="O2217" s="44" t="s">
        <v>18</v>
      </c>
      <c r="P2217" s="102" t="s">
        <v>109</v>
      </c>
    </row>
    <row r="2218" spans="1:19" x14ac:dyDescent="0.25">
      <c r="A2218" s="42">
        <v>5</v>
      </c>
      <c r="B2218" s="43">
        <v>437573.10856199998</v>
      </c>
      <c r="C2218" s="43">
        <v>5688274.3324180003</v>
      </c>
      <c r="D2218" s="44">
        <v>1</v>
      </c>
      <c r="E2218" s="44" t="s">
        <v>99</v>
      </c>
      <c r="F2218" s="44">
        <v>2018</v>
      </c>
      <c r="G2218" s="44" t="s">
        <v>18</v>
      </c>
      <c r="H2218" s="44" t="s">
        <v>18</v>
      </c>
      <c r="I2218" s="44" t="s">
        <v>18</v>
      </c>
      <c r="J2218" s="44" t="s">
        <v>18</v>
      </c>
      <c r="K2218" s="44" t="s">
        <v>18</v>
      </c>
      <c r="L2218" s="44" t="s">
        <v>18</v>
      </c>
      <c r="M2218" s="44" t="s">
        <v>18</v>
      </c>
      <c r="N2218" s="44" t="s">
        <v>18</v>
      </c>
      <c r="O2218" s="44" t="s">
        <v>18</v>
      </c>
      <c r="P2218" s="102" t="s">
        <v>109</v>
      </c>
    </row>
    <row r="2219" spans="1:19" x14ac:dyDescent="0.25">
      <c r="A2219" s="29">
        <v>6</v>
      </c>
      <c r="B2219" s="30">
        <v>437692.10856199998</v>
      </c>
      <c r="C2219" s="30">
        <v>5688274.3324180003</v>
      </c>
      <c r="D2219" s="30">
        <v>1</v>
      </c>
      <c r="E2219" s="30" t="s">
        <v>99</v>
      </c>
      <c r="F2219" s="46">
        <v>2018</v>
      </c>
      <c r="G2219" s="47">
        <v>8.0000000000000002E-3</v>
      </c>
      <c r="H2219" s="47">
        <f t="shared" ref="H2219:H2266" si="153">G2219*0.363974721846272</f>
        <v>2.9117977747701762E-3</v>
      </c>
      <c r="I2219" s="47">
        <v>9.1000000000000004E-3</v>
      </c>
      <c r="J2219" s="47">
        <f t="shared" ref="J2219:J2266" si="154">I2219*0.406813627254509</f>
        <v>3.7020040080160319E-3</v>
      </c>
      <c r="K2219" s="54">
        <v>2.8E-3</v>
      </c>
      <c r="L2219" s="47">
        <f t="shared" ref="L2219:L2266" si="155">K2219*0.477511244377811</f>
        <v>1.3370314842578708E-3</v>
      </c>
      <c r="M2219" s="47">
        <f t="shared" ref="M2219:M2273" si="156">H2219-L2219</f>
        <v>1.5747662905123054E-3</v>
      </c>
      <c r="N2219" s="47">
        <v>0</v>
      </c>
      <c r="O2219" s="47">
        <f t="shared" ref="O2219:O2266" si="157">N2219*0.525423728813559</f>
        <v>0</v>
      </c>
      <c r="P2219" s="92"/>
    </row>
    <row r="2220" spans="1:19" x14ac:dyDescent="0.25">
      <c r="A2220" s="29">
        <v>7</v>
      </c>
      <c r="B2220" s="30">
        <v>437811.10856199998</v>
      </c>
      <c r="C2220" s="30">
        <v>5688274.3324180003</v>
      </c>
      <c r="D2220" s="30">
        <v>1</v>
      </c>
      <c r="E2220" s="30" t="s">
        <v>99</v>
      </c>
      <c r="F2220" s="46">
        <v>2018</v>
      </c>
      <c r="G2220" s="46">
        <v>1.6999999999999999E-3</v>
      </c>
      <c r="H2220" s="47">
        <f t="shared" si="153"/>
        <v>6.1875702713866236E-4</v>
      </c>
      <c r="I2220" s="47">
        <v>1.1999999999999999E-3</v>
      </c>
      <c r="J2220" s="47">
        <f t="shared" si="154"/>
        <v>4.8817635270541072E-4</v>
      </c>
      <c r="K2220" s="47">
        <v>1E-3</v>
      </c>
      <c r="L2220" s="47">
        <f t="shared" si="155"/>
        <v>4.7751124437781103E-4</v>
      </c>
      <c r="M2220" s="47">
        <f t="shared" si="156"/>
        <v>1.4124578276085133E-4</v>
      </c>
      <c r="N2220" s="47">
        <v>0</v>
      </c>
      <c r="O2220" s="47">
        <f t="shared" si="157"/>
        <v>0</v>
      </c>
      <c r="P2220" s="92"/>
    </row>
    <row r="2221" spans="1:19" x14ac:dyDescent="0.25">
      <c r="A2221" s="42">
        <v>8</v>
      </c>
      <c r="B2221" s="43">
        <v>437930.10856199998</v>
      </c>
      <c r="C2221" s="43">
        <v>5688274.3324180003</v>
      </c>
      <c r="D2221" s="44">
        <v>1</v>
      </c>
      <c r="E2221" s="44" t="s">
        <v>99</v>
      </c>
      <c r="F2221" s="44">
        <v>2018</v>
      </c>
      <c r="G2221" s="44" t="s">
        <v>18</v>
      </c>
      <c r="H2221" s="44" t="s">
        <v>18</v>
      </c>
      <c r="I2221" s="44" t="s">
        <v>18</v>
      </c>
      <c r="J2221" s="44" t="s">
        <v>18</v>
      </c>
      <c r="K2221" s="44" t="s">
        <v>18</v>
      </c>
      <c r="L2221" s="44" t="s">
        <v>18</v>
      </c>
      <c r="M2221" s="44" t="s">
        <v>18</v>
      </c>
      <c r="N2221" s="44" t="s">
        <v>18</v>
      </c>
      <c r="O2221" s="44" t="s">
        <v>18</v>
      </c>
      <c r="P2221" s="102" t="s">
        <v>109</v>
      </c>
    </row>
    <row r="2222" spans="1:19" x14ac:dyDescent="0.25">
      <c r="A2222" s="29">
        <v>9</v>
      </c>
      <c r="B2222" s="30">
        <v>438287.10856199998</v>
      </c>
      <c r="C2222" s="30">
        <v>5688274.3324180003</v>
      </c>
      <c r="D2222" s="30">
        <v>1</v>
      </c>
      <c r="E2222" s="30" t="s">
        <v>99</v>
      </c>
      <c r="F2222" s="46">
        <v>2018</v>
      </c>
      <c r="G2222" s="47">
        <v>1.3099999999999999E-2</v>
      </c>
      <c r="H2222" s="47">
        <f t="shared" si="153"/>
        <v>4.7680688561861631E-3</v>
      </c>
      <c r="I2222" s="47">
        <v>0</v>
      </c>
      <c r="J2222" s="47">
        <f t="shared" si="154"/>
        <v>0</v>
      </c>
      <c r="K2222" s="47">
        <v>1.12E-2</v>
      </c>
      <c r="L2222" s="47">
        <f t="shared" si="155"/>
        <v>5.3481259370314832E-3</v>
      </c>
      <c r="M2222" s="47">
        <f t="shared" si="156"/>
        <v>-5.8005708084532016E-4</v>
      </c>
      <c r="N2222" s="47">
        <v>0</v>
      </c>
      <c r="O2222" s="47">
        <f t="shared" si="157"/>
        <v>0</v>
      </c>
      <c r="P2222" s="92"/>
    </row>
    <row r="2223" spans="1:19" x14ac:dyDescent="0.25">
      <c r="A2223" s="29">
        <v>10</v>
      </c>
      <c r="B2223" s="30">
        <v>438406.10856199998</v>
      </c>
      <c r="C2223" s="30">
        <v>5688274.3324180003</v>
      </c>
      <c r="D2223" s="30">
        <v>1</v>
      </c>
      <c r="E2223" s="30" t="s">
        <v>99</v>
      </c>
      <c r="F2223" s="46">
        <v>2018</v>
      </c>
      <c r="G2223" s="47">
        <v>2.3300000000000001E-2</v>
      </c>
      <c r="H2223" s="47">
        <f t="shared" si="153"/>
        <v>8.4806110190181385E-3</v>
      </c>
      <c r="I2223" s="47">
        <v>5.0000000000000001E-3</v>
      </c>
      <c r="J2223" s="47">
        <f t="shared" si="154"/>
        <v>2.0340681362725449E-3</v>
      </c>
      <c r="K2223" s="47">
        <v>5.7999999999999996E-3</v>
      </c>
      <c r="L2223" s="47">
        <f t="shared" si="155"/>
        <v>2.7695652173913036E-3</v>
      </c>
      <c r="M2223" s="47">
        <f t="shared" si="156"/>
        <v>5.7110458016268349E-3</v>
      </c>
      <c r="N2223" s="47">
        <v>2.8E-3</v>
      </c>
      <c r="O2223" s="47">
        <f t="shared" si="157"/>
        <v>1.4711864406779652E-3</v>
      </c>
      <c r="P2223" s="92"/>
    </row>
    <row r="2224" spans="1:19" x14ac:dyDescent="0.25">
      <c r="A2224" s="42">
        <v>11</v>
      </c>
      <c r="B2224" s="43">
        <v>437454.10856199998</v>
      </c>
      <c r="C2224" s="43">
        <v>5688393.3324180003</v>
      </c>
      <c r="D2224" s="44">
        <v>1</v>
      </c>
      <c r="E2224" s="44" t="s">
        <v>99</v>
      </c>
      <c r="F2224" s="44">
        <v>2018</v>
      </c>
      <c r="G2224" s="44" t="s">
        <v>18</v>
      </c>
      <c r="H2224" s="44" t="s">
        <v>18</v>
      </c>
      <c r="I2224" s="44" t="s">
        <v>18</v>
      </c>
      <c r="J2224" s="44" t="s">
        <v>18</v>
      </c>
      <c r="K2224" s="44" t="s">
        <v>18</v>
      </c>
      <c r="L2224" s="44" t="s">
        <v>18</v>
      </c>
      <c r="M2224" s="44" t="s">
        <v>18</v>
      </c>
      <c r="N2224" s="44" t="s">
        <v>18</v>
      </c>
      <c r="O2224" s="44" t="s">
        <v>18</v>
      </c>
      <c r="P2224" s="102" t="s">
        <v>109</v>
      </c>
    </row>
    <row r="2225" spans="1:16" x14ac:dyDescent="0.25">
      <c r="A2225" s="29">
        <v>12</v>
      </c>
      <c r="B2225" s="30">
        <v>437573.10856199998</v>
      </c>
      <c r="C2225" s="30">
        <v>5688393.3324180003</v>
      </c>
      <c r="D2225" s="30">
        <v>1</v>
      </c>
      <c r="E2225" s="30" t="s">
        <v>99</v>
      </c>
      <c r="F2225" s="46">
        <v>2018</v>
      </c>
      <c r="G2225" s="47">
        <v>5.5999999999999999E-3</v>
      </c>
      <c r="H2225" s="47">
        <f t="shared" si="153"/>
        <v>2.0382584423391231E-3</v>
      </c>
      <c r="I2225" s="47">
        <v>0</v>
      </c>
      <c r="J2225" s="47">
        <f t="shared" si="154"/>
        <v>0</v>
      </c>
      <c r="K2225" s="47">
        <v>2.98E-2</v>
      </c>
      <c r="L2225" s="47">
        <f t="shared" si="155"/>
        <v>1.4229835082458769E-2</v>
      </c>
      <c r="M2225" s="47">
        <f t="shared" si="156"/>
        <v>-1.2191576640119646E-2</v>
      </c>
      <c r="N2225" s="47">
        <v>2.3300000000000001E-2</v>
      </c>
      <c r="O2225" s="47">
        <f t="shared" si="157"/>
        <v>1.2242372881355925E-2</v>
      </c>
      <c r="P2225" s="92"/>
    </row>
    <row r="2226" spans="1:16" x14ac:dyDescent="0.25">
      <c r="A2226" s="29">
        <v>13</v>
      </c>
      <c r="B2226" s="30">
        <v>437692.10856199998</v>
      </c>
      <c r="C2226" s="30">
        <v>5688393.3324180003</v>
      </c>
      <c r="D2226" s="30">
        <v>1</v>
      </c>
      <c r="E2226" s="30" t="s">
        <v>99</v>
      </c>
      <c r="F2226" s="46">
        <v>2018</v>
      </c>
      <c r="G2226" s="47">
        <v>1.2500000000000001E-2</v>
      </c>
      <c r="H2226" s="47">
        <f t="shared" si="153"/>
        <v>4.5496840230784003E-3</v>
      </c>
      <c r="I2226" s="47">
        <v>6.3799999999999996E-2</v>
      </c>
      <c r="J2226" s="47">
        <f t="shared" si="154"/>
        <v>2.5954709418837672E-2</v>
      </c>
      <c r="K2226" s="47">
        <v>7.4000000000000003E-3</v>
      </c>
      <c r="L2226" s="47">
        <f t="shared" si="155"/>
        <v>3.5335832083958018E-3</v>
      </c>
      <c r="M2226" s="47">
        <f t="shared" si="156"/>
        <v>1.0161008146825985E-3</v>
      </c>
      <c r="N2226" s="47">
        <v>8.0000000000000004E-4</v>
      </c>
      <c r="O2226" s="47">
        <f t="shared" si="157"/>
        <v>4.2033898305084724E-4</v>
      </c>
      <c r="P2226" s="92"/>
    </row>
    <row r="2227" spans="1:16" x14ac:dyDescent="0.25">
      <c r="A2227" s="32">
        <v>14</v>
      </c>
      <c r="B2227" s="33">
        <v>437811.10856199998</v>
      </c>
      <c r="C2227" s="33">
        <v>5688393.3324180003</v>
      </c>
      <c r="D2227" s="48">
        <v>1</v>
      </c>
      <c r="E2227" s="48" t="s">
        <v>99</v>
      </c>
      <c r="F2227" s="48">
        <v>2018</v>
      </c>
      <c r="G2227" s="48" t="s">
        <v>18</v>
      </c>
      <c r="H2227" s="48" t="s">
        <v>18</v>
      </c>
      <c r="I2227" s="48" t="s">
        <v>18</v>
      </c>
      <c r="J2227" s="48" t="s">
        <v>18</v>
      </c>
      <c r="K2227" s="48" t="s">
        <v>18</v>
      </c>
      <c r="L2227" s="48" t="s">
        <v>18</v>
      </c>
      <c r="M2227" s="48" t="s">
        <v>18</v>
      </c>
      <c r="N2227" s="48" t="s">
        <v>18</v>
      </c>
      <c r="O2227" s="48" t="s">
        <v>18</v>
      </c>
      <c r="P2227" s="103" t="s">
        <v>89</v>
      </c>
    </row>
    <row r="2228" spans="1:16" x14ac:dyDescent="0.25">
      <c r="A2228" s="29">
        <v>15</v>
      </c>
      <c r="B2228" s="30">
        <v>437930.10856199998</v>
      </c>
      <c r="C2228" s="30">
        <v>5688393.3324180003</v>
      </c>
      <c r="D2228" s="30">
        <v>1</v>
      </c>
      <c r="E2228" s="30" t="s">
        <v>99</v>
      </c>
      <c r="F2228" s="46">
        <v>2018</v>
      </c>
      <c r="G2228" s="47">
        <v>1.1300000000000001E-2</v>
      </c>
      <c r="H2228" s="47">
        <f t="shared" si="153"/>
        <v>4.112914356862874E-3</v>
      </c>
      <c r="I2228" s="47">
        <v>7.1999999999999995E-2</v>
      </c>
      <c r="J2228" s="47">
        <f t="shared" si="154"/>
        <v>2.9290581162324643E-2</v>
      </c>
      <c r="K2228" s="47">
        <v>3.3E-3</v>
      </c>
      <c r="L2228" s="47">
        <f t="shared" si="155"/>
        <v>1.5757871064467762E-3</v>
      </c>
      <c r="M2228" s="47">
        <f t="shared" si="156"/>
        <v>2.5371272504160977E-3</v>
      </c>
      <c r="N2228" s="47">
        <v>2.5999999999999999E-3</v>
      </c>
      <c r="O2228" s="47">
        <f t="shared" si="157"/>
        <v>1.3661016949152534E-3</v>
      </c>
      <c r="P2228" s="92"/>
    </row>
    <row r="2229" spans="1:16" x14ac:dyDescent="0.25">
      <c r="A2229" s="29">
        <v>16</v>
      </c>
      <c r="B2229" s="30">
        <v>438049.10856199998</v>
      </c>
      <c r="C2229" s="30">
        <v>5688393.3324180003</v>
      </c>
      <c r="D2229" s="30">
        <v>1</v>
      </c>
      <c r="E2229" s="30" t="s">
        <v>99</v>
      </c>
      <c r="F2229" s="46">
        <v>2018</v>
      </c>
      <c r="G2229" s="46" t="s">
        <v>18</v>
      </c>
      <c r="H2229" s="46" t="s">
        <v>18</v>
      </c>
      <c r="I2229" s="46" t="s">
        <v>18</v>
      </c>
      <c r="J2229" s="46" t="s">
        <v>18</v>
      </c>
      <c r="K2229" s="47">
        <v>9.9000000000000008E-3</v>
      </c>
      <c r="L2229" s="47">
        <f t="shared" si="155"/>
        <v>4.7273613193403296E-3</v>
      </c>
      <c r="M2229" s="46" t="s">
        <v>18</v>
      </c>
      <c r="N2229" s="47">
        <v>4.7999999999999996E-3</v>
      </c>
      <c r="O2229" s="47">
        <f t="shared" si="157"/>
        <v>2.522033898305083E-3</v>
      </c>
      <c r="P2229" s="92" t="s">
        <v>93</v>
      </c>
    </row>
    <row r="2230" spans="1:16" x14ac:dyDescent="0.25">
      <c r="A2230" s="29">
        <v>17</v>
      </c>
      <c r="B2230" s="30">
        <v>438168.10856199998</v>
      </c>
      <c r="C2230" s="30">
        <v>5688393.3324180003</v>
      </c>
      <c r="D2230" s="30">
        <v>1</v>
      </c>
      <c r="E2230" s="30" t="s">
        <v>99</v>
      </c>
      <c r="F2230" s="46">
        <v>2018</v>
      </c>
      <c r="G2230" s="47">
        <v>7.4000000000000003E-3</v>
      </c>
      <c r="H2230" s="47">
        <f t="shared" si="153"/>
        <v>2.693412941662413E-3</v>
      </c>
      <c r="I2230" s="47">
        <v>0</v>
      </c>
      <c r="J2230" s="47">
        <f t="shared" si="154"/>
        <v>0</v>
      </c>
      <c r="K2230" s="47">
        <v>1.54E-2</v>
      </c>
      <c r="L2230" s="47">
        <f t="shared" si="155"/>
        <v>7.35367316341829E-3</v>
      </c>
      <c r="M2230" s="47">
        <f t="shared" si="156"/>
        <v>-4.660260221755877E-3</v>
      </c>
      <c r="N2230" s="47">
        <v>0</v>
      </c>
      <c r="O2230" s="47">
        <f t="shared" si="157"/>
        <v>0</v>
      </c>
      <c r="P2230" s="92"/>
    </row>
    <row r="2231" spans="1:16" x14ac:dyDescent="0.25">
      <c r="A2231" s="29">
        <v>18</v>
      </c>
      <c r="B2231" s="30">
        <v>438287.10856199998</v>
      </c>
      <c r="C2231" s="30">
        <v>5688393.3324180003</v>
      </c>
      <c r="D2231" s="30">
        <v>1</v>
      </c>
      <c r="E2231" s="30" t="s">
        <v>99</v>
      </c>
      <c r="F2231" s="46">
        <v>2018</v>
      </c>
      <c r="G2231" s="47">
        <v>2.2100000000000002E-2</v>
      </c>
      <c r="H2231" s="47">
        <f t="shared" si="153"/>
        <v>8.0438413528026113E-3</v>
      </c>
      <c r="I2231" s="47">
        <v>0</v>
      </c>
      <c r="J2231" s="47">
        <f t="shared" si="154"/>
        <v>0</v>
      </c>
      <c r="K2231" s="47">
        <v>1.84E-2</v>
      </c>
      <c r="L2231" s="47">
        <f t="shared" si="155"/>
        <v>8.786206896551723E-3</v>
      </c>
      <c r="M2231" s="47">
        <f t="shared" si="156"/>
        <v>-7.4236554374911175E-4</v>
      </c>
      <c r="N2231" s="47">
        <v>0</v>
      </c>
      <c r="O2231" s="47">
        <f t="shared" si="157"/>
        <v>0</v>
      </c>
      <c r="P2231" s="92"/>
    </row>
    <row r="2232" spans="1:16" x14ac:dyDescent="0.25">
      <c r="A2232" s="29">
        <v>19</v>
      </c>
      <c r="B2232" s="30">
        <v>438406.10856199998</v>
      </c>
      <c r="C2232" s="30">
        <v>5688393.3324180003</v>
      </c>
      <c r="D2232" s="30">
        <v>1</v>
      </c>
      <c r="E2232" s="30" t="s">
        <v>99</v>
      </c>
      <c r="F2232" s="46">
        <v>2018</v>
      </c>
      <c r="G2232" s="47">
        <v>3.7499999999999999E-2</v>
      </c>
      <c r="H2232" s="47">
        <f t="shared" si="153"/>
        <v>1.3649052069235199E-2</v>
      </c>
      <c r="I2232" s="47">
        <v>0</v>
      </c>
      <c r="J2232" s="47">
        <f t="shared" si="154"/>
        <v>0</v>
      </c>
      <c r="K2232" s="47">
        <v>5.7000000000000002E-3</v>
      </c>
      <c r="L2232" s="47">
        <f t="shared" si="155"/>
        <v>2.7218140929535228E-3</v>
      </c>
      <c r="M2232" s="47">
        <f t="shared" si="156"/>
        <v>1.0927237976281676E-2</v>
      </c>
      <c r="N2232" s="47">
        <v>0</v>
      </c>
      <c r="O2232" s="47">
        <f t="shared" si="157"/>
        <v>0</v>
      </c>
      <c r="P2232" s="92"/>
    </row>
    <row r="2233" spans="1:16" x14ac:dyDescent="0.25">
      <c r="A2233" s="42">
        <v>20</v>
      </c>
      <c r="B2233" s="43">
        <v>437335.10856199998</v>
      </c>
      <c r="C2233" s="43">
        <v>5688512.3324180003</v>
      </c>
      <c r="D2233" s="44">
        <v>1</v>
      </c>
      <c r="E2233" s="44" t="s">
        <v>99</v>
      </c>
      <c r="F2233" s="44">
        <v>2018</v>
      </c>
      <c r="G2233" s="44" t="s">
        <v>18</v>
      </c>
      <c r="H2233" s="44" t="s">
        <v>18</v>
      </c>
      <c r="I2233" s="44" t="s">
        <v>18</v>
      </c>
      <c r="J2233" s="44" t="s">
        <v>18</v>
      </c>
      <c r="K2233" s="44" t="s">
        <v>18</v>
      </c>
      <c r="L2233" s="44" t="s">
        <v>18</v>
      </c>
      <c r="M2233" s="44" t="s">
        <v>18</v>
      </c>
      <c r="N2233" s="44" t="s">
        <v>18</v>
      </c>
      <c r="O2233" s="44" t="s">
        <v>18</v>
      </c>
      <c r="P2233" s="102" t="s">
        <v>109</v>
      </c>
    </row>
    <row r="2234" spans="1:16" x14ac:dyDescent="0.25">
      <c r="A2234" s="29">
        <v>21</v>
      </c>
      <c r="B2234" s="30">
        <v>437454.10856199998</v>
      </c>
      <c r="C2234" s="30">
        <v>5688512.3324180003</v>
      </c>
      <c r="D2234" s="30">
        <v>1</v>
      </c>
      <c r="E2234" s="30" t="s">
        <v>99</v>
      </c>
      <c r="F2234" s="46">
        <v>2018</v>
      </c>
      <c r="G2234" s="47">
        <v>1.32E-2</v>
      </c>
      <c r="H2234" s="47">
        <f t="shared" si="153"/>
        <v>4.8044663283707901E-3</v>
      </c>
      <c r="I2234" s="47">
        <v>0</v>
      </c>
      <c r="J2234" s="47">
        <f t="shared" si="154"/>
        <v>0</v>
      </c>
      <c r="K2234" s="47">
        <v>1.5300000000000001E-2</v>
      </c>
      <c r="L2234" s="47">
        <f t="shared" si="155"/>
        <v>7.3059220389805092E-3</v>
      </c>
      <c r="M2234" s="47">
        <f t="shared" si="156"/>
        <v>-2.5014557106097192E-3</v>
      </c>
      <c r="N2234" s="47">
        <v>0</v>
      </c>
      <c r="O2234" s="47">
        <f t="shared" si="157"/>
        <v>0</v>
      </c>
      <c r="P2234" s="92"/>
    </row>
    <row r="2235" spans="1:16" x14ac:dyDescent="0.25">
      <c r="A2235" s="29">
        <v>22</v>
      </c>
      <c r="B2235" s="30">
        <v>437573.10856199998</v>
      </c>
      <c r="C2235" s="30">
        <v>5688512.3324180003</v>
      </c>
      <c r="D2235" s="30">
        <v>1</v>
      </c>
      <c r="E2235" s="30" t="s">
        <v>99</v>
      </c>
      <c r="F2235" s="46">
        <v>2018</v>
      </c>
      <c r="G2235" s="47">
        <v>2.4300000000000002E-2</v>
      </c>
      <c r="H2235" s="47">
        <f t="shared" si="153"/>
        <v>8.84458574086441E-3</v>
      </c>
      <c r="I2235" s="47">
        <v>1.7500000000000002E-2</v>
      </c>
      <c r="J2235" s="47">
        <f t="shared" si="154"/>
        <v>7.1192384769539077E-3</v>
      </c>
      <c r="K2235" s="47">
        <v>1.1999999999999999E-3</v>
      </c>
      <c r="L2235" s="47">
        <f t="shared" si="155"/>
        <v>5.7301349325337319E-4</v>
      </c>
      <c r="M2235" s="47">
        <f t="shared" si="156"/>
        <v>8.2715722476110372E-3</v>
      </c>
      <c r="N2235" s="47">
        <v>8.3099999999999993E-2</v>
      </c>
      <c r="O2235" s="47">
        <f t="shared" si="157"/>
        <v>4.3662711864406754E-2</v>
      </c>
      <c r="P2235" s="92"/>
    </row>
    <row r="2236" spans="1:16" x14ac:dyDescent="0.25">
      <c r="A2236" s="29">
        <v>23</v>
      </c>
      <c r="B2236" s="30">
        <v>437692.10856199998</v>
      </c>
      <c r="C2236" s="30">
        <v>5688512.3324180003</v>
      </c>
      <c r="D2236" s="30">
        <v>1</v>
      </c>
      <c r="E2236" s="30" t="s">
        <v>99</v>
      </c>
      <c r="F2236" s="46">
        <v>2018</v>
      </c>
      <c r="G2236" s="46">
        <v>3.0000000000000001E-3</v>
      </c>
      <c r="H2236" s="47">
        <f t="shared" si="153"/>
        <v>1.0919241655388159E-3</v>
      </c>
      <c r="I2236" s="47">
        <v>0</v>
      </c>
      <c r="J2236" s="47">
        <f t="shared" si="154"/>
        <v>0</v>
      </c>
      <c r="K2236" s="47">
        <v>7.1999999999999998E-3</v>
      </c>
      <c r="L2236" s="47">
        <f t="shared" si="155"/>
        <v>3.4380809595202393E-3</v>
      </c>
      <c r="M2236" s="47">
        <f>H2236-L2236</f>
        <v>-2.3461567939814234E-3</v>
      </c>
      <c r="N2236" s="47">
        <v>0</v>
      </c>
      <c r="O2236" s="47">
        <f t="shared" si="157"/>
        <v>0</v>
      </c>
      <c r="P2236" s="92"/>
    </row>
    <row r="2237" spans="1:16" x14ac:dyDescent="0.25">
      <c r="A2237" s="29">
        <v>24</v>
      </c>
      <c r="B2237" s="30">
        <v>437811.10856199998</v>
      </c>
      <c r="C2237" s="30">
        <v>5688512.3324180003</v>
      </c>
      <c r="D2237" s="30">
        <v>1</v>
      </c>
      <c r="E2237" s="30" t="s">
        <v>99</v>
      </c>
      <c r="F2237" s="46">
        <v>2018</v>
      </c>
      <c r="G2237" s="47">
        <v>3.3399999999999999E-2</v>
      </c>
      <c r="H2237" s="47">
        <f t="shared" si="153"/>
        <v>1.2156755709665484E-2</v>
      </c>
      <c r="I2237" s="47">
        <v>0</v>
      </c>
      <c r="J2237" s="47">
        <f t="shared" si="154"/>
        <v>0</v>
      </c>
      <c r="K2237" s="47">
        <v>4.5999999999999999E-3</v>
      </c>
      <c r="L2237" s="47">
        <f t="shared" si="155"/>
        <v>2.1965517241379308E-3</v>
      </c>
      <c r="M2237" s="47">
        <f t="shared" si="156"/>
        <v>9.9602039855275527E-3</v>
      </c>
      <c r="N2237" s="47">
        <v>1.0800000000000001E-2</v>
      </c>
      <c r="O2237" s="47">
        <f t="shared" si="157"/>
        <v>5.6745762711864376E-3</v>
      </c>
      <c r="P2237" s="92"/>
    </row>
    <row r="2238" spans="1:16" x14ac:dyDescent="0.25">
      <c r="A2238" s="29">
        <v>25</v>
      </c>
      <c r="B2238" s="46">
        <v>437995</v>
      </c>
      <c r="C2238" s="46">
        <v>5688493</v>
      </c>
      <c r="D2238" s="30">
        <v>1</v>
      </c>
      <c r="E2238" s="30" t="s">
        <v>99</v>
      </c>
      <c r="F2238" s="46">
        <v>2018</v>
      </c>
      <c r="G2238" s="47">
        <v>6.2399999999999997E-2</v>
      </c>
      <c r="H2238" s="47">
        <f t="shared" si="153"/>
        <v>2.2712022643207371E-2</v>
      </c>
      <c r="I2238" s="47">
        <v>0</v>
      </c>
      <c r="J2238" s="47">
        <f t="shared" si="154"/>
        <v>0</v>
      </c>
      <c r="K2238" s="47">
        <v>5.7999999999999996E-3</v>
      </c>
      <c r="L2238" s="47">
        <f t="shared" si="155"/>
        <v>2.7695652173913036E-3</v>
      </c>
      <c r="M2238" s="47">
        <f t="shared" si="156"/>
        <v>1.9942457425816067E-2</v>
      </c>
      <c r="N2238" s="47">
        <v>0</v>
      </c>
      <c r="O2238" s="47">
        <f t="shared" si="157"/>
        <v>0</v>
      </c>
      <c r="P2238" s="92"/>
    </row>
    <row r="2239" spans="1:16" x14ac:dyDescent="0.25">
      <c r="A2239" s="29">
        <v>26</v>
      </c>
      <c r="B2239" s="46">
        <v>438112</v>
      </c>
      <c r="C2239" s="46">
        <v>5688567</v>
      </c>
      <c r="D2239" s="30">
        <v>1</v>
      </c>
      <c r="E2239" s="30" t="s">
        <v>99</v>
      </c>
      <c r="F2239" s="46">
        <v>2018</v>
      </c>
      <c r="G2239" s="47">
        <v>9.9099999999999994E-2</v>
      </c>
      <c r="H2239" s="47">
        <f t="shared" si="153"/>
        <v>3.6069894934965555E-2</v>
      </c>
      <c r="I2239" s="47">
        <v>0</v>
      </c>
      <c r="J2239" s="47">
        <f t="shared" si="154"/>
        <v>0</v>
      </c>
      <c r="K2239" s="47">
        <v>3.6999999999999998E-2</v>
      </c>
      <c r="L2239" s="47">
        <f t="shared" si="155"/>
        <v>1.7667916041979006E-2</v>
      </c>
      <c r="M2239" s="47">
        <f t="shared" si="156"/>
        <v>1.8401978892986549E-2</v>
      </c>
      <c r="N2239" s="47">
        <v>0</v>
      </c>
      <c r="O2239" s="47">
        <f t="shared" si="157"/>
        <v>0</v>
      </c>
      <c r="P2239" s="92"/>
    </row>
    <row r="2240" spans="1:16" x14ac:dyDescent="0.25">
      <c r="A2240" s="32">
        <v>27</v>
      </c>
      <c r="B2240" s="33">
        <v>438168.10856199998</v>
      </c>
      <c r="C2240" s="33">
        <v>5688512.3324180003</v>
      </c>
      <c r="D2240" s="48">
        <v>1</v>
      </c>
      <c r="E2240" s="48" t="s">
        <v>99</v>
      </c>
      <c r="F2240" s="48">
        <v>2018</v>
      </c>
      <c r="G2240" s="48" t="s">
        <v>18</v>
      </c>
      <c r="H2240" s="48" t="s">
        <v>18</v>
      </c>
      <c r="I2240" s="48" t="s">
        <v>18</v>
      </c>
      <c r="J2240" s="48" t="s">
        <v>18</v>
      </c>
      <c r="K2240" s="48" t="s">
        <v>18</v>
      </c>
      <c r="L2240" s="48" t="s">
        <v>18</v>
      </c>
      <c r="M2240" s="48" t="s">
        <v>18</v>
      </c>
      <c r="N2240" s="48" t="s">
        <v>18</v>
      </c>
      <c r="O2240" s="48" t="s">
        <v>18</v>
      </c>
      <c r="P2240" s="103" t="s">
        <v>89</v>
      </c>
    </row>
    <row r="2241" spans="1:16" x14ac:dyDescent="0.25">
      <c r="A2241" s="32">
        <v>28</v>
      </c>
      <c r="B2241" s="33">
        <v>438287.10856199998</v>
      </c>
      <c r="C2241" s="33">
        <v>5688512.3324180003</v>
      </c>
      <c r="D2241" s="48">
        <v>1</v>
      </c>
      <c r="E2241" s="48" t="s">
        <v>99</v>
      </c>
      <c r="F2241" s="48">
        <v>2018</v>
      </c>
      <c r="G2241" s="48" t="s">
        <v>18</v>
      </c>
      <c r="H2241" s="48" t="s">
        <v>18</v>
      </c>
      <c r="I2241" s="48" t="s">
        <v>18</v>
      </c>
      <c r="J2241" s="48" t="s">
        <v>18</v>
      </c>
      <c r="K2241" s="48" t="s">
        <v>18</v>
      </c>
      <c r="L2241" s="48" t="s">
        <v>18</v>
      </c>
      <c r="M2241" s="48" t="s">
        <v>18</v>
      </c>
      <c r="N2241" s="48" t="s">
        <v>18</v>
      </c>
      <c r="O2241" s="48" t="s">
        <v>18</v>
      </c>
      <c r="P2241" s="103" t="s">
        <v>89</v>
      </c>
    </row>
    <row r="2242" spans="1:16" x14ac:dyDescent="0.25">
      <c r="A2242" s="29">
        <v>29</v>
      </c>
      <c r="B2242" s="30">
        <v>438381</v>
      </c>
      <c r="C2242" s="30">
        <v>5688526</v>
      </c>
      <c r="D2242" s="30">
        <v>1</v>
      </c>
      <c r="E2242" s="30" t="s">
        <v>99</v>
      </c>
      <c r="F2242" s="46">
        <v>2018</v>
      </c>
      <c r="G2242" s="47">
        <v>3.2100000000000004E-2</v>
      </c>
      <c r="H2242" s="47">
        <f t="shared" si="153"/>
        <v>1.1683588571265332E-2</v>
      </c>
      <c r="I2242" s="47">
        <v>0</v>
      </c>
      <c r="J2242" s="47">
        <f t="shared" si="154"/>
        <v>0</v>
      </c>
      <c r="K2242" s="47">
        <v>6.0000000000000001E-3</v>
      </c>
      <c r="L2242" s="47">
        <f t="shared" si="155"/>
        <v>2.8650674662668661E-3</v>
      </c>
      <c r="M2242" s="47">
        <f t="shared" si="156"/>
        <v>8.8185211049984658E-3</v>
      </c>
      <c r="N2242" s="47">
        <v>0</v>
      </c>
      <c r="O2242" s="47">
        <f t="shared" si="157"/>
        <v>0</v>
      </c>
      <c r="P2242" s="92"/>
    </row>
    <row r="2243" spans="1:16" x14ac:dyDescent="0.25">
      <c r="A2243" s="29">
        <v>30</v>
      </c>
      <c r="B2243" s="30">
        <v>438525.10856199998</v>
      </c>
      <c r="C2243" s="30">
        <v>5688512.3324180003</v>
      </c>
      <c r="D2243" s="30">
        <v>1</v>
      </c>
      <c r="E2243" s="30" t="s">
        <v>99</v>
      </c>
      <c r="F2243" s="46">
        <v>2018</v>
      </c>
      <c r="G2243" s="47">
        <v>8.0999999999999996E-3</v>
      </c>
      <c r="H2243" s="47">
        <f t="shared" si="153"/>
        <v>2.9481952469548032E-3</v>
      </c>
      <c r="I2243" s="47">
        <v>0</v>
      </c>
      <c r="J2243" s="47">
        <f t="shared" si="154"/>
        <v>0</v>
      </c>
      <c r="K2243" s="47">
        <v>3.0999999999999999E-3</v>
      </c>
      <c r="L2243" s="47">
        <f t="shared" si="155"/>
        <v>1.480284857571214E-3</v>
      </c>
      <c r="M2243" s="47">
        <f t="shared" si="156"/>
        <v>1.4679103893835892E-3</v>
      </c>
      <c r="N2243" s="47">
        <v>0</v>
      </c>
      <c r="O2243" s="47">
        <f t="shared" si="157"/>
        <v>0</v>
      </c>
      <c r="P2243" s="92"/>
    </row>
    <row r="2244" spans="1:16" x14ac:dyDescent="0.25">
      <c r="A2244" s="29">
        <v>31</v>
      </c>
      <c r="B2244" s="30">
        <v>437335.10856199998</v>
      </c>
      <c r="C2244" s="30">
        <v>5688631.3324180003</v>
      </c>
      <c r="D2244" s="30">
        <v>1</v>
      </c>
      <c r="E2244" s="30" t="s">
        <v>99</v>
      </c>
      <c r="F2244" s="46">
        <v>2018</v>
      </c>
      <c r="G2244" s="47">
        <v>1.6300000000000002E-2</v>
      </c>
      <c r="H2244" s="47">
        <f t="shared" si="153"/>
        <v>5.9327879660942343E-3</v>
      </c>
      <c r="I2244" s="47">
        <v>0</v>
      </c>
      <c r="J2244" s="47">
        <f t="shared" si="154"/>
        <v>0</v>
      </c>
      <c r="K2244" s="47">
        <v>1.1000000000000001E-3</v>
      </c>
      <c r="L2244" s="47">
        <f t="shared" si="155"/>
        <v>5.2526236881559219E-4</v>
      </c>
      <c r="M2244" s="47">
        <f t="shared" si="156"/>
        <v>5.4075255972786422E-3</v>
      </c>
      <c r="N2244" s="47">
        <v>0</v>
      </c>
      <c r="O2244" s="47">
        <f t="shared" si="157"/>
        <v>0</v>
      </c>
      <c r="P2244" s="92"/>
    </row>
    <row r="2245" spans="1:16" x14ac:dyDescent="0.25">
      <c r="A2245" s="29">
        <v>32</v>
      </c>
      <c r="B2245" s="30">
        <v>437454.10856199998</v>
      </c>
      <c r="C2245" s="30">
        <v>5688631.3324180003</v>
      </c>
      <c r="D2245" s="30">
        <v>1</v>
      </c>
      <c r="E2245" s="30" t="s">
        <v>99</v>
      </c>
      <c r="F2245" s="46">
        <v>2018</v>
      </c>
      <c r="G2245" s="47">
        <v>1.4800000000000001E-2</v>
      </c>
      <c r="H2245" s="47">
        <f t="shared" si="153"/>
        <v>5.3868258833248261E-3</v>
      </c>
      <c r="I2245" s="47">
        <v>0</v>
      </c>
      <c r="J2245" s="47">
        <f t="shared" si="154"/>
        <v>0</v>
      </c>
      <c r="K2245" s="47">
        <v>1.3900000000000001E-2</v>
      </c>
      <c r="L2245" s="47">
        <f t="shared" si="155"/>
        <v>6.637406296851573E-3</v>
      </c>
      <c r="M2245" s="47">
        <f t="shared" si="156"/>
        <v>-1.250580413526747E-3</v>
      </c>
      <c r="N2245" s="47">
        <v>0</v>
      </c>
      <c r="O2245" s="47">
        <f t="shared" si="157"/>
        <v>0</v>
      </c>
      <c r="P2245" s="92"/>
    </row>
    <row r="2246" spans="1:16" x14ac:dyDescent="0.25">
      <c r="A2246" s="29">
        <v>33</v>
      </c>
      <c r="B2246" s="30">
        <v>437573.10856199998</v>
      </c>
      <c r="C2246" s="30">
        <v>5688631.3324180003</v>
      </c>
      <c r="D2246" s="30">
        <v>1</v>
      </c>
      <c r="E2246" s="30" t="s">
        <v>99</v>
      </c>
      <c r="F2246" s="46">
        <v>2018</v>
      </c>
      <c r="G2246" s="47">
        <v>5.2899999999999996E-2</v>
      </c>
      <c r="H2246" s="47">
        <f t="shared" si="153"/>
        <v>1.9254262785667785E-2</v>
      </c>
      <c r="I2246" s="47">
        <v>2.52E-2</v>
      </c>
      <c r="J2246" s="47">
        <f t="shared" si="154"/>
        <v>1.0251703406813627E-2</v>
      </c>
      <c r="K2246" s="47">
        <v>2.2000000000000001E-3</v>
      </c>
      <c r="L2246" s="47">
        <f t="shared" si="155"/>
        <v>1.0505247376311844E-3</v>
      </c>
      <c r="M2246" s="47">
        <f t="shared" si="156"/>
        <v>1.82037380480366E-2</v>
      </c>
      <c r="N2246" s="47">
        <v>0</v>
      </c>
      <c r="O2246" s="47">
        <f t="shared" si="157"/>
        <v>0</v>
      </c>
      <c r="P2246" s="92"/>
    </row>
    <row r="2247" spans="1:16" x14ac:dyDescent="0.25">
      <c r="A2247" s="29">
        <v>34</v>
      </c>
      <c r="B2247" s="30">
        <v>437692.10856199998</v>
      </c>
      <c r="C2247" s="30">
        <v>5688631.3324180003</v>
      </c>
      <c r="D2247" s="30">
        <v>1</v>
      </c>
      <c r="E2247" s="30" t="s">
        <v>99</v>
      </c>
      <c r="F2247" s="46">
        <v>2018</v>
      </c>
      <c r="G2247" s="47">
        <v>2.06E-2</v>
      </c>
      <c r="H2247" s="47">
        <f t="shared" si="153"/>
        <v>7.4978792700332031E-3</v>
      </c>
      <c r="I2247" s="47">
        <v>0</v>
      </c>
      <c r="J2247" s="47">
        <f t="shared" si="154"/>
        <v>0</v>
      </c>
      <c r="K2247" s="47">
        <v>2.3999999999999998E-3</v>
      </c>
      <c r="L2247" s="47">
        <f t="shared" si="155"/>
        <v>1.1460269865067464E-3</v>
      </c>
      <c r="M2247" s="47">
        <f t="shared" si="156"/>
        <v>6.3518522835264565E-3</v>
      </c>
      <c r="N2247" s="47">
        <v>0</v>
      </c>
      <c r="O2247" s="47">
        <f t="shared" si="157"/>
        <v>0</v>
      </c>
      <c r="P2247" s="92"/>
    </row>
    <row r="2248" spans="1:16" x14ac:dyDescent="0.25">
      <c r="A2248" s="29">
        <v>35</v>
      </c>
      <c r="B2248" s="30">
        <v>437893</v>
      </c>
      <c r="C2248" s="30">
        <v>5688620</v>
      </c>
      <c r="D2248" s="30">
        <v>1</v>
      </c>
      <c r="E2248" s="30" t="s">
        <v>99</v>
      </c>
      <c r="F2248" s="46">
        <v>2018</v>
      </c>
      <c r="G2248" s="47">
        <v>2.0899999999999998E-2</v>
      </c>
      <c r="H2248" s="47">
        <f t="shared" si="153"/>
        <v>7.607071686587084E-3</v>
      </c>
      <c r="I2248" s="47">
        <v>0</v>
      </c>
      <c r="J2248" s="47">
        <f t="shared" si="154"/>
        <v>0</v>
      </c>
      <c r="K2248" s="47">
        <v>1.8600000000000002E-2</v>
      </c>
      <c r="L2248" s="47">
        <f t="shared" si="155"/>
        <v>8.8817091454272863E-3</v>
      </c>
      <c r="M2248" s="47">
        <f t="shared" si="156"/>
        <v>-1.2746374588402023E-3</v>
      </c>
      <c r="N2248" s="47">
        <v>0</v>
      </c>
      <c r="O2248" s="47">
        <f t="shared" si="157"/>
        <v>0</v>
      </c>
      <c r="P2248" s="92"/>
    </row>
    <row r="2249" spans="1:16" x14ac:dyDescent="0.25">
      <c r="A2249" s="29">
        <v>36</v>
      </c>
      <c r="B2249" s="30">
        <v>437930.10856199998</v>
      </c>
      <c r="C2249" s="30">
        <v>5688631.3324180003</v>
      </c>
      <c r="D2249" s="30">
        <v>1</v>
      </c>
      <c r="E2249" s="30" t="s">
        <v>99</v>
      </c>
      <c r="F2249" s="46">
        <v>2018</v>
      </c>
      <c r="G2249" s="47">
        <v>2.3699999999999999E-2</v>
      </c>
      <c r="H2249" s="47">
        <f t="shared" si="153"/>
        <v>8.6262009077566464E-3</v>
      </c>
      <c r="I2249" s="47">
        <v>0</v>
      </c>
      <c r="J2249" s="47">
        <f t="shared" si="154"/>
        <v>0</v>
      </c>
      <c r="K2249" s="47">
        <v>1.9600000000000003E-2</v>
      </c>
      <c r="L2249" s="47">
        <f t="shared" si="155"/>
        <v>9.3592203898050976E-3</v>
      </c>
      <c r="M2249" s="47">
        <f t="shared" si="156"/>
        <v>-7.3301948204845119E-4</v>
      </c>
      <c r="N2249" s="47">
        <v>0</v>
      </c>
      <c r="O2249" s="47">
        <f t="shared" si="157"/>
        <v>0</v>
      </c>
      <c r="P2249" s="92"/>
    </row>
    <row r="2250" spans="1:16" x14ac:dyDescent="0.25">
      <c r="A2250" s="32">
        <v>37</v>
      </c>
      <c r="B2250" s="33">
        <v>438049.10856199998</v>
      </c>
      <c r="C2250" s="39">
        <v>5688631.3324180003</v>
      </c>
      <c r="D2250" s="48">
        <v>1</v>
      </c>
      <c r="E2250" s="48" t="s">
        <v>99</v>
      </c>
      <c r="F2250" s="48">
        <v>2018</v>
      </c>
      <c r="G2250" s="48" t="s">
        <v>18</v>
      </c>
      <c r="H2250" s="48" t="s">
        <v>18</v>
      </c>
      <c r="I2250" s="48" t="s">
        <v>18</v>
      </c>
      <c r="J2250" s="48" t="s">
        <v>18</v>
      </c>
      <c r="K2250" s="48" t="s">
        <v>18</v>
      </c>
      <c r="L2250" s="48" t="s">
        <v>18</v>
      </c>
      <c r="M2250" s="48" t="s">
        <v>18</v>
      </c>
      <c r="N2250" s="48" t="s">
        <v>18</v>
      </c>
      <c r="O2250" s="48" t="s">
        <v>18</v>
      </c>
      <c r="P2250" s="103" t="s">
        <v>89</v>
      </c>
    </row>
    <row r="2251" spans="1:16" x14ac:dyDescent="0.25">
      <c r="A2251" s="29">
        <v>38</v>
      </c>
      <c r="B2251" s="30">
        <v>438067</v>
      </c>
      <c r="C2251" s="30">
        <v>5688710</v>
      </c>
      <c r="D2251" s="30">
        <v>31</v>
      </c>
      <c r="E2251" s="30" t="s">
        <v>33</v>
      </c>
      <c r="F2251" s="46">
        <v>2018</v>
      </c>
      <c r="G2251" s="54">
        <v>3.9600000000000003E-2</v>
      </c>
      <c r="H2251" s="47">
        <f t="shared" ref="H2251" si="158">G2251*0.352035571568347</f>
        <v>1.3940608634106543E-2</v>
      </c>
      <c r="I2251" s="54">
        <v>0</v>
      </c>
      <c r="J2251" s="47">
        <f>I2251*0.417632015539211</f>
        <v>0</v>
      </c>
      <c r="K2251" s="54">
        <v>1.9E-3</v>
      </c>
      <c r="L2251" s="47">
        <f t="shared" ref="L2251" si="159">K2251*0.457789716039908</f>
        <v>8.6980046047582511E-4</v>
      </c>
      <c r="M2251" s="47">
        <f t="shared" si="156"/>
        <v>1.3070808173630719E-2</v>
      </c>
      <c r="N2251" s="47">
        <v>0</v>
      </c>
      <c r="O2251" s="47">
        <f t="shared" ref="O2251" si="160">N2251*0.511211391737971</f>
        <v>0</v>
      </c>
      <c r="P2251" s="92"/>
    </row>
    <row r="2252" spans="1:16" x14ac:dyDescent="0.25">
      <c r="A2252" s="32">
        <v>39</v>
      </c>
      <c r="B2252" s="33">
        <v>438287.10856199998</v>
      </c>
      <c r="C2252" s="39">
        <v>5688631.3324180003</v>
      </c>
      <c r="D2252" s="48">
        <v>1</v>
      </c>
      <c r="E2252" s="48" t="s">
        <v>99</v>
      </c>
      <c r="F2252" s="48">
        <v>2018</v>
      </c>
      <c r="G2252" s="48" t="s">
        <v>18</v>
      </c>
      <c r="H2252" s="48" t="s">
        <v>18</v>
      </c>
      <c r="I2252" s="48" t="s">
        <v>18</v>
      </c>
      <c r="J2252" s="48" t="s">
        <v>18</v>
      </c>
      <c r="K2252" s="48" t="s">
        <v>18</v>
      </c>
      <c r="L2252" s="48" t="s">
        <v>18</v>
      </c>
      <c r="M2252" s="48" t="s">
        <v>18</v>
      </c>
      <c r="N2252" s="48" t="s">
        <v>18</v>
      </c>
      <c r="O2252" s="48" t="s">
        <v>18</v>
      </c>
      <c r="P2252" s="94" t="s">
        <v>22</v>
      </c>
    </row>
    <row r="2253" spans="1:16" x14ac:dyDescent="0.25">
      <c r="A2253" s="29">
        <v>40</v>
      </c>
      <c r="B2253" s="30">
        <v>438406.10856199998</v>
      </c>
      <c r="C2253" s="30">
        <v>5688631.3324180003</v>
      </c>
      <c r="D2253" s="30">
        <v>1</v>
      </c>
      <c r="E2253" s="30" t="s">
        <v>99</v>
      </c>
      <c r="F2253" s="46">
        <v>2018</v>
      </c>
      <c r="G2253" s="54">
        <v>9.6999999999999986E-3</v>
      </c>
      <c r="H2253" s="47">
        <f t="shared" si="153"/>
        <v>3.5305548019088379E-3</v>
      </c>
      <c r="I2253" s="47">
        <v>0</v>
      </c>
      <c r="J2253" s="47">
        <f t="shared" si="154"/>
        <v>0</v>
      </c>
      <c r="K2253" s="47">
        <v>3.5000000000000001E-3</v>
      </c>
      <c r="L2253" s="47">
        <f t="shared" si="155"/>
        <v>1.6712893553223385E-3</v>
      </c>
      <c r="M2253" s="47">
        <f t="shared" si="156"/>
        <v>1.8592654465864995E-3</v>
      </c>
      <c r="N2253" s="47">
        <v>0</v>
      </c>
      <c r="O2253" s="47">
        <f t="shared" si="157"/>
        <v>0</v>
      </c>
      <c r="P2253" s="92"/>
    </row>
    <row r="2254" spans="1:16" x14ac:dyDescent="0.25">
      <c r="A2254" s="29">
        <v>41</v>
      </c>
      <c r="B2254" s="30">
        <v>437310</v>
      </c>
      <c r="C2254" s="30">
        <v>5688729</v>
      </c>
      <c r="D2254" s="30">
        <v>31</v>
      </c>
      <c r="E2254" s="30" t="s">
        <v>33</v>
      </c>
      <c r="F2254" s="46">
        <v>2018</v>
      </c>
      <c r="G2254" s="47">
        <v>5.7500000000000002E-2</v>
      </c>
      <c r="H2254" s="47">
        <f t="shared" ref="H2254:H2255" si="161">G2254*0.352035571568347</f>
        <v>2.0242045365179956E-2</v>
      </c>
      <c r="I2254" s="47">
        <v>0</v>
      </c>
      <c r="J2254" s="47">
        <f t="shared" ref="J2254:J2255" si="162">I2254*0.417632015539211</f>
        <v>0</v>
      </c>
      <c r="K2254" s="47">
        <v>4.2000000000000006E-3</v>
      </c>
      <c r="L2254" s="47">
        <f t="shared" ref="L2254:L2255" si="163">K2254*0.457789716039908</f>
        <v>1.9227168073676138E-3</v>
      </c>
      <c r="M2254" s="47">
        <f t="shared" si="156"/>
        <v>1.8319328557812341E-2</v>
      </c>
      <c r="N2254" s="47">
        <v>0</v>
      </c>
      <c r="O2254" s="47">
        <f t="shared" ref="O2254:O2255" si="164">N2254*0.511211391737971</f>
        <v>0</v>
      </c>
      <c r="P2254" s="92"/>
    </row>
    <row r="2255" spans="1:16" x14ac:dyDescent="0.25">
      <c r="A2255" s="29">
        <v>42</v>
      </c>
      <c r="B2255" s="30">
        <v>437454.10856199998</v>
      </c>
      <c r="C2255" s="30">
        <v>5688750.3324180003</v>
      </c>
      <c r="D2255" s="30">
        <v>31</v>
      </c>
      <c r="E2255" s="30" t="s">
        <v>33</v>
      </c>
      <c r="F2255" s="46">
        <v>2018</v>
      </c>
      <c r="G2255" s="54">
        <v>3.7700000000000004E-2</v>
      </c>
      <c r="H2255" s="47">
        <f t="shared" si="161"/>
        <v>1.3271741048126685E-2</v>
      </c>
      <c r="I2255" s="47">
        <v>0</v>
      </c>
      <c r="J2255" s="47">
        <f t="shared" si="162"/>
        <v>0</v>
      </c>
      <c r="K2255" s="47">
        <v>2.2000000000000001E-3</v>
      </c>
      <c r="L2255" s="47">
        <f t="shared" si="163"/>
        <v>1.0071373752877975E-3</v>
      </c>
      <c r="M2255" s="47">
        <f t="shared" si="156"/>
        <v>1.2264603672838888E-2</v>
      </c>
      <c r="N2255" s="47">
        <v>0</v>
      </c>
      <c r="O2255" s="47">
        <f t="shared" si="164"/>
        <v>0</v>
      </c>
      <c r="P2255" s="92"/>
    </row>
    <row r="2256" spans="1:16" x14ac:dyDescent="0.25">
      <c r="A2256" s="29">
        <v>43</v>
      </c>
      <c r="B2256" s="30">
        <v>437573.10856199998</v>
      </c>
      <c r="C2256" s="30">
        <v>5688750.3324180003</v>
      </c>
      <c r="D2256" s="30">
        <v>1</v>
      </c>
      <c r="E2256" s="30" t="s">
        <v>99</v>
      </c>
      <c r="F2256" s="46">
        <v>2018</v>
      </c>
      <c r="G2256" s="47">
        <v>1.5599999999999999E-2</v>
      </c>
      <c r="H2256" s="47">
        <f t="shared" si="153"/>
        <v>5.6780056608018428E-3</v>
      </c>
      <c r="I2256" s="47">
        <v>0</v>
      </c>
      <c r="J2256" s="47">
        <f t="shared" si="154"/>
        <v>0</v>
      </c>
      <c r="K2256" s="47">
        <v>7.1999999999999998E-3</v>
      </c>
      <c r="L2256" s="47">
        <f t="shared" si="155"/>
        <v>3.4380809595202393E-3</v>
      </c>
      <c r="M2256" s="47">
        <f t="shared" si="156"/>
        <v>2.2399247012816034E-3</v>
      </c>
      <c r="N2256" s="47">
        <v>0</v>
      </c>
      <c r="O2256" s="47">
        <f t="shared" si="157"/>
        <v>0</v>
      </c>
      <c r="P2256" s="92"/>
    </row>
    <row r="2257" spans="1:16" x14ac:dyDescent="0.25">
      <c r="A2257" s="29">
        <v>44</v>
      </c>
      <c r="B2257" s="30">
        <v>437692.10856199998</v>
      </c>
      <c r="C2257" s="30">
        <v>5688750.3324180003</v>
      </c>
      <c r="D2257" s="30">
        <v>31</v>
      </c>
      <c r="E2257" s="30" t="s">
        <v>33</v>
      </c>
      <c r="F2257" s="46">
        <v>2018</v>
      </c>
      <c r="G2257" s="54">
        <v>1.4999999999999999E-2</v>
      </c>
      <c r="H2257" s="47">
        <f t="shared" ref="H2257:H2265" si="165">G2257*0.352035571568347</f>
        <v>5.2805335735252052E-3</v>
      </c>
      <c r="I2257" s="47">
        <v>0</v>
      </c>
      <c r="J2257" s="47">
        <f t="shared" ref="J2257:J2265" si="166">I2257*0.417632015539211</f>
        <v>0</v>
      </c>
      <c r="K2257" s="47">
        <v>1.7299999999999999E-2</v>
      </c>
      <c r="L2257" s="47">
        <f t="shared" ref="L2257:L2265" si="167">K2257*0.457789716039908</f>
        <v>7.9197620874904076E-3</v>
      </c>
      <c r="M2257" s="47">
        <f t="shared" si="156"/>
        <v>-2.6392285139652024E-3</v>
      </c>
      <c r="N2257" s="47">
        <v>0</v>
      </c>
      <c r="O2257" s="47">
        <f t="shared" ref="O2257:O2265" si="168">N2257*0.511211391737971</f>
        <v>0</v>
      </c>
      <c r="P2257" s="92"/>
    </row>
    <row r="2258" spans="1:16" x14ac:dyDescent="0.25">
      <c r="A2258" s="29">
        <v>45</v>
      </c>
      <c r="B2258" s="30">
        <v>437811.10856199998</v>
      </c>
      <c r="C2258" s="30">
        <v>5688750.3324180003</v>
      </c>
      <c r="D2258" s="30">
        <v>31</v>
      </c>
      <c r="E2258" s="30" t="s">
        <v>33</v>
      </c>
      <c r="F2258" s="46">
        <v>2018</v>
      </c>
      <c r="G2258" s="47">
        <v>5.0700000000000002E-2</v>
      </c>
      <c r="H2258" s="47">
        <f t="shared" si="165"/>
        <v>1.7848203478515196E-2</v>
      </c>
      <c r="I2258" s="47">
        <v>1.04E-2</v>
      </c>
      <c r="J2258" s="47">
        <f t="shared" si="166"/>
        <v>4.3433729616077941E-3</v>
      </c>
      <c r="K2258" s="47">
        <v>3.2000000000000002E-3</v>
      </c>
      <c r="L2258" s="47">
        <f t="shared" si="167"/>
        <v>1.4649270913277056E-3</v>
      </c>
      <c r="M2258" s="47">
        <f t="shared" si="156"/>
        <v>1.6383276387187489E-2</v>
      </c>
      <c r="N2258" s="47">
        <v>0</v>
      </c>
      <c r="O2258" s="47">
        <f t="shared" si="168"/>
        <v>0</v>
      </c>
      <c r="P2258" s="92"/>
    </row>
    <row r="2259" spans="1:16" x14ac:dyDescent="0.25">
      <c r="A2259" s="29">
        <v>46</v>
      </c>
      <c r="B2259" s="30">
        <v>437930.10856199998</v>
      </c>
      <c r="C2259" s="30">
        <v>5688750.3324180003</v>
      </c>
      <c r="D2259" s="30">
        <v>31</v>
      </c>
      <c r="E2259" s="30" t="s">
        <v>33</v>
      </c>
      <c r="F2259" s="46">
        <v>2018</v>
      </c>
      <c r="G2259" s="47">
        <v>2.8999999999999998E-3</v>
      </c>
      <c r="H2259" s="47">
        <f t="shared" si="165"/>
        <v>1.0209031575482063E-3</v>
      </c>
      <c r="I2259" s="47">
        <v>1.61E-2</v>
      </c>
      <c r="J2259" s="47">
        <f t="shared" si="166"/>
        <v>6.7238754501812966E-3</v>
      </c>
      <c r="K2259" s="47">
        <v>6.1999999999999998E-3</v>
      </c>
      <c r="L2259" s="47">
        <f t="shared" si="167"/>
        <v>2.8382962394474295E-3</v>
      </c>
      <c r="M2259" s="47">
        <f t="shared" si="156"/>
        <v>-1.8173930818992231E-3</v>
      </c>
      <c r="N2259" s="47">
        <v>4.4999999999999997E-3</v>
      </c>
      <c r="O2259" s="47">
        <f t="shared" si="168"/>
        <v>2.3004512628208695E-3</v>
      </c>
      <c r="P2259" s="92"/>
    </row>
    <row r="2260" spans="1:16" x14ac:dyDescent="0.25">
      <c r="A2260" s="29">
        <v>47</v>
      </c>
      <c r="B2260" s="30">
        <v>438061</v>
      </c>
      <c r="C2260" s="30">
        <v>5688779</v>
      </c>
      <c r="D2260" s="30">
        <v>31</v>
      </c>
      <c r="E2260" s="30" t="s">
        <v>33</v>
      </c>
      <c r="F2260" s="46">
        <v>2018</v>
      </c>
      <c r="G2260" s="47">
        <v>1.4999999999999999E-2</v>
      </c>
      <c r="H2260" s="47">
        <f t="shared" si="165"/>
        <v>5.2805335735252052E-3</v>
      </c>
      <c r="I2260" s="47">
        <v>7.3000000000000001E-3</v>
      </c>
      <c r="J2260" s="47">
        <f t="shared" si="166"/>
        <v>3.04871371343624E-3</v>
      </c>
      <c r="K2260" s="47">
        <v>2.3399999999999997E-2</v>
      </c>
      <c r="L2260" s="47">
        <f t="shared" si="167"/>
        <v>1.0712279355333846E-2</v>
      </c>
      <c r="M2260" s="47">
        <f t="shared" si="156"/>
        <v>-5.4317457818086404E-3</v>
      </c>
      <c r="N2260" s="47">
        <v>2.9999999999999997E-4</v>
      </c>
      <c r="O2260" s="47">
        <f t="shared" si="168"/>
        <v>1.533634175213913E-4</v>
      </c>
      <c r="P2260" s="92"/>
    </row>
    <row r="2261" spans="1:16" x14ac:dyDescent="0.25">
      <c r="A2261" s="32">
        <v>48</v>
      </c>
      <c r="B2261" s="33">
        <v>438168.10856199998</v>
      </c>
      <c r="C2261" s="39">
        <v>5688750.3324180003</v>
      </c>
      <c r="D2261" s="48">
        <v>1</v>
      </c>
      <c r="E2261" s="48" t="s">
        <v>99</v>
      </c>
      <c r="F2261" s="48">
        <v>2018</v>
      </c>
      <c r="G2261" s="48" t="s">
        <v>18</v>
      </c>
      <c r="H2261" s="48" t="s">
        <v>18</v>
      </c>
      <c r="I2261" s="48" t="s">
        <v>18</v>
      </c>
      <c r="J2261" s="48" t="s">
        <v>18</v>
      </c>
      <c r="K2261" s="48" t="s">
        <v>18</v>
      </c>
      <c r="L2261" s="48" t="s">
        <v>18</v>
      </c>
      <c r="M2261" s="48" t="s">
        <v>18</v>
      </c>
      <c r="N2261" s="48" t="s">
        <v>18</v>
      </c>
      <c r="O2261" s="48" t="s">
        <v>18</v>
      </c>
      <c r="P2261" s="103" t="s">
        <v>89</v>
      </c>
    </row>
    <row r="2262" spans="1:16" x14ac:dyDescent="0.25">
      <c r="A2262" s="29">
        <v>49</v>
      </c>
      <c r="B2262" s="30">
        <v>437454.10856199998</v>
      </c>
      <c r="C2262" s="30">
        <v>5688869.3324180003</v>
      </c>
      <c r="D2262" s="30">
        <v>31</v>
      </c>
      <c r="E2262" s="30" t="s">
        <v>33</v>
      </c>
      <c r="F2262" s="46">
        <v>2018</v>
      </c>
      <c r="G2262" s="47">
        <v>6.0000000000000001E-3</v>
      </c>
      <c r="H2262" s="47">
        <f t="shared" si="165"/>
        <v>2.1122134294100821E-3</v>
      </c>
      <c r="I2262" s="47">
        <v>0</v>
      </c>
      <c r="J2262" s="47">
        <f t="shared" si="166"/>
        <v>0</v>
      </c>
      <c r="K2262" s="47">
        <v>3.2000000000000001E-2</v>
      </c>
      <c r="L2262" s="47">
        <f t="shared" si="167"/>
        <v>1.4649270913277055E-2</v>
      </c>
      <c r="M2262" s="47">
        <f t="shared" si="156"/>
        <v>-1.2537057483866973E-2</v>
      </c>
      <c r="N2262" s="47">
        <v>0</v>
      </c>
      <c r="O2262" s="47">
        <f t="shared" si="168"/>
        <v>0</v>
      </c>
      <c r="P2262" s="92"/>
    </row>
    <row r="2263" spans="1:16" x14ac:dyDescent="0.25">
      <c r="A2263" s="29">
        <v>50</v>
      </c>
      <c r="B2263" s="30">
        <v>437811.10856199998</v>
      </c>
      <c r="C2263" s="30">
        <v>5688869.3324180003</v>
      </c>
      <c r="D2263" s="30">
        <v>31</v>
      </c>
      <c r="E2263" s="30" t="s">
        <v>33</v>
      </c>
      <c r="F2263" s="46">
        <v>2018</v>
      </c>
      <c r="G2263" s="47">
        <v>4.7899999999999998E-2</v>
      </c>
      <c r="H2263" s="47">
        <f t="shared" si="165"/>
        <v>1.6862503878123821E-2</v>
      </c>
      <c r="I2263" s="47">
        <v>0</v>
      </c>
      <c r="J2263" s="47">
        <f t="shared" si="166"/>
        <v>0</v>
      </c>
      <c r="K2263" s="47">
        <v>3.0000000000000001E-3</v>
      </c>
      <c r="L2263" s="47">
        <f t="shared" si="167"/>
        <v>1.3733691481197239E-3</v>
      </c>
      <c r="M2263" s="47">
        <f t="shared" si="156"/>
        <v>1.5489134730004097E-2</v>
      </c>
      <c r="N2263" s="47">
        <v>0</v>
      </c>
      <c r="O2263" s="47">
        <f t="shared" si="168"/>
        <v>0</v>
      </c>
      <c r="P2263" s="92"/>
    </row>
    <row r="2264" spans="1:16" x14ac:dyDescent="0.25">
      <c r="A2264" s="29">
        <v>51</v>
      </c>
      <c r="B2264" s="30">
        <v>437930.10856199998</v>
      </c>
      <c r="C2264" s="30">
        <v>5688869.3324180003</v>
      </c>
      <c r="D2264" s="30">
        <v>31</v>
      </c>
      <c r="E2264" s="30" t="s">
        <v>33</v>
      </c>
      <c r="F2264" s="46">
        <v>2018</v>
      </c>
      <c r="G2264" s="47">
        <v>1.2E-2</v>
      </c>
      <c r="H2264" s="47">
        <f t="shared" si="165"/>
        <v>4.2244268588201642E-3</v>
      </c>
      <c r="I2264" s="47">
        <v>0</v>
      </c>
      <c r="J2264" s="47">
        <f t="shared" si="166"/>
        <v>0</v>
      </c>
      <c r="K2264" s="47">
        <v>4.4999999999999997E-3</v>
      </c>
      <c r="L2264" s="47">
        <f t="shared" si="167"/>
        <v>2.0600537221795857E-3</v>
      </c>
      <c r="M2264" s="47">
        <f t="shared" si="156"/>
        <v>2.1643731366405784E-3</v>
      </c>
      <c r="N2264" s="47">
        <v>0</v>
      </c>
      <c r="O2264" s="47">
        <f t="shared" si="168"/>
        <v>0</v>
      </c>
      <c r="P2264" s="92"/>
    </row>
    <row r="2265" spans="1:16" x14ac:dyDescent="0.25">
      <c r="A2265" s="29">
        <v>52</v>
      </c>
      <c r="B2265" s="30">
        <v>438049.10856199998</v>
      </c>
      <c r="C2265" s="30">
        <v>5688869.3324180003</v>
      </c>
      <c r="D2265" s="30">
        <v>31</v>
      </c>
      <c r="E2265" s="30" t="s">
        <v>33</v>
      </c>
      <c r="F2265" s="46">
        <v>2018</v>
      </c>
      <c r="G2265" s="47">
        <v>1.9E-3</v>
      </c>
      <c r="H2265" s="47">
        <f t="shared" si="165"/>
        <v>6.6886758597985933E-4</v>
      </c>
      <c r="I2265" s="47">
        <v>1.6899999999999998E-2</v>
      </c>
      <c r="J2265" s="47">
        <f t="shared" si="166"/>
        <v>7.0579810626126647E-3</v>
      </c>
      <c r="K2265" s="47">
        <v>2.1000000000000003E-3</v>
      </c>
      <c r="L2265" s="47">
        <f t="shared" si="167"/>
        <v>9.6135840368380692E-4</v>
      </c>
      <c r="M2265" s="47">
        <f t="shared" si="156"/>
        <v>-2.9249081770394759E-4</v>
      </c>
      <c r="N2265" s="47">
        <v>1E-3</v>
      </c>
      <c r="O2265" s="47">
        <f t="shared" si="168"/>
        <v>5.1121139173797108E-4</v>
      </c>
      <c r="P2265" s="92"/>
    </row>
    <row r="2266" spans="1:16" x14ac:dyDescent="0.25">
      <c r="A2266" s="29">
        <v>53</v>
      </c>
      <c r="B2266" s="30">
        <v>438287.10856199998</v>
      </c>
      <c r="C2266" s="30">
        <v>5688869.3324180003</v>
      </c>
      <c r="D2266" s="30">
        <v>1</v>
      </c>
      <c r="E2266" s="30" t="s">
        <v>99</v>
      </c>
      <c r="F2266" s="46">
        <v>2018</v>
      </c>
      <c r="G2266" s="47">
        <v>7.1999999999999998E-3</v>
      </c>
      <c r="H2266" s="47">
        <f t="shared" si="153"/>
        <v>2.6206179972931582E-3</v>
      </c>
      <c r="I2266" s="47">
        <v>0</v>
      </c>
      <c r="J2266" s="47">
        <f t="shared" si="154"/>
        <v>0</v>
      </c>
      <c r="K2266" s="47">
        <v>8.0000000000000004E-4</v>
      </c>
      <c r="L2266" s="47">
        <f t="shared" si="155"/>
        <v>3.8200899550224881E-4</v>
      </c>
      <c r="M2266" s="47">
        <f t="shared" si="156"/>
        <v>2.2386090017909093E-3</v>
      </c>
      <c r="N2266" s="47">
        <v>0</v>
      </c>
      <c r="O2266" s="47">
        <f t="shared" si="157"/>
        <v>0</v>
      </c>
      <c r="P2266" s="92"/>
    </row>
    <row r="2267" spans="1:16" x14ac:dyDescent="0.25">
      <c r="A2267" s="29">
        <v>54</v>
      </c>
      <c r="B2267" s="30">
        <v>437454.10856199998</v>
      </c>
      <c r="C2267" s="30">
        <v>5688988.3324180003</v>
      </c>
      <c r="D2267" s="30">
        <v>31</v>
      </c>
      <c r="E2267" s="30" t="s">
        <v>33</v>
      </c>
      <c r="F2267" s="46">
        <v>2018</v>
      </c>
      <c r="G2267" s="47">
        <v>2.1999999999999999E-2</v>
      </c>
      <c r="H2267" s="47">
        <f t="shared" ref="H2267:H2273" si="169">G2267*0.352035571568347</f>
        <v>7.7447825745036343E-3</v>
      </c>
      <c r="I2267" s="47">
        <v>0</v>
      </c>
      <c r="J2267" s="47">
        <f t="shared" ref="J2267:J2273" si="170">I2267*0.417632015539211</f>
        <v>0</v>
      </c>
      <c r="K2267" s="47">
        <v>1.9E-3</v>
      </c>
      <c r="L2267" s="47">
        <f t="shared" ref="L2267:L2273" si="171">K2267*0.457789716039908</f>
        <v>8.6980046047582511E-4</v>
      </c>
      <c r="M2267" s="47">
        <f t="shared" si="156"/>
        <v>6.8749821140278089E-3</v>
      </c>
      <c r="N2267" s="47">
        <v>0</v>
      </c>
      <c r="O2267" s="47">
        <f t="shared" ref="O2267:O2273" si="172">N2267*0.511211391737971</f>
        <v>0</v>
      </c>
      <c r="P2267" s="92"/>
    </row>
    <row r="2268" spans="1:16" x14ac:dyDescent="0.25">
      <c r="A2268" s="29">
        <v>55</v>
      </c>
      <c r="B2268" s="30">
        <v>438049.10856199998</v>
      </c>
      <c r="C2268" s="30">
        <v>5688988.3324180003</v>
      </c>
      <c r="D2268" s="30">
        <v>31</v>
      </c>
      <c r="E2268" s="30" t="s">
        <v>33</v>
      </c>
      <c r="F2268" s="46">
        <v>2018</v>
      </c>
      <c r="G2268" s="47">
        <v>2.12E-2</v>
      </c>
      <c r="H2268" s="47">
        <f t="shared" si="169"/>
        <v>7.4631541172489567E-3</v>
      </c>
      <c r="I2268" s="47">
        <v>0</v>
      </c>
      <c r="J2268" s="47">
        <f t="shared" si="170"/>
        <v>0</v>
      </c>
      <c r="K2268" s="47">
        <v>1.3300000000000001E-2</v>
      </c>
      <c r="L2268" s="47">
        <f t="shared" si="171"/>
        <v>6.0886032233307763E-3</v>
      </c>
      <c r="M2268" s="47">
        <f t="shared" si="156"/>
        <v>1.3745508939181804E-3</v>
      </c>
      <c r="N2268" s="47">
        <v>0</v>
      </c>
      <c r="O2268" s="47">
        <f t="shared" si="172"/>
        <v>0</v>
      </c>
      <c r="P2268" s="92"/>
    </row>
    <row r="2269" spans="1:16" x14ac:dyDescent="0.25">
      <c r="A2269" s="29">
        <v>56</v>
      </c>
      <c r="B2269" s="30">
        <v>438168.10856199998</v>
      </c>
      <c r="C2269" s="30">
        <v>5688988.3324180003</v>
      </c>
      <c r="D2269" s="30">
        <v>31</v>
      </c>
      <c r="E2269" s="30" t="s">
        <v>33</v>
      </c>
      <c r="F2269" s="46">
        <v>2018</v>
      </c>
      <c r="G2269" s="47">
        <v>1.7000000000000001E-2</v>
      </c>
      <c r="H2269" s="47">
        <f t="shared" si="169"/>
        <v>5.9846047166619001E-3</v>
      </c>
      <c r="I2269" s="47">
        <v>0</v>
      </c>
      <c r="J2269" s="47">
        <f t="shared" si="170"/>
        <v>0</v>
      </c>
      <c r="K2269" s="47">
        <v>2.1000000000000003E-3</v>
      </c>
      <c r="L2269" s="47">
        <f t="shared" si="171"/>
        <v>9.6135840368380692E-4</v>
      </c>
      <c r="M2269" s="47">
        <f t="shared" si="156"/>
        <v>5.0232463129780934E-3</v>
      </c>
      <c r="N2269" s="47">
        <v>0</v>
      </c>
      <c r="O2269" s="47">
        <f t="shared" si="172"/>
        <v>0</v>
      </c>
      <c r="P2269" s="92"/>
    </row>
    <row r="2270" spans="1:16" x14ac:dyDescent="0.25">
      <c r="A2270" s="40">
        <v>57</v>
      </c>
      <c r="B2270" s="41">
        <v>438146</v>
      </c>
      <c r="C2270" s="41">
        <v>5688977</v>
      </c>
      <c r="D2270" s="41">
        <v>31</v>
      </c>
      <c r="E2270" s="41" t="s">
        <v>33</v>
      </c>
      <c r="F2270" s="50">
        <v>2018</v>
      </c>
      <c r="G2270" s="51">
        <v>2.1000000000000001E-2</v>
      </c>
      <c r="H2270" s="51">
        <f t="shared" si="169"/>
        <v>7.3927470029352882E-3</v>
      </c>
      <c r="I2270" s="51">
        <v>0</v>
      </c>
      <c r="J2270" s="51">
        <f t="shared" si="170"/>
        <v>0</v>
      </c>
      <c r="K2270" s="51">
        <v>6.6E-3</v>
      </c>
      <c r="L2270" s="51">
        <f t="shared" si="171"/>
        <v>3.0214121258633929E-3</v>
      </c>
      <c r="M2270" s="51">
        <f t="shared" si="156"/>
        <v>4.3713348770718953E-3</v>
      </c>
      <c r="N2270" s="51">
        <v>0</v>
      </c>
      <c r="O2270" s="51">
        <f t="shared" si="172"/>
        <v>0</v>
      </c>
      <c r="P2270" s="101"/>
    </row>
    <row r="2271" spans="1:16" x14ac:dyDescent="0.25">
      <c r="A2271" s="40">
        <v>58</v>
      </c>
      <c r="B2271" s="41">
        <v>438131</v>
      </c>
      <c r="C2271" s="41">
        <v>5688972</v>
      </c>
      <c r="D2271" s="41">
        <v>31</v>
      </c>
      <c r="E2271" s="41" t="s">
        <v>33</v>
      </c>
      <c r="F2271" s="50">
        <v>2018</v>
      </c>
      <c r="G2271" s="51">
        <v>4.8399999999999999E-2</v>
      </c>
      <c r="H2271" s="51">
        <f t="shared" si="169"/>
        <v>1.7038521663907995E-2</v>
      </c>
      <c r="I2271" s="51">
        <v>0</v>
      </c>
      <c r="J2271" s="51">
        <f t="shared" si="170"/>
        <v>0</v>
      </c>
      <c r="K2271" s="51">
        <v>2.3E-3</v>
      </c>
      <c r="L2271" s="51">
        <f t="shared" si="171"/>
        <v>1.0529163468917884E-3</v>
      </c>
      <c r="M2271" s="51">
        <f t="shared" si="156"/>
        <v>1.5985605317016208E-2</v>
      </c>
      <c r="N2271" s="51">
        <v>0</v>
      </c>
      <c r="O2271" s="51">
        <f t="shared" si="172"/>
        <v>0</v>
      </c>
      <c r="P2271" s="101"/>
    </row>
    <row r="2272" spans="1:16" x14ac:dyDescent="0.25">
      <c r="A2272" s="40">
        <v>59</v>
      </c>
      <c r="B2272" s="41">
        <v>438089</v>
      </c>
      <c r="C2272" s="41">
        <v>5688713</v>
      </c>
      <c r="D2272" s="41">
        <v>31</v>
      </c>
      <c r="E2272" s="41" t="s">
        <v>33</v>
      </c>
      <c r="F2272" s="50">
        <v>2018</v>
      </c>
      <c r="G2272" s="51">
        <v>2.12E-2</v>
      </c>
      <c r="H2272" s="51">
        <f t="shared" si="169"/>
        <v>7.4631541172489567E-3</v>
      </c>
      <c r="I2272" s="51">
        <v>0</v>
      </c>
      <c r="J2272" s="51">
        <f t="shared" si="170"/>
        <v>0</v>
      </c>
      <c r="K2272" s="51">
        <v>9.4999999999999998E-3</v>
      </c>
      <c r="L2272" s="51">
        <f t="shared" si="171"/>
        <v>4.3490023023791255E-3</v>
      </c>
      <c r="M2272" s="51">
        <f t="shared" si="156"/>
        <v>3.1141518148698312E-3</v>
      </c>
      <c r="N2272" s="51">
        <v>0</v>
      </c>
      <c r="O2272" s="51">
        <f t="shared" si="172"/>
        <v>0</v>
      </c>
      <c r="P2272" s="101"/>
    </row>
    <row r="2273" spans="1:19" x14ac:dyDescent="0.25">
      <c r="A2273" s="40">
        <v>60</v>
      </c>
      <c r="B2273" s="41">
        <v>438099</v>
      </c>
      <c r="C2273" s="41">
        <v>5688719</v>
      </c>
      <c r="D2273" s="41">
        <v>31</v>
      </c>
      <c r="E2273" s="41" t="s">
        <v>33</v>
      </c>
      <c r="F2273" s="50">
        <v>2018</v>
      </c>
      <c r="G2273" s="51">
        <v>0.1143</v>
      </c>
      <c r="H2273" s="51">
        <f t="shared" si="169"/>
        <v>4.0237665830262066E-2</v>
      </c>
      <c r="I2273" s="51">
        <v>0</v>
      </c>
      <c r="J2273" s="51">
        <f t="shared" si="170"/>
        <v>0</v>
      </c>
      <c r="K2273" s="51">
        <v>2.5999999999999999E-3</v>
      </c>
      <c r="L2273" s="51">
        <f t="shared" si="171"/>
        <v>1.1902532617037607E-3</v>
      </c>
      <c r="M2273" s="51">
        <f t="shared" si="156"/>
        <v>3.9047412568558308E-2</v>
      </c>
      <c r="N2273" s="51">
        <v>0</v>
      </c>
      <c r="O2273" s="51">
        <f t="shared" si="172"/>
        <v>0</v>
      </c>
      <c r="P2273" s="101"/>
    </row>
    <row r="2274" spans="1:19" x14ac:dyDescent="0.25">
      <c r="A2274" s="42">
        <v>1</v>
      </c>
      <c r="B2274" s="43">
        <v>437930.10856199998</v>
      </c>
      <c r="C2274" s="43">
        <v>5688036.3324180003</v>
      </c>
      <c r="D2274" s="44">
        <v>31</v>
      </c>
      <c r="E2274" s="44" t="s">
        <v>36</v>
      </c>
      <c r="F2274" s="44">
        <v>2018</v>
      </c>
      <c r="G2274" s="44" t="s">
        <v>18</v>
      </c>
      <c r="H2274" s="44" t="s">
        <v>18</v>
      </c>
      <c r="I2274" s="44" t="s">
        <v>18</v>
      </c>
      <c r="J2274" s="44" t="s">
        <v>18</v>
      </c>
      <c r="K2274" s="44" t="s">
        <v>18</v>
      </c>
      <c r="L2274" s="44" t="s">
        <v>18</v>
      </c>
      <c r="M2274" s="44" t="s">
        <v>18</v>
      </c>
      <c r="N2274" s="44" t="s">
        <v>18</v>
      </c>
      <c r="O2274" s="44" t="s">
        <v>18</v>
      </c>
      <c r="P2274" s="102" t="s">
        <v>109</v>
      </c>
      <c r="R2274" s="5">
        <f>AVERAGE(M2274:M2333)</f>
        <v>9.6638779334384615E-3</v>
      </c>
      <c r="S2274" s="5">
        <f>AVERAGE(H2274:H2333)</f>
        <v>1.5038539430381439E-2</v>
      </c>
    </row>
    <row r="2275" spans="1:19" x14ac:dyDescent="0.25">
      <c r="A2275" s="42">
        <v>2</v>
      </c>
      <c r="B2275" s="43">
        <v>437811.10856199998</v>
      </c>
      <c r="C2275" s="43">
        <v>5688155.3324180003</v>
      </c>
      <c r="D2275" s="44">
        <v>31</v>
      </c>
      <c r="E2275" s="44" t="s">
        <v>36</v>
      </c>
      <c r="F2275" s="44">
        <v>2018</v>
      </c>
      <c r="G2275" s="44" t="s">
        <v>18</v>
      </c>
      <c r="H2275" s="44" t="s">
        <v>18</v>
      </c>
      <c r="I2275" s="44" t="s">
        <v>18</v>
      </c>
      <c r="J2275" s="44" t="s">
        <v>18</v>
      </c>
      <c r="K2275" s="44" t="s">
        <v>18</v>
      </c>
      <c r="L2275" s="44" t="s">
        <v>18</v>
      </c>
      <c r="M2275" s="44" t="s">
        <v>18</v>
      </c>
      <c r="N2275" s="44" t="s">
        <v>18</v>
      </c>
      <c r="O2275" s="44" t="s">
        <v>18</v>
      </c>
      <c r="P2275" s="102" t="s">
        <v>109</v>
      </c>
    </row>
    <row r="2276" spans="1:19" x14ac:dyDescent="0.25">
      <c r="A2276" s="29">
        <v>3</v>
      </c>
      <c r="B2276" s="30">
        <v>437930.10856199998</v>
      </c>
      <c r="C2276" s="30">
        <v>5688155.3324180003</v>
      </c>
      <c r="D2276" s="30">
        <v>31</v>
      </c>
      <c r="E2276" s="30" t="s">
        <v>36</v>
      </c>
      <c r="F2276" s="46">
        <v>2018</v>
      </c>
      <c r="G2276" s="47">
        <v>9.1000000000000004E-3</v>
      </c>
      <c r="H2276" s="47">
        <f>G2276*0.258265618488229</f>
        <v>2.3502171282428837E-3</v>
      </c>
      <c r="I2276" s="47">
        <v>7.3999999999999996E-2</v>
      </c>
      <c r="J2276" s="47">
        <f>I2276*0.318023800651794</f>
        <v>2.3533761248232754E-2</v>
      </c>
      <c r="K2276" s="47">
        <v>2.8999999999999998E-3</v>
      </c>
      <c r="L2276" s="47">
        <f>K2276*0.34120613111868</f>
        <v>9.8949778024417178E-4</v>
      </c>
      <c r="M2276" s="47">
        <f>H2276-L2276</f>
        <v>1.3607193479987119E-3</v>
      </c>
      <c r="N2276" s="47">
        <v>0.1489</v>
      </c>
      <c r="O2276" s="47">
        <f>N2276*0.321905966704103</f>
        <v>4.7931798442240936E-2</v>
      </c>
      <c r="P2276" s="92"/>
    </row>
    <row r="2277" spans="1:19" x14ac:dyDescent="0.25">
      <c r="A2277" s="42">
        <v>4</v>
      </c>
      <c r="B2277" s="43">
        <v>438049.10856199998</v>
      </c>
      <c r="C2277" s="43">
        <v>5688155.3324180003</v>
      </c>
      <c r="D2277" s="44">
        <v>31</v>
      </c>
      <c r="E2277" s="44" t="s">
        <v>36</v>
      </c>
      <c r="F2277" s="44">
        <v>2018</v>
      </c>
      <c r="G2277" s="44" t="s">
        <v>18</v>
      </c>
      <c r="H2277" s="44" t="s">
        <v>18</v>
      </c>
      <c r="I2277" s="44" t="s">
        <v>18</v>
      </c>
      <c r="J2277" s="44" t="s">
        <v>18</v>
      </c>
      <c r="K2277" s="44" t="s">
        <v>18</v>
      </c>
      <c r="L2277" s="44" t="s">
        <v>18</v>
      </c>
      <c r="M2277" s="44" t="s">
        <v>18</v>
      </c>
      <c r="N2277" s="44" t="s">
        <v>18</v>
      </c>
      <c r="O2277" s="44" t="s">
        <v>18</v>
      </c>
      <c r="P2277" s="102" t="s">
        <v>109</v>
      </c>
    </row>
    <row r="2278" spans="1:19" x14ac:dyDescent="0.25">
      <c r="A2278" s="42">
        <v>5</v>
      </c>
      <c r="B2278" s="43">
        <v>437573.10856199998</v>
      </c>
      <c r="C2278" s="43">
        <v>5688274.3324180003</v>
      </c>
      <c r="D2278" s="44">
        <v>31</v>
      </c>
      <c r="E2278" s="44" t="s">
        <v>36</v>
      </c>
      <c r="F2278" s="44">
        <v>2018</v>
      </c>
      <c r="G2278" s="44" t="s">
        <v>18</v>
      </c>
      <c r="H2278" s="44" t="s">
        <v>18</v>
      </c>
      <c r="I2278" s="44" t="s">
        <v>18</v>
      </c>
      <c r="J2278" s="44" t="s">
        <v>18</v>
      </c>
      <c r="K2278" s="44" t="s">
        <v>18</v>
      </c>
      <c r="L2278" s="44" t="s">
        <v>18</v>
      </c>
      <c r="M2278" s="44" t="s">
        <v>18</v>
      </c>
      <c r="N2278" s="44" t="s">
        <v>18</v>
      </c>
      <c r="O2278" s="44" t="s">
        <v>18</v>
      </c>
      <c r="P2278" s="102" t="s">
        <v>109</v>
      </c>
    </row>
    <row r="2279" spans="1:19" x14ac:dyDescent="0.25">
      <c r="A2279" s="29">
        <v>6</v>
      </c>
      <c r="B2279" s="30">
        <v>437692.10856199998</v>
      </c>
      <c r="C2279" s="30">
        <v>5688274.3324180003</v>
      </c>
      <c r="D2279" s="30">
        <v>31</v>
      </c>
      <c r="E2279" s="30" t="s">
        <v>36</v>
      </c>
      <c r="F2279" s="46">
        <v>2018</v>
      </c>
      <c r="G2279" s="47">
        <v>3.15E-2</v>
      </c>
      <c r="H2279" s="47">
        <f t="shared" ref="H2279:H2303" si="173">G2279*0.244572417593851</f>
        <v>7.7040311542063067E-3</v>
      </c>
      <c r="I2279" s="47">
        <v>0.10199999999999999</v>
      </c>
      <c r="J2279" s="47">
        <f t="shared" ref="J2279:J2313" si="174">I2279*0.318023800651794</f>
        <v>3.2438427666482986E-2</v>
      </c>
      <c r="K2279" s="54">
        <v>4.0000000000000001E-3</v>
      </c>
      <c r="L2279" s="47">
        <f t="shared" ref="L2279:L2313" si="175">K2279*0.34120613111868</f>
        <v>1.3648245244747199E-3</v>
      </c>
      <c r="M2279" s="47">
        <f t="shared" ref="M2279:M2333" si="176">H2279-L2279</f>
        <v>6.3392066297315863E-3</v>
      </c>
      <c r="N2279" s="47">
        <v>5.4299999999999994E-2</v>
      </c>
      <c r="O2279" s="47">
        <f t="shared" ref="O2279:O2313" si="177">N2279*0.321905966704103</f>
        <v>1.7479493992032791E-2</v>
      </c>
      <c r="P2279" s="92"/>
    </row>
    <row r="2280" spans="1:19" x14ac:dyDescent="0.25">
      <c r="A2280" s="29">
        <v>7</v>
      </c>
      <c r="B2280" s="30">
        <v>437811.10856199998</v>
      </c>
      <c r="C2280" s="30">
        <v>5688274.3324180003</v>
      </c>
      <c r="D2280" s="30">
        <v>31</v>
      </c>
      <c r="E2280" s="30" t="s">
        <v>36</v>
      </c>
      <c r="F2280" s="46">
        <v>2018</v>
      </c>
      <c r="G2280" s="46">
        <v>1.09E-2</v>
      </c>
      <c r="H2280" s="47">
        <f t="shared" si="173"/>
        <v>2.6658393517729759E-3</v>
      </c>
      <c r="I2280" s="47">
        <v>1.6800000000000002E-2</v>
      </c>
      <c r="J2280" s="47">
        <f t="shared" si="174"/>
        <v>5.3427998509501399E-3</v>
      </c>
      <c r="K2280" s="47">
        <v>2.1000000000000003E-3</v>
      </c>
      <c r="L2280" s="47">
        <f t="shared" si="175"/>
        <v>7.1653287534922808E-4</v>
      </c>
      <c r="M2280" s="47">
        <f t="shared" si="176"/>
        <v>1.9493064764237477E-3</v>
      </c>
      <c r="N2280" s="47">
        <v>0</v>
      </c>
      <c r="O2280" s="47">
        <f t="shared" si="177"/>
        <v>0</v>
      </c>
      <c r="P2280" s="92"/>
    </row>
    <row r="2281" spans="1:19" x14ac:dyDescent="0.25">
      <c r="A2281" s="42">
        <v>8</v>
      </c>
      <c r="B2281" s="43">
        <v>437930.10856199998</v>
      </c>
      <c r="C2281" s="43">
        <v>5688274.3324180003</v>
      </c>
      <c r="D2281" s="44">
        <v>31</v>
      </c>
      <c r="E2281" s="44" t="s">
        <v>36</v>
      </c>
      <c r="F2281" s="44">
        <v>2018</v>
      </c>
      <c r="G2281" s="44" t="s">
        <v>18</v>
      </c>
      <c r="H2281" s="44" t="s">
        <v>18</v>
      </c>
      <c r="I2281" s="44" t="s">
        <v>18</v>
      </c>
      <c r="J2281" s="44" t="s">
        <v>18</v>
      </c>
      <c r="K2281" s="44" t="s">
        <v>18</v>
      </c>
      <c r="L2281" s="44" t="s">
        <v>18</v>
      </c>
      <c r="M2281" s="44" t="s">
        <v>18</v>
      </c>
      <c r="N2281" s="44" t="s">
        <v>18</v>
      </c>
      <c r="O2281" s="44" t="s">
        <v>18</v>
      </c>
      <c r="P2281" s="102" t="s">
        <v>109</v>
      </c>
    </row>
    <row r="2282" spans="1:19" x14ac:dyDescent="0.25">
      <c r="A2282" s="29">
        <v>9</v>
      </c>
      <c r="B2282" s="30">
        <v>438287.10856199998</v>
      </c>
      <c r="C2282" s="30">
        <v>5688274.3324180003</v>
      </c>
      <c r="D2282" s="30">
        <v>31</v>
      </c>
      <c r="E2282" s="30" t="s">
        <v>36</v>
      </c>
      <c r="F2282" s="46">
        <v>2018</v>
      </c>
      <c r="G2282" s="47">
        <v>3.2600000000000004E-2</v>
      </c>
      <c r="H2282" s="47">
        <f t="shared" si="173"/>
        <v>7.9730608135595432E-3</v>
      </c>
      <c r="I2282" s="47">
        <v>0</v>
      </c>
      <c r="J2282" s="47">
        <f t="shared" si="174"/>
        <v>0</v>
      </c>
      <c r="K2282" s="47">
        <v>5.7000000000000002E-3</v>
      </c>
      <c r="L2282" s="47">
        <f t="shared" si="175"/>
        <v>1.944874947376476E-3</v>
      </c>
      <c r="M2282" s="47">
        <f t="shared" si="176"/>
        <v>6.0281858661830673E-3</v>
      </c>
      <c r="N2282" s="47">
        <v>0</v>
      </c>
      <c r="O2282" s="47">
        <f t="shared" si="177"/>
        <v>0</v>
      </c>
      <c r="P2282" s="92"/>
    </row>
    <row r="2283" spans="1:19" x14ac:dyDescent="0.25">
      <c r="A2283" s="29">
        <v>10</v>
      </c>
      <c r="B2283" s="30">
        <v>438406.10856199998</v>
      </c>
      <c r="C2283" s="30">
        <v>5688274.3324180003</v>
      </c>
      <c r="D2283" s="30">
        <v>31</v>
      </c>
      <c r="E2283" s="30" t="s">
        <v>36</v>
      </c>
      <c r="F2283" s="46">
        <v>2018</v>
      </c>
      <c r="G2283" s="47">
        <v>6.4599999999999991E-2</v>
      </c>
      <c r="H2283" s="47">
        <f t="shared" si="173"/>
        <v>1.5799378176562774E-2</v>
      </c>
      <c r="I2283" s="47">
        <v>2.7100000000000003E-2</v>
      </c>
      <c r="J2283" s="47">
        <f t="shared" si="174"/>
        <v>8.6184449976636178E-3</v>
      </c>
      <c r="K2283" s="47">
        <v>2.3E-2</v>
      </c>
      <c r="L2283" s="47">
        <f t="shared" si="175"/>
        <v>7.8477410157296399E-3</v>
      </c>
      <c r="M2283" s="47">
        <f t="shared" si="176"/>
        <v>7.9516371608331343E-3</v>
      </c>
      <c r="N2283" s="47">
        <v>1.2999999999999999E-2</v>
      </c>
      <c r="O2283" s="47">
        <f t="shared" si="177"/>
        <v>4.1847775671533388E-3</v>
      </c>
      <c r="P2283" s="92"/>
    </row>
    <row r="2284" spans="1:19" x14ac:dyDescent="0.25">
      <c r="A2284" s="42">
        <v>11</v>
      </c>
      <c r="B2284" s="43">
        <v>437454.10856199998</v>
      </c>
      <c r="C2284" s="43">
        <v>5688393.3324180003</v>
      </c>
      <c r="D2284" s="44">
        <v>31</v>
      </c>
      <c r="E2284" s="44" t="s">
        <v>36</v>
      </c>
      <c r="F2284" s="44">
        <v>2018</v>
      </c>
      <c r="G2284" s="44" t="s">
        <v>18</v>
      </c>
      <c r="H2284" s="44" t="s">
        <v>18</v>
      </c>
      <c r="I2284" s="44" t="s">
        <v>18</v>
      </c>
      <c r="J2284" s="44" t="s">
        <v>18</v>
      </c>
      <c r="K2284" s="44" t="s">
        <v>18</v>
      </c>
      <c r="L2284" s="44" t="s">
        <v>18</v>
      </c>
      <c r="M2284" s="44" t="s">
        <v>18</v>
      </c>
      <c r="N2284" s="44" t="s">
        <v>18</v>
      </c>
      <c r="O2284" s="44" t="s">
        <v>18</v>
      </c>
      <c r="P2284" s="102" t="s">
        <v>109</v>
      </c>
    </row>
    <row r="2285" spans="1:19" x14ac:dyDescent="0.25">
      <c r="A2285" s="29">
        <v>12</v>
      </c>
      <c r="B2285" s="30">
        <v>437573.10856199998</v>
      </c>
      <c r="C2285" s="30">
        <v>5688393.3324180003</v>
      </c>
      <c r="D2285" s="30">
        <v>31</v>
      </c>
      <c r="E2285" s="30" t="s">
        <v>36</v>
      </c>
      <c r="F2285" s="46">
        <v>2018</v>
      </c>
      <c r="G2285" s="47">
        <v>6.8699999999999997E-2</v>
      </c>
      <c r="H2285" s="47">
        <f t="shared" si="173"/>
        <v>1.6802125088697564E-2</v>
      </c>
      <c r="I2285" s="47">
        <v>1.2699999999999999E-2</v>
      </c>
      <c r="J2285" s="47">
        <f t="shared" si="174"/>
        <v>4.0389022682777833E-3</v>
      </c>
      <c r="K2285" s="47">
        <v>1.5699999999999999E-2</v>
      </c>
      <c r="L2285" s="47">
        <f t="shared" si="175"/>
        <v>5.3569362585632755E-3</v>
      </c>
      <c r="M2285" s="47">
        <f t="shared" si="176"/>
        <v>1.144518883013429E-2</v>
      </c>
      <c r="N2285" s="47">
        <v>1.9E-3</v>
      </c>
      <c r="O2285" s="47">
        <f t="shared" si="177"/>
        <v>6.1162133673779565E-4</v>
      </c>
      <c r="P2285" s="92"/>
    </row>
    <row r="2286" spans="1:19" x14ac:dyDescent="0.25">
      <c r="A2286" s="29">
        <v>13</v>
      </c>
      <c r="B2286" s="30">
        <v>437692.10856199998</v>
      </c>
      <c r="C2286" s="30">
        <v>5688393.3324180003</v>
      </c>
      <c r="D2286" s="30">
        <v>31</v>
      </c>
      <c r="E2286" s="30" t="s">
        <v>36</v>
      </c>
      <c r="F2286" s="46">
        <v>2018</v>
      </c>
      <c r="G2286" s="47">
        <v>5.0500000000000003E-2</v>
      </c>
      <c r="H2286" s="47">
        <f t="shared" si="173"/>
        <v>1.2350907088489477E-2</v>
      </c>
      <c r="I2286" s="47">
        <v>4.1299999999999996E-2</v>
      </c>
      <c r="J2286" s="47">
        <f t="shared" si="174"/>
        <v>1.313438296691909E-2</v>
      </c>
      <c r="K2286" s="47">
        <v>6.1999999999999998E-3</v>
      </c>
      <c r="L2286" s="47">
        <f t="shared" si="175"/>
        <v>2.1154780129358157E-3</v>
      </c>
      <c r="M2286" s="47">
        <f t="shared" si="176"/>
        <v>1.0235429075553661E-2</v>
      </c>
      <c r="N2286" s="47">
        <v>8.9700000000000002E-2</v>
      </c>
      <c r="O2286" s="47">
        <f t="shared" si="177"/>
        <v>2.8874965213358039E-2</v>
      </c>
      <c r="P2286" s="92"/>
    </row>
    <row r="2287" spans="1:19" x14ac:dyDescent="0.25">
      <c r="A2287" s="32">
        <v>14</v>
      </c>
      <c r="B2287" s="33">
        <v>437811.10856199998</v>
      </c>
      <c r="C2287" s="33">
        <v>5688393.3324180003</v>
      </c>
      <c r="D2287" s="48">
        <v>31</v>
      </c>
      <c r="E2287" s="48" t="s">
        <v>36</v>
      </c>
      <c r="F2287" s="48">
        <v>2018</v>
      </c>
      <c r="G2287" s="48" t="s">
        <v>18</v>
      </c>
      <c r="H2287" s="48" t="s">
        <v>18</v>
      </c>
      <c r="I2287" s="48" t="s">
        <v>18</v>
      </c>
      <c r="J2287" s="48" t="s">
        <v>18</v>
      </c>
      <c r="K2287" s="48" t="s">
        <v>18</v>
      </c>
      <c r="L2287" s="48" t="s">
        <v>18</v>
      </c>
      <c r="M2287" s="48" t="s">
        <v>18</v>
      </c>
      <c r="N2287" s="48" t="s">
        <v>18</v>
      </c>
      <c r="O2287" s="48" t="s">
        <v>18</v>
      </c>
      <c r="P2287" s="103" t="s">
        <v>89</v>
      </c>
    </row>
    <row r="2288" spans="1:19" x14ac:dyDescent="0.25">
      <c r="A2288" s="29">
        <v>15</v>
      </c>
      <c r="B2288" s="30">
        <v>437930.10856199998</v>
      </c>
      <c r="C2288" s="30">
        <v>5688393.3324180003</v>
      </c>
      <c r="D2288" s="30">
        <v>31</v>
      </c>
      <c r="E2288" s="30" t="s">
        <v>36</v>
      </c>
      <c r="F2288" s="46">
        <v>2018</v>
      </c>
      <c r="G2288" s="47">
        <v>1.8600000000000002E-2</v>
      </c>
      <c r="H2288" s="47">
        <f t="shared" si="173"/>
        <v>4.5490469672456292E-3</v>
      </c>
      <c r="I2288" s="47">
        <v>7.8799999999999995E-2</v>
      </c>
      <c r="J2288" s="47">
        <f t="shared" si="174"/>
        <v>2.5060275491361365E-2</v>
      </c>
      <c r="K2288" s="47">
        <v>3.8600000000000002E-2</v>
      </c>
      <c r="L2288" s="47">
        <f t="shared" si="175"/>
        <v>1.3170556661181047E-2</v>
      </c>
      <c r="M2288" s="47">
        <f t="shared" si="176"/>
        <v>-8.621509693935419E-3</v>
      </c>
      <c r="N2288" s="47">
        <v>6.4999999999999997E-3</v>
      </c>
      <c r="O2288" s="47">
        <f t="shared" si="177"/>
        <v>2.0923887835766694E-3</v>
      </c>
      <c r="P2288" s="92"/>
    </row>
    <row r="2289" spans="1:16" x14ac:dyDescent="0.25">
      <c r="A2289" s="29">
        <v>16</v>
      </c>
      <c r="B2289" s="30">
        <v>438049.10856199998</v>
      </c>
      <c r="C2289" s="30">
        <v>5688393.3324180003</v>
      </c>
      <c r="D2289" s="30">
        <v>31</v>
      </c>
      <c r="E2289" s="30" t="s">
        <v>36</v>
      </c>
      <c r="F2289" s="46">
        <v>2018</v>
      </c>
      <c r="G2289" s="47">
        <v>1.24E-2</v>
      </c>
      <c r="H2289" s="47">
        <f t="shared" si="173"/>
        <v>3.0326979781637523E-3</v>
      </c>
      <c r="I2289" s="47">
        <v>0.23419999999999999</v>
      </c>
      <c r="J2289" s="47">
        <f t="shared" si="174"/>
        <v>7.448117411265015E-2</v>
      </c>
      <c r="K2289" s="47">
        <v>9.9000000000000008E-3</v>
      </c>
      <c r="L2289" s="47">
        <f t="shared" si="175"/>
        <v>3.3779406980749319E-3</v>
      </c>
      <c r="M2289" s="47">
        <f t="shared" si="176"/>
        <v>-3.4524271991117966E-4</v>
      </c>
      <c r="N2289" s="47">
        <v>0.12759999999999999</v>
      </c>
      <c r="O2289" s="47">
        <f t="shared" si="177"/>
        <v>4.107520135144354E-2</v>
      </c>
      <c r="P2289" s="92"/>
    </row>
    <row r="2290" spans="1:16" x14ac:dyDescent="0.25">
      <c r="A2290" s="29">
        <v>17</v>
      </c>
      <c r="B2290" s="30">
        <v>438168.10856199998</v>
      </c>
      <c r="C2290" s="30">
        <v>5688393.3324180003</v>
      </c>
      <c r="D2290" s="30">
        <v>31</v>
      </c>
      <c r="E2290" s="30" t="s">
        <v>36</v>
      </c>
      <c r="F2290" s="46">
        <v>2018</v>
      </c>
      <c r="G2290" s="47">
        <v>3.6299999999999999E-2</v>
      </c>
      <c r="H2290" s="47">
        <f t="shared" si="173"/>
        <v>8.8779787586567918E-3</v>
      </c>
      <c r="I2290" s="47">
        <v>4.58E-2</v>
      </c>
      <c r="J2290" s="47">
        <f t="shared" si="174"/>
        <v>1.4565490069852164E-2</v>
      </c>
      <c r="K2290" s="47">
        <v>8.8000000000000005E-3</v>
      </c>
      <c r="L2290" s="47">
        <f t="shared" si="175"/>
        <v>3.002613953844384E-3</v>
      </c>
      <c r="M2290" s="47">
        <f t="shared" si="176"/>
        <v>5.8753648048124078E-3</v>
      </c>
      <c r="N2290" s="47">
        <v>5.6299999999999996E-2</v>
      </c>
      <c r="O2290" s="47">
        <f t="shared" si="177"/>
        <v>1.8123305925440997E-2</v>
      </c>
      <c r="P2290" s="92"/>
    </row>
    <row r="2291" spans="1:16" x14ac:dyDescent="0.25">
      <c r="A2291" s="29">
        <v>18</v>
      </c>
      <c r="B2291" s="30">
        <v>438287.10856199998</v>
      </c>
      <c r="C2291" s="30">
        <v>5688393.3324180003</v>
      </c>
      <c r="D2291" s="30">
        <v>31</v>
      </c>
      <c r="E2291" s="30" t="s">
        <v>36</v>
      </c>
      <c r="F2291" s="46">
        <v>2018</v>
      </c>
      <c r="G2291" s="47">
        <v>2.7300000000000001E-2</v>
      </c>
      <c r="H2291" s="47">
        <f t="shared" si="173"/>
        <v>6.6768270003121329E-3</v>
      </c>
      <c r="I2291" s="47">
        <v>0</v>
      </c>
      <c r="J2291" s="47">
        <f t="shared" si="174"/>
        <v>0</v>
      </c>
      <c r="K2291" s="47">
        <v>6.4000000000000003E-3</v>
      </c>
      <c r="L2291" s="47">
        <f t="shared" si="175"/>
        <v>2.1837192391595522E-3</v>
      </c>
      <c r="M2291" s="47">
        <f t="shared" si="176"/>
        <v>4.4931077611525807E-3</v>
      </c>
      <c r="N2291" s="47">
        <v>0</v>
      </c>
      <c r="O2291" s="47">
        <f t="shared" si="177"/>
        <v>0</v>
      </c>
      <c r="P2291" s="92"/>
    </row>
    <row r="2292" spans="1:16" x14ac:dyDescent="0.25">
      <c r="A2292" s="29">
        <v>19</v>
      </c>
      <c r="B2292" s="30">
        <v>438406.10856199998</v>
      </c>
      <c r="C2292" s="30">
        <v>5688393.3324180003</v>
      </c>
      <c r="D2292" s="30">
        <v>31</v>
      </c>
      <c r="E2292" s="30" t="s">
        <v>36</v>
      </c>
      <c r="F2292" s="46">
        <v>2018</v>
      </c>
      <c r="G2292" s="47">
        <v>8.14E-2</v>
      </c>
      <c r="H2292" s="47">
        <f t="shared" si="173"/>
        <v>1.9908194792139473E-2</v>
      </c>
      <c r="I2292" s="47">
        <v>0</v>
      </c>
      <c r="J2292" s="47">
        <f t="shared" si="174"/>
        <v>0</v>
      </c>
      <c r="K2292" s="47">
        <v>1.83E-2</v>
      </c>
      <c r="L2292" s="47">
        <f t="shared" si="175"/>
        <v>6.2440721994718434E-3</v>
      </c>
      <c r="M2292" s="47">
        <f t="shared" si="176"/>
        <v>1.3664122592667629E-2</v>
      </c>
      <c r="N2292" s="47">
        <v>0</v>
      </c>
      <c r="O2292" s="47">
        <f t="shared" si="177"/>
        <v>0</v>
      </c>
      <c r="P2292" s="92"/>
    </row>
    <row r="2293" spans="1:16" x14ac:dyDescent="0.25">
      <c r="A2293" s="42">
        <v>20</v>
      </c>
      <c r="B2293" s="43">
        <v>437335.10856199998</v>
      </c>
      <c r="C2293" s="43">
        <v>5688512.3324180003</v>
      </c>
      <c r="D2293" s="44">
        <v>31</v>
      </c>
      <c r="E2293" s="44" t="s">
        <v>36</v>
      </c>
      <c r="F2293" s="44">
        <v>2018</v>
      </c>
      <c r="G2293" s="44" t="s">
        <v>18</v>
      </c>
      <c r="H2293" s="44" t="s">
        <v>18</v>
      </c>
      <c r="I2293" s="44" t="s">
        <v>18</v>
      </c>
      <c r="J2293" s="44" t="s">
        <v>18</v>
      </c>
      <c r="K2293" s="44" t="s">
        <v>18</v>
      </c>
      <c r="L2293" s="44" t="s">
        <v>18</v>
      </c>
      <c r="M2293" s="44" t="s">
        <v>18</v>
      </c>
      <c r="N2293" s="44" t="s">
        <v>18</v>
      </c>
      <c r="O2293" s="44" t="s">
        <v>18</v>
      </c>
      <c r="P2293" s="102" t="s">
        <v>109</v>
      </c>
    </row>
    <row r="2294" spans="1:16" x14ac:dyDescent="0.25">
      <c r="A2294" s="29">
        <v>21</v>
      </c>
      <c r="B2294" s="30">
        <v>437454.10856199998</v>
      </c>
      <c r="C2294" s="30">
        <v>5688512.3324180003</v>
      </c>
      <c r="D2294" s="30">
        <v>31</v>
      </c>
      <c r="E2294" s="30" t="s">
        <v>36</v>
      </c>
      <c r="F2294" s="46">
        <v>2018</v>
      </c>
      <c r="G2294" s="47">
        <v>2.12E-2</v>
      </c>
      <c r="H2294" s="47">
        <f t="shared" si="173"/>
        <v>5.1849352529896413E-3</v>
      </c>
      <c r="I2294" s="47">
        <v>0</v>
      </c>
      <c r="J2294" s="47">
        <f t="shared" si="174"/>
        <v>0</v>
      </c>
      <c r="K2294" s="47">
        <v>2.0399999999999998E-2</v>
      </c>
      <c r="L2294" s="47">
        <f t="shared" si="175"/>
        <v>6.9606050748210711E-3</v>
      </c>
      <c r="M2294" s="47">
        <f t="shared" si="176"/>
        <v>-1.7756698218314299E-3</v>
      </c>
      <c r="N2294" s="47">
        <v>0</v>
      </c>
      <c r="O2294" s="47">
        <f t="shared" si="177"/>
        <v>0</v>
      </c>
      <c r="P2294" s="92"/>
    </row>
    <row r="2295" spans="1:16" x14ac:dyDescent="0.25">
      <c r="A2295" s="29">
        <v>22</v>
      </c>
      <c r="B2295" s="30">
        <v>437573.10856199998</v>
      </c>
      <c r="C2295" s="30">
        <v>5688512.3324180003</v>
      </c>
      <c r="D2295" s="30">
        <v>31</v>
      </c>
      <c r="E2295" s="30" t="s">
        <v>36</v>
      </c>
      <c r="F2295" s="46">
        <v>2018</v>
      </c>
      <c r="G2295" s="47">
        <v>0.13059999999999999</v>
      </c>
      <c r="H2295" s="47">
        <f t="shared" si="173"/>
        <v>3.1941157737756944E-2</v>
      </c>
      <c r="I2295" s="47">
        <v>1.5800000000000002E-2</v>
      </c>
      <c r="J2295" s="47">
        <f t="shared" si="174"/>
        <v>5.0247760502983452E-3</v>
      </c>
      <c r="K2295" s="47">
        <v>1.83E-2</v>
      </c>
      <c r="L2295" s="47">
        <f t="shared" si="175"/>
        <v>6.2440721994718434E-3</v>
      </c>
      <c r="M2295" s="47">
        <f t="shared" si="176"/>
        <v>2.5697085538285099E-2</v>
      </c>
      <c r="N2295" s="47">
        <v>0.1221</v>
      </c>
      <c r="O2295" s="47">
        <f t="shared" si="177"/>
        <v>3.9304718534570973E-2</v>
      </c>
      <c r="P2295" s="92"/>
    </row>
    <row r="2296" spans="1:16" x14ac:dyDescent="0.25">
      <c r="A2296" s="29">
        <v>23</v>
      </c>
      <c r="B2296" s="30">
        <v>437692.10856199998</v>
      </c>
      <c r="C2296" s="30">
        <v>5688512.3324180003</v>
      </c>
      <c r="D2296" s="30">
        <v>31</v>
      </c>
      <c r="E2296" s="30" t="s">
        <v>36</v>
      </c>
      <c r="F2296" s="46">
        <v>2018</v>
      </c>
      <c r="G2296" s="47">
        <v>1.2800000000000001E-2</v>
      </c>
      <c r="H2296" s="47">
        <f t="shared" si="173"/>
        <v>3.1305269452012929E-3</v>
      </c>
      <c r="I2296" s="47">
        <v>0</v>
      </c>
      <c r="J2296" s="47">
        <f t="shared" si="174"/>
        <v>0</v>
      </c>
      <c r="K2296" s="47">
        <v>2.8999999999999998E-3</v>
      </c>
      <c r="L2296" s="47">
        <f t="shared" si="175"/>
        <v>9.8949778024417178E-4</v>
      </c>
      <c r="M2296" s="47">
        <f>H2296-L2296</f>
        <v>2.1410291649571209E-3</v>
      </c>
      <c r="N2296" s="47">
        <v>0</v>
      </c>
      <c r="O2296" s="47">
        <f t="shared" si="177"/>
        <v>0</v>
      </c>
      <c r="P2296" s="92"/>
    </row>
    <row r="2297" spans="1:16" x14ac:dyDescent="0.25">
      <c r="A2297" s="29">
        <v>24</v>
      </c>
      <c r="B2297" s="30">
        <v>437811.10856199998</v>
      </c>
      <c r="C2297" s="30">
        <v>5688512.3324180003</v>
      </c>
      <c r="D2297" s="30">
        <v>31</v>
      </c>
      <c r="E2297" s="30" t="s">
        <v>36</v>
      </c>
      <c r="F2297" s="46">
        <v>2018</v>
      </c>
      <c r="G2297" s="47">
        <v>6.5000000000000002E-2</v>
      </c>
      <c r="H2297" s="47">
        <f t="shared" si="173"/>
        <v>1.5897207143600316E-2</v>
      </c>
      <c r="I2297" s="47">
        <v>5.8500000000000003E-2</v>
      </c>
      <c r="J2297" s="47">
        <f t="shared" si="174"/>
        <v>1.8604392338129948E-2</v>
      </c>
      <c r="K2297" s="47">
        <v>5.4299999999999994E-2</v>
      </c>
      <c r="L2297" s="47">
        <f t="shared" si="175"/>
        <v>1.8527492919744322E-2</v>
      </c>
      <c r="M2297" s="47">
        <f t="shared" si="176"/>
        <v>-2.6302857761440063E-3</v>
      </c>
      <c r="N2297" s="47">
        <v>5.0500000000000003E-2</v>
      </c>
      <c r="O2297" s="47">
        <f t="shared" si="177"/>
        <v>1.6256251318557201E-2</v>
      </c>
      <c r="P2297" s="92"/>
    </row>
    <row r="2298" spans="1:16" x14ac:dyDescent="0.25">
      <c r="A2298" s="29">
        <v>25</v>
      </c>
      <c r="B2298" s="46">
        <v>437995</v>
      </c>
      <c r="C2298" s="46">
        <v>5688493</v>
      </c>
      <c r="D2298" s="30">
        <v>31</v>
      </c>
      <c r="E2298" s="30" t="s">
        <v>36</v>
      </c>
      <c r="F2298" s="46">
        <v>2018</v>
      </c>
      <c r="G2298" s="47">
        <v>6.0399999999999995E-2</v>
      </c>
      <c r="H2298" s="47">
        <f t="shared" si="173"/>
        <v>1.47721740226686E-2</v>
      </c>
      <c r="I2298" s="47">
        <v>0</v>
      </c>
      <c r="J2298" s="47">
        <f t="shared" si="174"/>
        <v>0</v>
      </c>
      <c r="K2298" s="47">
        <v>2.63E-2</v>
      </c>
      <c r="L2298" s="47">
        <f t="shared" si="175"/>
        <v>8.973721248421284E-3</v>
      </c>
      <c r="M2298" s="47">
        <f t="shared" si="176"/>
        <v>5.7984527742473164E-3</v>
      </c>
      <c r="N2298" s="47">
        <v>0</v>
      </c>
      <c r="O2298" s="47">
        <f t="shared" si="177"/>
        <v>0</v>
      </c>
      <c r="P2298" s="92"/>
    </row>
    <row r="2299" spans="1:16" x14ac:dyDescent="0.25">
      <c r="A2299" s="29">
        <v>26</v>
      </c>
      <c r="B2299" s="46">
        <v>438112</v>
      </c>
      <c r="C2299" s="46">
        <v>5688567</v>
      </c>
      <c r="D2299" s="30">
        <v>31</v>
      </c>
      <c r="E2299" s="30" t="s">
        <v>36</v>
      </c>
      <c r="F2299" s="46">
        <v>2018</v>
      </c>
      <c r="G2299" s="47">
        <v>0.16140000000000002</v>
      </c>
      <c r="H2299" s="47">
        <f t="shared" si="173"/>
        <v>3.9473988199647557E-2</v>
      </c>
      <c r="I2299" s="47">
        <v>0</v>
      </c>
      <c r="J2299" s="47">
        <f t="shared" si="174"/>
        <v>0</v>
      </c>
      <c r="K2299" s="47">
        <v>2.52E-2</v>
      </c>
      <c r="L2299" s="47">
        <f t="shared" si="175"/>
        <v>8.5983945041907348E-3</v>
      </c>
      <c r="M2299" s="47">
        <f t="shared" si="176"/>
        <v>3.0875593695456824E-2</v>
      </c>
      <c r="N2299" s="47">
        <v>0</v>
      </c>
      <c r="O2299" s="47">
        <f t="shared" si="177"/>
        <v>0</v>
      </c>
      <c r="P2299" s="92"/>
    </row>
    <row r="2300" spans="1:16" x14ac:dyDescent="0.25">
      <c r="A2300" s="32">
        <v>27</v>
      </c>
      <c r="B2300" s="33">
        <v>438168.10856199998</v>
      </c>
      <c r="C2300" s="33">
        <v>5688512.3324180003</v>
      </c>
      <c r="D2300" s="48">
        <v>31</v>
      </c>
      <c r="E2300" s="48" t="s">
        <v>36</v>
      </c>
      <c r="F2300" s="48">
        <v>2018</v>
      </c>
      <c r="G2300" s="48" t="s">
        <v>18</v>
      </c>
      <c r="H2300" s="48" t="s">
        <v>18</v>
      </c>
      <c r="I2300" s="48" t="s">
        <v>18</v>
      </c>
      <c r="J2300" s="48" t="s">
        <v>18</v>
      </c>
      <c r="K2300" s="48" t="s">
        <v>18</v>
      </c>
      <c r="L2300" s="48" t="s">
        <v>18</v>
      </c>
      <c r="M2300" s="48" t="s">
        <v>18</v>
      </c>
      <c r="N2300" s="48" t="s">
        <v>18</v>
      </c>
      <c r="O2300" s="48" t="s">
        <v>18</v>
      </c>
      <c r="P2300" s="103" t="s">
        <v>89</v>
      </c>
    </row>
    <row r="2301" spans="1:16" x14ac:dyDescent="0.25">
      <c r="A2301" s="32">
        <v>28</v>
      </c>
      <c r="B2301" s="33">
        <v>438287.10856199998</v>
      </c>
      <c r="C2301" s="33">
        <v>5688512.3324180003</v>
      </c>
      <c r="D2301" s="48">
        <v>31</v>
      </c>
      <c r="E2301" s="48" t="s">
        <v>36</v>
      </c>
      <c r="F2301" s="48">
        <v>2018</v>
      </c>
      <c r="G2301" s="48" t="s">
        <v>18</v>
      </c>
      <c r="H2301" s="48" t="s">
        <v>18</v>
      </c>
      <c r="I2301" s="48" t="s">
        <v>18</v>
      </c>
      <c r="J2301" s="48" t="s">
        <v>18</v>
      </c>
      <c r="K2301" s="48" t="s">
        <v>18</v>
      </c>
      <c r="L2301" s="48" t="s">
        <v>18</v>
      </c>
      <c r="M2301" s="48" t="s">
        <v>18</v>
      </c>
      <c r="N2301" s="48" t="s">
        <v>18</v>
      </c>
      <c r="O2301" s="48" t="s">
        <v>18</v>
      </c>
      <c r="P2301" s="103" t="s">
        <v>89</v>
      </c>
    </row>
    <row r="2302" spans="1:16" x14ac:dyDescent="0.25">
      <c r="A2302" s="29">
        <v>29</v>
      </c>
      <c r="B2302" s="30">
        <v>438381</v>
      </c>
      <c r="C2302" s="30">
        <v>5688526</v>
      </c>
      <c r="D2302" s="30">
        <v>31</v>
      </c>
      <c r="E2302" s="30" t="s">
        <v>36</v>
      </c>
      <c r="F2302" s="46">
        <v>2018</v>
      </c>
      <c r="G2302" s="47">
        <v>6.3100000000000003E-2</v>
      </c>
      <c r="H2302" s="47">
        <f t="shared" si="173"/>
        <v>1.5432519550172E-2</v>
      </c>
      <c r="I2302" s="47">
        <v>0</v>
      </c>
      <c r="J2302" s="47">
        <f t="shared" si="174"/>
        <v>0</v>
      </c>
      <c r="K2302" s="47">
        <v>4.0100000000000004E-2</v>
      </c>
      <c r="L2302" s="47">
        <f t="shared" si="175"/>
        <v>1.3682365857859069E-2</v>
      </c>
      <c r="M2302" s="47">
        <f t="shared" si="176"/>
        <v>1.7501536923129318E-3</v>
      </c>
      <c r="N2302" s="47">
        <v>0</v>
      </c>
      <c r="O2302" s="47">
        <f t="shared" si="177"/>
        <v>0</v>
      </c>
      <c r="P2302" s="92"/>
    </row>
    <row r="2303" spans="1:16" x14ac:dyDescent="0.25">
      <c r="A2303" s="29">
        <v>30</v>
      </c>
      <c r="B2303" s="30">
        <v>438525.10856199998</v>
      </c>
      <c r="C2303" s="30">
        <v>5688512.3324180003</v>
      </c>
      <c r="D2303" s="30">
        <v>31</v>
      </c>
      <c r="E2303" s="30" t="s">
        <v>36</v>
      </c>
      <c r="F2303" s="46">
        <v>2018</v>
      </c>
      <c r="G2303" s="47">
        <v>1.72E-2</v>
      </c>
      <c r="H2303" s="47">
        <f t="shared" si="173"/>
        <v>4.2066455826142374E-3</v>
      </c>
      <c r="I2303" s="47">
        <v>0</v>
      </c>
      <c r="J2303" s="47">
        <f t="shared" si="174"/>
        <v>0</v>
      </c>
      <c r="K2303" s="47">
        <v>1.0199999999999999E-2</v>
      </c>
      <c r="L2303" s="47">
        <f t="shared" si="175"/>
        <v>3.4803025374105356E-3</v>
      </c>
      <c r="M2303" s="47">
        <f t="shared" si="176"/>
        <v>7.2634304520370185E-4</v>
      </c>
      <c r="N2303" s="47">
        <v>0</v>
      </c>
      <c r="O2303" s="47">
        <f t="shared" si="177"/>
        <v>0</v>
      </c>
      <c r="P2303" s="92"/>
    </row>
    <row r="2304" spans="1:16" x14ac:dyDescent="0.25">
      <c r="A2304" s="29">
        <v>31</v>
      </c>
      <c r="B2304" s="30">
        <v>437335.10856199998</v>
      </c>
      <c r="C2304" s="30">
        <v>5688631.3324180003</v>
      </c>
      <c r="D2304" s="30">
        <v>30</v>
      </c>
      <c r="E2304" s="30" t="s">
        <v>36</v>
      </c>
      <c r="F2304" s="46">
        <v>2018</v>
      </c>
      <c r="G2304" s="47">
        <v>5.4600000000000003E-2</v>
      </c>
      <c r="H2304" s="47">
        <f t="shared" ref="H2304:H2333" si="178">G2304*0.258265618488229</f>
        <v>1.4101302769457303E-2</v>
      </c>
      <c r="I2304" s="47">
        <v>0</v>
      </c>
      <c r="J2304" s="47">
        <f t="shared" ref="J2304:J2333" si="179">I2304*0.241283124128312</f>
        <v>0</v>
      </c>
      <c r="K2304" s="47">
        <v>5.45E-2</v>
      </c>
      <c r="L2304" s="47">
        <f t="shared" ref="L2304:L2333" si="180">K2304*0.390804597701149</f>
        <v>2.1298850574712622E-2</v>
      </c>
      <c r="M2304" s="47">
        <f t="shared" si="176"/>
        <v>-7.1975478052553193E-3</v>
      </c>
      <c r="N2304" s="47">
        <v>0</v>
      </c>
      <c r="O2304" s="47">
        <f t="shared" ref="O2304:O2333" si="181">N2304*0.253588516746411</f>
        <v>0</v>
      </c>
      <c r="P2304" s="92"/>
    </row>
    <row r="2305" spans="1:16" x14ac:dyDescent="0.25">
      <c r="A2305" s="29">
        <v>32</v>
      </c>
      <c r="B2305" s="30">
        <v>437454.10856199998</v>
      </c>
      <c r="C2305" s="30">
        <v>5688631.3324180003</v>
      </c>
      <c r="D2305" s="30">
        <v>31</v>
      </c>
      <c r="E2305" s="30" t="s">
        <v>36</v>
      </c>
      <c r="F2305" s="46">
        <v>2018</v>
      </c>
      <c r="G2305" s="47">
        <v>4.9799999999999997E-2</v>
      </c>
      <c r="H2305" s="47">
        <f t="shared" ref="H2305:H2309" si="182">G2305*0.244572417593851</f>
        <v>1.217970639617378E-2</v>
      </c>
      <c r="I2305" s="47">
        <v>0.06</v>
      </c>
      <c r="J2305" s="47">
        <f t="shared" si="174"/>
        <v>1.9081428039107638E-2</v>
      </c>
      <c r="K2305" s="47">
        <v>3.5299999999999998E-2</v>
      </c>
      <c r="L2305" s="47">
        <f t="shared" si="175"/>
        <v>1.2044576428489403E-2</v>
      </c>
      <c r="M2305" s="47">
        <f t="shared" si="176"/>
        <v>1.3512996768437653E-4</v>
      </c>
      <c r="N2305" s="47">
        <v>7.2300000000000003E-2</v>
      </c>
      <c r="O2305" s="47">
        <f t="shared" si="177"/>
        <v>2.3273801392706645E-2</v>
      </c>
      <c r="P2305" s="92"/>
    </row>
    <row r="2306" spans="1:16" x14ac:dyDescent="0.25">
      <c r="A2306" s="29">
        <v>33</v>
      </c>
      <c r="B2306" s="30">
        <v>437573.10856199998</v>
      </c>
      <c r="C2306" s="30">
        <v>5688631.3324180003</v>
      </c>
      <c r="D2306" s="30">
        <v>31</v>
      </c>
      <c r="E2306" s="30" t="s">
        <v>36</v>
      </c>
      <c r="F2306" s="46">
        <v>2018</v>
      </c>
      <c r="G2306" s="47">
        <v>7.5200000000000003E-2</v>
      </c>
      <c r="H2306" s="47">
        <f t="shared" si="182"/>
        <v>1.8391845803057597E-2</v>
      </c>
      <c r="I2306" s="47">
        <v>0</v>
      </c>
      <c r="J2306" s="47">
        <f t="shared" si="174"/>
        <v>0</v>
      </c>
      <c r="K2306" s="47">
        <v>5.7999999999999996E-3</v>
      </c>
      <c r="L2306" s="47">
        <f t="shared" si="175"/>
        <v>1.9789955604883436E-3</v>
      </c>
      <c r="M2306" s="47">
        <f t="shared" si="176"/>
        <v>1.6412850242569253E-2</v>
      </c>
      <c r="N2306" s="47">
        <v>0</v>
      </c>
      <c r="O2306" s="47">
        <f t="shared" si="177"/>
        <v>0</v>
      </c>
      <c r="P2306" s="92"/>
    </row>
    <row r="2307" spans="1:16" x14ac:dyDescent="0.25">
      <c r="A2307" s="29">
        <v>34</v>
      </c>
      <c r="B2307" s="30">
        <v>437692.10856199998</v>
      </c>
      <c r="C2307" s="30">
        <v>5688631.3324180003</v>
      </c>
      <c r="D2307" s="30">
        <v>31</v>
      </c>
      <c r="E2307" s="30" t="s">
        <v>36</v>
      </c>
      <c r="F2307" s="46">
        <v>2018</v>
      </c>
      <c r="G2307" s="47">
        <v>7.4799999999999991E-2</v>
      </c>
      <c r="H2307" s="47">
        <f t="shared" si="182"/>
        <v>1.8294016836020055E-2</v>
      </c>
      <c r="I2307" s="47">
        <v>0</v>
      </c>
      <c r="J2307" s="47">
        <f t="shared" si="174"/>
        <v>0</v>
      </c>
      <c r="K2307" s="47">
        <v>7.0000000000000001E-3</v>
      </c>
      <c r="L2307" s="47">
        <f t="shared" si="175"/>
        <v>2.3884429178307599E-3</v>
      </c>
      <c r="M2307" s="47">
        <f t="shared" si="176"/>
        <v>1.5905573918189295E-2</v>
      </c>
      <c r="N2307" s="47">
        <v>0</v>
      </c>
      <c r="O2307" s="47">
        <f t="shared" si="177"/>
        <v>0</v>
      </c>
      <c r="P2307" s="92"/>
    </row>
    <row r="2308" spans="1:16" x14ac:dyDescent="0.25">
      <c r="A2308" s="29">
        <v>35</v>
      </c>
      <c r="B2308" s="30">
        <v>437893</v>
      </c>
      <c r="C2308" s="30">
        <v>5688620</v>
      </c>
      <c r="D2308" s="30">
        <v>31</v>
      </c>
      <c r="E2308" s="30" t="s">
        <v>36</v>
      </c>
      <c r="F2308" s="46">
        <v>2018</v>
      </c>
      <c r="G2308" s="47">
        <v>0.1072</v>
      </c>
      <c r="H2308" s="47">
        <f t="shared" si="182"/>
        <v>2.6218163166060827E-2</v>
      </c>
      <c r="I2308" s="47">
        <v>0</v>
      </c>
      <c r="J2308" s="47">
        <f t="shared" si="174"/>
        <v>0</v>
      </c>
      <c r="K2308" s="47">
        <v>6.4999999999999997E-3</v>
      </c>
      <c r="L2308" s="47">
        <f t="shared" si="175"/>
        <v>2.2178398522714198E-3</v>
      </c>
      <c r="M2308" s="47">
        <f t="shared" si="176"/>
        <v>2.4000323313789408E-2</v>
      </c>
      <c r="N2308" s="47">
        <v>0</v>
      </c>
      <c r="O2308" s="47">
        <f t="shared" si="177"/>
        <v>0</v>
      </c>
      <c r="P2308" s="92"/>
    </row>
    <row r="2309" spans="1:16" x14ac:dyDescent="0.25">
      <c r="A2309" s="29">
        <v>36</v>
      </c>
      <c r="B2309" s="30">
        <v>437930.10856199998</v>
      </c>
      <c r="C2309" s="30">
        <v>5688631.3324180003</v>
      </c>
      <c r="D2309" s="30">
        <v>31</v>
      </c>
      <c r="E2309" s="30" t="s">
        <v>36</v>
      </c>
      <c r="F2309" s="46">
        <v>2018</v>
      </c>
      <c r="G2309" s="47">
        <v>6.5000000000000002E-2</v>
      </c>
      <c r="H2309" s="47">
        <f t="shared" si="182"/>
        <v>1.5897207143600316E-2</v>
      </c>
      <c r="I2309" s="47">
        <v>0</v>
      </c>
      <c r="J2309" s="47">
        <f t="shared" si="174"/>
        <v>0</v>
      </c>
      <c r="K2309" s="47">
        <v>1.6899999999999998E-2</v>
      </c>
      <c r="L2309" s="47">
        <f t="shared" si="175"/>
        <v>5.766383615905691E-3</v>
      </c>
      <c r="M2309" s="47">
        <f t="shared" si="176"/>
        <v>1.0130823527694625E-2</v>
      </c>
      <c r="N2309" s="47">
        <v>0</v>
      </c>
      <c r="O2309" s="47">
        <f t="shared" si="177"/>
        <v>0</v>
      </c>
      <c r="P2309" s="92"/>
    </row>
    <row r="2310" spans="1:16" x14ac:dyDescent="0.25">
      <c r="A2310" s="32">
        <v>37</v>
      </c>
      <c r="B2310" s="33">
        <v>438049.10856199998</v>
      </c>
      <c r="C2310" s="33">
        <v>5688631.3324180003</v>
      </c>
      <c r="D2310" s="48">
        <v>31</v>
      </c>
      <c r="E2310" s="48" t="s">
        <v>36</v>
      </c>
      <c r="F2310" s="48">
        <v>2018</v>
      </c>
      <c r="G2310" s="48" t="s">
        <v>18</v>
      </c>
      <c r="H2310" s="48" t="s">
        <v>18</v>
      </c>
      <c r="I2310" s="48" t="s">
        <v>18</v>
      </c>
      <c r="J2310" s="48" t="s">
        <v>18</v>
      </c>
      <c r="K2310" s="48" t="s">
        <v>18</v>
      </c>
      <c r="L2310" s="48" t="s">
        <v>18</v>
      </c>
      <c r="M2310" s="48" t="s">
        <v>18</v>
      </c>
      <c r="N2310" s="48" t="s">
        <v>18</v>
      </c>
      <c r="O2310" s="48" t="s">
        <v>18</v>
      </c>
      <c r="P2310" s="103" t="s">
        <v>89</v>
      </c>
    </row>
    <row r="2311" spans="1:16" x14ac:dyDescent="0.25">
      <c r="A2311" s="29">
        <v>38</v>
      </c>
      <c r="B2311" s="30">
        <v>438067</v>
      </c>
      <c r="C2311" s="30">
        <v>5688710</v>
      </c>
      <c r="D2311" s="30">
        <v>30</v>
      </c>
      <c r="E2311" s="30" t="s">
        <v>36</v>
      </c>
      <c r="F2311" s="46">
        <v>2018</v>
      </c>
      <c r="G2311" s="54">
        <v>6.2100000000000002E-2</v>
      </c>
      <c r="H2311" s="47">
        <f t="shared" si="178"/>
        <v>1.6038294908119019E-2</v>
      </c>
      <c r="I2311" s="54">
        <v>0</v>
      </c>
      <c r="J2311" s="47">
        <f t="shared" si="179"/>
        <v>0</v>
      </c>
      <c r="K2311" s="54">
        <v>2.5999999999999999E-3</v>
      </c>
      <c r="L2311" s="47">
        <f t="shared" si="180"/>
        <v>1.0160919540229873E-3</v>
      </c>
      <c r="M2311" s="47">
        <f t="shared" si="176"/>
        <v>1.5022202954096031E-2</v>
      </c>
      <c r="N2311" s="47">
        <v>0</v>
      </c>
      <c r="O2311" s="47">
        <f t="shared" si="181"/>
        <v>0</v>
      </c>
      <c r="P2311" s="92"/>
    </row>
    <row r="2312" spans="1:16" x14ac:dyDescent="0.25">
      <c r="A2312" s="32">
        <v>39</v>
      </c>
      <c r="B2312" s="33">
        <v>438287.10856199998</v>
      </c>
      <c r="C2312" s="33">
        <v>5688631.3324180003</v>
      </c>
      <c r="D2312" s="48">
        <v>31</v>
      </c>
      <c r="E2312" s="48" t="s">
        <v>36</v>
      </c>
      <c r="F2312" s="48">
        <v>2018</v>
      </c>
      <c r="G2312" s="48" t="s">
        <v>18</v>
      </c>
      <c r="H2312" s="48" t="s">
        <v>18</v>
      </c>
      <c r="I2312" s="48" t="s">
        <v>18</v>
      </c>
      <c r="J2312" s="48" t="s">
        <v>18</v>
      </c>
      <c r="K2312" s="48" t="s">
        <v>18</v>
      </c>
      <c r="L2312" s="48" t="s">
        <v>18</v>
      </c>
      <c r="M2312" s="48" t="s">
        <v>18</v>
      </c>
      <c r="N2312" s="48" t="s">
        <v>18</v>
      </c>
      <c r="O2312" s="48" t="s">
        <v>18</v>
      </c>
      <c r="P2312" s="94" t="s">
        <v>22</v>
      </c>
    </row>
    <row r="2313" spans="1:16" x14ac:dyDescent="0.25">
      <c r="A2313" s="29">
        <v>40</v>
      </c>
      <c r="B2313" s="30">
        <v>438406.10856199998</v>
      </c>
      <c r="C2313" s="30">
        <v>5688631.3324180003</v>
      </c>
      <c r="D2313" s="30">
        <v>31</v>
      </c>
      <c r="E2313" s="30" t="s">
        <v>36</v>
      </c>
      <c r="F2313" s="46">
        <v>2018</v>
      </c>
      <c r="G2313" s="54">
        <v>1.2999999999999999E-2</v>
      </c>
      <c r="H2313" s="47">
        <f t="shared" ref="H2313" si="183">G2313*0.244572417593851</f>
        <v>3.1794414287200628E-3</v>
      </c>
      <c r="I2313" s="47">
        <v>0</v>
      </c>
      <c r="J2313" s="47">
        <f t="shared" si="174"/>
        <v>0</v>
      </c>
      <c r="K2313" s="47">
        <v>4.4999999999999997E-3</v>
      </c>
      <c r="L2313" s="47">
        <f t="shared" si="175"/>
        <v>1.5354275900340598E-3</v>
      </c>
      <c r="M2313" s="47">
        <f t="shared" si="176"/>
        <v>1.644013838686003E-3</v>
      </c>
      <c r="N2313" s="47">
        <v>1.11E-2</v>
      </c>
      <c r="O2313" s="47">
        <f t="shared" si="177"/>
        <v>3.5731562304155435E-3</v>
      </c>
      <c r="P2313" s="92"/>
    </row>
    <row r="2314" spans="1:16" x14ac:dyDescent="0.25">
      <c r="A2314" s="29">
        <v>41</v>
      </c>
      <c r="B2314" s="30">
        <v>437310</v>
      </c>
      <c r="C2314" s="30">
        <v>5688729</v>
      </c>
      <c r="D2314" s="30">
        <v>30</v>
      </c>
      <c r="E2314" s="30" t="s">
        <v>36</v>
      </c>
      <c r="F2314" s="46">
        <v>2018</v>
      </c>
      <c r="G2314" s="47">
        <v>5.96E-2</v>
      </c>
      <c r="H2314" s="47">
        <f t="shared" si="178"/>
        <v>1.5392630861898448E-2</v>
      </c>
      <c r="I2314" s="47">
        <v>3.6700000000000003E-2</v>
      </c>
      <c r="J2314" s="47">
        <f t="shared" si="179"/>
        <v>8.855090655509051E-3</v>
      </c>
      <c r="K2314" s="47">
        <v>1.6300000000000002E-2</v>
      </c>
      <c r="L2314" s="47">
        <f t="shared" si="180"/>
        <v>6.3701149425287292E-3</v>
      </c>
      <c r="M2314" s="47">
        <f t="shared" si="176"/>
        <v>9.0225159193697176E-3</v>
      </c>
      <c r="N2314" s="47">
        <v>0</v>
      </c>
      <c r="O2314" s="47">
        <f t="shared" si="181"/>
        <v>0</v>
      </c>
      <c r="P2314" s="92"/>
    </row>
    <row r="2315" spans="1:16" x14ac:dyDescent="0.25">
      <c r="A2315" s="29">
        <v>42</v>
      </c>
      <c r="B2315" s="30">
        <v>437454.10856199998</v>
      </c>
      <c r="C2315" s="30">
        <v>5688750.3324180003</v>
      </c>
      <c r="D2315" s="30">
        <v>30</v>
      </c>
      <c r="E2315" s="30" t="s">
        <v>36</v>
      </c>
      <c r="F2315" s="46">
        <v>2018</v>
      </c>
      <c r="G2315" s="54">
        <v>1.6300000000000002E-2</v>
      </c>
      <c r="H2315" s="47">
        <f t="shared" si="178"/>
        <v>4.2097295813581332E-3</v>
      </c>
      <c r="I2315" s="47">
        <v>1.72E-2</v>
      </c>
      <c r="J2315" s="47">
        <f t="shared" si="179"/>
        <v>4.150069735006966E-3</v>
      </c>
      <c r="K2315" s="47">
        <v>6.7000000000000002E-3</v>
      </c>
      <c r="L2315" s="47">
        <f t="shared" si="180"/>
        <v>2.6183908045976983E-3</v>
      </c>
      <c r="M2315" s="47">
        <f t="shared" si="176"/>
        <v>1.5913387767604349E-3</v>
      </c>
      <c r="N2315" s="5">
        <v>1.21E-2</v>
      </c>
      <c r="O2315" s="47">
        <f t="shared" si="181"/>
        <v>3.0684210526315727E-3</v>
      </c>
      <c r="P2315" s="92"/>
    </row>
    <row r="2316" spans="1:16" x14ac:dyDescent="0.25">
      <c r="A2316" s="29">
        <v>43</v>
      </c>
      <c r="B2316" s="30">
        <v>437573.10856199998</v>
      </c>
      <c r="C2316" s="30">
        <v>5688750.3324180003</v>
      </c>
      <c r="D2316" s="30">
        <v>30</v>
      </c>
      <c r="E2316" s="30" t="s">
        <v>36</v>
      </c>
      <c r="F2316" s="46">
        <v>2018</v>
      </c>
      <c r="G2316" s="47">
        <v>3.3799999999999997E-2</v>
      </c>
      <c r="H2316" s="47">
        <f t="shared" si="178"/>
        <v>8.7293779049021393E-3</v>
      </c>
      <c r="I2316" s="47">
        <v>0</v>
      </c>
      <c r="J2316" s="47">
        <f t="shared" si="179"/>
        <v>0</v>
      </c>
      <c r="K2316" s="47">
        <v>4.0999999999999995E-3</v>
      </c>
      <c r="L2316" s="47">
        <f t="shared" si="180"/>
        <v>1.6022988505747108E-3</v>
      </c>
      <c r="M2316" s="47">
        <f t="shared" si="176"/>
        <v>7.1270790543274285E-3</v>
      </c>
      <c r="N2316" s="47">
        <v>0</v>
      </c>
      <c r="O2316" s="47">
        <f t="shared" si="181"/>
        <v>0</v>
      </c>
      <c r="P2316" s="92"/>
    </row>
    <row r="2317" spans="1:16" x14ac:dyDescent="0.25">
      <c r="A2317" s="29">
        <v>44</v>
      </c>
      <c r="B2317" s="30">
        <v>437692.10856199998</v>
      </c>
      <c r="C2317" s="30">
        <v>5688750.3324180003</v>
      </c>
      <c r="D2317" s="30">
        <v>30</v>
      </c>
      <c r="E2317" s="30" t="s">
        <v>36</v>
      </c>
      <c r="F2317" s="46">
        <v>2018</v>
      </c>
      <c r="G2317" s="54">
        <v>5.0200000000000002E-2</v>
      </c>
      <c r="H2317" s="47">
        <f t="shared" si="178"/>
        <v>1.2964934048109096E-2</v>
      </c>
      <c r="I2317" s="47">
        <v>0</v>
      </c>
      <c r="J2317" s="47">
        <f t="shared" si="179"/>
        <v>0</v>
      </c>
      <c r="K2317" s="47">
        <v>1.9600000000000003E-2</v>
      </c>
      <c r="L2317" s="47">
        <f t="shared" si="180"/>
        <v>7.6597701149425214E-3</v>
      </c>
      <c r="M2317" s="47">
        <f t="shared" si="176"/>
        <v>5.3051639331665743E-3</v>
      </c>
      <c r="N2317" s="47">
        <v>0</v>
      </c>
      <c r="O2317" s="47">
        <f t="shared" si="181"/>
        <v>0</v>
      </c>
      <c r="P2317" s="92"/>
    </row>
    <row r="2318" spans="1:16" x14ac:dyDescent="0.25">
      <c r="A2318" s="29">
        <v>45</v>
      </c>
      <c r="B2318" s="30">
        <v>437811.10856199998</v>
      </c>
      <c r="C2318" s="30">
        <v>5688750.3324180003</v>
      </c>
      <c r="D2318" s="30">
        <v>30</v>
      </c>
      <c r="E2318" s="30" t="s">
        <v>36</v>
      </c>
      <c r="F2318" s="46">
        <v>2018</v>
      </c>
      <c r="G2318" s="47">
        <v>0.15830000000000002</v>
      </c>
      <c r="H2318" s="47">
        <f t="shared" si="178"/>
        <v>4.0883447406686653E-2</v>
      </c>
      <c r="I2318" s="47">
        <v>0</v>
      </c>
      <c r="J2318" s="47">
        <f t="shared" si="179"/>
        <v>0</v>
      </c>
      <c r="K2318" s="47">
        <v>1.21E-2</v>
      </c>
      <c r="L2318" s="47">
        <f t="shared" si="180"/>
        <v>4.7287356321839029E-3</v>
      </c>
      <c r="M2318" s="47">
        <f t="shared" si="176"/>
        <v>3.6154711774502753E-2</v>
      </c>
      <c r="N2318" s="47">
        <v>0</v>
      </c>
      <c r="O2318" s="47">
        <f t="shared" si="181"/>
        <v>0</v>
      </c>
      <c r="P2318" s="92"/>
    </row>
    <row r="2319" spans="1:16" x14ac:dyDescent="0.25">
      <c r="A2319" s="29">
        <v>46</v>
      </c>
      <c r="B2319" s="30">
        <v>437930.10856199998</v>
      </c>
      <c r="C2319" s="30">
        <v>5688750.3324180003</v>
      </c>
      <c r="D2319" s="30">
        <v>30</v>
      </c>
      <c r="E2319" s="30" t="s">
        <v>36</v>
      </c>
      <c r="F2319" s="46">
        <v>2018</v>
      </c>
      <c r="G2319" s="5">
        <v>4.9299999999999997E-2</v>
      </c>
      <c r="H2319" s="47">
        <f t="shared" si="178"/>
        <v>1.2732494991469688E-2</v>
      </c>
      <c r="I2319" s="47">
        <v>7.5600000000000001E-2</v>
      </c>
      <c r="J2319" s="47">
        <f t="shared" si="179"/>
        <v>1.8241004184100386E-2</v>
      </c>
      <c r="K2319" s="47">
        <v>1.3699999999999999E-2</v>
      </c>
      <c r="L2319" s="47">
        <f t="shared" si="180"/>
        <v>5.3540229885057408E-3</v>
      </c>
      <c r="M2319" s="47">
        <f t="shared" si="176"/>
        <v>7.3784720029639473E-3</v>
      </c>
      <c r="N2319" s="47">
        <v>1.9199999999999998E-2</v>
      </c>
      <c r="O2319" s="47">
        <f t="shared" si="181"/>
        <v>4.8688995215310903E-3</v>
      </c>
      <c r="P2319" s="92"/>
    </row>
    <row r="2320" spans="1:16" x14ac:dyDescent="0.25">
      <c r="A2320" s="29">
        <v>47</v>
      </c>
      <c r="B2320" s="30">
        <v>438061</v>
      </c>
      <c r="C2320" s="30">
        <v>5688779</v>
      </c>
      <c r="D2320" s="30">
        <v>30</v>
      </c>
      <c r="E2320" s="30" t="s">
        <v>36</v>
      </c>
      <c r="F2320" s="46">
        <v>2018</v>
      </c>
      <c r="G2320" s="47">
        <v>9.9699999999999997E-2</v>
      </c>
      <c r="H2320" s="47">
        <f t="shared" si="178"/>
        <v>2.574908216327643E-2</v>
      </c>
      <c r="I2320" s="47">
        <v>2.8300000000000002E-2</v>
      </c>
      <c r="J2320" s="47">
        <f t="shared" si="179"/>
        <v>6.8283124128312297E-3</v>
      </c>
      <c r="K2320" s="47">
        <v>3.8799999999999994E-2</v>
      </c>
      <c r="L2320" s="47">
        <f t="shared" si="180"/>
        <v>1.5163218390804579E-2</v>
      </c>
      <c r="M2320" s="47">
        <f t="shared" si="176"/>
        <v>1.0585863772471851E-2</v>
      </c>
      <c r="N2320" s="47">
        <v>7.4000000000000003E-3</v>
      </c>
      <c r="O2320" s="47">
        <f t="shared" si="181"/>
        <v>1.8765550239234414E-3</v>
      </c>
      <c r="P2320" s="92"/>
    </row>
    <row r="2321" spans="1:19" x14ac:dyDescent="0.25">
      <c r="A2321" s="32">
        <v>48</v>
      </c>
      <c r="B2321" s="33">
        <v>438168.10856199998</v>
      </c>
      <c r="C2321" s="33">
        <v>5688750.3324180003</v>
      </c>
      <c r="D2321" s="48">
        <v>31</v>
      </c>
      <c r="E2321" s="48" t="s">
        <v>36</v>
      </c>
      <c r="F2321" s="48">
        <v>2018</v>
      </c>
      <c r="G2321" s="48" t="s">
        <v>18</v>
      </c>
      <c r="H2321" s="48" t="s">
        <v>18</v>
      </c>
      <c r="I2321" s="48" t="s">
        <v>18</v>
      </c>
      <c r="J2321" s="48" t="s">
        <v>18</v>
      </c>
      <c r="K2321" s="48" t="s">
        <v>18</v>
      </c>
      <c r="L2321" s="48" t="s">
        <v>18</v>
      </c>
      <c r="M2321" s="48" t="s">
        <v>18</v>
      </c>
      <c r="N2321" s="48" t="s">
        <v>18</v>
      </c>
      <c r="O2321" s="48" t="s">
        <v>18</v>
      </c>
      <c r="P2321" s="103" t="s">
        <v>89</v>
      </c>
    </row>
    <row r="2322" spans="1:19" x14ac:dyDescent="0.25">
      <c r="A2322" s="29">
        <v>49</v>
      </c>
      <c r="B2322" s="30">
        <v>437454.10856199998</v>
      </c>
      <c r="C2322" s="30">
        <v>5688869.3324180003</v>
      </c>
      <c r="D2322" s="30">
        <v>30</v>
      </c>
      <c r="E2322" s="30" t="s">
        <v>36</v>
      </c>
      <c r="F2322" s="46">
        <v>2018</v>
      </c>
      <c r="G2322" s="47">
        <v>7.0999999999999994E-2</v>
      </c>
      <c r="H2322" s="47">
        <f t="shared" si="178"/>
        <v>1.8336858912664258E-2</v>
      </c>
      <c r="I2322" s="47">
        <v>0</v>
      </c>
      <c r="J2322" s="47">
        <f t="shared" si="179"/>
        <v>0</v>
      </c>
      <c r="K2322" s="47">
        <v>5.1999999999999998E-3</v>
      </c>
      <c r="L2322" s="47">
        <f t="shared" si="180"/>
        <v>2.0321839080459747E-3</v>
      </c>
      <c r="M2322" s="47">
        <f t="shared" si="176"/>
        <v>1.6304675004618283E-2</v>
      </c>
      <c r="N2322" s="47">
        <v>0</v>
      </c>
      <c r="O2322" s="47">
        <f t="shared" si="181"/>
        <v>0</v>
      </c>
      <c r="P2322" s="92"/>
    </row>
    <row r="2323" spans="1:19" x14ac:dyDescent="0.25">
      <c r="A2323" s="29">
        <v>50</v>
      </c>
      <c r="B2323" s="30">
        <v>437811.10856199998</v>
      </c>
      <c r="C2323" s="30">
        <v>5688869.3324180003</v>
      </c>
      <c r="D2323" s="30">
        <v>30</v>
      </c>
      <c r="E2323" s="30" t="s">
        <v>36</v>
      </c>
      <c r="F2323" s="46">
        <v>2018</v>
      </c>
      <c r="G2323" s="47">
        <v>0.22490000000000002</v>
      </c>
      <c r="H2323" s="47">
        <f t="shared" si="178"/>
        <v>5.8083937598002705E-2</v>
      </c>
      <c r="I2323" s="47">
        <v>0</v>
      </c>
      <c r="J2323" s="47">
        <f t="shared" si="179"/>
        <v>0</v>
      </c>
      <c r="K2323" s="47">
        <v>2.41E-2</v>
      </c>
      <c r="L2323" s="47">
        <f t="shared" si="180"/>
        <v>9.418390804597691E-3</v>
      </c>
      <c r="M2323" s="47">
        <f t="shared" si="176"/>
        <v>4.8665546793405012E-2</v>
      </c>
      <c r="N2323" s="47">
        <v>0</v>
      </c>
      <c r="O2323" s="47">
        <f t="shared" si="181"/>
        <v>0</v>
      </c>
      <c r="P2323" s="92"/>
    </row>
    <row r="2324" spans="1:19" x14ac:dyDescent="0.25">
      <c r="A2324" s="29">
        <v>51</v>
      </c>
      <c r="B2324" s="30">
        <v>437930.10856199998</v>
      </c>
      <c r="C2324" s="30">
        <v>5688869.3324180003</v>
      </c>
      <c r="D2324" s="30">
        <v>30</v>
      </c>
      <c r="E2324" s="30" t="s">
        <v>36</v>
      </c>
      <c r="F2324" s="46">
        <v>2018</v>
      </c>
      <c r="G2324" s="47">
        <v>2.5399999999999999E-2</v>
      </c>
      <c r="H2324" s="47">
        <f t="shared" si="178"/>
        <v>6.5599467096010156E-3</v>
      </c>
      <c r="I2324" s="47">
        <v>0</v>
      </c>
      <c r="J2324" s="47">
        <f t="shared" si="179"/>
        <v>0</v>
      </c>
      <c r="K2324" s="47">
        <v>1.1699999999999999E-2</v>
      </c>
      <c r="L2324" s="47">
        <f t="shared" si="180"/>
        <v>4.5724137931034432E-3</v>
      </c>
      <c r="M2324" s="47">
        <f t="shared" si="176"/>
        <v>1.9875329164975725E-3</v>
      </c>
      <c r="N2324" s="47">
        <v>0</v>
      </c>
      <c r="O2324" s="47">
        <f t="shared" si="181"/>
        <v>0</v>
      </c>
      <c r="P2324" s="92"/>
    </row>
    <row r="2325" spans="1:19" x14ac:dyDescent="0.25">
      <c r="A2325" s="29">
        <v>52</v>
      </c>
      <c r="B2325" s="30">
        <v>438049.10856199998</v>
      </c>
      <c r="C2325" s="30">
        <v>5688869.3324180003</v>
      </c>
      <c r="D2325" s="30">
        <v>30</v>
      </c>
      <c r="E2325" s="30" t="s">
        <v>36</v>
      </c>
      <c r="F2325" s="46">
        <v>2018</v>
      </c>
      <c r="G2325" s="47">
        <v>3.3999999999999998E-3</v>
      </c>
      <c r="H2325" s="47">
        <f t="shared" si="178"/>
        <v>8.7810310285997854E-4</v>
      </c>
      <c r="I2325" s="47">
        <v>9.4799999999999995E-2</v>
      </c>
      <c r="J2325" s="47">
        <f t="shared" si="179"/>
        <v>2.2873640167363974E-2</v>
      </c>
      <c r="K2325" s="47">
        <v>2.8999999999999998E-3</v>
      </c>
      <c r="L2325" s="47">
        <f t="shared" si="180"/>
        <v>1.1333333333333321E-3</v>
      </c>
      <c r="M2325" s="47">
        <f t="shared" si="176"/>
        <v>-2.5523023047335357E-4</v>
      </c>
      <c r="N2325" s="47">
        <v>5.9200000000000003E-2</v>
      </c>
      <c r="O2325" s="47">
        <f t="shared" si="181"/>
        <v>1.5012440191387531E-2</v>
      </c>
      <c r="P2325" s="92"/>
    </row>
    <row r="2326" spans="1:19" x14ac:dyDescent="0.25">
      <c r="A2326" s="29">
        <v>53</v>
      </c>
      <c r="B2326" s="30">
        <v>438287.10856199998</v>
      </c>
      <c r="C2326" s="30">
        <v>5688869.3324180003</v>
      </c>
      <c r="D2326" s="30">
        <v>31</v>
      </c>
      <c r="E2326" s="30" t="s">
        <v>36</v>
      </c>
      <c r="F2326" s="46">
        <v>2018</v>
      </c>
      <c r="G2326" s="47">
        <v>2.1000000000000003E-3</v>
      </c>
      <c r="H2326" s="47">
        <f t="shared" ref="H2326" si="184">G2326*0.244572417593851</f>
        <v>5.136020769470872E-4</v>
      </c>
      <c r="I2326" s="47">
        <v>0</v>
      </c>
      <c r="J2326" s="47">
        <f t="shared" ref="J2326" si="185">I2326*0.318023800651794</f>
        <v>0</v>
      </c>
      <c r="K2326" s="47">
        <v>5.0000000000000001E-4</v>
      </c>
      <c r="L2326" s="47">
        <f t="shared" ref="L2326" si="186">K2326*0.34120613111868</f>
        <v>1.7060306555933999E-4</v>
      </c>
      <c r="M2326" s="47">
        <f t="shared" si="176"/>
        <v>3.4299901138774722E-4</v>
      </c>
      <c r="N2326" s="47">
        <v>0</v>
      </c>
      <c r="O2326" s="47">
        <f t="shared" ref="O2326" si="187">N2326*0.321905966704103</f>
        <v>0</v>
      </c>
      <c r="P2326" s="92"/>
    </row>
    <row r="2327" spans="1:19" x14ac:dyDescent="0.25">
      <c r="A2327" s="29">
        <v>54</v>
      </c>
      <c r="B2327" s="30">
        <v>437454.10856199998</v>
      </c>
      <c r="C2327" s="30">
        <v>5688988.3324180003</v>
      </c>
      <c r="D2327" s="30">
        <v>30</v>
      </c>
      <c r="E2327" s="30" t="s">
        <v>36</v>
      </c>
      <c r="F2327" s="46">
        <v>2018</v>
      </c>
      <c r="G2327" s="47">
        <v>2.8000000000000001E-2</v>
      </c>
      <c r="H2327" s="47">
        <f t="shared" si="178"/>
        <v>7.231437317670412E-3</v>
      </c>
      <c r="I2327" s="47">
        <v>0</v>
      </c>
      <c r="J2327" s="47">
        <f t="shared" si="179"/>
        <v>0</v>
      </c>
      <c r="K2327" s="47">
        <v>4.7999999999999996E-3</v>
      </c>
      <c r="L2327" s="47">
        <f t="shared" si="180"/>
        <v>1.875862068965515E-3</v>
      </c>
      <c r="M2327" s="47">
        <f t="shared" si="176"/>
        <v>5.3555752487048965E-3</v>
      </c>
      <c r="N2327" s="47">
        <v>0</v>
      </c>
      <c r="O2327" s="47">
        <f t="shared" si="181"/>
        <v>0</v>
      </c>
      <c r="P2327" s="92"/>
    </row>
    <row r="2328" spans="1:19" x14ac:dyDescent="0.25">
      <c r="A2328" s="29">
        <v>55</v>
      </c>
      <c r="B2328" s="30">
        <v>438049.10856199998</v>
      </c>
      <c r="C2328" s="30">
        <v>5688988.3324180003</v>
      </c>
      <c r="D2328" s="30">
        <v>30</v>
      </c>
      <c r="E2328" s="30" t="s">
        <v>36</v>
      </c>
      <c r="F2328" s="46">
        <v>2018</v>
      </c>
      <c r="G2328" s="46" t="s">
        <v>18</v>
      </c>
      <c r="H2328" s="46" t="s">
        <v>18</v>
      </c>
      <c r="I2328" s="46" t="s">
        <v>18</v>
      </c>
      <c r="J2328" s="46" t="s">
        <v>18</v>
      </c>
      <c r="K2328" s="46" t="s">
        <v>18</v>
      </c>
      <c r="L2328" s="46" t="s">
        <v>18</v>
      </c>
      <c r="M2328" s="46" t="s">
        <v>18</v>
      </c>
      <c r="N2328" s="46" t="s">
        <v>18</v>
      </c>
      <c r="O2328" s="46" t="s">
        <v>18</v>
      </c>
      <c r="P2328" s="92" t="s">
        <v>146</v>
      </c>
    </row>
    <row r="2329" spans="1:19" x14ac:dyDescent="0.25">
      <c r="A2329" s="29">
        <v>56</v>
      </c>
      <c r="B2329" s="30">
        <v>438168.10856199998</v>
      </c>
      <c r="C2329" s="30">
        <v>5688988.3324180003</v>
      </c>
      <c r="D2329" s="30">
        <v>30</v>
      </c>
      <c r="E2329" s="30" t="s">
        <v>36</v>
      </c>
      <c r="F2329" s="46">
        <v>2018</v>
      </c>
      <c r="G2329" s="47">
        <v>2.93E-2</v>
      </c>
      <c r="H2329" s="47">
        <f t="shared" si="178"/>
        <v>7.5671826217051088E-3</v>
      </c>
      <c r="I2329" s="47">
        <v>0</v>
      </c>
      <c r="J2329" s="47">
        <f t="shared" si="179"/>
        <v>0</v>
      </c>
      <c r="K2329" s="47">
        <v>6.3E-3</v>
      </c>
      <c r="L2329" s="47">
        <f t="shared" si="180"/>
        <v>2.4620689655172386E-3</v>
      </c>
      <c r="M2329" s="47">
        <f t="shared" si="176"/>
        <v>5.1051136561878702E-3</v>
      </c>
      <c r="N2329" s="47">
        <v>2.7000000000000001E-3</v>
      </c>
      <c r="O2329" s="47">
        <f t="shared" si="181"/>
        <v>6.8468899521530971E-4</v>
      </c>
      <c r="P2329" s="92"/>
    </row>
    <row r="2330" spans="1:19" x14ac:dyDescent="0.25">
      <c r="A2330" s="40">
        <v>57</v>
      </c>
      <c r="B2330" s="41">
        <v>438146</v>
      </c>
      <c r="C2330" s="41">
        <v>5688977</v>
      </c>
      <c r="D2330" s="41">
        <v>30</v>
      </c>
      <c r="E2330" s="41" t="s">
        <v>36</v>
      </c>
      <c r="F2330" s="50">
        <v>2018</v>
      </c>
      <c r="G2330" s="51">
        <v>5.2399999999999995E-2</v>
      </c>
      <c r="H2330" s="51">
        <f t="shared" si="178"/>
        <v>1.3533118408783198E-2</v>
      </c>
      <c r="I2330" s="51">
        <v>0</v>
      </c>
      <c r="J2330" s="51">
        <f t="shared" si="179"/>
        <v>0</v>
      </c>
      <c r="K2330" s="51">
        <v>5.5999999999999999E-3</v>
      </c>
      <c r="L2330" s="51">
        <f t="shared" si="180"/>
        <v>2.1885057471264344E-3</v>
      </c>
      <c r="M2330" s="51">
        <f t="shared" si="176"/>
        <v>1.1344612661656765E-2</v>
      </c>
      <c r="N2330" s="51">
        <v>0</v>
      </c>
      <c r="O2330" s="51">
        <f t="shared" si="181"/>
        <v>0</v>
      </c>
      <c r="P2330" s="101"/>
    </row>
    <row r="2331" spans="1:19" x14ac:dyDescent="0.25">
      <c r="A2331" s="40">
        <v>58</v>
      </c>
      <c r="B2331" s="41">
        <v>438131</v>
      </c>
      <c r="C2331" s="41">
        <v>5688972</v>
      </c>
      <c r="D2331" s="41">
        <v>30</v>
      </c>
      <c r="E2331" s="41" t="s">
        <v>36</v>
      </c>
      <c r="F2331" s="50">
        <v>2018</v>
      </c>
      <c r="G2331" s="51">
        <v>8.5099999999999995E-2</v>
      </c>
      <c r="H2331" s="51">
        <f t="shared" si="178"/>
        <v>2.1978404133348287E-2</v>
      </c>
      <c r="I2331" s="51">
        <v>0</v>
      </c>
      <c r="J2331" s="51">
        <f t="shared" si="179"/>
        <v>0</v>
      </c>
      <c r="K2331" s="51">
        <v>7.7999999999999996E-3</v>
      </c>
      <c r="L2331" s="51">
        <f t="shared" si="180"/>
        <v>3.0482758620689623E-3</v>
      </c>
      <c r="M2331" s="51">
        <f t="shared" si="176"/>
        <v>1.8930128271279326E-2</v>
      </c>
      <c r="N2331" s="51">
        <v>0</v>
      </c>
      <c r="O2331" s="51">
        <f t="shared" si="181"/>
        <v>0</v>
      </c>
      <c r="P2331" s="101"/>
    </row>
    <row r="2332" spans="1:19" x14ac:dyDescent="0.25">
      <c r="A2332" s="40">
        <v>59</v>
      </c>
      <c r="B2332" s="41">
        <v>438089</v>
      </c>
      <c r="C2332" s="41">
        <v>5688713</v>
      </c>
      <c r="D2332" s="41">
        <v>30</v>
      </c>
      <c r="E2332" s="41" t="s">
        <v>36</v>
      </c>
      <c r="F2332" s="50">
        <v>2018</v>
      </c>
      <c r="G2332" s="51">
        <v>0.15</v>
      </c>
      <c r="H2332" s="51">
        <f t="shared" si="178"/>
        <v>3.8739842773234348E-2</v>
      </c>
      <c r="I2332" s="51">
        <v>0</v>
      </c>
      <c r="J2332" s="51">
        <f t="shared" si="179"/>
        <v>0</v>
      </c>
      <c r="K2332" s="51">
        <v>2.53E-2</v>
      </c>
      <c r="L2332" s="51">
        <f t="shared" si="180"/>
        <v>9.8873563218390692E-3</v>
      </c>
      <c r="M2332" s="51">
        <f t="shared" si="176"/>
        <v>2.8852486451395279E-2</v>
      </c>
      <c r="N2332" s="51">
        <v>0</v>
      </c>
      <c r="O2332" s="51">
        <f t="shared" si="181"/>
        <v>0</v>
      </c>
      <c r="P2332" s="101"/>
    </row>
    <row r="2333" spans="1:19" x14ac:dyDescent="0.25">
      <c r="A2333" s="40">
        <v>60</v>
      </c>
      <c r="B2333" s="41">
        <v>438099</v>
      </c>
      <c r="C2333" s="41">
        <v>5688719</v>
      </c>
      <c r="D2333" s="41">
        <v>30</v>
      </c>
      <c r="E2333" s="41" t="s">
        <v>36</v>
      </c>
      <c r="F2333" s="50">
        <v>2018</v>
      </c>
      <c r="G2333" s="51">
        <v>0.13419999999999999</v>
      </c>
      <c r="H2333" s="51">
        <f t="shared" si="178"/>
        <v>3.4659246001120324E-2</v>
      </c>
      <c r="I2333" s="51">
        <v>1.9E-3</v>
      </c>
      <c r="J2333" s="51">
        <f t="shared" si="179"/>
        <v>4.5843793584379277E-4</v>
      </c>
      <c r="K2333" s="51">
        <v>7.4999999999999997E-3</v>
      </c>
      <c r="L2333" s="51">
        <f t="shared" si="180"/>
        <v>2.9310344827586173E-3</v>
      </c>
      <c r="M2333" s="51">
        <f t="shared" si="176"/>
        <v>3.1728211518361707E-2</v>
      </c>
      <c r="N2333" s="51">
        <v>4.0000000000000002E-4</v>
      </c>
      <c r="O2333" s="51">
        <f t="shared" si="181"/>
        <v>1.014354066985644E-4</v>
      </c>
      <c r="P2333" s="101"/>
    </row>
    <row r="2334" spans="1:19" x14ac:dyDescent="0.25">
      <c r="A2334" s="42">
        <v>1</v>
      </c>
      <c r="B2334" s="43">
        <v>437930.10856199998</v>
      </c>
      <c r="C2334" s="43">
        <v>5688036.3324180003</v>
      </c>
      <c r="D2334" s="44">
        <v>7</v>
      </c>
      <c r="E2334" s="44" t="s">
        <v>64</v>
      </c>
      <c r="F2334" s="44">
        <v>2019</v>
      </c>
      <c r="G2334" s="44" t="s">
        <v>18</v>
      </c>
      <c r="H2334" s="44" t="s">
        <v>18</v>
      </c>
      <c r="I2334" s="44" t="s">
        <v>18</v>
      </c>
      <c r="J2334" s="44" t="s">
        <v>18</v>
      </c>
      <c r="K2334" s="44" t="s">
        <v>18</v>
      </c>
      <c r="L2334" s="44" t="s">
        <v>18</v>
      </c>
      <c r="M2334" s="44" t="s">
        <v>18</v>
      </c>
      <c r="N2334" s="44" t="s">
        <v>18</v>
      </c>
      <c r="O2334" s="44" t="s">
        <v>18</v>
      </c>
      <c r="P2334" s="102" t="s">
        <v>109</v>
      </c>
      <c r="R2334" s="5">
        <f>AVERAGE(M2334:M2393)</f>
        <v>8.4360219726265506E-3</v>
      </c>
      <c r="S2334" s="5">
        <f>AVERAGE(H2334:H2393)</f>
        <v>1.0195480693974043E-2</v>
      </c>
    </row>
    <row r="2335" spans="1:19" x14ac:dyDescent="0.25">
      <c r="A2335" s="42">
        <v>2</v>
      </c>
      <c r="B2335" s="43">
        <v>437811.10856199998</v>
      </c>
      <c r="C2335" s="43">
        <v>5688155.3324180003</v>
      </c>
      <c r="D2335" s="44">
        <v>7</v>
      </c>
      <c r="E2335" s="44" t="s">
        <v>64</v>
      </c>
      <c r="F2335" s="44">
        <v>2019</v>
      </c>
      <c r="G2335" s="44" t="s">
        <v>18</v>
      </c>
      <c r="H2335" s="44" t="s">
        <v>18</v>
      </c>
      <c r="I2335" s="44" t="s">
        <v>18</v>
      </c>
      <c r="J2335" s="44" t="s">
        <v>18</v>
      </c>
      <c r="K2335" s="44" t="s">
        <v>18</v>
      </c>
      <c r="L2335" s="44" t="s">
        <v>18</v>
      </c>
      <c r="M2335" s="44" t="s">
        <v>18</v>
      </c>
      <c r="N2335" s="44" t="s">
        <v>18</v>
      </c>
      <c r="O2335" s="44" t="s">
        <v>18</v>
      </c>
      <c r="P2335" s="102" t="s">
        <v>109</v>
      </c>
    </row>
    <row r="2336" spans="1:19" x14ac:dyDescent="0.25">
      <c r="A2336" s="29">
        <v>3</v>
      </c>
      <c r="B2336" s="30">
        <v>437930.10856199998</v>
      </c>
      <c r="C2336" s="30">
        <v>5688155.3324180003</v>
      </c>
      <c r="D2336" s="30">
        <v>7</v>
      </c>
      <c r="E2336" s="30" t="s">
        <v>64</v>
      </c>
      <c r="F2336" s="46">
        <v>2019</v>
      </c>
      <c r="G2336" s="47">
        <v>8.9999999999999998E-4</v>
      </c>
      <c r="H2336" s="47">
        <f>G2336*0.449086204515708</f>
        <v>4.041775840641372E-4</v>
      </c>
      <c r="I2336" s="47">
        <v>1.06E-2</v>
      </c>
      <c r="J2336" s="47">
        <f>I2336*0.471207282734256</f>
        <v>4.9947971969831135E-3</v>
      </c>
      <c r="K2336" s="47">
        <v>0</v>
      </c>
      <c r="L2336" s="47">
        <f>K2336*0.514774494556765</f>
        <v>0</v>
      </c>
      <c r="M2336" s="47">
        <f>H2336-L2336</f>
        <v>4.041775840641372E-4</v>
      </c>
      <c r="N2336" s="47">
        <v>2.0399999999999998E-2</v>
      </c>
      <c r="O2336" s="47">
        <f>N2336*0.509242424742312</f>
        <v>1.0388545464743163E-2</v>
      </c>
      <c r="P2336" s="92"/>
    </row>
    <row r="2337" spans="1:16" x14ac:dyDescent="0.25">
      <c r="A2337" s="42">
        <v>4</v>
      </c>
      <c r="B2337" s="43">
        <v>438049.10856199998</v>
      </c>
      <c r="C2337" s="43">
        <v>5688155.3324180003</v>
      </c>
      <c r="D2337" s="44">
        <v>7</v>
      </c>
      <c r="E2337" s="44" t="s">
        <v>64</v>
      </c>
      <c r="F2337" s="44">
        <v>2019</v>
      </c>
      <c r="G2337" s="44" t="s">
        <v>18</v>
      </c>
      <c r="H2337" s="44" t="s">
        <v>18</v>
      </c>
      <c r="I2337" s="44" t="s">
        <v>18</v>
      </c>
      <c r="J2337" s="44" t="s">
        <v>18</v>
      </c>
      <c r="K2337" s="44" t="s">
        <v>18</v>
      </c>
      <c r="L2337" s="44" t="s">
        <v>18</v>
      </c>
      <c r="M2337" s="44" t="s">
        <v>18</v>
      </c>
      <c r="N2337" s="44" t="s">
        <v>18</v>
      </c>
      <c r="O2337" s="44" t="s">
        <v>18</v>
      </c>
      <c r="P2337" s="102" t="s">
        <v>109</v>
      </c>
    </row>
    <row r="2338" spans="1:16" x14ac:dyDescent="0.25">
      <c r="A2338" s="42">
        <v>5</v>
      </c>
      <c r="B2338" s="43">
        <v>437573.10856199998</v>
      </c>
      <c r="C2338" s="43">
        <v>5688274.3324180003</v>
      </c>
      <c r="D2338" s="44">
        <v>7</v>
      </c>
      <c r="E2338" s="44" t="s">
        <v>64</v>
      </c>
      <c r="F2338" s="44">
        <v>2019</v>
      </c>
      <c r="G2338" s="44" t="s">
        <v>18</v>
      </c>
      <c r="H2338" s="44" t="s">
        <v>18</v>
      </c>
      <c r="I2338" s="44" t="s">
        <v>18</v>
      </c>
      <c r="J2338" s="44" t="s">
        <v>18</v>
      </c>
      <c r="K2338" s="44" t="s">
        <v>18</v>
      </c>
      <c r="L2338" s="44" t="s">
        <v>18</v>
      </c>
      <c r="M2338" s="44" t="s">
        <v>18</v>
      </c>
      <c r="N2338" s="44" t="s">
        <v>18</v>
      </c>
      <c r="O2338" s="44" t="s">
        <v>18</v>
      </c>
      <c r="P2338" s="102" t="s">
        <v>109</v>
      </c>
    </row>
    <row r="2339" spans="1:16" x14ac:dyDescent="0.25">
      <c r="A2339" s="29">
        <v>6</v>
      </c>
      <c r="B2339" s="30">
        <v>437692.10856199998</v>
      </c>
      <c r="C2339" s="30">
        <v>5688274.3324180003</v>
      </c>
      <c r="D2339" s="30">
        <v>7</v>
      </c>
      <c r="E2339" s="30" t="s">
        <v>64</v>
      </c>
      <c r="F2339" s="46">
        <v>2019</v>
      </c>
      <c r="G2339" s="47">
        <v>1.8E-3</v>
      </c>
      <c r="H2339" s="47">
        <f t="shared" ref="H2339:H2352" si="188">G2339*0.449086204515708</f>
        <v>8.083551681282744E-4</v>
      </c>
      <c r="I2339" s="47">
        <v>9.4000000000000004E-3</v>
      </c>
      <c r="J2339" s="47">
        <f t="shared" ref="J2339:J2352" si="189">I2339*0.471207282734256</f>
        <v>4.4293484577020061E-3</v>
      </c>
      <c r="K2339" s="54">
        <v>2.9999999999999997E-4</v>
      </c>
      <c r="L2339" s="47">
        <f t="shared" ref="L2339:L2352" si="190">K2339*0.514774494556765</f>
        <v>1.5443234836702951E-4</v>
      </c>
      <c r="M2339" s="47">
        <f t="shared" ref="M2339:M2393" si="191">H2339-L2339</f>
        <v>6.5392281976124492E-4</v>
      </c>
      <c r="N2339" s="47">
        <v>2.18E-2</v>
      </c>
      <c r="O2339" s="47">
        <f t="shared" ref="O2339:O2352" si="192">N2339*0.509242424742312</f>
        <v>1.11014848593824E-2</v>
      </c>
      <c r="P2339" s="92"/>
    </row>
    <row r="2340" spans="1:16" x14ac:dyDescent="0.25">
      <c r="A2340" s="29">
        <v>7</v>
      </c>
      <c r="B2340" s="30">
        <v>437811.10856199998</v>
      </c>
      <c r="C2340" s="30">
        <v>5688274.3324180003</v>
      </c>
      <c r="D2340" s="30">
        <v>7</v>
      </c>
      <c r="E2340" s="30" t="s">
        <v>64</v>
      </c>
      <c r="F2340" s="46">
        <v>2019</v>
      </c>
      <c r="G2340" s="46">
        <v>5.0000000000000001E-4</v>
      </c>
      <c r="H2340" s="47">
        <f t="shared" si="188"/>
        <v>2.2454310225785402E-4</v>
      </c>
      <c r="I2340" s="47">
        <v>2.87E-2</v>
      </c>
      <c r="J2340" s="47">
        <f t="shared" si="189"/>
        <v>1.3523649014473147E-2</v>
      </c>
      <c r="K2340" s="47">
        <v>0</v>
      </c>
      <c r="L2340" s="47">
        <f t="shared" si="190"/>
        <v>0</v>
      </c>
      <c r="M2340" s="47">
        <f t="shared" si="191"/>
        <v>2.2454310225785402E-4</v>
      </c>
      <c r="N2340" s="47">
        <v>0.05</v>
      </c>
      <c r="O2340" s="47">
        <f t="shared" si="192"/>
        <v>2.5462121237115599E-2</v>
      </c>
      <c r="P2340" s="92"/>
    </row>
    <row r="2341" spans="1:16" x14ac:dyDescent="0.25">
      <c r="A2341" s="42">
        <v>8</v>
      </c>
      <c r="B2341" s="43">
        <v>437930.10856199998</v>
      </c>
      <c r="C2341" s="43">
        <v>5688274.3324180003</v>
      </c>
      <c r="D2341" s="44">
        <v>7</v>
      </c>
      <c r="E2341" s="44" t="s">
        <v>64</v>
      </c>
      <c r="F2341" s="44">
        <v>2019</v>
      </c>
      <c r="G2341" s="44" t="s">
        <v>18</v>
      </c>
      <c r="H2341" s="44" t="s">
        <v>18</v>
      </c>
      <c r="I2341" s="44" t="s">
        <v>18</v>
      </c>
      <c r="J2341" s="44" t="s">
        <v>18</v>
      </c>
      <c r="K2341" s="44" t="s">
        <v>18</v>
      </c>
      <c r="L2341" s="44" t="s">
        <v>18</v>
      </c>
      <c r="M2341" s="44" t="s">
        <v>18</v>
      </c>
      <c r="N2341" s="44" t="s">
        <v>18</v>
      </c>
      <c r="O2341" s="44" t="s">
        <v>18</v>
      </c>
      <c r="P2341" s="102" t="s">
        <v>109</v>
      </c>
    </row>
    <row r="2342" spans="1:16" x14ac:dyDescent="0.25">
      <c r="A2342" s="29">
        <v>9</v>
      </c>
      <c r="B2342" s="30">
        <v>438287.10856199998</v>
      </c>
      <c r="C2342" s="30">
        <v>5688274.3324180003</v>
      </c>
      <c r="D2342" s="30">
        <v>7</v>
      </c>
      <c r="E2342" s="30" t="s">
        <v>64</v>
      </c>
      <c r="F2342" s="46">
        <v>2019</v>
      </c>
      <c r="G2342" s="47">
        <v>1.9399999999999997E-2</v>
      </c>
      <c r="H2342" s="47">
        <f t="shared" si="188"/>
        <v>8.7122723676047349E-3</v>
      </c>
      <c r="I2342" s="47">
        <v>1.1800000000000001E-2</v>
      </c>
      <c r="J2342" s="47">
        <f t="shared" si="189"/>
        <v>5.5602459362642217E-3</v>
      </c>
      <c r="K2342" s="47">
        <v>2E-3</v>
      </c>
      <c r="L2342" s="47">
        <f t="shared" si="190"/>
        <v>1.0295489891135302E-3</v>
      </c>
      <c r="M2342" s="47">
        <f t="shared" si="191"/>
        <v>7.6827233784912043E-3</v>
      </c>
      <c r="N2342" s="47">
        <v>2.0300000000000002E-2</v>
      </c>
      <c r="O2342" s="47">
        <f t="shared" si="192"/>
        <v>1.0337621222268934E-2</v>
      </c>
      <c r="P2342" s="92"/>
    </row>
    <row r="2343" spans="1:16" x14ac:dyDescent="0.25">
      <c r="A2343" s="29">
        <v>10</v>
      </c>
      <c r="B2343" s="30">
        <v>438406.10856199998</v>
      </c>
      <c r="C2343" s="30">
        <v>5688274.3324180003</v>
      </c>
      <c r="D2343" s="30">
        <v>7</v>
      </c>
      <c r="E2343" s="30" t="s">
        <v>64</v>
      </c>
      <c r="F2343" s="46">
        <v>2019</v>
      </c>
      <c r="G2343" s="47">
        <v>1.09E-2</v>
      </c>
      <c r="H2343" s="47">
        <f t="shared" si="188"/>
        <v>4.8950396292212171E-3</v>
      </c>
      <c r="I2343" s="47">
        <v>1.84E-2</v>
      </c>
      <c r="J2343" s="47">
        <f t="shared" si="189"/>
        <v>8.6702140023103107E-3</v>
      </c>
      <c r="K2343" s="47">
        <v>0</v>
      </c>
      <c r="L2343" s="47">
        <f t="shared" si="190"/>
        <v>0</v>
      </c>
      <c r="M2343" s="47">
        <f t="shared" si="191"/>
        <v>4.8950396292212171E-3</v>
      </c>
      <c r="N2343" s="47">
        <v>0</v>
      </c>
      <c r="O2343" s="47">
        <f t="shared" si="192"/>
        <v>0</v>
      </c>
      <c r="P2343" s="92"/>
    </row>
    <row r="2344" spans="1:16" x14ac:dyDescent="0.25">
      <c r="A2344" s="42">
        <v>11</v>
      </c>
      <c r="B2344" s="43">
        <v>437454.10856199998</v>
      </c>
      <c r="C2344" s="43">
        <v>5688393.3324180003</v>
      </c>
      <c r="D2344" s="44">
        <v>7</v>
      </c>
      <c r="E2344" s="44" t="s">
        <v>64</v>
      </c>
      <c r="F2344" s="44">
        <v>2019</v>
      </c>
      <c r="G2344" s="44" t="s">
        <v>18</v>
      </c>
      <c r="H2344" s="44" t="s">
        <v>18</v>
      </c>
      <c r="I2344" s="44" t="s">
        <v>18</v>
      </c>
      <c r="J2344" s="44" t="s">
        <v>18</v>
      </c>
      <c r="K2344" s="44" t="s">
        <v>18</v>
      </c>
      <c r="L2344" s="44" t="s">
        <v>18</v>
      </c>
      <c r="M2344" s="44" t="s">
        <v>18</v>
      </c>
      <c r="N2344" s="44" t="s">
        <v>18</v>
      </c>
      <c r="O2344" s="44" t="s">
        <v>18</v>
      </c>
      <c r="P2344" s="102" t="s">
        <v>109</v>
      </c>
    </row>
    <row r="2345" spans="1:16" x14ac:dyDescent="0.25">
      <c r="A2345" s="29">
        <v>12</v>
      </c>
      <c r="B2345" s="30">
        <v>437573.10856199998</v>
      </c>
      <c r="C2345" s="30">
        <v>5688393.3324180003</v>
      </c>
      <c r="D2345" s="30">
        <v>7</v>
      </c>
      <c r="E2345" s="30" t="s">
        <v>64</v>
      </c>
      <c r="F2345" s="46">
        <v>2019</v>
      </c>
      <c r="G2345" s="47">
        <v>2.1700000000000001E-2</v>
      </c>
      <c r="H2345" s="47">
        <f t="shared" si="188"/>
        <v>9.7451706379908642E-3</v>
      </c>
      <c r="I2345" s="47">
        <v>7.2400000000000006E-2</v>
      </c>
      <c r="J2345" s="47">
        <f t="shared" si="189"/>
        <v>3.4115407269960138E-2</v>
      </c>
      <c r="K2345" s="47">
        <v>1E-4</v>
      </c>
      <c r="L2345" s="47">
        <f t="shared" si="190"/>
        <v>5.1477449455676509E-5</v>
      </c>
      <c r="M2345" s="47">
        <f t="shared" si="191"/>
        <v>9.6936931885351872E-3</v>
      </c>
      <c r="N2345" s="47">
        <v>0</v>
      </c>
      <c r="O2345" s="47">
        <f t="shared" si="192"/>
        <v>0</v>
      </c>
      <c r="P2345" s="92"/>
    </row>
    <row r="2346" spans="1:16" x14ac:dyDescent="0.25">
      <c r="A2346" s="29">
        <v>13</v>
      </c>
      <c r="B2346" s="30">
        <v>437692.10856199998</v>
      </c>
      <c r="C2346" s="30">
        <v>5688393.3324180003</v>
      </c>
      <c r="D2346" s="30">
        <v>7</v>
      </c>
      <c r="E2346" s="30" t="s">
        <v>64</v>
      </c>
      <c r="F2346" s="46">
        <v>2019</v>
      </c>
      <c r="G2346" s="46" t="s">
        <v>18</v>
      </c>
      <c r="H2346" s="46" t="s">
        <v>18</v>
      </c>
      <c r="I2346" s="46" t="s">
        <v>18</v>
      </c>
      <c r="J2346" s="46" t="s">
        <v>18</v>
      </c>
      <c r="K2346" s="47">
        <v>5.3E-3</v>
      </c>
      <c r="L2346" s="47">
        <f t="shared" si="190"/>
        <v>2.7283048211508548E-3</v>
      </c>
      <c r="M2346" s="46" t="s">
        <v>18</v>
      </c>
      <c r="N2346" s="47">
        <v>9.3599999999999989E-2</v>
      </c>
      <c r="O2346" s="47">
        <f t="shared" si="192"/>
        <v>4.7665090955880396E-2</v>
      </c>
      <c r="P2346" s="92"/>
    </row>
    <row r="2347" spans="1:16" x14ac:dyDescent="0.25">
      <c r="A2347" s="32">
        <v>14</v>
      </c>
      <c r="B2347" s="33">
        <v>437811.10856199998</v>
      </c>
      <c r="C2347" s="33">
        <v>5688393.3324180003</v>
      </c>
      <c r="D2347" s="48">
        <v>7</v>
      </c>
      <c r="E2347" s="48" t="s">
        <v>64</v>
      </c>
      <c r="F2347" s="48">
        <v>2019</v>
      </c>
      <c r="G2347" s="48" t="s">
        <v>18</v>
      </c>
      <c r="H2347" s="48" t="s">
        <v>18</v>
      </c>
      <c r="I2347" s="48" t="s">
        <v>18</v>
      </c>
      <c r="J2347" s="48" t="s">
        <v>18</v>
      </c>
      <c r="K2347" s="48" t="s">
        <v>18</v>
      </c>
      <c r="L2347" s="48" t="s">
        <v>18</v>
      </c>
      <c r="M2347" s="48" t="s">
        <v>18</v>
      </c>
      <c r="N2347" s="48" t="s">
        <v>18</v>
      </c>
      <c r="O2347" s="48" t="s">
        <v>18</v>
      </c>
      <c r="P2347" s="103" t="s">
        <v>89</v>
      </c>
    </row>
    <row r="2348" spans="1:16" x14ac:dyDescent="0.25">
      <c r="A2348" s="29">
        <v>15</v>
      </c>
      <c r="B2348" s="30">
        <v>437930.10856199998</v>
      </c>
      <c r="C2348" s="30">
        <v>5688393.3324180003</v>
      </c>
      <c r="D2348" s="30">
        <v>7</v>
      </c>
      <c r="E2348" s="30" t="s">
        <v>64</v>
      </c>
      <c r="F2348" s="46">
        <v>2019</v>
      </c>
      <c r="G2348" s="5">
        <v>4.2000000000000006E-3</v>
      </c>
      <c r="H2348" s="47">
        <f t="shared" si="188"/>
        <v>1.8861620589659739E-3</v>
      </c>
      <c r="I2348" s="5">
        <v>2.3800000000000002E-2</v>
      </c>
      <c r="J2348" s="47">
        <f t="shared" si="189"/>
        <v>1.1214733329075294E-2</v>
      </c>
      <c r="K2348" s="47">
        <v>6.9999999999999999E-4</v>
      </c>
      <c r="L2348" s="47">
        <f t="shared" si="190"/>
        <v>3.6034214618973554E-4</v>
      </c>
      <c r="M2348" s="47">
        <f t="shared" si="191"/>
        <v>1.5258199127762384E-3</v>
      </c>
      <c r="N2348" s="47">
        <v>4.1700000000000001E-2</v>
      </c>
      <c r="O2348" s="47">
        <f t="shared" si="192"/>
        <v>2.1235409111754408E-2</v>
      </c>
      <c r="P2348" s="92"/>
    </row>
    <row r="2349" spans="1:16" x14ac:dyDescent="0.25">
      <c r="A2349" s="29">
        <v>16</v>
      </c>
      <c r="B2349" s="30">
        <v>438049.10856199998</v>
      </c>
      <c r="C2349" s="30">
        <v>5688393.3324180003</v>
      </c>
      <c r="D2349" s="30">
        <v>7</v>
      </c>
      <c r="E2349" s="30" t="s">
        <v>64</v>
      </c>
      <c r="F2349" s="46">
        <v>2019</v>
      </c>
      <c r="G2349" s="47">
        <v>2.5000000000000001E-3</v>
      </c>
      <c r="H2349" s="47">
        <f t="shared" si="188"/>
        <v>1.1227155112892701E-3</v>
      </c>
      <c r="I2349" s="47">
        <v>9.01E-2</v>
      </c>
      <c r="J2349" s="47">
        <f t="shared" si="189"/>
        <v>4.2455776174356467E-2</v>
      </c>
      <c r="K2349" s="47">
        <v>1.8E-3</v>
      </c>
      <c r="L2349" s="47">
        <f t="shared" si="190"/>
        <v>9.2659409020217709E-4</v>
      </c>
      <c r="M2349" s="47">
        <f t="shared" si="191"/>
        <v>1.9612142108709298E-4</v>
      </c>
      <c r="N2349" s="47">
        <v>0.1023</v>
      </c>
      <c r="O2349" s="47">
        <f t="shared" si="192"/>
        <v>5.2095500051138513E-2</v>
      </c>
      <c r="P2349" s="92"/>
    </row>
    <row r="2350" spans="1:16" x14ac:dyDescent="0.25">
      <c r="A2350" s="29">
        <v>17</v>
      </c>
      <c r="B2350" s="30">
        <v>438168.10856199998</v>
      </c>
      <c r="C2350" s="30">
        <v>5688393.3324180003</v>
      </c>
      <c r="D2350" s="30">
        <v>7</v>
      </c>
      <c r="E2350" s="30" t="s">
        <v>64</v>
      </c>
      <c r="F2350" s="46">
        <v>2019</v>
      </c>
      <c r="G2350" s="47">
        <v>1.8E-3</v>
      </c>
      <c r="H2350" s="47">
        <f t="shared" si="188"/>
        <v>8.083551681282744E-4</v>
      </c>
      <c r="I2350" s="47">
        <v>1.7299999999999999E-2</v>
      </c>
      <c r="J2350" s="47">
        <f t="shared" si="189"/>
        <v>8.1518859913026279E-3</v>
      </c>
      <c r="K2350" s="47">
        <v>4.4000000000000003E-3</v>
      </c>
      <c r="L2350" s="47">
        <f t="shared" si="190"/>
        <v>2.2650077760497664E-3</v>
      </c>
      <c r="M2350" s="47">
        <f t="shared" si="191"/>
        <v>-1.4566526079214919E-3</v>
      </c>
      <c r="N2350" s="47">
        <v>4.3E-3</v>
      </c>
      <c r="O2350" s="47">
        <f t="shared" si="192"/>
        <v>2.1897424263919415E-3</v>
      </c>
      <c r="P2350" s="92"/>
    </row>
    <row r="2351" spans="1:16" x14ac:dyDescent="0.25">
      <c r="A2351" s="29">
        <v>18</v>
      </c>
      <c r="B2351" s="30">
        <v>438287.10856199998</v>
      </c>
      <c r="C2351" s="30">
        <v>5688393.3324180003</v>
      </c>
      <c r="D2351" s="30">
        <v>7</v>
      </c>
      <c r="E2351" s="30" t="s">
        <v>64</v>
      </c>
      <c r="F2351" s="46">
        <v>2019</v>
      </c>
      <c r="G2351" s="47">
        <v>1.23E-2</v>
      </c>
      <c r="H2351" s="47">
        <f t="shared" si="188"/>
        <v>5.5237603155432087E-3</v>
      </c>
      <c r="I2351" s="47">
        <v>0</v>
      </c>
      <c r="J2351" s="47">
        <f t="shared" si="189"/>
        <v>0</v>
      </c>
      <c r="K2351" s="47">
        <v>0</v>
      </c>
      <c r="L2351" s="47">
        <f t="shared" si="190"/>
        <v>0</v>
      </c>
      <c r="M2351" s="47">
        <f t="shared" si="191"/>
        <v>5.5237603155432087E-3</v>
      </c>
      <c r="N2351" s="47">
        <v>0</v>
      </c>
      <c r="O2351" s="47">
        <f t="shared" si="192"/>
        <v>0</v>
      </c>
      <c r="P2351" s="92"/>
    </row>
    <row r="2352" spans="1:16" x14ac:dyDescent="0.25">
      <c r="A2352" s="29">
        <v>19</v>
      </c>
      <c r="B2352" s="30">
        <v>438406.10856199998</v>
      </c>
      <c r="C2352" s="30">
        <v>5688393.3324180003</v>
      </c>
      <c r="D2352" s="30">
        <v>7</v>
      </c>
      <c r="E2352" s="30" t="s">
        <v>64</v>
      </c>
      <c r="F2352" s="46">
        <v>2019</v>
      </c>
      <c r="G2352" s="47">
        <v>3.2399999999999998E-2</v>
      </c>
      <c r="H2352" s="47">
        <f t="shared" si="188"/>
        <v>1.4550393026308939E-2</v>
      </c>
      <c r="I2352" s="47">
        <v>6.0000000000000001E-3</v>
      </c>
      <c r="J2352" s="47">
        <f t="shared" si="189"/>
        <v>2.8272436964055362E-3</v>
      </c>
      <c r="K2352" s="47">
        <v>5.5999999999999999E-3</v>
      </c>
      <c r="L2352" s="47">
        <f t="shared" si="190"/>
        <v>2.8827371695178843E-3</v>
      </c>
      <c r="M2352" s="47">
        <f t="shared" si="191"/>
        <v>1.1667655856791056E-2</v>
      </c>
      <c r="N2352" s="47">
        <v>1.9300000000000001E-2</v>
      </c>
      <c r="O2352" s="47">
        <f t="shared" si="192"/>
        <v>9.8283787975266216E-3</v>
      </c>
      <c r="P2352" s="92"/>
    </row>
    <row r="2353" spans="1:16" x14ac:dyDescent="0.25">
      <c r="A2353" s="42">
        <v>20</v>
      </c>
      <c r="B2353" s="43">
        <v>437335.10856199998</v>
      </c>
      <c r="C2353" s="43">
        <v>5688512.3324180003</v>
      </c>
      <c r="D2353" s="44">
        <v>7</v>
      </c>
      <c r="E2353" s="44" t="s">
        <v>64</v>
      </c>
      <c r="F2353" s="44">
        <v>2019</v>
      </c>
      <c r="G2353" s="44" t="s">
        <v>18</v>
      </c>
      <c r="H2353" s="44" t="s">
        <v>18</v>
      </c>
      <c r="I2353" s="44" t="s">
        <v>18</v>
      </c>
      <c r="J2353" s="44" t="s">
        <v>18</v>
      </c>
      <c r="K2353" s="44" t="s">
        <v>18</v>
      </c>
      <c r="L2353" s="44" t="s">
        <v>18</v>
      </c>
      <c r="M2353" s="44" t="s">
        <v>18</v>
      </c>
      <c r="N2353" s="44" t="s">
        <v>18</v>
      </c>
      <c r="O2353" s="44" t="s">
        <v>18</v>
      </c>
      <c r="P2353" s="102" t="s">
        <v>109</v>
      </c>
    </row>
    <row r="2354" spans="1:16" x14ac:dyDescent="0.25">
      <c r="A2354" s="29">
        <v>21</v>
      </c>
      <c r="B2354" s="30">
        <v>437454.10856199998</v>
      </c>
      <c r="C2354" s="30">
        <v>5688512.3324180003</v>
      </c>
      <c r="D2354" s="30">
        <v>6</v>
      </c>
      <c r="E2354" s="30" t="s">
        <v>64</v>
      </c>
      <c r="F2354" s="46">
        <v>2019</v>
      </c>
      <c r="G2354" s="47">
        <v>3.0600000000000002E-2</v>
      </c>
      <c r="H2354" s="47">
        <f t="shared" ref="H2354:H2393" si="193">G2354*0.400976789016132</f>
        <v>1.226988974389364E-2</v>
      </c>
      <c r="I2354" s="47">
        <v>0</v>
      </c>
      <c r="J2354" s="47">
        <f t="shared" ref="J2354:J2393" si="194">I2354*0.421351510904645</f>
        <v>0</v>
      </c>
      <c r="K2354" s="47">
        <v>3.8E-3</v>
      </c>
      <c r="L2354" s="47">
        <f t="shared" ref="L2354:L2393" si="195">K2354*0.497810218978102</f>
        <v>1.8916788321167877E-3</v>
      </c>
      <c r="M2354" s="47">
        <f t="shared" si="191"/>
        <v>1.0378210911776852E-2</v>
      </c>
      <c r="N2354" s="47">
        <v>0</v>
      </c>
      <c r="O2354" s="47">
        <f t="shared" ref="O2354:O2393" si="196">N2354*0.37598962123849</f>
        <v>0</v>
      </c>
      <c r="P2354" s="92"/>
    </row>
    <row r="2355" spans="1:16" x14ac:dyDescent="0.25">
      <c r="A2355" s="29">
        <v>22</v>
      </c>
      <c r="B2355" s="30">
        <v>437573.10856199998</v>
      </c>
      <c r="C2355" s="30">
        <v>5688512.3324180003</v>
      </c>
      <c r="D2355" s="30">
        <v>7</v>
      </c>
      <c r="E2355" s="30" t="s">
        <v>64</v>
      </c>
      <c r="F2355" s="46">
        <v>2019</v>
      </c>
      <c r="G2355" s="47">
        <v>7.0000000000000001E-3</v>
      </c>
      <c r="H2355" s="47">
        <f t="shared" ref="H2355:H2363" si="197">G2355*0.449086204515708</f>
        <v>3.1436034316099561E-3</v>
      </c>
      <c r="I2355" s="47">
        <v>0.24490000000000001</v>
      </c>
      <c r="J2355" s="47">
        <f t="shared" ref="J2355:J2363" si="198">I2355*0.471207282734256</f>
        <v>0.11539866354161929</v>
      </c>
      <c r="K2355" s="47">
        <v>1.14E-2</v>
      </c>
      <c r="L2355" s="47">
        <f>K2355*0.514774494556765</f>
        <v>5.8684292379471217E-3</v>
      </c>
      <c r="M2355" s="47">
        <f t="shared" si="191"/>
        <v>-2.7248258063371656E-3</v>
      </c>
      <c r="N2355" s="47">
        <v>0.21459999999999999</v>
      </c>
      <c r="O2355" s="47">
        <f t="shared" ref="O2355:O2363" si="199">N2355*0.509242424742312</f>
        <v>0.10928342434970013</v>
      </c>
      <c r="P2355" s="92"/>
    </row>
    <row r="2356" spans="1:16" x14ac:dyDescent="0.25">
      <c r="A2356" s="29">
        <v>23</v>
      </c>
      <c r="B2356" s="30">
        <v>437692.10856199998</v>
      </c>
      <c r="C2356" s="30">
        <v>5688512.3324180003</v>
      </c>
      <c r="D2356" s="30">
        <v>7</v>
      </c>
      <c r="E2356" s="30" t="s">
        <v>64</v>
      </c>
      <c r="F2356" s="46">
        <v>2019</v>
      </c>
      <c r="G2356" s="47">
        <v>0</v>
      </c>
      <c r="H2356" s="47">
        <f t="shared" si="197"/>
        <v>0</v>
      </c>
      <c r="I2356" s="47">
        <v>0</v>
      </c>
      <c r="J2356" s="47">
        <f t="shared" si="198"/>
        <v>0</v>
      </c>
      <c r="K2356" s="47">
        <v>0</v>
      </c>
      <c r="L2356" s="47">
        <f t="shared" ref="L2356:L2363" si="200">K2356*0.514774494556765</f>
        <v>0</v>
      </c>
      <c r="M2356" s="47">
        <f>H2356-L2356</f>
        <v>0</v>
      </c>
      <c r="N2356" s="47">
        <v>0</v>
      </c>
      <c r="O2356" s="47">
        <f t="shared" si="199"/>
        <v>0</v>
      </c>
      <c r="P2356" s="92"/>
    </row>
    <row r="2357" spans="1:16" x14ac:dyDescent="0.25">
      <c r="A2357" s="29">
        <v>24</v>
      </c>
      <c r="B2357" s="30">
        <v>437811.10856199998</v>
      </c>
      <c r="C2357" s="30">
        <v>5688512.3324180003</v>
      </c>
      <c r="D2357" s="30">
        <v>7</v>
      </c>
      <c r="E2357" s="30" t="s">
        <v>64</v>
      </c>
      <c r="F2357" s="46">
        <v>2019</v>
      </c>
      <c r="G2357" s="47">
        <v>2.0799999999999999E-2</v>
      </c>
      <c r="H2357" s="47">
        <f t="shared" si="197"/>
        <v>9.3409930539267265E-3</v>
      </c>
      <c r="I2357" s="47">
        <v>4.1700000000000001E-2</v>
      </c>
      <c r="J2357" s="47">
        <f t="shared" si="198"/>
        <v>1.9649343690018476E-2</v>
      </c>
      <c r="K2357" s="47">
        <v>8.8000000000000005E-3</v>
      </c>
      <c r="L2357" s="47">
        <f t="shared" si="200"/>
        <v>4.5300155520995328E-3</v>
      </c>
      <c r="M2357" s="47">
        <f t="shared" si="191"/>
        <v>4.8109775018271937E-3</v>
      </c>
      <c r="N2357" s="47">
        <v>1.6000000000000001E-3</v>
      </c>
      <c r="O2357" s="47">
        <f t="shared" si="199"/>
        <v>8.147878795876992E-4</v>
      </c>
      <c r="P2357" s="92"/>
    </row>
    <row r="2358" spans="1:16" x14ac:dyDescent="0.25">
      <c r="A2358" s="29">
        <v>25</v>
      </c>
      <c r="B2358" s="46">
        <v>437995</v>
      </c>
      <c r="C2358" s="46">
        <v>5688493</v>
      </c>
      <c r="D2358" s="30">
        <v>7</v>
      </c>
      <c r="E2358" s="30" t="s">
        <v>64</v>
      </c>
      <c r="F2358" s="46">
        <v>2019</v>
      </c>
      <c r="G2358" s="47">
        <v>8.2500000000000004E-2</v>
      </c>
      <c r="H2358" s="47">
        <f t="shared" si="197"/>
        <v>3.7049611872545914E-2</v>
      </c>
      <c r="I2358" s="47">
        <v>1.04E-2</v>
      </c>
      <c r="J2358" s="47">
        <f t="shared" si="198"/>
        <v>4.9005557404362618E-3</v>
      </c>
      <c r="K2358" s="47">
        <v>5.0000000000000001E-4</v>
      </c>
      <c r="L2358" s="47">
        <f t="shared" si="200"/>
        <v>2.5738724727838254E-4</v>
      </c>
      <c r="M2358" s="47">
        <f t="shared" si="191"/>
        <v>3.6792224625267531E-2</v>
      </c>
      <c r="N2358" s="47">
        <v>1.1800000000000001E-2</v>
      </c>
      <c r="O2358" s="47">
        <f t="shared" si="199"/>
        <v>6.009060611959282E-3</v>
      </c>
      <c r="P2358" s="92"/>
    </row>
    <row r="2359" spans="1:16" x14ac:dyDescent="0.25">
      <c r="A2359" s="29">
        <v>26</v>
      </c>
      <c r="B2359" s="46">
        <v>438112</v>
      </c>
      <c r="C2359" s="46">
        <v>5688567</v>
      </c>
      <c r="D2359" s="30">
        <v>7</v>
      </c>
      <c r="E2359" s="30" t="s">
        <v>64</v>
      </c>
      <c r="F2359" s="46">
        <v>2019</v>
      </c>
      <c r="G2359" s="47">
        <v>2.75E-2</v>
      </c>
      <c r="H2359" s="47">
        <f t="shared" si="197"/>
        <v>1.2349870624181971E-2</v>
      </c>
      <c r="I2359" s="47">
        <v>0</v>
      </c>
      <c r="J2359" s="47">
        <f t="shared" si="198"/>
        <v>0</v>
      </c>
      <c r="K2359" s="47">
        <v>4.5999999999999999E-3</v>
      </c>
      <c r="L2359" s="47">
        <f t="shared" si="200"/>
        <v>2.367962674961119E-3</v>
      </c>
      <c r="M2359" s="47">
        <f t="shared" si="191"/>
        <v>9.9819079492208512E-3</v>
      </c>
      <c r="N2359" s="47">
        <v>1.4E-3</v>
      </c>
      <c r="O2359" s="47">
        <f t="shared" si="199"/>
        <v>7.1293939463923676E-4</v>
      </c>
      <c r="P2359" s="92"/>
    </row>
    <row r="2360" spans="1:16" x14ac:dyDescent="0.25">
      <c r="A2360" s="32">
        <v>27</v>
      </c>
      <c r="B2360" s="33">
        <v>438168.10856199998</v>
      </c>
      <c r="C2360" s="33">
        <v>5688512.3324180003</v>
      </c>
      <c r="D2360" s="48">
        <v>7</v>
      </c>
      <c r="E2360" s="48" t="s">
        <v>64</v>
      </c>
      <c r="F2360" s="48">
        <v>2019</v>
      </c>
      <c r="G2360" s="48" t="s">
        <v>18</v>
      </c>
      <c r="H2360" s="48" t="s">
        <v>18</v>
      </c>
      <c r="I2360" s="48" t="s">
        <v>18</v>
      </c>
      <c r="J2360" s="48" t="s">
        <v>18</v>
      </c>
      <c r="K2360" s="48" t="s">
        <v>18</v>
      </c>
      <c r="L2360" s="48" t="s">
        <v>18</v>
      </c>
      <c r="M2360" s="48" t="s">
        <v>18</v>
      </c>
      <c r="N2360" s="48" t="s">
        <v>18</v>
      </c>
      <c r="O2360" s="48" t="s">
        <v>18</v>
      </c>
      <c r="P2360" s="103" t="s">
        <v>89</v>
      </c>
    </row>
    <row r="2361" spans="1:16" x14ac:dyDescent="0.25">
      <c r="A2361" s="32">
        <v>28</v>
      </c>
      <c r="B2361" s="33">
        <v>438287.10856199998</v>
      </c>
      <c r="C2361" s="33">
        <v>5688512.3324180003</v>
      </c>
      <c r="D2361" s="48">
        <v>7</v>
      </c>
      <c r="E2361" s="48" t="s">
        <v>64</v>
      </c>
      <c r="F2361" s="48">
        <v>2019</v>
      </c>
      <c r="G2361" s="48" t="s">
        <v>18</v>
      </c>
      <c r="H2361" s="48" t="s">
        <v>18</v>
      </c>
      <c r="I2361" s="48" t="s">
        <v>18</v>
      </c>
      <c r="J2361" s="48" t="s">
        <v>18</v>
      </c>
      <c r="K2361" s="48" t="s">
        <v>18</v>
      </c>
      <c r="L2361" s="48" t="s">
        <v>18</v>
      </c>
      <c r="M2361" s="48" t="s">
        <v>18</v>
      </c>
      <c r="N2361" s="48" t="s">
        <v>18</v>
      </c>
      <c r="O2361" s="48" t="s">
        <v>18</v>
      </c>
      <c r="P2361" s="103" t="s">
        <v>89</v>
      </c>
    </row>
    <row r="2362" spans="1:16" x14ac:dyDescent="0.25">
      <c r="A2362" s="29">
        <v>29</v>
      </c>
      <c r="B2362" s="30">
        <v>438381</v>
      </c>
      <c r="C2362" s="30">
        <v>5688526</v>
      </c>
      <c r="D2362" s="30">
        <v>7</v>
      </c>
      <c r="E2362" s="30" t="s">
        <v>64</v>
      </c>
      <c r="F2362" s="46">
        <v>2019</v>
      </c>
      <c r="G2362" s="47">
        <v>3.5299999999999998E-2</v>
      </c>
      <c r="H2362" s="47">
        <f t="shared" si="197"/>
        <v>1.5852743019404491E-2</v>
      </c>
      <c r="I2362" s="47">
        <v>0</v>
      </c>
      <c r="J2362" s="47">
        <f t="shared" si="198"/>
        <v>0</v>
      </c>
      <c r="K2362" s="47">
        <v>3.3999999999999998E-3</v>
      </c>
      <c r="L2362" s="47">
        <f t="shared" si="200"/>
        <v>1.7502332814930011E-3</v>
      </c>
      <c r="M2362" s="47">
        <f t="shared" si="191"/>
        <v>1.410250973791149E-2</v>
      </c>
      <c r="N2362" s="47">
        <v>0</v>
      </c>
      <c r="O2362" s="47">
        <f t="shared" si="199"/>
        <v>0</v>
      </c>
      <c r="P2362" s="92"/>
    </row>
    <row r="2363" spans="1:16" x14ac:dyDescent="0.25">
      <c r="A2363" s="29">
        <v>30</v>
      </c>
      <c r="B2363" s="30">
        <v>438525.10856199998</v>
      </c>
      <c r="C2363" s="30">
        <v>5688512.3324180003</v>
      </c>
      <c r="D2363" s="30">
        <v>7</v>
      </c>
      <c r="E2363" s="30" t="s">
        <v>64</v>
      </c>
      <c r="F2363" s="46">
        <v>2019</v>
      </c>
      <c r="G2363" s="47">
        <v>3.4599999999999999E-2</v>
      </c>
      <c r="H2363" s="47">
        <f t="shared" si="197"/>
        <v>1.5538382676243497E-2</v>
      </c>
      <c r="I2363" s="47">
        <v>6.9999999999999999E-4</v>
      </c>
      <c r="J2363" s="47">
        <f t="shared" si="198"/>
        <v>3.2984509791397917E-4</v>
      </c>
      <c r="K2363" s="47">
        <v>4.4999999999999997E-3</v>
      </c>
      <c r="L2363" s="47">
        <f t="shared" si="200"/>
        <v>2.3164852255054425E-3</v>
      </c>
      <c r="M2363" s="47">
        <f t="shared" si="191"/>
        <v>1.3221897450738054E-2</v>
      </c>
      <c r="N2363" s="47">
        <v>3.7000000000000002E-3</v>
      </c>
      <c r="O2363" s="47">
        <f t="shared" si="199"/>
        <v>1.8841969715465542E-3</v>
      </c>
      <c r="P2363" s="92"/>
    </row>
    <row r="2364" spans="1:16" x14ac:dyDescent="0.25">
      <c r="A2364" s="29">
        <v>31</v>
      </c>
      <c r="B2364" s="30">
        <v>437335.10856199998</v>
      </c>
      <c r="C2364" s="30">
        <v>5688631.3324180003</v>
      </c>
      <c r="D2364" s="30">
        <v>6</v>
      </c>
      <c r="E2364" s="30" t="s">
        <v>64</v>
      </c>
      <c r="F2364" s="46">
        <v>2019</v>
      </c>
      <c r="G2364" s="47">
        <v>3.6499999999999998E-2</v>
      </c>
      <c r="H2364" s="47">
        <f t="shared" si="193"/>
        <v>1.4635652799088817E-2</v>
      </c>
      <c r="I2364" s="47">
        <v>0</v>
      </c>
      <c r="J2364" s="47">
        <f t="shared" si="194"/>
        <v>0</v>
      </c>
      <c r="K2364" s="47">
        <v>4.0000000000000001E-3</v>
      </c>
      <c r="L2364" s="47">
        <f t="shared" si="195"/>
        <v>1.9912408759124082E-3</v>
      </c>
      <c r="M2364" s="47">
        <f t="shared" si="191"/>
        <v>1.2644411923176408E-2</v>
      </c>
      <c r="N2364" s="47">
        <v>0</v>
      </c>
      <c r="O2364" s="47">
        <f t="shared" si="196"/>
        <v>0</v>
      </c>
      <c r="P2364" s="92"/>
    </row>
    <row r="2365" spans="1:16" x14ac:dyDescent="0.25">
      <c r="A2365" s="29">
        <v>32</v>
      </c>
      <c r="B2365" s="30">
        <v>437454.10856199998</v>
      </c>
      <c r="C2365" s="30">
        <v>5688631.3324180003</v>
      </c>
      <c r="D2365" s="30">
        <v>6</v>
      </c>
      <c r="E2365" s="30" t="s">
        <v>64</v>
      </c>
      <c r="F2365" s="46">
        <v>2019</v>
      </c>
      <c r="G2365" s="47">
        <v>8.6E-3</v>
      </c>
      <c r="H2365" s="47">
        <f t="shared" si="193"/>
        <v>3.448400385538735E-3</v>
      </c>
      <c r="I2365" s="47">
        <v>0.4677</v>
      </c>
      <c r="J2365" s="47">
        <f t="shared" si="194"/>
        <v>0.19706610165010247</v>
      </c>
      <c r="K2365" s="47">
        <v>9.9000000000000008E-3</v>
      </c>
      <c r="L2365" s="47">
        <f t="shared" si="195"/>
        <v>4.9283211678832102E-3</v>
      </c>
      <c r="M2365" s="47">
        <f t="shared" si="191"/>
        <v>-1.4799207823444752E-3</v>
      </c>
      <c r="N2365" s="47">
        <v>2.9000000000000001E-2</v>
      </c>
      <c r="O2365" s="47">
        <f t="shared" si="196"/>
        <v>1.090369901591621E-2</v>
      </c>
      <c r="P2365" s="92"/>
    </row>
    <row r="2366" spans="1:16" x14ac:dyDescent="0.25">
      <c r="A2366" s="29">
        <v>33</v>
      </c>
      <c r="B2366" s="30">
        <v>437573.10856199998</v>
      </c>
      <c r="C2366" s="30">
        <v>5688631.3324180003</v>
      </c>
      <c r="D2366" s="30">
        <v>7</v>
      </c>
      <c r="E2366" s="30" t="s">
        <v>64</v>
      </c>
      <c r="F2366" s="46">
        <v>2019</v>
      </c>
      <c r="G2366" s="47">
        <v>2.5000000000000001E-2</v>
      </c>
      <c r="H2366" s="47">
        <f t="shared" ref="H2366:H2369" si="201">G2366*0.449086204515708</f>
        <v>1.1227155112892701E-2</v>
      </c>
      <c r="I2366" s="47">
        <v>0</v>
      </c>
      <c r="J2366" s="47">
        <f t="shared" ref="J2366:J2369" si="202">I2366*0.471207282734256</f>
        <v>0</v>
      </c>
      <c r="K2366" s="47">
        <v>2.0000000000000001E-4</v>
      </c>
      <c r="L2366" s="47">
        <f t="shared" ref="L2366:L2369" si="203">K2366*0.514774494556765</f>
        <v>1.0295489891135302E-4</v>
      </c>
      <c r="M2366" s="47">
        <f t="shared" si="191"/>
        <v>1.1124200213981349E-2</v>
      </c>
      <c r="N2366" s="47">
        <v>0</v>
      </c>
      <c r="O2366" s="47">
        <f t="shared" ref="O2366:O2369" si="204">N2366*0.509242424742312</f>
        <v>0</v>
      </c>
      <c r="P2366" s="92"/>
    </row>
    <row r="2367" spans="1:16" x14ac:dyDescent="0.25">
      <c r="A2367" s="29">
        <v>34</v>
      </c>
      <c r="B2367" s="30">
        <v>437692.10856199998</v>
      </c>
      <c r="C2367" s="30">
        <v>5688631.3324180003</v>
      </c>
      <c r="D2367" s="30">
        <v>7</v>
      </c>
      <c r="E2367" s="30" t="s">
        <v>64</v>
      </c>
      <c r="F2367" s="46">
        <v>2019</v>
      </c>
      <c r="G2367" s="47">
        <v>2.64E-2</v>
      </c>
      <c r="H2367" s="47">
        <f t="shared" si="201"/>
        <v>1.1855875799214691E-2</v>
      </c>
      <c r="I2367" s="47">
        <v>9.1999999999999998E-3</v>
      </c>
      <c r="J2367" s="47">
        <f t="shared" si="202"/>
        <v>4.3351070011551553E-3</v>
      </c>
      <c r="K2367" s="47">
        <v>1.6000000000000001E-3</v>
      </c>
      <c r="L2367" s="47">
        <f t="shared" si="203"/>
        <v>8.2363919129082414E-4</v>
      </c>
      <c r="M2367" s="47">
        <f t="shared" si="191"/>
        <v>1.1032236607923867E-2</v>
      </c>
      <c r="N2367" s="47">
        <v>0</v>
      </c>
      <c r="O2367" s="47">
        <f t="shared" si="204"/>
        <v>0</v>
      </c>
      <c r="P2367" s="92"/>
    </row>
    <row r="2368" spans="1:16" x14ac:dyDescent="0.25">
      <c r="A2368" s="29">
        <v>35</v>
      </c>
      <c r="B2368" s="30">
        <v>437893</v>
      </c>
      <c r="C2368" s="30">
        <v>5688620</v>
      </c>
      <c r="D2368" s="30">
        <v>7</v>
      </c>
      <c r="E2368" s="30" t="s">
        <v>64</v>
      </c>
      <c r="F2368" s="46">
        <v>2019</v>
      </c>
      <c r="G2368" s="47">
        <v>1.7299999999999999E-2</v>
      </c>
      <c r="H2368" s="47">
        <f t="shared" si="201"/>
        <v>7.7691913381217484E-3</v>
      </c>
      <c r="I2368" s="47">
        <v>1.6E-2</v>
      </c>
      <c r="J2368" s="47">
        <f t="shared" si="202"/>
        <v>7.539316523748096E-3</v>
      </c>
      <c r="K2368" s="47">
        <v>1.6899999999999998E-2</v>
      </c>
      <c r="L2368" s="47">
        <f t="shared" si="203"/>
        <v>8.6996889580093287E-3</v>
      </c>
      <c r="M2368" s="47">
        <f t="shared" si="191"/>
        <v>-9.3049761988758025E-4</v>
      </c>
      <c r="N2368" s="47">
        <v>0.09</v>
      </c>
      <c r="O2368" s="47">
        <f t="shared" si="204"/>
        <v>4.5831818226808076E-2</v>
      </c>
      <c r="P2368" s="92"/>
    </row>
    <row r="2369" spans="1:16" x14ac:dyDescent="0.25">
      <c r="A2369" s="29">
        <v>36</v>
      </c>
      <c r="B2369" s="30">
        <v>437930.10856199998</v>
      </c>
      <c r="C2369" s="30">
        <v>5688631.3324180003</v>
      </c>
      <c r="D2369" s="30">
        <v>7</v>
      </c>
      <c r="E2369" s="30" t="s">
        <v>64</v>
      </c>
      <c r="F2369" s="46">
        <v>2019</v>
      </c>
      <c r="G2369" s="47">
        <v>8.3799999999999999E-2</v>
      </c>
      <c r="H2369" s="47">
        <f t="shared" si="201"/>
        <v>3.763342393841633E-2</v>
      </c>
      <c r="I2369" s="47">
        <v>0</v>
      </c>
      <c r="J2369" s="47">
        <f t="shared" si="202"/>
        <v>0</v>
      </c>
      <c r="K2369" s="47">
        <v>0</v>
      </c>
      <c r="L2369" s="47">
        <f t="shared" si="203"/>
        <v>0</v>
      </c>
      <c r="M2369" s="47">
        <f t="shared" si="191"/>
        <v>3.763342393841633E-2</v>
      </c>
      <c r="N2369" s="47">
        <v>8.9999999999999998E-4</v>
      </c>
      <c r="O2369" s="47">
        <f t="shared" si="204"/>
        <v>4.5831818226808077E-4</v>
      </c>
      <c r="P2369" s="92"/>
    </row>
    <row r="2370" spans="1:16" x14ac:dyDescent="0.25">
      <c r="A2370" s="32">
        <v>37</v>
      </c>
      <c r="B2370" s="33">
        <v>438049.10856199998</v>
      </c>
      <c r="C2370" s="33">
        <v>5688631.3324180003</v>
      </c>
      <c r="D2370" s="48">
        <v>7</v>
      </c>
      <c r="E2370" s="48" t="s">
        <v>64</v>
      </c>
      <c r="F2370" s="48">
        <v>2019</v>
      </c>
      <c r="G2370" s="48" t="s">
        <v>18</v>
      </c>
      <c r="H2370" s="48" t="s">
        <v>18</v>
      </c>
      <c r="I2370" s="48" t="s">
        <v>18</v>
      </c>
      <c r="J2370" s="48" t="s">
        <v>18</v>
      </c>
      <c r="K2370" s="48" t="s">
        <v>18</v>
      </c>
      <c r="L2370" s="48" t="s">
        <v>18</v>
      </c>
      <c r="M2370" s="48" t="s">
        <v>18</v>
      </c>
      <c r="N2370" s="48" t="s">
        <v>18</v>
      </c>
      <c r="O2370" s="48" t="s">
        <v>18</v>
      </c>
      <c r="P2370" s="103" t="s">
        <v>89</v>
      </c>
    </row>
    <row r="2371" spans="1:16" x14ac:dyDescent="0.25">
      <c r="A2371" s="29">
        <v>38</v>
      </c>
      <c r="B2371" s="30">
        <v>438067</v>
      </c>
      <c r="C2371" s="30">
        <v>5688710</v>
      </c>
      <c r="D2371" s="30">
        <v>6</v>
      </c>
      <c r="E2371" s="30" t="s">
        <v>64</v>
      </c>
      <c r="F2371" s="46">
        <v>2019</v>
      </c>
      <c r="G2371" s="54">
        <v>7.51E-2</v>
      </c>
      <c r="H2371" s="47">
        <f t="shared" si="193"/>
        <v>3.0113356855111514E-2</v>
      </c>
      <c r="I2371" s="54">
        <v>0</v>
      </c>
      <c r="J2371" s="47">
        <f t="shared" si="194"/>
        <v>0</v>
      </c>
      <c r="K2371" s="54">
        <v>5.3E-3</v>
      </c>
      <c r="L2371" s="47">
        <f t="shared" si="195"/>
        <v>2.6383941605839407E-3</v>
      </c>
      <c r="M2371" s="47">
        <f t="shared" si="191"/>
        <v>2.7474962694527573E-2</v>
      </c>
      <c r="N2371" s="47">
        <v>0</v>
      </c>
      <c r="O2371" s="47">
        <f t="shared" si="196"/>
        <v>0</v>
      </c>
      <c r="P2371" s="92"/>
    </row>
    <row r="2372" spans="1:16" x14ac:dyDescent="0.25">
      <c r="A2372" s="32">
        <v>39</v>
      </c>
      <c r="B2372" s="33">
        <v>438287.10856199998</v>
      </c>
      <c r="C2372" s="33">
        <v>5688631.3324180003</v>
      </c>
      <c r="D2372" s="48">
        <v>7</v>
      </c>
      <c r="E2372" s="48" t="s">
        <v>64</v>
      </c>
      <c r="F2372" s="48">
        <v>2019</v>
      </c>
      <c r="G2372" s="48" t="s">
        <v>18</v>
      </c>
      <c r="H2372" s="48" t="s">
        <v>18</v>
      </c>
      <c r="I2372" s="48" t="s">
        <v>18</v>
      </c>
      <c r="J2372" s="48" t="s">
        <v>18</v>
      </c>
      <c r="K2372" s="48" t="s">
        <v>18</v>
      </c>
      <c r="L2372" s="48" t="s">
        <v>18</v>
      </c>
      <c r="M2372" s="48" t="s">
        <v>18</v>
      </c>
      <c r="N2372" s="48" t="s">
        <v>18</v>
      </c>
      <c r="O2372" s="48" t="s">
        <v>18</v>
      </c>
      <c r="P2372" s="94" t="s">
        <v>22</v>
      </c>
    </row>
    <row r="2373" spans="1:16" x14ac:dyDescent="0.25">
      <c r="A2373" s="29">
        <v>40</v>
      </c>
      <c r="B2373" s="30">
        <v>438406.10856199998</v>
      </c>
      <c r="C2373" s="30">
        <v>5688631.3324180003</v>
      </c>
      <c r="D2373" s="30">
        <v>7</v>
      </c>
      <c r="E2373" s="30" t="s">
        <v>64</v>
      </c>
      <c r="F2373" s="46">
        <v>2019</v>
      </c>
      <c r="G2373" s="54">
        <v>3.7000000000000002E-3</v>
      </c>
      <c r="H2373" s="47">
        <f t="shared" ref="H2373" si="205">G2373*0.449086204515708</f>
        <v>1.6616189567081197E-3</v>
      </c>
      <c r="I2373" s="47">
        <v>0</v>
      </c>
      <c r="J2373" s="47">
        <f>I2373*0.471207282734256</f>
        <v>0</v>
      </c>
      <c r="K2373" s="47">
        <v>2.7000000000000001E-3</v>
      </c>
      <c r="L2373" s="47">
        <f t="shared" ref="L2373" si="206">K2373*0.514774494556765</f>
        <v>1.3898911353032656E-3</v>
      </c>
      <c r="M2373" s="47">
        <f t="shared" si="191"/>
        <v>2.7172782140485411E-4</v>
      </c>
      <c r="N2373" s="47">
        <v>0</v>
      </c>
      <c r="O2373" s="47">
        <f>N2373*0.509242424742312</f>
        <v>0</v>
      </c>
      <c r="P2373" s="92"/>
    </row>
    <row r="2374" spans="1:16" x14ac:dyDescent="0.25">
      <c r="A2374" s="29">
        <v>41</v>
      </c>
      <c r="B2374" s="30">
        <v>437310</v>
      </c>
      <c r="C2374" s="30">
        <v>5688729</v>
      </c>
      <c r="D2374" s="30">
        <v>6</v>
      </c>
      <c r="E2374" s="30" t="s">
        <v>64</v>
      </c>
      <c r="F2374" s="46">
        <v>2019</v>
      </c>
      <c r="G2374" s="47" t="s">
        <v>18</v>
      </c>
      <c r="H2374" s="47" t="s">
        <v>18</v>
      </c>
      <c r="I2374" s="47" t="s">
        <v>18</v>
      </c>
      <c r="J2374" s="47" t="s">
        <v>18</v>
      </c>
      <c r="K2374" s="47">
        <v>0.02</v>
      </c>
      <c r="L2374" s="47">
        <f t="shared" si="195"/>
        <v>9.9562043795620413E-3</v>
      </c>
      <c r="M2374" s="47" t="s">
        <v>18</v>
      </c>
      <c r="N2374" s="47">
        <v>6.9999999999999999E-4</v>
      </c>
      <c r="O2374" s="47">
        <f t="shared" si="196"/>
        <v>2.63192734866943E-4</v>
      </c>
      <c r="P2374" s="92"/>
    </row>
    <row r="2375" spans="1:16" x14ac:dyDescent="0.25">
      <c r="A2375" s="29">
        <v>42</v>
      </c>
      <c r="B2375" s="30">
        <v>437454.10856199998</v>
      </c>
      <c r="C2375" s="30">
        <v>5688750.3324180003</v>
      </c>
      <c r="D2375" s="30">
        <v>6</v>
      </c>
      <c r="E2375" s="30" t="s">
        <v>64</v>
      </c>
      <c r="F2375" s="46">
        <v>2019</v>
      </c>
      <c r="G2375" s="54">
        <v>2.7899999999999998E-2</v>
      </c>
      <c r="H2375" s="47">
        <f t="shared" si="193"/>
        <v>1.1187252413550081E-2</v>
      </c>
      <c r="I2375" s="47">
        <v>3.1300000000000001E-2</v>
      </c>
      <c r="J2375" s="47">
        <f t="shared" si="194"/>
        <v>1.3188302291315389E-2</v>
      </c>
      <c r="K2375" s="47">
        <v>2.5000000000000001E-3</v>
      </c>
      <c r="L2375" s="47">
        <f t="shared" si="195"/>
        <v>1.2445255474452552E-3</v>
      </c>
      <c r="M2375" s="47">
        <f t="shared" si="191"/>
        <v>9.9427268661048257E-3</v>
      </c>
      <c r="N2375" s="5">
        <v>0</v>
      </c>
      <c r="O2375" s="47">
        <f t="shared" si="196"/>
        <v>0</v>
      </c>
      <c r="P2375" s="92"/>
    </row>
    <row r="2376" spans="1:16" x14ac:dyDescent="0.25">
      <c r="A2376" s="29">
        <v>43</v>
      </c>
      <c r="B2376" s="30">
        <v>437573.10856199998</v>
      </c>
      <c r="C2376" s="30">
        <v>5688750.3324180003</v>
      </c>
      <c r="D2376" s="30">
        <v>6</v>
      </c>
      <c r="E2376" s="30" t="s">
        <v>64</v>
      </c>
      <c r="F2376" s="46">
        <v>2019</v>
      </c>
      <c r="G2376" s="47">
        <v>2.6499999999999999E-2</v>
      </c>
      <c r="H2376" s="47">
        <f t="shared" si="193"/>
        <v>1.0625884908927498E-2</v>
      </c>
      <c r="I2376" s="47">
        <v>0</v>
      </c>
      <c r="J2376" s="47">
        <f t="shared" si="194"/>
        <v>0</v>
      </c>
      <c r="K2376" s="47">
        <v>6.9000000000000008E-3</v>
      </c>
      <c r="L2376" s="47">
        <f t="shared" si="195"/>
        <v>3.4348905109489042E-3</v>
      </c>
      <c r="M2376" s="47">
        <f t="shared" si="191"/>
        <v>7.1909943979785937E-3</v>
      </c>
      <c r="N2376" s="47">
        <v>0</v>
      </c>
      <c r="O2376" s="47">
        <f t="shared" si="196"/>
        <v>0</v>
      </c>
      <c r="P2376" s="92"/>
    </row>
    <row r="2377" spans="1:16" x14ac:dyDescent="0.25">
      <c r="A2377" s="29">
        <v>44</v>
      </c>
      <c r="B2377" s="30">
        <v>437692.10856199998</v>
      </c>
      <c r="C2377" s="30">
        <v>5688750.3324180003</v>
      </c>
      <c r="D2377" s="30">
        <v>6</v>
      </c>
      <c r="E2377" s="30" t="s">
        <v>64</v>
      </c>
      <c r="F2377" s="46">
        <v>2019</v>
      </c>
      <c r="G2377" s="54">
        <v>3.9299999999999995E-2</v>
      </c>
      <c r="H2377" s="47">
        <f t="shared" si="193"/>
        <v>1.5758387808333985E-2</v>
      </c>
      <c r="I2377" s="47">
        <v>0</v>
      </c>
      <c r="J2377" s="47">
        <f t="shared" si="194"/>
        <v>0</v>
      </c>
      <c r="K2377" s="47">
        <v>3.3999999999999998E-3</v>
      </c>
      <c r="L2377" s="47">
        <f t="shared" si="195"/>
        <v>1.6925547445255467E-3</v>
      </c>
      <c r="M2377" s="47">
        <f t="shared" si="191"/>
        <v>1.4065833063808439E-2</v>
      </c>
      <c r="N2377" s="47">
        <v>0</v>
      </c>
      <c r="O2377" s="47">
        <f t="shared" si="196"/>
        <v>0</v>
      </c>
      <c r="P2377" s="92"/>
    </row>
    <row r="2378" spans="1:16" x14ac:dyDescent="0.25">
      <c r="A2378" s="29">
        <v>45</v>
      </c>
      <c r="B2378" s="30">
        <v>437811.10856199998</v>
      </c>
      <c r="C2378" s="30">
        <v>5688750.3324180003</v>
      </c>
      <c r="D2378" s="30">
        <v>6</v>
      </c>
      <c r="E2378" s="30" t="s">
        <v>64</v>
      </c>
      <c r="F2378" s="46">
        <v>2019</v>
      </c>
      <c r="G2378" s="47">
        <v>2.7199999999999998E-2</v>
      </c>
      <c r="H2378" s="47">
        <f t="shared" si="193"/>
        <v>1.090656866123879E-2</v>
      </c>
      <c r="I2378" s="47">
        <v>9.4000000000000004E-3</v>
      </c>
      <c r="J2378" s="47">
        <f t="shared" si="194"/>
        <v>3.9607042025036629E-3</v>
      </c>
      <c r="K2378" s="47">
        <v>1.1300000000000001E-2</v>
      </c>
      <c r="L2378" s="47">
        <f t="shared" si="195"/>
        <v>5.6252554744525536E-3</v>
      </c>
      <c r="M2378" s="47">
        <f t="shared" si="191"/>
        <v>5.2813131867862359E-3</v>
      </c>
      <c r="N2378" s="47">
        <v>1.89E-2</v>
      </c>
      <c r="O2378" s="47">
        <f t="shared" si="196"/>
        <v>7.1062038414074612E-3</v>
      </c>
      <c r="P2378" s="92"/>
    </row>
    <row r="2379" spans="1:16" x14ac:dyDescent="0.25">
      <c r="A2379" s="29">
        <v>46</v>
      </c>
      <c r="B2379" s="30">
        <v>437930.10856199998</v>
      </c>
      <c r="C2379" s="30">
        <v>5688750.3324180003</v>
      </c>
      <c r="D2379" s="30">
        <v>6</v>
      </c>
      <c r="E2379" s="30" t="s">
        <v>64</v>
      </c>
      <c r="F2379" s="46">
        <v>2019</v>
      </c>
      <c r="G2379" s="46">
        <v>1.11E-2</v>
      </c>
      <c r="H2379" s="47">
        <f t="shared" si="193"/>
        <v>4.4508423580790655E-3</v>
      </c>
      <c r="I2379" s="47">
        <v>2.6600000000000002E-2</v>
      </c>
      <c r="J2379" s="47">
        <f t="shared" si="194"/>
        <v>1.1207950190063558E-2</v>
      </c>
      <c r="K2379" s="47">
        <v>2.2000000000000001E-3</v>
      </c>
      <c r="L2379" s="47">
        <f t="shared" si="195"/>
        <v>1.0951824817518245E-3</v>
      </c>
      <c r="M2379" s="47">
        <f t="shared" si="191"/>
        <v>3.3556598763272412E-3</v>
      </c>
      <c r="N2379" s="47">
        <v>2.9999999999999997E-4</v>
      </c>
      <c r="O2379" s="47">
        <f t="shared" si="196"/>
        <v>1.12796886371547E-4</v>
      </c>
      <c r="P2379" s="92"/>
    </row>
    <row r="2380" spans="1:16" x14ac:dyDescent="0.25">
      <c r="A2380" s="29">
        <v>47</v>
      </c>
      <c r="B2380" s="30">
        <v>438061</v>
      </c>
      <c r="C2380" s="30">
        <v>5688779</v>
      </c>
      <c r="D2380" s="30">
        <v>6</v>
      </c>
      <c r="E2380" s="30" t="s">
        <v>64</v>
      </c>
      <c r="F2380" s="46">
        <v>2019</v>
      </c>
      <c r="G2380" s="47">
        <v>4.1500000000000002E-2</v>
      </c>
      <c r="H2380" s="47">
        <f t="shared" si="193"/>
        <v>1.6640536744169477E-2</v>
      </c>
      <c r="I2380" s="47">
        <v>8.199999999999999E-3</v>
      </c>
      <c r="J2380" s="47">
        <f t="shared" si="194"/>
        <v>3.4550823894180884E-3</v>
      </c>
      <c r="K2380" s="47">
        <v>3.5000000000000001E-3</v>
      </c>
      <c r="L2380" s="47">
        <f t="shared" si="195"/>
        <v>1.7423357664233571E-3</v>
      </c>
      <c r="M2380" s="47">
        <f t="shared" si="191"/>
        <v>1.4898200977746121E-2</v>
      </c>
      <c r="N2380" s="47">
        <v>3.0499999999999999E-2</v>
      </c>
      <c r="O2380" s="47">
        <f t="shared" si="196"/>
        <v>1.1467683447773944E-2</v>
      </c>
      <c r="P2380" s="92"/>
    </row>
    <row r="2381" spans="1:16" x14ac:dyDescent="0.25">
      <c r="A2381" s="32">
        <v>48</v>
      </c>
      <c r="B2381" s="33">
        <v>438168.10856199998</v>
      </c>
      <c r="C2381" s="33">
        <v>5688750.3324180003</v>
      </c>
      <c r="D2381" s="48">
        <v>7</v>
      </c>
      <c r="E2381" s="48" t="s">
        <v>64</v>
      </c>
      <c r="F2381" s="48">
        <v>2019</v>
      </c>
      <c r="G2381" s="48" t="s">
        <v>18</v>
      </c>
      <c r="H2381" s="48" t="s">
        <v>18</v>
      </c>
      <c r="I2381" s="48" t="s">
        <v>18</v>
      </c>
      <c r="J2381" s="48" t="s">
        <v>18</v>
      </c>
      <c r="K2381" s="48" t="s">
        <v>18</v>
      </c>
      <c r="L2381" s="48" t="s">
        <v>18</v>
      </c>
      <c r="M2381" s="48" t="s">
        <v>18</v>
      </c>
      <c r="N2381" s="48" t="s">
        <v>18</v>
      </c>
      <c r="O2381" s="48" t="s">
        <v>18</v>
      </c>
      <c r="P2381" s="103" t="s">
        <v>89</v>
      </c>
    </row>
    <row r="2382" spans="1:16" x14ac:dyDescent="0.25">
      <c r="A2382" s="29">
        <v>49</v>
      </c>
      <c r="B2382" s="30">
        <v>437454.10856199998</v>
      </c>
      <c r="C2382" s="30">
        <v>5688869.3324180003</v>
      </c>
      <c r="D2382" s="30">
        <v>6</v>
      </c>
      <c r="E2382" s="30" t="s">
        <v>64</v>
      </c>
      <c r="F2382" s="46">
        <v>2019</v>
      </c>
      <c r="G2382" s="47">
        <v>1.8100000000000002E-2</v>
      </c>
      <c r="H2382" s="47">
        <f t="shared" si="193"/>
        <v>7.2576798811919896E-3</v>
      </c>
      <c r="I2382" s="47">
        <v>0</v>
      </c>
      <c r="J2382" s="47">
        <f t="shared" si="194"/>
        <v>0</v>
      </c>
      <c r="K2382" s="47">
        <v>5.7000000000000002E-3</v>
      </c>
      <c r="L2382" s="47">
        <f t="shared" si="195"/>
        <v>2.8375182481751816E-3</v>
      </c>
      <c r="M2382" s="47">
        <f t="shared" si="191"/>
        <v>4.420161633016808E-3</v>
      </c>
      <c r="N2382" s="47">
        <v>0</v>
      </c>
      <c r="O2382" s="47">
        <f t="shared" si="196"/>
        <v>0</v>
      </c>
      <c r="P2382" s="92"/>
    </row>
    <row r="2383" spans="1:16" x14ac:dyDescent="0.25">
      <c r="A2383" s="29">
        <v>50</v>
      </c>
      <c r="B2383" s="30">
        <v>437811.10856199998</v>
      </c>
      <c r="C2383" s="30">
        <v>5688869.3324180003</v>
      </c>
      <c r="D2383" s="30">
        <v>7</v>
      </c>
      <c r="E2383" s="30" t="s">
        <v>64</v>
      </c>
      <c r="F2383" s="46">
        <v>2019</v>
      </c>
      <c r="G2383" s="47">
        <v>3.7600000000000001E-2</v>
      </c>
      <c r="H2383" s="47">
        <f t="shared" ref="H2383:H2384" si="207">G2383*0.449086204515708</f>
        <v>1.6885641289790622E-2</v>
      </c>
      <c r="I2383" s="47">
        <v>0</v>
      </c>
      <c r="J2383" s="47">
        <f t="shared" ref="J2383:J2384" si="208">I2383*0.471207282734256</f>
        <v>0</v>
      </c>
      <c r="K2383" s="47">
        <v>6.7999999999999996E-3</v>
      </c>
      <c r="L2383" s="47">
        <f t="shared" ref="L2383:L2384" si="209">K2383*0.514774494556765</f>
        <v>3.5004665629860023E-3</v>
      </c>
      <c r="M2383" s="47">
        <f t="shared" si="191"/>
        <v>1.338517472680462E-2</v>
      </c>
      <c r="N2383" s="47">
        <v>0</v>
      </c>
      <c r="O2383" s="47">
        <f t="shared" ref="O2383:O2384" si="210">N2383*0.509242424742312</f>
        <v>0</v>
      </c>
      <c r="P2383" s="92"/>
    </row>
    <row r="2384" spans="1:16" x14ac:dyDescent="0.25">
      <c r="A2384" s="29">
        <v>51</v>
      </c>
      <c r="B2384" s="30">
        <v>437930.10856199998</v>
      </c>
      <c r="C2384" s="30">
        <v>5688869.3324180003</v>
      </c>
      <c r="D2384" s="30">
        <v>7</v>
      </c>
      <c r="E2384" s="30" t="s">
        <v>64</v>
      </c>
      <c r="F2384" s="46">
        <v>2019</v>
      </c>
      <c r="G2384" s="47">
        <v>2.8300000000000002E-2</v>
      </c>
      <c r="H2384" s="47">
        <f t="shared" si="207"/>
        <v>1.2709139587794538E-2</v>
      </c>
      <c r="I2384" s="47">
        <v>0</v>
      </c>
      <c r="J2384" s="47">
        <f t="shared" si="208"/>
        <v>0</v>
      </c>
      <c r="K2384" s="47">
        <v>1.4E-3</v>
      </c>
      <c r="L2384" s="47">
        <f t="shared" si="209"/>
        <v>7.2068429237947108E-4</v>
      </c>
      <c r="M2384" s="47">
        <f t="shared" si="191"/>
        <v>1.1988455295415068E-2</v>
      </c>
      <c r="N2384" s="47">
        <v>0</v>
      </c>
      <c r="O2384" s="47">
        <f t="shared" si="210"/>
        <v>0</v>
      </c>
      <c r="P2384" s="92"/>
    </row>
    <row r="2385" spans="1:19" x14ac:dyDescent="0.25">
      <c r="A2385" s="29">
        <v>52</v>
      </c>
      <c r="B2385" s="30">
        <v>438049.10856199998</v>
      </c>
      <c r="C2385" s="30">
        <v>5688869.3324180003</v>
      </c>
      <c r="D2385" s="30">
        <v>6</v>
      </c>
      <c r="E2385" s="30" t="s">
        <v>64</v>
      </c>
      <c r="F2385" s="46">
        <v>2019</v>
      </c>
      <c r="G2385" s="47">
        <v>8.9999999999999993E-3</v>
      </c>
      <c r="H2385" s="47">
        <f t="shared" si="193"/>
        <v>3.6087911011451878E-3</v>
      </c>
      <c r="I2385" s="47">
        <v>0.1459</v>
      </c>
      <c r="J2385" s="47">
        <f t="shared" si="194"/>
        <v>6.1475185440987706E-2</v>
      </c>
      <c r="K2385" s="47">
        <v>5.0000000000000001E-4</v>
      </c>
      <c r="L2385" s="47">
        <f t="shared" si="195"/>
        <v>2.4890510948905102E-4</v>
      </c>
      <c r="M2385" s="47">
        <f t="shared" si="191"/>
        <v>3.3598859916561369E-3</v>
      </c>
      <c r="N2385" s="47">
        <v>3.3E-3</v>
      </c>
      <c r="O2385" s="47">
        <f t="shared" si="196"/>
        <v>1.240765750087017E-3</v>
      </c>
      <c r="P2385" s="92"/>
    </row>
    <row r="2386" spans="1:19" x14ac:dyDescent="0.25">
      <c r="A2386" s="29">
        <v>53</v>
      </c>
      <c r="B2386" s="30">
        <v>438287.10856199998</v>
      </c>
      <c r="C2386" s="30">
        <v>5688869.3324180003</v>
      </c>
      <c r="D2386" s="30">
        <v>7</v>
      </c>
      <c r="E2386" s="30" t="s">
        <v>64</v>
      </c>
      <c r="F2386" s="46">
        <v>2019</v>
      </c>
      <c r="G2386" s="47">
        <v>2.7000000000000001E-3</v>
      </c>
      <c r="H2386" s="47">
        <f t="shared" ref="H2386" si="211">G2386*0.449086204515708</f>
        <v>1.2125327521924118E-3</v>
      </c>
      <c r="I2386" s="47">
        <v>3.5499999999999997E-2</v>
      </c>
      <c r="J2386" s="47">
        <f>I2386*0.471207282734256</f>
        <v>1.6727858537066088E-2</v>
      </c>
      <c r="K2386" s="47">
        <v>0</v>
      </c>
      <c r="L2386" s="47">
        <f t="shared" ref="L2386" si="212">K2386*0.514774494556765</f>
        <v>0</v>
      </c>
      <c r="M2386" s="47">
        <f t="shared" si="191"/>
        <v>1.2125327521924118E-3</v>
      </c>
      <c r="N2386" s="47">
        <v>2.3E-3</v>
      </c>
      <c r="O2386" s="47">
        <f>N2386*0.509242424742312</f>
        <v>1.1712575769073175E-3</v>
      </c>
      <c r="P2386" s="92"/>
    </row>
    <row r="2387" spans="1:19" x14ac:dyDescent="0.25">
      <c r="A2387" s="29">
        <v>54</v>
      </c>
      <c r="B2387" s="30">
        <v>437454.10856199998</v>
      </c>
      <c r="C2387" s="30">
        <v>5688988.3324180003</v>
      </c>
      <c r="D2387" s="30">
        <v>6</v>
      </c>
      <c r="E2387" s="30" t="s">
        <v>64</v>
      </c>
      <c r="F2387" s="46">
        <v>2019</v>
      </c>
      <c r="G2387" s="47">
        <v>3.6400000000000002E-2</v>
      </c>
      <c r="H2387" s="47">
        <f t="shared" si="193"/>
        <v>1.4595555120187205E-2</v>
      </c>
      <c r="I2387" s="47">
        <v>0</v>
      </c>
      <c r="J2387" s="47">
        <f t="shared" si="194"/>
        <v>0</v>
      </c>
      <c r="K2387" s="47">
        <v>1.6999999999999999E-3</v>
      </c>
      <c r="L2387" s="47">
        <f t="shared" si="195"/>
        <v>8.4627737226277333E-4</v>
      </c>
      <c r="M2387" s="47">
        <f t="shared" si="191"/>
        <v>1.3749277747924431E-2</v>
      </c>
      <c r="N2387" s="47">
        <v>0</v>
      </c>
      <c r="O2387" s="47">
        <f t="shared" si="196"/>
        <v>0</v>
      </c>
      <c r="P2387" s="92"/>
    </row>
    <row r="2388" spans="1:19" x14ac:dyDescent="0.25">
      <c r="A2388" s="29">
        <v>55</v>
      </c>
      <c r="B2388" s="30">
        <v>438049.10856199998</v>
      </c>
      <c r="C2388" s="30">
        <v>5688988.3324180003</v>
      </c>
      <c r="D2388" s="30">
        <v>6</v>
      </c>
      <c r="E2388" s="30" t="s">
        <v>64</v>
      </c>
      <c r="F2388" s="46">
        <v>2019</v>
      </c>
      <c r="G2388" s="47">
        <v>1.04E-2</v>
      </c>
      <c r="H2388" s="47">
        <f t="shared" si="193"/>
        <v>4.1701586057677721E-3</v>
      </c>
      <c r="I2388" s="47">
        <v>1.3300000000000001E-2</v>
      </c>
      <c r="J2388" s="47">
        <f t="shared" si="194"/>
        <v>5.6039750950317791E-3</v>
      </c>
      <c r="K2388" s="47">
        <v>1.1000000000000001E-3</v>
      </c>
      <c r="L2388" s="47">
        <f t="shared" si="195"/>
        <v>5.4759124087591226E-4</v>
      </c>
      <c r="M2388" s="47">
        <f>H2388-L2388</f>
        <v>3.6225673648918599E-3</v>
      </c>
      <c r="N2388" s="47">
        <v>1.2699999999999999E-2</v>
      </c>
      <c r="O2388" s="47">
        <f t="shared" si="196"/>
        <v>4.7750681897288224E-3</v>
      </c>
      <c r="P2388" s="92"/>
    </row>
    <row r="2389" spans="1:19" x14ac:dyDescent="0.25">
      <c r="A2389" s="29">
        <v>56</v>
      </c>
      <c r="B2389" s="30">
        <v>438168.10856199998</v>
      </c>
      <c r="C2389" s="30">
        <v>5688988.3324180003</v>
      </c>
      <c r="D2389" s="30">
        <v>6</v>
      </c>
      <c r="E2389" s="30" t="s">
        <v>64</v>
      </c>
      <c r="F2389" s="46">
        <v>2019</v>
      </c>
      <c r="G2389" s="47">
        <v>4.5899999999999996E-2</v>
      </c>
      <c r="H2389" s="47">
        <f t="shared" si="193"/>
        <v>1.8404834615840457E-2</v>
      </c>
      <c r="I2389" s="47">
        <v>0</v>
      </c>
      <c r="J2389" s="47">
        <f t="shared" si="194"/>
        <v>0</v>
      </c>
      <c r="K2389" s="47">
        <v>1E-3</v>
      </c>
      <c r="L2389" s="47">
        <f t="shared" si="195"/>
        <v>4.9781021897810204E-4</v>
      </c>
      <c r="M2389" s="47">
        <f t="shared" si="191"/>
        <v>1.7907024396862356E-2</v>
      </c>
      <c r="N2389" s="47">
        <v>0</v>
      </c>
      <c r="O2389" s="47">
        <f t="shared" si="196"/>
        <v>0</v>
      </c>
      <c r="P2389" s="92"/>
    </row>
    <row r="2390" spans="1:19" x14ac:dyDescent="0.25">
      <c r="A2390" s="40">
        <v>57</v>
      </c>
      <c r="B2390" s="41">
        <v>438146</v>
      </c>
      <c r="C2390" s="41">
        <v>5688977</v>
      </c>
      <c r="D2390" s="41">
        <v>6</v>
      </c>
      <c r="E2390" s="41" t="s">
        <v>64</v>
      </c>
      <c r="F2390" s="50">
        <v>2019</v>
      </c>
      <c r="G2390" s="51">
        <v>2.0899999999999998E-2</v>
      </c>
      <c r="H2390" s="51">
        <f t="shared" si="193"/>
        <v>8.3804148904371573E-3</v>
      </c>
      <c r="I2390" s="51">
        <v>0</v>
      </c>
      <c r="J2390" s="51">
        <f t="shared" si="194"/>
        <v>0</v>
      </c>
      <c r="K2390" s="51">
        <v>2.8999999999999998E-3</v>
      </c>
      <c r="L2390" s="51">
        <f t="shared" si="195"/>
        <v>1.4436496350364958E-3</v>
      </c>
      <c r="M2390" s="51">
        <f t="shared" si="191"/>
        <v>6.9367652554006617E-3</v>
      </c>
      <c r="N2390" s="51">
        <v>0</v>
      </c>
      <c r="O2390" s="51">
        <f t="shared" si="196"/>
        <v>0</v>
      </c>
      <c r="P2390" s="101"/>
    </row>
    <row r="2391" spans="1:19" x14ac:dyDescent="0.25">
      <c r="A2391" s="40">
        <v>58</v>
      </c>
      <c r="B2391" s="41">
        <v>438131</v>
      </c>
      <c r="C2391" s="41">
        <v>5688972</v>
      </c>
      <c r="D2391" s="41">
        <v>6</v>
      </c>
      <c r="E2391" s="41" t="s">
        <v>64</v>
      </c>
      <c r="F2391" s="50">
        <v>2019</v>
      </c>
      <c r="G2391" s="51">
        <v>2.6800000000000001E-2</v>
      </c>
      <c r="H2391" s="51">
        <f t="shared" si="193"/>
        <v>1.0746177945632337E-2</v>
      </c>
      <c r="I2391" s="51">
        <v>0</v>
      </c>
      <c r="J2391" s="51">
        <f t="shared" si="194"/>
        <v>0</v>
      </c>
      <c r="K2391" s="51">
        <v>1E-3</v>
      </c>
      <c r="L2391" s="51">
        <f t="shared" si="195"/>
        <v>4.9781021897810204E-4</v>
      </c>
      <c r="M2391" s="51">
        <f t="shared" si="191"/>
        <v>1.0248367726654235E-2</v>
      </c>
      <c r="N2391" s="51">
        <v>0</v>
      </c>
      <c r="O2391" s="51">
        <f t="shared" si="196"/>
        <v>0</v>
      </c>
      <c r="P2391" s="101"/>
    </row>
    <row r="2392" spans="1:19" x14ac:dyDescent="0.25">
      <c r="A2392" s="40">
        <v>59</v>
      </c>
      <c r="B2392" s="41">
        <v>438089</v>
      </c>
      <c r="C2392" s="41">
        <v>5688713</v>
      </c>
      <c r="D2392" s="41">
        <v>6</v>
      </c>
      <c r="E2392" s="41" t="s">
        <v>64</v>
      </c>
      <c r="F2392" s="50">
        <v>2019</v>
      </c>
      <c r="G2392" s="51">
        <v>2.4300000000000002E-2</v>
      </c>
      <c r="H2392" s="51">
        <f t="shared" si="193"/>
        <v>9.7437359730920079E-3</v>
      </c>
      <c r="I2392" s="51">
        <v>0</v>
      </c>
      <c r="J2392" s="51">
        <f t="shared" si="194"/>
        <v>0</v>
      </c>
      <c r="K2392" s="51">
        <v>5.4999999999999997E-3</v>
      </c>
      <c r="L2392" s="51">
        <f t="shared" si="195"/>
        <v>2.7379562043795607E-3</v>
      </c>
      <c r="M2392" s="51">
        <f t="shared" si="191"/>
        <v>7.0057797687124472E-3</v>
      </c>
      <c r="N2392" s="51">
        <v>4.3700000000000003E-2</v>
      </c>
      <c r="O2392" s="51">
        <f t="shared" si="196"/>
        <v>1.6430746448122015E-2</v>
      </c>
      <c r="P2392" s="101"/>
    </row>
    <row r="2393" spans="1:19" x14ac:dyDescent="0.25">
      <c r="A2393" s="40">
        <v>60</v>
      </c>
      <c r="B2393" s="41">
        <v>438099</v>
      </c>
      <c r="C2393" s="41">
        <v>5688719</v>
      </c>
      <c r="D2393" s="41">
        <v>6</v>
      </c>
      <c r="E2393" s="41" t="s">
        <v>64</v>
      </c>
      <c r="F2393" s="50">
        <v>2019</v>
      </c>
      <c r="G2393" s="51">
        <v>2.23E-2</v>
      </c>
      <c r="H2393" s="51">
        <f t="shared" si="193"/>
        <v>8.9417823950597441E-3</v>
      </c>
      <c r="I2393" s="51">
        <v>4.0000000000000002E-4</v>
      </c>
      <c r="J2393" s="51">
        <f t="shared" si="194"/>
        <v>1.6854060436185801E-4</v>
      </c>
      <c r="K2393" s="51">
        <v>6.4999999999999997E-3</v>
      </c>
      <c r="L2393" s="51">
        <f t="shared" si="195"/>
        <v>3.2357664233576629E-3</v>
      </c>
      <c r="M2393" s="51">
        <f t="shared" si="191"/>
        <v>5.7060159717020817E-3</v>
      </c>
      <c r="N2393" s="51">
        <v>1.1900000000000001E-2</v>
      </c>
      <c r="O2393" s="51">
        <f t="shared" si="196"/>
        <v>4.4742764927380311E-3</v>
      </c>
      <c r="P2393" s="101"/>
    </row>
    <row r="2394" spans="1:19" x14ac:dyDescent="0.25">
      <c r="A2394" s="42">
        <v>1</v>
      </c>
      <c r="B2394" s="43">
        <v>437930.10856199998</v>
      </c>
      <c r="C2394" s="43">
        <v>5688036.3324180003</v>
      </c>
      <c r="D2394" s="44">
        <v>15</v>
      </c>
      <c r="E2394" s="44" t="s">
        <v>96</v>
      </c>
      <c r="F2394" s="44">
        <v>2019</v>
      </c>
      <c r="G2394" s="44" t="s">
        <v>18</v>
      </c>
      <c r="H2394" s="44" t="s">
        <v>18</v>
      </c>
      <c r="I2394" s="44" t="s">
        <v>18</v>
      </c>
      <c r="J2394" s="44" t="s">
        <v>18</v>
      </c>
      <c r="K2394" s="44" t="s">
        <v>18</v>
      </c>
      <c r="L2394" s="44" t="s">
        <v>18</v>
      </c>
      <c r="M2394" s="44" t="s">
        <v>18</v>
      </c>
      <c r="N2394" s="44" t="s">
        <v>18</v>
      </c>
      <c r="O2394" s="44" t="s">
        <v>18</v>
      </c>
      <c r="P2394" s="102" t="s">
        <v>109</v>
      </c>
      <c r="R2394" s="5">
        <f>AVERAGE(M2394:M2453)</f>
        <v>1.2003715379132564E-2</v>
      </c>
      <c r="S2394" s="5">
        <f>AVERAGE(H2394:H2453)</f>
        <v>1.7803636311487941E-2</v>
      </c>
    </row>
    <row r="2395" spans="1:19" x14ac:dyDescent="0.25">
      <c r="A2395" s="42">
        <v>2</v>
      </c>
      <c r="B2395" s="43">
        <v>437811.10856199998</v>
      </c>
      <c r="C2395" s="43">
        <v>5688155.3324180003</v>
      </c>
      <c r="D2395" s="44">
        <v>15</v>
      </c>
      <c r="E2395" s="44" t="s">
        <v>96</v>
      </c>
      <c r="F2395" s="44">
        <v>2019</v>
      </c>
      <c r="G2395" s="44" t="s">
        <v>18</v>
      </c>
      <c r="H2395" s="44" t="s">
        <v>18</v>
      </c>
      <c r="I2395" s="44" t="s">
        <v>18</v>
      </c>
      <c r="J2395" s="44" t="s">
        <v>18</v>
      </c>
      <c r="K2395" s="44" t="s">
        <v>18</v>
      </c>
      <c r="L2395" s="44" t="s">
        <v>18</v>
      </c>
      <c r="M2395" s="44" t="s">
        <v>18</v>
      </c>
      <c r="N2395" s="44" t="s">
        <v>18</v>
      </c>
      <c r="O2395" s="44" t="s">
        <v>18</v>
      </c>
      <c r="P2395" s="102" t="s">
        <v>109</v>
      </c>
    </row>
    <row r="2396" spans="1:19" x14ac:dyDescent="0.25">
      <c r="A2396" s="29">
        <v>3</v>
      </c>
      <c r="B2396" s="30">
        <v>437930.10856199998</v>
      </c>
      <c r="C2396" s="30">
        <v>5688155.3324180003</v>
      </c>
      <c r="D2396" s="30">
        <v>15</v>
      </c>
      <c r="E2396" s="30" t="s">
        <v>96</v>
      </c>
      <c r="F2396" s="46">
        <v>2019</v>
      </c>
      <c r="G2396" s="47">
        <v>8.0000000000000004E-4</v>
      </c>
      <c r="H2396" s="47">
        <f>G2396*0.325154593822969</f>
        <v>2.6012367505837521E-4</v>
      </c>
      <c r="I2396" s="47">
        <v>0</v>
      </c>
      <c r="J2396" s="47">
        <f>I2396*0.42503062255123</f>
        <v>0</v>
      </c>
      <c r="K2396" s="47">
        <v>3.3E-3</v>
      </c>
      <c r="L2396" s="47">
        <f>K2396*0.40467590139449</f>
        <v>1.3354304746018169E-3</v>
      </c>
      <c r="M2396" s="47">
        <f>H2396-L2396</f>
        <v>-1.0753067995434417E-3</v>
      </c>
      <c r="N2396" s="47">
        <v>0</v>
      </c>
      <c r="O2396" s="47">
        <f>N2396*0.512152493694062</f>
        <v>0</v>
      </c>
      <c r="P2396" s="92"/>
    </row>
    <row r="2397" spans="1:19" x14ac:dyDescent="0.25">
      <c r="A2397" s="42">
        <v>4</v>
      </c>
      <c r="B2397" s="43">
        <v>438049.10856199998</v>
      </c>
      <c r="C2397" s="43">
        <v>5688155.3324180003</v>
      </c>
      <c r="D2397" s="44">
        <v>15</v>
      </c>
      <c r="E2397" s="44" t="s">
        <v>96</v>
      </c>
      <c r="F2397" s="44">
        <v>2019</v>
      </c>
      <c r="G2397" s="44" t="s">
        <v>18</v>
      </c>
      <c r="H2397" s="44" t="s">
        <v>18</v>
      </c>
      <c r="I2397" s="44" t="s">
        <v>18</v>
      </c>
      <c r="J2397" s="44" t="s">
        <v>18</v>
      </c>
      <c r="K2397" s="44" t="s">
        <v>18</v>
      </c>
      <c r="L2397" s="44" t="s">
        <v>18</v>
      </c>
      <c r="M2397" s="44" t="s">
        <v>18</v>
      </c>
      <c r="N2397" s="44" t="s">
        <v>18</v>
      </c>
      <c r="O2397" s="44" t="s">
        <v>18</v>
      </c>
      <c r="P2397" s="102" t="s">
        <v>109</v>
      </c>
    </row>
    <row r="2398" spans="1:19" x14ac:dyDescent="0.25">
      <c r="A2398" s="42">
        <v>5</v>
      </c>
      <c r="B2398" s="43">
        <v>437573.10856199998</v>
      </c>
      <c r="C2398" s="43">
        <v>5688274.3324180003</v>
      </c>
      <c r="D2398" s="44">
        <v>15</v>
      </c>
      <c r="E2398" s="44" t="s">
        <v>96</v>
      </c>
      <c r="F2398" s="44">
        <v>2019</v>
      </c>
      <c r="G2398" s="44" t="s">
        <v>18</v>
      </c>
      <c r="H2398" s="44" t="s">
        <v>18</v>
      </c>
      <c r="I2398" s="44" t="s">
        <v>18</v>
      </c>
      <c r="J2398" s="44" t="s">
        <v>18</v>
      </c>
      <c r="K2398" s="44" t="s">
        <v>18</v>
      </c>
      <c r="L2398" s="44" t="s">
        <v>18</v>
      </c>
      <c r="M2398" s="44" t="s">
        <v>18</v>
      </c>
      <c r="N2398" s="44" t="s">
        <v>18</v>
      </c>
      <c r="O2398" s="44" t="s">
        <v>18</v>
      </c>
      <c r="P2398" s="102" t="s">
        <v>109</v>
      </c>
    </row>
    <row r="2399" spans="1:19" x14ac:dyDescent="0.25">
      <c r="A2399" s="29">
        <v>6</v>
      </c>
      <c r="B2399" s="30">
        <v>437692.10856199998</v>
      </c>
      <c r="C2399" s="30">
        <v>5688274.3324180003</v>
      </c>
      <c r="D2399" s="30">
        <v>15</v>
      </c>
      <c r="E2399" s="30" t="s">
        <v>96</v>
      </c>
      <c r="F2399" s="46">
        <v>2019</v>
      </c>
      <c r="G2399" s="47">
        <v>7.9000000000000008E-3</v>
      </c>
      <c r="H2399" s="47">
        <f t="shared" ref="H2399:H2428" si="213">G2399*0.325154593822969</f>
        <v>2.5687212912014557E-3</v>
      </c>
      <c r="I2399" s="47">
        <v>5.0000000000000001E-4</v>
      </c>
      <c r="J2399" s="47">
        <f t="shared" ref="J2399:J2436" si="214">I2399*0.42503062255123</f>
        <v>2.1251531127561499E-4</v>
      </c>
      <c r="K2399" s="54">
        <v>2.8E-3</v>
      </c>
      <c r="L2399" s="47">
        <f t="shared" ref="L2399:L2429" si="215">K2399*0.40467590139449</f>
        <v>1.1330925239045719E-3</v>
      </c>
      <c r="M2399" s="47">
        <f t="shared" ref="M2399:M2453" si="216">H2399-L2399</f>
        <v>1.4356287672968838E-3</v>
      </c>
      <c r="N2399" s="47">
        <v>6.0499999999999998E-2</v>
      </c>
      <c r="O2399" s="47">
        <f t="shared" ref="O2399:O2436" si="217">N2399*0.512152493694062</f>
        <v>3.098522586849075E-2</v>
      </c>
      <c r="P2399" s="92"/>
    </row>
    <row r="2400" spans="1:19" x14ac:dyDescent="0.25">
      <c r="A2400" s="29">
        <v>7</v>
      </c>
      <c r="B2400" s="30">
        <v>437811.10856199998</v>
      </c>
      <c r="C2400" s="30">
        <v>5688274.3324180003</v>
      </c>
      <c r="D2400" s="30" t="s">
        <v>18</v>
      </c>
      <c r="E2400" s="30" t="s">
        <v>18</v>
      </c>
      <c r="F2400" s="30" t="s">
        <v>18</v>
      </c>
      <c r="G2400" s="30" t="s">
        <v>18</v>
      </c>
      <c r="H2400" s="30" t="s">
        <v>18</v>
      </c>
      <c r="I2400" s="30" t="s">
        <v>18</v>
      </c>
      <c r="J2400" s="30" t="s">
        <v>18</v>
      </c>
      <c r="K2400" s="30" t="s">
        <v>18</v>
      </c>
      <c r="L2400" s="30" t="s">
        <v>18</v>
      </c>
      <c r="M2400" s="30" t="s">
        <v>18</v>
      </c>
      <c r="N2400" s="30" t="s">
        <v>18</v>
      </c>
      <c r="O2400" s="30" t="s">
        <v>18</v>
      </c>
      <c r="P2400" s="92" t="s">
        <v>147</v>
      </c>
    </row>
    <row r="2401" spans="1:16" x14ac:dyDescent="0.25">
      <c r="A2401" s="42">
        <v>8</v>
      </c>
      <c r="B2401" s="43">
        <v>437930.10856199998</v>
      </c>
      <c r="C2401" s="43">
        <v>5688274.3324180003</v>
      </c>
      <c r="D2401" s="44">
        <v>15</v>
      </c>
      <c r="E2401" s="44" t="s">
        <v>96</v>
      </c>
      <c r="F2401" s="44">
        <v>2019</v>
      </c>
      <c r="G2401" s="44" t="s">
        <v>18</v>
      </c>
      <c r="H2401" s="44" t="s">
        <v>18</v>
      </c>
      <c r="I2401" s="44" t="s">
        <v>18</v>
      </c>
      <c r="J2401" s="44" t="s">
        <v>18</v>
      </c>
      <c r="K2401" s="44" t="s">
        <v>18</v>
      </c>
      <c r="L2401" s="44" t="s">
        <v>18</v>
      </c>
      <c r="M2401" s="44" t="s">
        <v>18</v>
      </c>
      <c r="N2401" s="44" t="s">
        <v>18</v>
      </c>
      <c r="O2401" s="44" t="s">
        <v>18</v>
      </c>
      <c r="P2401" s="102" t="s">
        <v>109</v>
      </c>
    </row>
    <row r="2402" spans="1:16" x14ac:dyDescent="0.25">
      <c r="A2402" s="29">
        <v>9</v>
      </c>
      <c r="B2402" s="30">
        <v>438287.10856199998</v>
      </c>
      <c r="C2402" s="30">
        <v>5688274.3324180003</v>
      </c>
      <c r="D2402" s="30">
        <v>15</v>
      </c>
      <c r="E2402" s="30" t="s">
        <v>96</v>
      </c>
      <c r="F2402" s="46">
        <v>2019</v>
      </c>
      <c r="G2402" s="47">
        <v>3.61E-2</v>
      </c>
      <c r="H2402" s="47">
        <f t="shared" si="213"/>
        <v>1.1738080837009182E-2</v>
      </c>
      <c r="I2402" s="47">
        <v>3.0300000000000001E-2</v>
      </c>
      <c r="J2402" s="47">
        <f t="shared" si="214"/>
        <v>1.2878427863302268E-2</v>
      </c>
      <c r="K2402" s="47">
        <v>2.3999999999999998E-3</v>
      </c>
      <c r="L2402" s="47">
        <f t="shared" si="215"/>
        <v>9.7122216334677588E-4</v>
      </c>
      <c r="M2402" s="47">
        <f t="shared" si="216"/>
        <v>1.0766858673662406E-2</v>
      </c>
      <c r="N2402" s="47">
        <v>1.46E-2</v>
      </c>
      <c r="O2402" s="47">
        <f t="shared" si="217"/>
        <v>7.4774264079333057E-3</v>
      </c>
      <c r="P2402" s="92"/>
    </row>
    <row r="2403" spans="1:16" x14ac:dyDescent="0.25">
      <c r="A2403" s="29">
        <v>10</v>
      </c>
      <c r="B2403" s="30">
        <v>438406.10856199998</v>
      </c>
      <c r="C2403" s="30">
        <v>5688274.3324180003</v>
      </c>
      <c r="D2403" s="30">
        <v>15</v>
      </c>
      <c r="E2403" s="30" t="s">
        <v>96</v>
      </c>
      <c r="F2403" s="46">
        <v>2019</v>
      </c>
      <c r="G2403" s="47">
        <v>5.8400000000000001E-2</v>
      </c>
      <c r="H2403" s="47">
        <f t="shared" si="213"/>
        <v>1.898902827926139E-2</v>
      </c>
      <c r="I2403" s="47">
        <v>3.8999999999999998E-3</v>
      </c>
      <c r="J2403" s="47">
        <f t="shared" si="214"/>
        <v>1.6576194279497968E-3</v>
      </c>
      <c r="K2403" s="47">
        <v>1.6199999999999999E-2</v>
      </c>
      <c r="L2403" s="47">
        <f t="shared" si="215"/>
        <v>6.5557496025907373E-3</v>
      </c>
      <c r="M2403" s="47">
        <f t="shared" si="216"/>
        <v>1.2433278676670653E-2</v>
      </c>
      <c r="N2403" s="47">
        <v>0</v>
      </c>
      <c r="O2403" s="47">
        <f t="shared" si="217"/>
        <v>0</v>
      </c>
      <c r="P2403" s="92"/>
    </row>
    <row r="2404" spans="1:16" x14ac:dyDescent="0.25">
      <c r="A2404" s="42">
        <v>11</v>
      </c>
      <c r="B2404" s="43">
        <v>437454.10856199998</v>
      </c>
      <c r="C2404" s="43">
        <v>5688393.3324180003</v>
      </c>
      <c r="D2404" s="44">
        <v>15</v>
      </c>
      <c r="E2404" s="44" t="s">
        <v>96</v>
      </c>
      <c r="F2404" s="44">
        <v>2019</v>
      </c>
      <c r="G2404" s="44" t="s">
        <v>18</v>
      </c>
      <c r="H2404" s="44" t="s">
        <v>18</v>
      </c>
      <c r="I2404" s="44" t="s">
        <v>18</v>
      </c>
      <c r="J2404" s="44" t="s">
        <v>18</v>
      </c>
      <c r="K2404" s="44" t="s">
        <v>18</v>
      </c>
      <c r="L2404" s="44" t="s">
        <v>18</v>
      </c>
      <c r="M2404" s="44" t="s">
        <v>18</v>
      </c>
      <c r="N2404" s="44" t="s">
        <v>18</v>
      </c>
      <c r="O2404" s="44" t="s">
        <v>18</v>
      </c>
      <c r="P2404" s="102" t="s">
        <v>109</v>
      </c>
    </row>
    <row r="2405" spans="1:16" x14ac:dyDescent="0.25">
      <c r="A2405" s="29">
        <v>12</v>
      </c>
      <c r="B2405" s="30">
        <v>437573.10856199998</v>
      </c>
      <c r="C2405" s="30">
        <v>5688393.3324180003</v>
      </c>
      <c r="D2405" s="30">
        <v>15</v>
      </c>
      <c r="E2405" s="30" t="s">
        <v>96</v>
      </c>
      <c r="F2405" s="46">
        <v>2019</v>
      </c>
      <c r="G2405" s="47">
        <v>5.5999999999999999E-3</v>
      </c>
      <c r="H2405" s="47">
        <f t="shared" si="213"/>
        <v>1.8208657254086265E-3</v>
      </c>
      <c r="I2405" s="47">
        <v>0</v>
      </c>
      <c r="J2405" s="47">
        <f t="shared" si="214"/>
        <v>0</v>
      </c>
      <c r="K2405" s="47">
        <v>8.8999999999999999E-3</v>
      </c>
      <c r="L2405" s="47">
        <f t="shared" si="215"/>
        <v>3.6016155224109611E-3</v>
      </c>
      <c r="M2405" s="47">
        <f t="shared" si="216"/>
        <v>-1.7807497970023347E-3</v>
      </c>
      <c r="N2405" s="47">
        <v>0</v>
      </c>
      <c r="O2405" s="47">
        <f t="shared" si="217"/>
        <v>0</v>
      </c>
      <c r="P2405" s="92"/>
    </row>
    <row r="2406" spans="1:16" x14ac:dyDescent="0.25">
      <c r="A2406" s="29">
        <v>13</v>
      </c>
      <c r="B2406" s="30">
        <v>437692.10856199998</v>
      </c>
      <c r="C2406" s="30">
        <v>5688393.3324180003</v>
      </c>
      <c r="D2406" s="30">
        <v>15</v>
      </c>
      <c r="E2406" s="30" t="s">
        <v>96</v>
      </c>
      <c r="F2406" s="46">
        <v>2019</v>
      </c>
      <c r="G2406" s="47">
        <v>5.62E-2</v>
      </c>
      <c r="H2406" s="47">
        <f t="shared" si="213"/>
        <v>1.8273688172850858E-2</v>
      </c>
      <c r="I2406" s="47">
        <v>5.9200000000000003E-2</v>
      </c>
      <c r="J2406" s="47">
        <f t="shared" si="214"/>
        <v>2.5161812855032814E-2</v>
      </c>
      <c r="K2406" s="47">
        <v>7.9000000000000008E-3</v>
      </c>
      <c r="L2406" s="47">
        <f t="shared" si="215"/>
        <v>3.1969396210164715E-3</v>
      </c>
      <c r="M2406" s="47">
        <f t="shared" si="216"/>
        <v>1.5076748551834386E-2</v>
      </c>
      <c r="N2406" s="47">
        <v>2.75E-2</v>
      </c>
      <c r="O2406" s="47">
        <f t="shared" si="217"/>
        <v>1.4084193576586706E-2</v>
      </c>
      <c r="P2406" s="92"/>
    </row>
    <row r="2407" spans="1:16" x14ac:dyDescent="0.25">
      <c r="A2407" s="32">
        <v>14</v>
      </c>
      <c r="B2407" s="33">
        <v>437811.10856199998</v>
      </c>
      <c r="C2407" s="33">
        <v>5688393.3324180003</v>
      </c>
      <c r="D2407" s="48">
        <v>15</v>
      </c>
      <c r="E2407" s="48" t="s">
        <v>96</v>
      </c>
      <c r="F2407" s="48">
        <v>2019</v>
      </c>
      <c r="G2407" s="48" t="s">
        <v>18</v>
      </c>
      <c r="H2407" s="48" t="s">
        <v>18</v>
      </c>
      <c r="I2407" s="48" t="s">
        <v>18</v>
      </c>
      <c r="J2407" s="48" t="s">
        <v>18</v>
      </c>
      <c r="K2407" s="48" t="s">
        <v>18</v>
      </c>
      <c r="L2407" s="48" t="s">
        <v>18</v>
      </c>
      <c r="M2407" s="48" t="s">
        <v>18</v>
      </c>
      <c r="N2407" s="48" t="s">
        <v>18</v>
      </c>
      <c r="O2407" s="48" t="s">
        <v>18</v>
      </c>
      <c r="P2407" s="103" t="s">
        <v>89</v>
      </c>
    </row>
    <row r="2408" spans="1:16" x14ac:dyDescent="0.25">
      <c r="A2408" s="29">
        <v>15</v>
      </c>
      <c r="B2408" s="30">
        <v>437930.10856199998</v>
      </c>
      <c r="C2408" s="30">
        <v>5688393.3324180003</v>
      </c>
      <c r="D2408" s="30">
        <v>15</v>
      </c>
      <c r="E2408" s="30" t="s">
        <v>96</v>
      </c>
      <c r="F2408" s="46">
        <v>2019</v>
      </c>
      <c r="G2408" s="47">
        <v>0.1028</v>
      </c>
      <c r="H2408" s="47">
        <f t="shared" si="213"/>
        <v>3.3425892245001212E-2</v>
      </c>
      <c r="I2408" s="46">
        <v>2.4300000000000002E-2</v>
      </c>
      <c r="J2408" s="47">
        <f t="shared" si="214"/>
        <v>1.0328244127994889E-2</v>
      </c>
      <c r="K2408" s="47">
        <v>1.7999999999999999E-2</v>
      </c>
      <c r="L2408" s="47">
        <f t="shared" si="215"/>
        <v>7.2841662251008198E-3</v>
      </c>
      <c r="M2408" s="47">
        <f t="shared" si="216"/>
        <v>2.6141726019900391E-2</v>
      </c>
      <c r="N2408" s="47">
        <v>2.01E-2</v>
      </c>
      <c r="O2408" s="47">
        <f t="shared" si="217"/>
        <v>1.0294265123250646E-2</v>
      </c>
      <c r="P2408" s="92"/>
    </row>
    <row r="2409" spans="1:16" x14ac:dyDescent="0.25">
      <c r="A2409" s="29">
        <v>16</v>
      </c>
      <c r="B2409" s="30">
        <v>438049.10856199998</v>
      </c>
      <c r="C2409" s="30">
        <v>5688393.3324180003</v>
      </c>
      <c r="D2409" s="30">
        <v>15</v>
      </c>
      <c r="E2409" s="30" t="s">
        <v>96</v>
      </c>
      <c r="F2409" s="46">
        <v>2019</v>
      </c>
      <c r="G2409" s="30" t="s">
        <v>18</v>
      </c>
      <c r="H2409" s="30" t="s">
        <v>18</v>
      </c>
      <c r="I2409" s="30" t="s">
        <v>18</v>
      </c>
      <c r="J2409" s="30" t="s">
        <v>18</v>
      </c>
      <c r="K2409" s="47">
        <v>2.7000000000000001E-3</v>
      </c>
      <c r="L2409" s="47">
        <f t="shared" si="215"/>
        <v>1.0926249337651231E-3</v>
      </c>
      <c r="M2409" s="30" t="s">
        <v>18</v>
      </c>
      <c r="N2409" s="47">
        <v>1.23E-2</v>
      </c>
      <c r="O2409" s="47">
        <f t="shared" si="217"/>
        <v>6.2994756724369626E-3</v>
      </c>
      <c r="P2409" s="92" t="s">
        <v>103</v>
      </c>
    </row>
    <row r="2410" spans="1:16" x14ac:dyDescent="0.25">
      <c r="A2410" s="29">
        <v>17</v>
      </c>
      <c r="B2410" s="30">
        <v>438168.10856199998</v>
      </c>
      <c r="C2410" s="30">
        <v>5688393.3324180003</v>
      </c>
      <c r="D2410" s="30">
        <v>15</v>
      </c>
      <c r="E2410" s="30" t="s">
        <v>96</v>
      </c>
      <c r="F2410" s="46">
        <v>2019</v>
      </c>
      <c r="G2410" s="47">
        <v>5.2600000000000001E-2</v>
      </c>
      <c r="H2410" s="47">
        <f t="shared" si="213"/>
        <v>1.710313163508817E-2</v>
      </c>
      <c r="I2410" s="47">
        <v>5.45E-2</v>
      </c>
      <c r="J2410" s="47">
        <f t="shared" si="214"/>
        <v>2.3164168929042033E-2</v>
      </c>
      <c r="K2410" s="47">
        <v>1.6300000000000002E-2</v>
      </c>
      <c r="L2410" s="47">
        <f t="shared" si="215"/>
        <v>6.5962171927301874E-3</v>
      </c>
      <c r="M2410" s="47">
        <f t="shared" si="216"/>
        <v>1.0506914442357983E-2</v>
      </c>
      <c r="N2410" s="47">
        <v>1.55E-2</v>
      </c>
      <c r="O2410" s="47">
        <f t="shared" si="217"/>
        <v>7.9383636522579615E-3</v>
      </c>
      <c r="P2410" s="92"/>
    </row>
    <row r="2411" spans="1:16" x14ac:dyDescent="0.25">
      <c r="A2411" s="29">
        <v>18</v>
      </c>
      <c r="B2411" s="30">
        <v>438287.10856199998</v>
      </c>
      <c r="C2411" s="30">
        <v>5688393.3324180003</v>
      </c>
      <c r="D2411" s="30">
        <v>15</v>
      </c>
      <c r="E2411" s="30" t="s">
        <v>96</v>
      </c>
      <c r="F2411" s="46">
        <v>2019</v>
      </c>
      <c r="G2411" s="47">
        <v>1.1900000000000001E-2</v>
      </c>
      <c r="H2411" s="47">
        <f t="shared" si="213"/>
        <v>3.8693396664933317E-3</v>
      </c>
      <c r="I2411" s="47">
        <v>0</v>
      </c>
      <c r="J2411" s="47">
        <f t="shared" si="214"/>
        <v>0</v>
      </c>
      <c r="K2411" s="47">
        <v>4.7000000000000002E-3</v>
      </c>
      <c r="L2411" s="47">
        <f t="shared" si="215"/>
        <v>1.9019767365541032E-3</v>
      </c>
      <c r="M2411" s="47">
        <f t="shared" si="216"/>
        <v>1.9673629299392283E-3</v>
      </c>
      <c r="N2411" s="47">
        <v>0</v>
      </c>
      <c r="O2411" s="47">
        <f t="shared" si="217"/>
        <v>0</v>
      </c>
      <c r="P2411" s="92"/>
    </row>
    <row r="2412" spans="1:16" x14ac:dyDescent="0.25">
      <c r="A2412" s="29">
        <v>19</v>
      </c>
      <c r="B2412" s="30">
        <v>438406.10856199998</v>
      </c>
      <c r="C2412" s="30">
        <v>5688393.3324180003</v>
      </c>
      <c r="D2412" s="30">
        <v>15</v>
      </c>
      <c r="E2412" s="30" t="s">
        <v>96</v>
      </c>
      <c r="F2412" s="46">
        <v>2019</v>
      </c>
      <c r="G2412" s="47">
        <v>6.3399999999999998E-2</v>
      </c>
      <c r="H2412" s="47">
        <f t="shared" si="213"/>
        <v>2.0614801248376235E-2</v>
      </c>
      <c r="I2412" s="47">
        <v>2.7199999999999998E-2</v>
      </c>
      <c r="J2412" s="47">
        <f t="shared" si="214"/>
        <v>1.1560832933393455E-2</v>
      </c>
      <c r="K2412" s="47">
        <v>2.3699999999999999E-2</v>
      </c>
      <c r="L2412" s="47">
        <f t="shared" si="215"/>
        <v>9.5908188630494124E-3</v>
      </c>
      <c r="M2412" s="47">
        <f t="shared" si="216"/>
        <v>1.1023982385326822E-2</v>
      </c>
      <c r="N2412" s="47">
        <v>1E-3</v>
      </c>
      <c r="O2412" s="47">
        <f t="shared" si="217"/>
        <v>5.1215249369406207E-4</v>
      </c>
      <c r="P2412" s="92"/>
    </row>
    <row r="2413" spans="1:16" x14ac:dyDescent="0.25">
      <c r="A2413" s="42">
        <v>20</v>
      </c>
      <c r="B2413" s="43">
        <v>437335.10856199998</v>
      </c>
      <c r="C2413" s="43">
        <v>5688512.3324180003</v>
      </c>
      <c r="D2413" s="44">
        <v>15</v>
      </c>
      <c r="E2413" s="44" t="s">
        <v>96</v>
      </c>
      <c r="F2413" s="44">
        <v>2019</v>
      </c>
      <c r="G2413" s="44" t="s">
        <v>18</v>
      </c>
      <c r="H2413" s="44" t="s">
        <v>18</v>
      </c>
      <c r="I2413" s="44" t="s">
        <v>18</v>
      </c>
      <c r="J2413" s="44" t="s">
        <v>18</v>
      </c>
      <c r="K2413" s="44" t="s">
        <v>18</v>
      </c>
      <c r="L2413" s="44" t="s">
        <v>18</v>
      </c>
      <c r="M2413" s="44" t="s">
        <v>18</v>
      </c>
      <c r="N2413" s="44" t="s">
        <v>18</v>
      </c>
      <c r="O2413" s="44" t="s">
        <v>18</v>
      </c>
      <c r="P2413" s="102" t="s">
        <v>109</v>
      </c>
    </row>
    <row r="2414" spans="1:16" x14ac:dyDescent="0.25">
      <c r="A2414" s="29">
        <v>21</v>
      </c>
      <c r="B2414" s="30">
        <v>437454.10856199998</v>
      </c>
      <c r="C2414" s="30">
        <v>5688512.3324180003</v>
      </c>
      <c r="D2414" s="30">
        <v>15</v>
      </c>
      <c r="E2414" s="30" t="s">
        <v>96</v>
      </c>
      <c r="F2414" s="46">
        <v>2019</v>
      </c>
      <c r="G2414" s="47">
        <v>2.4399999999999998E-2</v>
      </c>
      <c r="H2414" s="47">
        <f t="shared" si="213"/>
        <v>7.9337720892804428E-3</v>
      </c>
      <c r="I2414" s="47">
        <v>2.0500000000000001E-2</v>
      </c>
      <c r="J2414" s="47">
        <f t="shared" si="214"/>
        <v>8.7131277623002153E-3</v>
      </c>
      <c r="K2414" s="47">
        <v>1.78E-2</v>
      </c>
      <c r="L2414" s="47">
        <f t="shared" si="215"/>
        <v>7.2032310448219223E-3</v>
      </c>
      <c r="M2414" s="47">
        <f t="shared" si="216"/>
        <v>7.3054104445852055E-4</v>
      </c>
      <c r="N2414" s="47">
        <v>0</v>
      </c>
      <c r="O2414" s="47">
        <f t="shared" si="217"/>
        <v>0</v>
      </c>
      <c r="P2414" s="92"/>
    </row>
    <row r="2415" spans="1:16" x14ac:dyDescent="0.25">
      <c r="A2415" s="29">
        <v>22</v>
      </c>
      <c r="B2415" s="30">
        <v>437573.10856199998</v>
      </c>
      <c r="C2415" s="30">
        <v>5688512.3324180003</v>
      </c>
      <c r="D2415" s="30">
        <v>15</v>
      </c>
      <c r="E2415" s="30" t="s">
        <v>96</v>
      </c>
      <c r="F2415" s="46">
        <v>2019</v>
      </c>
      <c r="G2415" s="47">
        <v>1.1800000000000001E-2</v>
      </c>
      <c r="H2415" s="47">
        <f t="shared" si="213"/>
        <v>3.8368242071110349E-3</v>
      </c>
      <c r="I2415" s="47">
        <v>1.03E-2</v>
      </c>
      <c r="J2415" s="47">
        <f t="shared" si="214"/>
        <v>4.3778154122776688E-3</v>
      </c>
      <c r="K2415" s="47">
        <v>7.6E-3</v>
      </c>
      <c r="L2415" s="47">
        <f t="shared" si="215"/>
        <v>3.0755368505981239E-3</v>
      </c>
      <c r="M2415" s="47">
        <f t="shared" si="216"/>
        <v>7.6128735651291102E-4</v>
      </c>
      <c r="N2415" s="47">
        <v>8.2599999999999993E-2</v>
      </c>
      <c r="O2415" s="47">
        <f t="shared" si="217"/>
        <v>4.2303795979129519E-2</v>
      </c>
      <c r="P2415" s="92"/>
    </row>
    <row r="2416" spans="1:16" x14ac:dyDescent="0.25">
      <c r="A2416" s="29">
        <v>23</v>
      </c>
      <c r="B2416" s="30">
        <v>437692.10856199998</v>
      </c>
      <c r="C2416" s="30">
        <v>5688512.3324180003</v>
      </c>
      <c r="D2416" s="30">
        <v>15</v>
      </c>
      <c r="E2416" s="30" t="s">
        <v>96</v>
      </c>
      <c r="F2416" s="46">
        <v>2019</v>
      </c>
      <c r="G2416" s="47">
        <v>7.4000000000000003E-3</v>
      </c>
      <c r="H2416" s="47">
        <f t="shared" si="213"/>
        <v>2.406143994289971E-3</v>
      </c>
      <c r="I2416" s="47">
        <v>3.7999999999999999E-2</v>
      </c>
      <c r="J2416" s="47">
        <f t="shared" si="214"/>
        <v>1.615116365694674E-2</v>
      </c>
      <c r="K2416" s="47">
        <v>8.0000000000000004E-4</v>
      </c>
      <c r="L2416" s="47">
        <f t="shared" si="215"/>
        <v>3.2374072111559203E-4</v>
      </c>
      <c r="M2416" s="47">
        <f>H2416-L2416</f>
        <v>2.082403273174379E-3</v>
      </c>
      <c r="N2416" s="47">
        <v>0</v>
      </c>
      <c r="O2416" s="47">
        <f t="shared" si="217"/>
        <v>0</v>
      </c>
      <c r="P2416" s="92"/>
    </row>
    <row r="2417" spans="1:16" x14ac:dyDescent="0.25">
      <c r="A2417" s="29">
        <v>24</v>
      </c>
      <c r="B2417" s="30">
        <v>437811.10856199998</v>
      </c>
      <c r="C2417" s="30">
        <v>5688512.3324180003</v>
      </c>
      <c r="D2417" s="30">
        <v>15</v>
      </c>
      <c r="E2417" s="30" t="s">
        <v>96</v>
      </c>
      <c r="F2417" s="46">
        <v>2019</v>
      </c>
      <c r="G2417" s="47">
        <v>0.14219999999999999</v>
      </c>
      <c r="H2417" s="47">
        <f t="shared" si="213"/>
        <v>4.6236983241626194E-2</v>
      </c>
      <c r="I2417" s="47">
        <v>0.10199999999999999</v>
      </c>
      <c r="J2417" s="47">
        <f t="shared" si="214"/>
        <v>4.3353123500225452E-2</v>
      </c>
      <c r="K2417" s="47">
        <v>2.3399999999999997E-2</v>
      </c>
      <c r="L2417" s="47">
        <f t="shared" si="215"/>
        <v>9.4694160926310656E-3</v>
      </c>
      <c r="M2417" s="47">
        <f t="shared" si="216"/>
        <v>3.676756714899513E-2</v>
      </c>
      <c r="N2417" s="47">
        <v>9.1000000000000004E-3</v>
      </c>
      <c r="O2417" s="47">
        <f t="shared" si="217"/>
        <v>4.6605876926159645E-3</v>
      </c>
      <c r="P2417" s="92"/>
    </row>
    <row r="2418" spans="1:16" x14ac:dyDescent="0.25">
      <c r="A2418" s="29">
        <v>25</v>
      </c>
      <c r="B2418" s="46">
        <v>437995</v>
      </c>
      <c r="C2418" s="46">
        <v>5688493</v>
      </c>
      <c r="D2418" s="30">
        <v>15</v>
      </c>
      <c r="E2418" s="30" t="s">
        <v>96</v>
      </c>
      <c r="F2418" s="46">
        <v>2019</v>
      </c>
      <c r="G2418" s="47">
        <v>5.4799999999999995E-2</v>
      </c>
      <c r="H2418" s="47">
        <f t="shared" si="213"/>
        <v>1.7818471741498702E-2</v>
      </c>
      <c r="I2418" s="47">
        <v>4.1100000000000005E-2</v>
      </c>
      <c r="J2418" s="47">
        <f t="shared" si="214"/>
        <v>1.7468758586855555E-2</v>
      </c>
      <c r="K2418" s="47">
        <v>0.01</v>
      </c>
      <c r="L2418" s="47">
        <f t="shared" si="215"/>
        <v>4.0467590139449004E-3</v>
      </c>
      <c r="M2418" s="47">
        <f t="shared" si="216"/>
        <v>1.37717127275538E-2</v>
      </c>
      <c r="N2418" s="47">
        <v>0</v>
      </c>
      <c r="O2418" s="47">
        <f t="shared" si="217"/>
        <v>0</v>
      </c>
      <c r="P2418" s="92"/>
    </row>
    <row r="2419" spans="1:16" x14ac:dyDescent="0.25">
      <c r="A2419" s="29">
        <v>26</v>
      </c>
      <c r="B2419" s="46">
        <v>438112</v>
      </c>
      <c r="C2419" s="46">
        <v>5688567</v>
      </c>
      <c r="D2419" s="30">
        <v>15</v>
      </c>
      <c r="E2419" s="30" t="s">
        <v>96</v>
      </c>
      <c r="F2419" s="46">
        <v>2019</v>
      </c>
      <c r="G2419" s="47">
        <v>0.14360000000000001</v>
      </c>
      <c r="H2419" s="47">
        <f t="shared" si="213"/>
        <v>4.669219967297835E-2</v>
      </c>
      <c r="I2419" s="47">
        <v>6.5099999999999991E-2</v>
      </c>
      <c r="J2419" s="47">
        <f t="shared" si="214"/>
        <v>2.7669493528085069E-2</v>
      </c>
      <c r="K2419" s="47">
        <v>3.0800000000000001E-2</v>
      </c>
      <c r="L2419" s="47">
        <f t="shared" si="215"/>
        <v>1.2464017762950292E-2</v>
      </c>
      <c r="M2419" s="47">
        <f t="shared" si="216"/>
        <v>3.4228181910028056E-2</v>
      </c>
      <c r="N2419" s="47">
        <v>2.1000000000000001E-2</v>
      </c>
      <c r="O2419" s="47">
        <f t="shared" si="217"/>
        <v>1.0755202367575304E-2</v>
      </c>
      <c r="P2419" s="92"/>
    </row>
    <row r="2420" spans="1:16" x14ac:dyDescent="0.25">
      <c r="A2420" s="32">
        <v>27</v>
      </c>
      <c r="B2420" s="33">
        <v>438168.10856199998</v>
      </c>
      <c r="C2420" s="33">
        <v>5688512.3324180003</v>
      </c>
      <c r="D2420" s="48">
        <v>15</v>
      </c>
      <c r="E2420" s="48" t="s">
        <v>96</v>
      </c>
      <c r="F2420" s="48">
        <v>2019</v>
      </c>
      <c r="G2420" s="48" t="s">
        <v>18</v>
      </c>
      <c r="H2420" s="48" t="s">
        <v>18</v>
      </c>
      <c r="I2420" s="48" t="s">
        <v>18</v>
      </c>
      <c r="J2420" s="48" t="s">
        <v>18</v>
      </c>
      <c r="K2420" s="48" t="s">
        <v>18</v>
      </c>
      <c r="L2420" s="48" t="s">
        <v>18</v>
      </c>
      <c r="M2420" s="48" t="s">
        <v>18</v>
      </c>
      <c r="N2420" s="48" t="s">
        <v>18</v>
      </c>
      <c r="O2420" s="48" t="s">
        <v>18</v>
      </c>
      <c r="P2420" s="103" t="s">
        <v>89</v>
      </c>
    </row>
    <row r="2421" spans="1:16" x14ac:dyDescent="0.25">
      <c r="A2421" s="32">
        <v>28</v>
      </c>
      <c r="B2421" s="33">
        <v>438287.10856199998</v>
      </c>
      <c r="C2421" s="33">
        <v>5688512.3324180003</v>
      </c>
      <c r="D2421" s="48">
        <v>15</v>
      </c>
      <c r="E2421" s="48" t="s">
        <v>96</v>
      </c>
      <c r="F2421" s="48">
        <v>2019</v>
      </c>
      <c r="G2421" s="48" t="s">
        <v>18</v>
      </c>
      <c r="H2421" s="48" t="s">
        <v>18</v>
      </c>
      <c r="I2421" s="48" t="s">
        <v>18</v>
      </c>
      <c r="J2421" s="48" t="s">
        <v>18</v>
      </c>
      <c r="K2421" s="48" t="s">
        <v>18</v>
      </c>
      <c r="L2421" s="48" t="s">
        <v>18</v>
      </c>
      <c r="M2421" s="48" t="s">
        <v>18</v>
      </c>
      <c r="N2421" s="48" t="s">
        <v>18</v>
      </c>
      <c r="O2421" s="48" t="s">
        <v>18</v>
      </c>
      <c r="P2421" s="103" t="s">
        <v>89</v>
      </c>
    </row>
    <row r="2422" spans="1:16" x14ac:dyDescent="0.25">
      <c r="A2422" s="29">
        <v>29</v>
      </c>
      <c r="B2422" s="30">
        <v>438381</v>
      </c>
      <c r="C2422" s="30">
        <v>5688526</v>
      </c>
      <c r="D2422" s="30">
        <v>15</v>
      </c>
      <c r="E2422" s="30" t="s">
        <v>96</v>
      </c>
      <c r="F2422" s="46">
        <v>2019</v>
      </c>
      <c r="G2422" s="47">
        <v>0.08</v>
      </c>
      <c r="H2422" s="47">
        <f t="shared" si="213"/>
        <v>2.6012367505837523E-2</v>
      </c>
      <c r="I2422" s="47">
        <v>0</v>
      </c>
      <c r="J2422" s="47">
        <f t="shared" si="214"/>
        <v>0</v>
      </c>
      <c r="K2422" s="47">
        <v>6.2100000000000002E-2</v>
      </c>
      <c r="L2422" s="47">
        <f t="shared" si="215"/>
        <v>2.5130373476597832E-2</v>
      </c>
      <c r="M2422" s="47">
        <f t="shared" si="216"/>
        <v>8.8199402923969106E-4</v>
      </c>
      <c r="N2422" s="47">
        <v>0</v>
      </c>
      <c r="O2422" s="47">
        <f t="shared" si="217"/>
        <v>0</v>
      </c>
      <c r="P2422" s="92"/>
    </row>
    <row r="2423" spans="1:16" x14ac:dyDescent="0.25">
      <c r="A2423" s="29">
        <v>30</v>
      </c>
      <c r="B2423" s="30">
        <v>438525.10856199998</v>
      </c>
      <c r="C2423" s="30">
        <v>5688512.3324180003</v>
      </c>
      <c r="D2423" s="30">
        <v>15</v>
      </c>
      <c r="E2423" s="30" t="s">
        <v>96</v>
      </c>
      <c r="F2423" s="46">
        <v>2019</v>
      </c>
      <c r="G2423" s="47">
        <v>3.56E-2</v>
      </c>
      <c r="H2423" s="47">
        <f t="shared" si="213"/>
        <v>1.1575503540097697E-2</v>
      </c>
      <c r="I2423" s="47">
        <v>2.6800000000000001E-2</v>
      </c>
      <c r="J2423" s="47">
        <f t="shared" si="214"/>
        <v>1.1390820684372964E-2</v>
      </c>
      <c r="K2423" s="47">
        <v>3.5099999999999999E-2</v>
      </c>
      <c r="L2423" s="47">
        <f t="shared" si="215"/>
        <v>1.4204124138946599E-2</v>
      </c>
      <c r="M2423" s="47">
        <f t="shared" si="216"/>
        <v>-2.6286205988489027E-3</v>
      </c>
      <c r="N2423" s="47">
        <v>9.1999999999999998E-3</v>
      </c>
      <c r="O2423" s="47">
        <f t="shared" si="217"/>
        <v>4.7118029419853701E-3</v>
      </c>
      <c r="P2423" s="92"/>
    </row>
    <row r="2424" spans="1:16" x14ac:dyDescent="0.25">
      <c r="A2424" s="29">
        <v>31</v>
      </c>
      <c r="B2424" s="30">
        <v>437335.10856199998</v>
      </c>
      <c r="C2424" s="30">
        <v>5688631.3324180003</v>
      </c>
      <c r="D2424" s="30">
        <v>15</v>
      </c>
      <c r="E2424" s="30" t="s">
        <v>96</v>
      </c>
      <c r="F2424" s="46">
        <v>2019</v>
      </c>
      <c r="G2424" s="47">
        <v>2.07E-2</v>
      </c>
      <c r="H2424" s="47">
        <f t="shared" si="213"/>
        <v>6.7307000921354582E-3</v>
      </c>
      <c r="I2424" s="47">
        <v>0</v>
      </c>
      <c r="J2424" s="47">
        <f t="shared" si="214"/>
        <v>0</v>
      </c>
      <c r="K2424" s="5">
        <v>2.0300000000000002E-2</v>
      </c>
      <c r="L2424" s="47">
        <f t="shared" si="215"/>
        <v>8.2149207983081476E-3</v>
      </c>
      <c r="M2424" s="47">
        <f t="shared" si="216"/>
        <v>-1.4842207061726894E-3</v>
      </c>
      <c r="N2424" s="47">
        <v>0</v>
      </c>
      <c r="O2424" s="47">
        <f t="shared" si="217"/>
        <v>0</v>
      </c>
      <c r="P2424" s="92"/>
    </row>
    <row r="2425" spans="1:16" x14ac:dyDescent="0.25">
      <c r="A2425" s="29">
        <v>32</v>
      </c>
      <c r="B2425" s="30">
        <v>437454.10856199998</v>
      </c>
      <c r="C2425" s="30">
        <v>5688631.3324180003</v>
      </c>
      <c r="D2425" s="30">
        <v>15</v>
      </c>
      <c r="E2425" s="30" t="s">
        <v>96</v>
      </c>
      <c r="F2425" s="46">
        <v>2019</v>
      </c>
      <c r="G2425" s="47">
        <v>4.0600000000000004E-2</v>
      </c>
      <c r="H2425" s="47">
        <f t="shared" si="213"/>
        <v>1.3201276509212543E-2</v>
      </c>
      <c r="I2425" s="47">
        <v>2.0199999999999999E-2</v>
      </c>
      <c r="J2425" s="47">
        <f t="shared" si="214"/>
        <v>8.5856185755348452E-3</v>
      </c>
      <c r="K2425" s="47">
        <v>0</v>
      </c>
      <c r="L2425" s="47">
        <f t="shared" si="215"/>
        <v>0</v>
      </c>
      <c r="M2425" s="47">
        <f t="shared" si="216"/>
        <v>1.3201276509212543E-2</v>
      </c>
      <c r="N2425" s="47">
        <v>2.3199999999999998E-2</v>
      </c>
      <c r="O2425" s="47">
        <f t="shared" si="217"/>
        <v>1.1881937853702238E-2</v>
      </c>
      <c r="P2425" s="92"/>
    </row>
    <row r="2426" spans="1:16" x14ac:dyDescent="0.25">
      <c r="A2426" s="29">
        <v>33</v>
      </c>
      <c r="B2426" s="30">
        <v>437573.10856199998</v>
      </c>
      <c r="C2426" s="30">
        <v>5688631.3324180003</v>
      </c>
      <c r="D2426" s="30">
        <v>15</v>
      </c>
      <c r="E2426" s="30" t="s">
        <v>96</v>
      </c>
      <c r="F2426" s="46">
        <v>2019</v>
      </c>
      <c r="G2426" s="47">
        <v>9.6999999999999986E-3</v>
      </c>
      <c r="H2426" s="47">
        <f t="shared" si="213"/>
        <v>3.1539995600827989E-3</v>
      </c>
      <c r="I2426" s="47">
        <v>0</v>
      </c>
      <c r="J2426" s="47">
        <f t="shared" si="214"/>
        <v>0</v>
      </c>
      <c r="K2426" s="47">
        <v>4.9000000000000007E-3</v>
      </c>
      <c r="L2426" s="47">
        <f t="shared" si="215"/>
        <v>1.9829119168330014E-3</v>
      </c>
      <c r="M2426" s="47">
        <f t="shared" si="216"/>
        <v>1.1710876432497975E-3</v>
      </c>
      <c r="N2426" s="47">
        <v>0</v>
      </c>
      <c r="O2426" s="47">
        <f t="shared" si="217"/>
        <v>0</v>
      </c>
      <c r="P2426" s="92"/>
    </row>
    <row r="2427" spans="1:16" x14ac:dyDescent="0.25">
      <c r="A2427" s="29">
        <v>34</v>
      </c>
      <c r="B2427" s="30">
        <v>437692.10856199998</v>
      </c>
      <c r="C2427" s="30">
        <v>5688631.3324180003</v>
      </c>
      <c r="D2427" s="30">
        <v>15</v>
      </c>
      <c r="E2427" s="30" t="s">
        <v>96</v>
      </c>
      <c r="F2427" s="46">
        <v>2019</v>
      </c>
      <c r="G2427" s="47">
        <v>7.6200000000000004E-2</v>
      </c>
      <c r="H2427" s="47">
        <f t="shared" si="213"/>
        <v>2.4776780049310242E-2</v>
      </c>
      <c r="I2427" s="47">
        <v>0</v>
      </c>
      <c r="J2427" s="47">
        <f t="shared" si="214"/>
        <v>0</v>
      </c>
      <c r="K2427" s="47">
        <v>9.8000000000000014E-3</v>
      </c>
      <c r="L2427" s="47">
        <f t="shared" si="215"/>
        <v>3.9658238336660028E-3</v>
      </c>
      <c r="M2427" s="47">
        <f t="shared" si="216"/>
        <v>2.0810956215644237E-2</v>
      </c>
      <c r="N2427" s="47">
        <v>3.5000000000000001E-3</v>
      </c>
      <c r="O2427" s="47">
        <f t="shared" si="217"/>
        <v>1.7925337279292171E-3</v>
      </c>
      <c r="P2427" s="92"/>
    </row>
    <row r="2428" spans="1:16" x14ac:dyDescent="0.25">
      <c r="A2428" s="29">
        <v>35</v>
      </c>
      <c r="B2428" s="30">
        <v>437893</v>
      </c>
      <c r="C2428" s="30">
        <v>5688620</v>
      </c>
      <c r="D2428" s="30">
        <v>15</v>
      </c>
      <c r="E2428" s="30" t="s">
        <v>96</v>
      </c>
      <c r="F2428" s="46">
        <v>2019</v>
      </c>
      <c r="G2428" s="47">
        <v>4.1000000000000002E-2</v>
      </c>
      <c r="H2428" s="47">
        <f t="shared" si="213"/>
        <v>1.3331338346741731E-2</v>
      </c>
      <c r="I2428" s="47">
        <v>0</v>
      </c>
      <c r="J2428" s="47">
        <f t="shared" si="214"/>
        <v>0</v>
      </c>
      <c r="K2428" s="47">
        <v>1.2699999999999999E-2</v>
      </c>
      <c r="L2428" s="47">
        <f t="shared" si="215"/>
        <v>5.1393839477100224E-3</v>
      </c>
      <c r="M2428" s="47">
        <f t="shared" si="216"/>
        <v>8.1919543990317083E-3</v>
      </c>
      <c r="N2428" s="47">
        <v>0</v>
      </c>
      <c r="O2428" s="47">
        <f t="shared" si="217"/>
        <v>0</v>
      </c>
      <c r="P2428" s="92"/>
    </row>
    <row r="2429" spans="1:16" x14ac:dyDescent="0.25">
      <c r="A2429" s="29">
        <v>36</v>
      </c>
      <c r="B2429" s="30">
        <v>437930.10856199998</v>
      </c>
      <c r="C2429" s="30">
        <v>5688631.3324180003</v>
      </c>
      <c r="D2429" s="30">
        <v>15</v>
      </c>
      <c r="E2429" s="30" t="s">
        <v>96</v>
      </c>
      <c r="F2429" s="46">
        <v>2019</v>
      </c>
      <c r="G2429" s="30" t="s">
        <v>18</v>
      </c>
      <c r="H2429" s="30" t="s">
        <v>18</v>
      </c>
      <c r="I2429" s="30" t="s">
        <v>18</v>
      </c>
      <c r="J2429" s="30" t="s">
        <v>18</v>
      </c>
      <c r="K2429" s="47">
        <v>5.9000000000000007E-3</v>
      </c>
      <c r="L2429" s="47">
        <f t="shared" si="215"/>
        <v>2.3875878182274914E-3</v>
      </c>
      <c r="M2429" s="30" t="s">
        <v>18</v>
      </c>
      <c r="N2429" s="47">
        <v>0</v>
      </c>
      <c r="O2429" s="47">
        <f t="shared" si="217"/>
        <v>0</v>
      </c>
      <c r="P2429" s="92" t="s">
        <v>103</v>
      </c>
    </row>
    <row r="2430" spans="1:16" x14ac:dyDescent="0.25">
      <c r="A2430" s="32">
        <v>37</v>
      </c>
      <c r="B2430" s="33">
        <v>438049.10856199998</v>
      </c>
      <c r="C2430" s="33">
        <v>5688631.3324180003</v>
      </c>
      <c r="D2430" s="48">
        <v>15</v>
      </c>
      <c r="E2430" s="48" t="s">
        <v>96</v>
      </c>
      <c r="F2430" s="48">
        <v>2019</v>
      </c>
      <c r="G2430" s="48" t="s">
        <v>18</v>
      </c>
      <c r="H2430" s="48" t="s">
        <v>18</v>
      </c>
      <c r="I2430" s="48" t="s">
        <v>18</v>
      </c>
      <c r="J2430" s="48" t="s">
        <v>18</v>
      </c>
      <c r="K2430" s="48" t="s">
        <v>18</v>
      </c>
      <c r="L2430" s="48" t="s">
        <v>18</v>
      </c>
      <c r="M2430" s="48" t="s">
        <v>18</v>
      </c>
      <c r="N2430" s="48" t="s">
        <v>18</v>
      </c>
      <c r="O2430" s="48" t="s">
        <v>18</v>
      </c>
      <c r="P2430" s="103" t="s">
        <v>89</v>
      </c>
    </row>
    <row r="2431" spans="1:16" x14ac:dyDescent="0.25">
      <c r="A2431" s="29">
        <v>38</v>
      </c>
      <c r="B2431" s="30">
        <v>438067</v>
      </c>
      <c r="C2431" s="30">
        <v>5688710</v>
      </c>
      <c r="D2431" s="30">
        <v>14</v>
      </c>
      <c r="E2431" s="30" t="s">
        <v>96</v>
      </c>
      <c r="F2431" s="46">
        <v>2019</v>
      </c>
      <c r="G2431" s="54">
        <v>8.0799999999999997E-2</v>
      </c>
      <c r="H2431" s="47">
        <f t="shared" ref="H2431:H2453" si="218">G2431*0.279587060844654</f>
        <v>2.2590634516248043E-2</v>
      </c>
      <c r="I2431" s="54">
        <v>0</v>
      </c>
      <c r="J2431" s="47">
        <f t="shared" ref="J2431:J2453" si="219">I2431*0.31642403970121</f>
        <v>0</v>
      </c>
      <c r="K2431" s="54">
        <v>4.4999999999999997E-3</v>
      </c>
      <c r="L2431" s="47">
        <f t="shared" ref="L2431:L2453" si="220">K2431*0.451187335092348</f>
        <v>2.0303430079155658E-3</v>
      </c>
      <c r="M2431" s="47">
        <f t="shared" si="216"/>
        <v>2.0560291508332478E-2</v>
      </c>
      <c r="N2431" s="47">
        <v>0</v>
      </c>
      <c r="O2431" s="47">
        <f t="shared" ref="O2431:O2453" si="221">N2431*0.322134387351779</f>
        <v>0</v>
      </c>
      <c r="P2431" s="92"/>
    </row>
    <row r="2432" spans="1:16" x14ac:dyDescent="0.25">
      <c r="A2432" s="32">
        <v>39</v>
      </c>
      <c r="B2432" s="33">
        <v>438287.10856199998</v>
      </c>
      <c r="C2432" s="33">
        <v>5688631.3324180003</v>
      </c>
      <c r="D2432" s="48">
        <v>15</v>
      </c>
      <c r="E2432" s="48" t="s">
        <v>96</v>
      </c>
      <c r="F2432" s="48">
        <v>2019</v>
      </c>
      <c r="G2432" s="48" t="s">
        <v>18</v>
      </c>
      <c r="H2432" s="48" t="s">
        <v>18</v>
      </c>
      <c r="I2432" s="48" t="s">
        <v>18</v>
      </c>
      <c r="J2432" s="48" t="s">
        <v>18</v>
      </c>
      <c r="K2432" s="48" t="s">
        <v>18</v>
      </c>
      <c r="L2432" s="48" t="s">
        <v>18</v>
      </c>
      <c r="M2432" s="48" t="s">
        <v>18</v>
      </c>
      <c r="N2432" s="48" t="s">
        <v>18</v>
      </c>
      <c r="O2432" s="48" t="s">
        <v>18</v>
      </c>
      <c r="P2432" s="94" t="s">
        <v>22</v>
      </c>
    </row>
    <row r="2433" spans="1:16" x14ac:dyDescent="0.25">
      <c r="A2433" s="29">
        <v>40</v>
      </c>
      <c r="B2433" s="30">
        <v>438406.10856199998</v>
      </c>
      <c r="C2433" s="30">
        <v>5688631.3324180003</v>
      </c>
      <c r="D2433" s="30">
        <v>15</v>
      </c>
      <c r="E2433" s="30" t="s">
        <v>96</v>
      </c>
      <c r="F2433" s="46">
        <v>2019</v>
      </c>
      <c r="G2433" s="46" t="s">
        <v>18</v>
      </c>
      <c r="H2433" s="46" t="s">
        <v>18</v>
      </c>
      <c r="I2433" s="46" t="s">
        <v>18</v>
      </c>
      <c r="J2433" s="46" t="s">
        <v>18</v>
      </c>
      <c r="K2433" s="47">
        <v>2.8999999999999998E-3</v>
      </c>
      <c r="L2433" s="47">
        <f t="shared" ref="L2433:L2436" si="222">K2433*0.40467590139449</f>
        <v>1.1735601140440209E-3</v>
      </c>
      <c r="M2433" s="46" t="s">
        <v>18</v>
      </c>
      <c r="N2433" s="47">
        <v>0</v>
      </c>
      <c r="O2433" s="47">
        <f t="shared" si="217"/>
        <v>0</v>
      </c>
      <c r="P2433" s="92" t="s">
        <v>103</v>
      </c>
    </row>
    <row r="2434" spans="1:16" x14ac:dyDescent="0.25">
      <c r="A2434" s="29">
        <v>41</v>
      </c>
      <c r="B2434" s="30">
        <v>437310</v>
      </c>
      <c r="C2434" s="30">
        <v>5688729</v>
      </c>
      <c r="D2434" s="30">
        <v>15</v>
      </c>
      <c r="E2434" s="30" t="s">
        <v>96</v>
      </c>
      <c r="F2434" s="46">
        <v>2019</v>
      </c>
      <c r="G2434" s="47">
        <v>4.4400000000000002E-2</v>
      </c>
      <c r="H2434" s="47">
        <f t="shared" ref="H2434:H2436" si="223">G2434*0.325154593822969</f>
        <v>1.4436863965739824E-2</v>
      </c>
      <c r="I2434" s="47">
        <v>0.12590000000000001</v>
      </c>
      <c r="J2434" s="47">
        <f t="shared" si="214"/>
        <v>5.3511355379199856E-2</v>
      </c>
      <c r="K2434" s="47">
        <v>2.87E-2</v>
      </c>
      <c r="L2434" s="47">
        <f t="shared" si="222"/>
        <v>1.1614198370021863E-2</v>
      </c>
      <c r="M2434" s="47">
        <f t="shared" si="216"/>
        <v>2.8226655957179613E-3</v>
      </c>
      <c r="N2434" s="47">
        <v>0</v>
      </c>
      <c r="O2434" s="47">
        <f t="shared" si="217"/>
        <v>0</v>
      </c>
      <c r="P2434" s="92"/>
    </row>
    <row r="2435" spans="1:16" x14ac:dyDescent="0.25">
      <c r="A2435" s="29">
        <v>42</v>
      </c>
      <c r="B2435" s="30">
        <v>437454.10856199998</v>
      </c>
      <c r="C2435" s="30">
        <v>5688750.3324180003</v>
      </c>
      <c r="D2435" s="30">
        <v>15</v>
      </c>
      <c r="E2435" s="30" t="s">
        <v>96</v>
      </c>
      <c r="F2435" s="46">
        <v>2019</v>
      </c>
      <c r="G2435" s="54">
        <v>4.7899999999999998E-2</v>
      </c>
      <c r="H2435" s="47">
        <f t="shared" si="223"/>
        <v>1.5574905044120216E-2</v>
      </c>
      <c r="I2435" s="47">
        <v>1.2999999999999999E-2</v>
      </c>
      <c r="J2435" s="47">
        <f t="shared" si="214"/>
        <v>5.5253980931659896E-3</v>
      </c>
      <c r="K2435" s="47">
        <v>2.1299999999999999E-2</v>
      </c>
      <c r="L2435" s="47">
        <f t="shared" si="222"/>
        <v>8.6195966997026363E-3</v>
      </c>
      <c r="M2435" s="47">
        <f t="shared" si="216"/>
        <v>6.9553083444175798E-3</v>
      </c>
      <c r="N2435" s="47">
        <v>0</v>
      </c>
      <c r="O2435" s="47">
        <f t="shared" si="217"/>
        <v>0</v>
      </c>
      <c r="P2435" s="92"/>
    </row>
    <row r="2436" spans="1:16" x14ac:dyDescent="0.25">
      <c r="A2436" s="29">
        <v>43</v>
      </c>
      <c r="B2436" s="30">
        <v>437573.10856199998</v>
      </c>
      <c r="C2436" s="30">
        <v>5688750.3324180003</v>
      </c>
      <c r="D2436" s="30">
        <v>15</v>
      </c>
      <c r="E2436" s="30" t="s">
        <v>96</v>
      </c>
      <c r="F2436" s="46">
        <v>2019</v>
      </c>
      <c r="G2436" s="47">
        <v>1.9100000000000002E-2</v>
      </c>
      <c r="H2436" s="47">
        <f t="shared" si="223"/>
        <v>6.2104527420187086E-3</v>
      </c>
      <c r="I2436" s="47">
        <v>0</v>
      </c>
      <c r="J2436" s="47">
        <f t="shared" si="214"/>
        <v>0</v>
      </c>
      <c r="K2436" s="47">
        <v>1.4999999999999999E-2</v>
      </c>
      <c r="L2436" s="47">
        <f t="shared" si="222"/>
        <v>6.0701385209173502E-3</v>
      </c>
      <c r="M2436" s="47">
        <f t="shared" si="216"/>
        <v>1.4031422110135847E-4</v>
      </c>
      <c r="N2436" s="47">
        <v>0</v>
      </c>
      <c r="O2436" s="47">
        <f t="shared" si="217"/>
        <v>0</v>
      </c>
      <c r="P2436" s="92"/>
    </row>
    <row r="2437" spans="1:16" x14ac:dyDescent="0.25">
      <c r="A2437" s="29">
        <v>44</v>
      </c>
      <c r="B2437" s="30">
        <v>437692.10856199998</v>
      </c>
      <c r="C2437" s="30">
        <v>5688750.3324180003</v>
      </c>
      <c r="D2437" s="30">
        <v>14</v>
      </c>
      <c r="E2437" s="30" t="s">
        <v>96</v>
      </c>
      <c r="F2437" s="46">
        <v>2019</v>
      </c>
      <c r="G2437" s="54">
        <v>0.1051</v>
      </c>
      <c r="H2437" s="47">
        <f t="shared" si="218"/>
        <v>2.9384600094773138E-2</v>
      </c>
      <c r="I2437" s="47">
        <v>0</v>
      </c>
      <c r="J2437" s="47">
        <f t="shared" si="219"/>
        <v>0</v>
      </c>
      <c r="K2437" s="47">
        <v>3.0699999999999998E-2</v>
      </c>
      <c r="L2437" s="47">
        <f t="shared" si="220"/>
        <v>1.3851451187335082E-2</v>
      </c>
      <c r="M2437" s="47">
        <f t="shared" si="216"/>
        <v>1.5533148907438055E-2</v>
      </c>
      <c r="N2437" s="47">
        <v>0</v>
      </c>
      <c r="O2437" s="47">
        <f t="shared" si="221"/>
        <v>0</v>
      </c>
      <c r="P2437" s="92"/>
    </row>
    <row r="2438" spans="1:16" x14ac:dyDescent="0.25">
      <c r="A2438" s="29">
        <v>45</v>
      </c>
      <c r="B2438" s="30">
        <v>437811.10856199998</v>
      </c>
      <c r="C2438" s="30">
        <v>5688750.3324180003</v>
      </c>
      <c r="D2438" s="30">
        <v>14</v>
      </c>
      <c r="E2438" s="30" t="s">
        <v>96</v>
      </c>
      <c r="F2438" s="46">
        <v>2019</v>
      </c>
      <c r="G2438" s="47">
        <v>5.1799999999999999E-2</v>
      </c>
      <c r="H2438" s="47">
        <f t="shared" si="218"/>
        <v>1.4482609751753077E-2</v>
      </c>
      <c r="I2438" s="47">
        <v>4.7799999999999995E-2</v>
      </c>
      <c r="J2438" s="47">
        <f t="shared" si="219"/>
        <v>1.5125069097717837E-2</v>
      </c>
      <c r="K2438" s="47">
        <v>1.3800000000000002E-2</v>
      </c>
      <c r="L2438" s="47">
        <f t="shared" si="220"/>
        <v>6.2263852242744029E-3</v>
      </c>
      <c r="M2438" s="47">
        <f t="shared" si="216"/>
        <v>8.2562245274786748E-3</v>
      </c>
      <c r="N2438" s="47">
        <v>0</v>
      </c>
      <c r="O2438" s="47">
        <f t="shared" si="221"/>
        <v>0</v>
      </c>
      <c r="P2438" s="92"/>
    </row>
    <row r="2439" spans="1:16" x14ac:dyDescent="0.25">
      <c r="A2439" s="29">
        <v>46</v>
      </c>
      <c r="B2439" s="30">
        <v>437930.10856199998</v>
      </c>
      <c r="C2439" s="30">
        <v>5688750.3324180003</v>
      </c>
      <c r="D2439" s="30">
        <v>14</v>
      </c>
      <c r="E2439" s="30" t="s">
        <v>96</v>
      </c>
      <c r="F2439" s="46">
        <v>2019</v>
      </c>
      <c r="G2439" s="47">
        <v>1E-3</v>
      </c>
      <c r="H2439" s="47">
        <f t="shared" si="218"/>
        <v>2.79587060844654E-4</v>
      </c>
      <c r="I2439" s="47">
        <v>3.04E-2</v>
      </c>
      <c r="J2439" s="47">
        <f t="shared" si="219"/>
        <v>9.6192908069167842E-3</v>
      </c>
      <c r="K2439" s="47">
        <v>5.0000000000000001E-4</v>
      </c>
      <c r="L2439" s="47">
        <f t="shared" si="220"/>
        <v>2.25593667546174E-4</v>
      </c>
      <c r="M2439" s="47">
        <f t="shared" si="216"/>
        <v>5.3993393298480002E-5</v>
      </c>
      <c r="N2439" s="47">
        <v>0</v>
      </c>
      <c r="O2439" s="47">
        <f t="shared" si="221"/>
        <v>0</v>
      </c>
      <c r="P2439" s="92"/>
    </row>
    <row r="2440" spans="1:16" x14ac:dyDescent="0.25">
      <c r="A2440" s="29">
        <v>47</v>
      </c>
      <c r="B2440" s="30">
        <v>438061</v>
      </c>
      <c r="C2440" s="30">
        <v>5688779</v>
      </c>
      <c r="D2440" s="30">
        <v>14</v>
      </c>
      <c r="E2440" s="30" t="s">
        <v>96</v>
      </c>
      <c r="F2440" s="46">
        <v>2019</v>
      </c>
      <c r="G2440" s="47">
        <v>4.6700000000000005E-2</v>
      </c>
      <c r="H2440" s="47">
        <f t="shared" si="218"/>
        <v>1.3056715741445344E-2</v>
      </c>
      <c r="I2440" s="47">
        <v>7.4499999999999997E-2</v>
      </c>
      <c r="J2440" s="47">
        <f t="shared" si="219"/>
        <v>2.3573590957740146E-2</v>
      </c>
      <c r="K2440" s="47">
        <v>2.6100000000000002E-2</v>
      </c>
      <c r="L2440" s="47">
        <f t="shared" si="220"/>
        <v>1.1775989445910283E-2</v>
      </c>
      <c r="M2440" s="47">
        <f t="shared" si="216"/>
        <v>1.2807262955350611E-3</v>
      </c>
      <c r="N2440" s="47">
        <v>1.8499999999999999E-2</v>
      </c>
      <c r="O2440" s="47">
        <f t="shared" si="221"/>
        <v>5.9594861660079114E-3</v>
      </c>
      <c r="P2440" s="92"/>
    </row>
    <row r="2441" spans="1:16" x14ac:dyDescent="0.25">
      <c r="A2441" s="32">
        <v>48</v>
      </c>
      <c r="B2441" s="33">
        <v>438168.10856199998</v>
      </c>
      <c r="C2441" s="33">
        <v>5688750.3324180003</v>
      </c>
      <c r="D2441" s="48">
        <v>15</v>
      </c>
      <c r="E2441" s="48" t="s">
        <v>96</v>
      </c>
      <c r="F2441" s="48">
        <v>2019</v>
      </c>
      <c r="G2441" s="48" t="s">
        <v>18</v>
      </c>
      <c r="H2441" s="48" t="s">
        <v>18</v>
      </c>
      <c r="I2441" s="48" t="s">
        <v>18</v>
      </c>
      <c r="J2441" s="48" t="s">
        <v>18</v>
      </c>
      <c r="K2441" s="48" t="s">
        <v>18</v>
      </c>
      <c r="L2441" s="48" t="s">
        <v>18</v>
      </c>
      <c r="M2441" s="48" t="s">
        <v>18</v>
      </c>
      <c r="N2441" s="48" t="s">
        <v>18</v>
      </c>
      <c r="O2441" s="48" t="s">
        <v>18</v>
      </c>
      <c r="P2441" s="103" t="s">
        <v>89</v>
      </c>
    </row>
    <row r="2442" spans="1:16" x14ac:dyDescent="0.25">
      <c r="A2442" s="29">
        <v>49</v>
      </c>
      <c r="B2442" s="30">
        <v>437454.10856199998</v>
      </c>
      <c r="C2442" s="30">
        <v>5688869.3324180003</v>
      </c>
      <c r="D2442" s="30">
        <v>14</v>
      </c>
      <c r="E2442" s="30" t="s">
        <v>96</v>
      </c>
      <c r="F2442" s="46">
        <v>2019</v>
      </c>
      <c r="G2442" s="47">
        <v>7.4999999999999997E-2</v>
      </c>
      <c r="H2442" s="47">
        <f t="shared" si="218"/>
        <v>2.0969029563349052E-2</v>
      </c>
      <c r="I2442" s="47">
        <v>0</v>
      </c>
      <c r="J2442" s="47">
        <f t="shared" si="219"/>
        <v>0</v>
      </c>
      <c r="K2442" s="47">
        <v>3.95E-2</v>
      </c>
      <c r="L2442" s="47">
        <f t="shared" si="220"/>
        <v>1.7821899736147746E-2</v>
      </c>
      <c r="M2442" s="47">
        <f t="shared" si="216"/>
        <v>3.147129827201306E-3</v>
      </c>
      <c r="N2442" s="47">
        <v>0</v>
      </c>
      <c r="O2442" s="47">
        <f t="shared" si="221"/>
        <v>0</v>
      </c>
      <c r="P2442" s="92"/>
    </row>
    <row r="2443" spans="1:16" x14ac:dyDescent="0.25">
      <c r="A2443" s="29">
        <v>50</v>
      </c>
      <c r="B2443" s="30">
        <v>437811.10856199998</v>
      </c>
      <c r="C2443" s="30">
        <v>5688869.3324180003</v>
      </c>
      <c r="D2443" s="30">
        <v>14</v>
      </c>
      <c r="E2443" s="30" t="s">
        <v>96</v>
      </c>
      <c r="F2443" s="46">
        <v>2019</v>
      </c>
      <c r="G2443" s="47">
        <v>0.1348</v>
      </c>
      <c r="H2443" s="47">
        <f t="shared" si="218"/>
        <v>3.768833580185936E-2</v>
      </c>
      <c r="I2443" s="47">
        <v>0</v>
      </c>
      <c r="J2443" s="47">
        <f t="shared" si="219"/>
        <v>0</v>
      </c>
      <c r="K2443" s="47">
        <v>1.9399999999999997E-2</v>
      </c>
      <c r="L2443" s="47">
        <f t="shared" si="220"/>
        <v>8.7530343007915495E-3</v>
      </c>
      <c r="M2443" s="47">
        <f t="shared" si="216"/>
        <v>2.8935301501067809E-2</v>
      </c>
      <c r="N2443" s="47">
        <v>0</v>
      </c>
      <c r="O2443" s="47">
        <f t="shared" si="221"/>
        <v>0</v>
      </c>
      <c r="P2443" s="92"/>
    </row>
    <row r="2444" spans="1:16" x14ac:dyDescent="0.25">
      <c r="A2444" s="29">
        <v>51</v>
      </c>
      <c r="B2444" s="30">
        <v>437930.10856199998</v>
      </c>
      <c r="C2444" s="30">
        <v>5688869.3324180003</v>
      </c>
      <c r="D2444" s="30">
        <v>14</v>
      </c>
      <c r="E2444" s="30" t="s">
        <v>96</v>
      </c>
      <c r="F2444" s="46">
        <v>2019</v>
      </c>
      <c r="G2444" s="47">
        <v>1.9E-2</v>
      </c>
      <c r="H2444" s="47">
        <f t="shared" si="218"/>
        <v>5.3121541560484263E-3</v>
      </c>
      <c r="I2444" s="47">
        <v>0</v>
      </c>
      <c r="J2444" s="47">
        <f t="shared" si="219"/>
        <v>0</v>
      </c>
      <c r="K2444" s="47">
        <v>8.6E-3</v>
      </c>
      <c r="L2444" s="47">
        <f t="shared" si="220"/>
        <v>3.8802110817941927E-3</v>
      </c>
      <c r="M2444" s="47">
        <f t="shared" si="216"/>
        <v>1.4319430742542336E-3</v>
      </c>
      <c r="N2444" s="47">
        <v>0</v>
      </c>
      <c r="O2444" s="47">
        <f t="shared" si="221"/>
        <v>0</v>
      </c>
      <c r="P2444" s="92"/>
    </row>
    <row r="2445" spans="1:16" x14ac:dyDescent="0.25">
      <c r="A2445" s="29">
        <v>52</v>
      </c>
      <c r="B2445" s="30">
        <v>438049.10856199998</v>
      </c>
      <c r="C2445" s="30">
        <v>5688869.3324180003</v>
      </c>
      <c r="D2445" s="30">
        <v>14</v>
      </c>
      <c r="E2445" s="30" t="s">
        <v>96</v>
      </c>
      <c r="F2445" s="46">
        <v>2019</v>
      </c>
      <c r="G2445" s="46" t="s">
        <v>18</v>
      </c>
      <c r="H2445" s="46" t="s">
        <v>18</v>
      </c>
      <c r="I2445" s="46" t="s">
        <v>18</v>
      </c>
      <c r="J2445" s="46" t="s">
        <v>18</v>
      </c>
      <c r="K2445" s="47">
        <v>2.9999999999999997E-4</v>
      </c>
      <c r="L2445" s="47">
        <f t="shared" si="220"/>
        <v>1.3535620052770438E-4</v>
      </c>
      <c r="M2445" s="46" t="s">
        <v>18</v>
      </c>
      <c r="N2445" s="47">
        <v>0</v>
      </c>
      <c r="O2445" s="47">
        <f t="shared" si="221"/>
        <v>0</v>
      </c>
      <c r="P2445" s="92" t="s">
        <v>103</v>
      </c>
    </row>
    <row r="2446" spans="1:16" x14ac:dyDescent="0.25">
      <c r="A2446" s="29">
        <v>53</v>
      </c>
      <c r="B2446" s="30">
        <v>438287.10856199998</v>
      </c>
      <c r="C2446" s="30">
        <v>5688869.3324180003</v>
      </c>
      <c r="D2446" s="30">
        <v>15</v>
      </c>
      <c r="E2446" s="30" t="s">
        <v>96</v>
      </c>
      <c r="F2446" s="46">
        <v>2019</v>
      </c>
      <c r="G2446" s="47">
        <v>6.1999999999999998E-3</v>
      </c>
      <c r="H2446" s="47">
        <f t="shared" ref="H2446" si="224">G2446*0.325154593822969</f>
        <v>2.015958481702408E-3</v>
      </c>
      <c r="I2446" s="5">
        <v>4.1700000000000001E-2</v>
      </c>
      <c r="J2446" s="47">
        <f t="shared" ref="J2446" si="225">I2446*0.42503062255123</f>
        <v>1.7723776960386291E-2</v>
      </c>
      <c r="K2446" s="47">
        <v>0</v>
      </c>
      <c r="L2446" s="47">
        <f t="shared" ref="L2446" si="226">K2446*0.40467590139449</f>
        <v>0</v>
      </c>
      <c r="M2446" s="47">
        <f t="shared" si="216"/>
        <v>2.015958481702408E-3</v>
      </c>
      <c r="N2446" s="47">
        <v>0</v>
      </c>
      <c r="O2446" s="47">
        <f t="shared" ref="O2446" si="227">N2446*0.512152493694062</f>
        <v>0</v>
      </c>
      <c r="P2446" s="92"/>
    </row>
    <row r="2447" spans="1:16" x14ac:dyDescent="0.25">
      <c r="A2447" s="29">
        <v>54</v>
      </c>
      <c r="B2447" s="30">
        <v>437454.10856199998</v>
      </c>
      <c r="C2447" s="30">
        <v>5688988.3324180003</v>
      </c>
      <c r="D2447" s="30">
        <v>14</v>
      </c>
      <c r="E2447" s="30" t="s">
        <v>96</v>
      </c>
      <c r="F2447" s="46">
        <v>2019</v>
      </c>
      <c r="G2447" s="47">
        <v>9.8099999999999993E-2</v>
      </c>
      <c r="H2447" s="47">
        <f t="shared" si="218"/>
        <v>2.7427490668860556E-2</v>
      </c>
      <c r="I2447" s="47">
        <v>0</v>
      </c>
      <c r="J2447" s="47">
        <f t="shared" si="219"/>
        <v>0</v>
      </c>
      <c r="K2447" s="47">
        <v>7.0000000000000001E-3</v>
      </c>
      <c r="L2447" s="47">
        <f t="shared" si="220"/>
        <v>3.158311345646436E-3</v>
      </c>
      <c r="M2447" s="47">
        <f t="shared" si="216"/>
        <v>2.426917932321412E-2</v>
      </c>
      <c r="N2447" s="47">
        <v>0</v>
      </c>
      <c r="O2447" s="47">
        <f t="shared" si="221"/>
        <v>0</v>
      </c>
      <c r="P2447" s="92"/>
    </row>
    <row r="2448" spans="1:16" x14ac:dyDescent="0.25">
      <c r="A2448" s="29">
        <v>55</v>
      </c>
      <c r="B2448" s="30">
        <v>438049.10856199998</v>
      </c>
      <c r="C2448" s="30">
        <v>5688988.3324180003</v>
      </c>
      <c r="D2448" s="30">
        <v>14</v>
      </c>
      <c r="E2448" s="30" t="s">
        <v>96</v>
      </c>
      <c r="F2448" s="46">
        <v>2019</v>
      </c>
      <c r="G2448" s="47">
        <v>0.1041</v>
      </c>
      <c r="H2448" s="47">
        <f t="shared" si="218"/>
        <v>2.9105013033928481E-2</v>
      </c>
      <c r="I2448" s="47">
        <v>1.0500000000000001E-2</v>
      </c>
      <c r="J2448" s="47">
        <f t="shared" si="219"/>
        <v>3.3224524168627054E-3</v>
      </c>
      <c r="K2448" s="47">
        <v>4.0000000000000001E-3</v>
      </c>
      <c r="L2448" s="47">
        <f t="shared" si="220"/>
        <v>1.804749340369392E-3</v>
      </c>
      <c r="M2448" s="47">
        <f>H2448-L2448</f>
        <v>2.730026369355909E-2</v>
      </c>
      <c r="N2448" s="47">
        <v>0</v>
      </c>
      <c r="O2448" s="47">
        <f t="shared" si="221"/>
        <v>0</v>
      </c>
      <c r="P2448" s="92"/>
    </row>
    <row r="2449" spans="1:19" x14ac:dyDescent="0.25">
      <c r="A2449" s="29">
        <v>56</v>
      </c>
      <c r="B2449" s="30">
        <v>438168.10856199998</v>
      </c>
      <c r="C2449" s="30">
        <v>5688988.3324180003</v>
      </c>
      <c r="D2449" s="30">
        <v>14</v>
      </c>
      <c r="E2449" s="30" t="s">
        <v>96</v>
      </c>
      <c r="F2449" s="46">
        <v>2019</v>
      </c>
      <c r="G2449" s="47">
        <v>1.66E-2</v>
      </c>
      <c r="H2449" s="47">
        <f t="shared" si="218"/>
        <v>4.6411452100212566E-3</v>
      </c>
      <c r="I2449" s="47">
        <v>0</v>
      </c>
      <c r="J2449" s="47">
        <f t="shared" si="219"/>
        <v>0</v>
      </c>
      <c r="K2449" s="47">
        <v>3.8999999999999998E-3</v>
      </c>
      <c r="L2449" s="47">
        <f t="shared" si="220"/>
        <v>1.7596306068601571E-3</v>
      </c>
      <c r="M2449" s="47">
        <f t="shared" si="216"/>
        <v>2.8815146031610996E-3</v>
      </c>
      <c r="N2449" s="47">
        <v>0</v>
      </c>
      <c r="O2449" s="47">
        <f t="shared" si="221"/>
        <v>0</v>
      </c>
      <c r="P2449" s="92"/>
    </row>
    <row r="2450" spans="1:19" x14ac:dyDescent="0.25">
      <c r="A2450" s="40">
        <v>57</v>
      </c>
      <c r="B2450" s="41">
        <v>438146</v>
      </c>
      <c r="C2450" s="41">
        <v>5688977</v>
      </c>
      <c r="D2450" s="41">
        <v>14</v>
      </c>
      <c r="E2450" s="41" t="s">
        <v>96</v>
      </c>
      <c r="F2450" s="50">
        <v>2019</v>
      </c>
      <c r="G2450" s="51">
        <v>0.1011</v>
      </c>
      <c r="H2450" s="51">
        <f t="shared" si="218"/>
        <v>2.826625185139452E-2</v>
      </c>
      <c r="I2450" s="51">
        <v>0</v>
      </c>
      <c r="J2450" s="51">
        <f t="shared" si="219"/>
        <v>0</v>
      </c>
      <c r="K2450" s="51">
        <v>3.8E-3</v>
      </c>
      <c r="L2450" s="51">
        <f t="shared" si="220"/>
        <v>1.7145118733509223E-3</v>
      </c>
      <c r="M2450" s="51">
        <f t="shared" si="216"/>
        <v>2.6551739978043599E-2</v>
      </c>
      <c r="N2450" s="51">
        <v>0</v>
      </c>
      <c r="O2450" s="51">
        <f t="shared" si="221"/>
        <v>0</v>
      </c>
      <c r="P2450" s="101"/>
    </row>
    <row r="2451" spans="1:19" x14ac:dyDescent="0.25">
      <c r="A2451" s="40">
        <v>58</v>
      </c>
      <c r="B2451" s="41">
        <v>438131</v>
      </c>
      <c r="C2451" s="41">
        <v>5688972</v>
      </c>
      <c r="D2451" s="41">
        <v>14</v>
      </c>
      <c r="E2451" s="41" t="s">
        <v>96</v>
      </c>
      <c r="F2451" s="50">
        <v>2019</v>
      </c>
      <c r="G2451" s="51">
        <v>0.30610000000000004</v>
      </c>
      <c r="H2451" s="51">
        <f t="shared" si="218"/>
        <v>8.5581599324548605E-2</v>
      </c>
      <c r="I2451" s="51">
        <v>0</v>
      </c>
      <c r="J2451" s="51">
        <f t="shared" si="219"/>
        <v>0</v>
      </c>
      <c r="K2451" s="51">
        <v>4.4000000000000003E-3</v>
      </c>
      <c r="L2451" s="51">
        <f t="shared" si="220"/>
        <v>1.9852242744063313E-3</v>
      </c>
      <c r="M2451" s="51">
        <f t="shared" si="216"/>
        <v>8.359637505014228E-2</v>
      </c>
      <c r="N2451" s="51">
        <v>0</v>
      </c>
      <c r="O2451" s="51">
        <f t="shared" si="221"/>
        <v>0</v>
      </c>
      <c r="P2451" s="101"/>
    </row>
    <row r="2452" spans="1:19" x14ac:dyDescent="0.25">
      <c r="A2452" s="40">
        <v>59</v>
      </c>
      <c r="B2452" s="41">
        <v>438089</v>
      </c>
      <c r="C2452" s="41">
        <v>5688713</v>
      </c>
      <c r="D2452" s="41">
        <v>14</v>
      </c>
      <c r="E2452" s="41" t="s">
        <v>96</v>
      </c>
      <c r="F2452" s="50">
        <v>2019</v>
      </c>
      <c r="G2452" s="51">
        <v>2.24E-2</v>
      </c>
      <c r="H2452" s="51">
        <f t="shared" si="218"/>
        <v>6.2627501629202494E-3</v>
      </c>
      <c r="I2452" s="51">
        <v>3.73E-2</v>
      </c>
      <c r="J2452" s="51">
        <f t="shared" si="219"/>
        <v>1.1802616680855135E-2</v>
      </c>
      <c r="K2452" s="51">
        <v>9.4999999999999998E-3</v>
      </c>
      <c r="L2452" s="51">
        <f t="shared" si="220"/>
        <v>4.2862796833773057E-3</v>
      </c>
      <c r="M2452" s="51">
        <f t="shared" si="216"/>
        <v>1.9764704795429437E-3</v>
      </c>
      <c r="N2452" s="51">
        <v>6.6E-3</v>
      </c>
      <c r="O2452" s="51">
        <f t="shared" si="221"/>
        <v>2.1260869565217417E-3</v>
      </c>
      <c r="P2452" s="101"/>
    </row>
    <row r="2453" spans="1:19" x14ac:dyDescent="0.25">
      <c r="A2453" s="40">
        <v>60</v>
      </c>
      <c r="B2453" s="41">
        <v>438099</v>
      </c>
      <c r="C2453" s="41">
        <v>5688719</v>
      </c>
      <c r="D2453" s="41">
        <v>14</v>
      </c>
      <c r="E2453" s="41" t="s">
        <v>96</v>
      </c>
      <c r="F2453" s="50">
        <v>2019</v>
      </c>
      <c r="G2453" s="51">
        <v>0.1148</v>
      </c>
      <c r="H2453" s="51">
        <f t="shared" si="218"/>
        <v>3.2096594584966283E-2</v>
      </c>
      <c r="I2453" s="51">
        <v>7.6700000000000004E-2</v>
      </c>
      <c r="J2453" s="51">
        <f t="shared" si="219"/>
        <v>2.4269723845082809E-2</v>
      </c>
      <c r="K2453" s="51">
        <v>1.4E-3</v>
      </c>
      <c r="L2453" s="51">
        <f t="shared" si="220"/>
        <v>6.3166226912928717E-4</v>
      </c>
      <c r="M2453" s="51">
        <f t="shared" si="216"/>
        <v>3.1464932315836996E-2</v>
      </c>
      <c r="N2453" s="51">
        <v>2.4799999999999999E-2</v>
      </c>
      <c r="O2453" s="51">
        <f t="shared" si="221"/>
        <v>7.9889328063241193E-3</v>
      </c>
      <c r="P2453" s="101"/>
    </row>
    <row r="2454" spans="1:19" x14ac:dyDescent="0.25">
      <c r="A2454" s="42">
        <v>1</v>
      </c>
      <c r="B2454" s="43">
        <v>437930.10856199998</v>
      </c>
      <c r="C2454" s="43">
        <v>5688036.3324180003</v>
      </c>
      <c r="D2454" s="44">
        <v>14</v>
      </c>
      <c r="E2454" s="44" t="s">
        <v>33</v>
      </c>
      <c r="F2454" s="44">
        <v>2019</v>
      </c>
      <c r="G2454" s="44" t="s">
        <v>18</v>
      </c>
      <c r="H2454" s="44" t="s">
        <v>18</v>
      </c>
      <c r="I2454" s="44" t="s">
        <v>18</v>
      </c>
      <c r="J2454" s="44" t="s">
        <v>18</v>
      </c>
      <c r="K2454" s="44" t="s">
        <v>18</v>
      </c>
      <c r="L2454" s="44" t="s">
        <v>18</v>
      </c>
      <c r="M2454" s="44" t="s">
        <v>18</v>
      </c>
      <c r="N2454" s="44" t="s">
        <v>18</v>
      </c>
      <c r="O2454" s="44" t="s">
        <v>18</v>
      </c>
      <c r="P2454" s="102" t="s">
        <v>109</v>
      </c>
      <c r="R2454" s="5">
        <f>AVERAGE(M2454:M2513)</f>
        <v>7.8196781134865969E-3</v>
      </c>
      <c r="S2454" s="5">
        <f>AVERAGE(H2454:H2513)</f>
        <v>1.4114440985183897E-2</v>
      </c>
    </row>
    <row r="2455" spans="1:19" x14ac:dyDescent="0.25">
      <c r="A2455" s="42">
        <v>2</v>
      </c>
      <c r="B2455" s="43">
        <v>437811.10856199998</v>
      </c>
      <c r="C2455" s="43">
        <v>5688155.3324180003</v>
      </c>
      <c r="D2455" s="44">
        <v>14</v>
      </c>
      <c r="E2455" s="44" t="s">
        <v>33</v>
      </c>
      <c r="F2455" s="44">
        <v>2019</v>
      </c>
      <c r="G2455" s="44" t="s">
        <v>18</v>
      </c>
      <c r="H2455" s="44" t="s">
        <v>18</v>
      </c>
      <c r="I2455" s="44" t="s">
        <v>18</v>
      </c>
      <c r="J2455" s="44" t="s">
        <v>18</v>
      </c>
      <c r="K2455" s="44" t="s">
        <v>18</v>
      </c>
      <c r="L2455" s="44" t="s">
        <v>18</v>
      </c>
      <c r="M2455" s="44" t="s">
        <v>18</v>
      </c>
      <c r="N2455" s="44" t="s">
        <v>18</v>
      </c>
      <c r="O2455" s="44" t="s">
        <v>18</v>
      </c>
      <c r="P2455" s="102" t="s">
        <v>109</v>
      </c>
    </row>
    <row r="2456" spans="1:19" x14ac:dyDescent="0.25">
      <c r="A2456" s="29">
        <v>3</v>
      </c>
      <c r="B2456" s="30">
        <v>437930.10856199998</v>
      </c>
      <c r="C2456" s="30">
        <v>5688155.3324180003</v>
      </c>
      <c r="D2456" s="30">
        <v>14</v>
      </c>
      <c r="E2456" s="30" t="s">
        <v>33</v>
      </c>
      <c r="F2456" s="46">
        <v>2019</v>
      </c>
      <c r="G2456" s="47">
        <v>1.8699999999999998E-2</v>
      </c>
      <c r="H2456" s="47">
        <f>G2456*0.348684641107311</f>
        <v>6.5204027887067152E-3</v>
      </c>
      <c r="I2456" s="47">
        <v>0</v>
      </c>
      <c r="J2456" s="47">
        <f>I2456*0.451550219914918</f>
        <v>0</v>
      </c>
      <c r="K2456" s="47">
        <v>2.4500000000000001E-2</v>
      </c>
      <c r="L2456" s="47">
        <f>K2456*0.413519779265802</f>
        <v>1.013123459201215E-2</v>
      </c>
      <c r="M2456" s="47">
        <f>H2456-L2456</f>
        <v>-3.6108318033054353E-3</v>
      </c>
      <c r="N2456" s="47">
        <v>0</v>
      </c>
      <c r="O2456" s="47">
        <f>N2456*0.457251960997295</f>
        <v>0</v>
      </c>
      <c r="P2456" s="92"/>
    </row>
    <row r="2457" spans="1:19" x14ac:dyDescent="0.25">
      <c r="A2457" s="42">
        <v>4</v>
      </c>
      <c r="B2457" s="43">
        <v>438049.10856199998</v>
      </c>
      <c r="C2457" s="43">
        <v>5688155.3324180003</v>
      </c>
      <c r="D2457" s="44">
        <v>14</v>
      </c>
      <c r="E2457" s="44" t="s">
        <v>33</v>
      </c>
      <c r="F2457" s="44">
        <v>2019</v>
      </c>
      <c r="G2457" s="44" t="s">
        <v>18</v>
      </c>
      <c r="H2457" s="44" t="s">
        <v>18</v>
      </c>
      <c r="I2457" s="44" t="s">
        <v>18</v>
      </c>
      <c r="J2457" s="44" t="s">
        <v>18</v>
      </c>
      <c r="K2457" s="44" t="s">
        <v>18</v>
      </c>
      <c r="L2457" s="44" t="s">
        <v>18</v>
      </c>
      <c r="M2457" s="44" t="s">
        <v>18</v>
      </c>
      <c r="N2457" s="44" t="s">
        <v>18</v>
      </c>
      <c r="O2457" s="44" t="s">
        <v>18</v>
      </c>
      <c r="P2457" s="102" t="s">
        <v>109</v>
      </c>
    </row>
    <row r="2458" spans="1:19" x14ac:dyDescent="0.25">
      <c r="A2458" s="42">
        <v>5</v>
      </c>
      <c r="B2458" s="43">
        <v>437573.10856199998</v>
      </c>
      <c r="C2458" s="43">
        <v>5688274.3324180003</v>
      </c>
      <c r="D2458" s="44">
        <v>14</v>
      </c>
      <c r="E2458" s="44" t="s">
        <v>33</v>
      </c>
      <c r="F2458" s="44">
        <v>2019</v>
      </c>
      <c r="G2458" s="44" t="s">
        <v>18</v>
      </c>
      <c r="H2458" s="44" t="s">
        <v>18</v>
      </c>
      <c r="I2458" s="44" t="s">
        <v>18</v>
      </c>
      <c r="J2458" s="44" t="s">
        <v>18</v>
      </c>
      <c r="K2458" s="44" t="s">
        <v>18</v>
      </c>
      <c r="L2458" s="44" t="s">
        <v>18</v>
      </c>
      <c r="M2458" s="44" t="s">
        <v>18</v>
      </c>
      <c r="N2458" s="44" t="s">
        <v>18</v>
      </c>
      <c r="O2458" s="44" t="s">
        <v>18</v>
      </c>
      <c r="P2458" s="102" t="s">
        <v>109</v>
      </c>
    </row>
    <row r="2459" spans="1:19" x14ac:dyDescent="0.25">
      <c r="A2459" s="29">
        <v>6</v>
      </c>
      <c r="B2459" s="30">
        <v>437692.10856199998</v>
      </c>
      <c r="C2459" s="30">
        <v>5688274.3324180003</v>
      </c>
      <c r="D2459" s="30">
        <v>14</v>
      </c>
      <c r="E2459" s="30" t="s">
        <v>33</v>
      </c>
      <c r="F2459" s="46">
        <v>2019</v>
      </c>
      <c r="G2459" s="47">
        <v>1.5E-3</v>
      </c>
      <c r="H2459" s="47">
        <f t="shared" ref="H2459:H2506" si="228">G2459*0.348684641107311</f>
        <v>5.2302696166096657E-4</v>
      </c>
      <c r="I2459" s="47">
        <v>0</v>
      </c>
      <c r="J2459" s="47">
        <f t="shared" ref="J2459:J2506" si="229">I2459*0.451550219914918</f>
        <v>0</v>
      </c>
      <c r="K2459" s="54">
        <v>3.2000000000000002E-3</v>
      </c>
      <c r="L2459" s="47">
        <f t="shared" ref="L2459:L2506" si="230">K2459*0.413519779265802</f>
        <v>1.3232632936505666E-3</v>
      </c>
      <c r="M2459" s="47">
        <f t="shared" ref="M2459:M2513" si="231">H2459-L2459</f>
        <v>-8.0023633198960005E-4</v>
      </c>
      <c r="N2459" s="47">
        <v>1.06E-2</v>
      </c>
      <c r="O2459" s="47">
        <f t="shared" ref="O2459:O2513" si="232">N2459*0.457251960997295</f>
        <v>4.8468707865713268E-3</v>
      </c>
      <c r="P2459" s="92"/>
    </row>
    <row r="2460" spans="1:19" x14ac:dyDescent="0.25">
      <c r="A2460" s="65">
        <v>7</v>
      </c>
      <c r="B2460" s="66">
        <v>437811.10856199998</v>
      </c>
      <c r="C2460" s="66">
        <v>5688274.3324180003</v>
      </c>
      <c r="D2460" s="66">
        <v>14</v>
      </c>
      <c r="E2460" s="66" t="s">
        <v>33</v>
      </c>
      <c r="F2460" s="66">
        <v>2019</v>
      </c>
      <c r="G2460" s="66" t="s">
        <v>18</v>
      </c>
      <c r="H2460" s="66" t="s">
        <v>18</v>
      </c>
      <c r="I2460" s="66" t="s">
        <v>18</v>
      </c>
      <c r="J2460" s="66" t="s">
        <v>18</v>
      </c>
      <c r="K2460" s="66" t="s">
        <v>18</v>
      </c>
      <c r="L2460" s="66" t="s">
        <v>18</v>
      </c>
      <c r="M2460" s="66" t="s">
        <v>18</v>
      </c>
      <c r="N2460" s="66" t="s">
        <v>18</v>
      </c>
      <c r="O2460" s="66" t="s">
        <v>18</v>
      </c>
      <c r="P2460" s="105" t="s">
        <v>147</v>
      </c>
    </row>
    <row r="2461" spans="1:19" x14ac:dyDescent="0.25">
      <c r="A2461" s="42">
        <v>8</v>
      </c>
      <c r="B2461" s="43">
        <v>437930.10856199998</v>
      </c>
      <c r="C2461" s="43">
        <v>5688274.3324180003</v>
      </c>
      <c r="D2461" s="44">
        <v>14</v>
      </c>
      <c r="E2461" s="44" t="s">
        <v>33</v>
      </c>
      <c r="F2461" s="44">
        <v>2019</v>
      </c>
      <c r="G2461" s="44" t="s">
        <v>18</v>
      </c>
      <c r="H2461" s="44" t="s">
        <v>18</v>
      </c>
      <c r="I2461" s="44" t="s">
        <v>18</v>
      </c>
      <c r="J2461" s="44" t="s">
        <v>18</v>
      </c>
      <c r="K2461" s="44" t="s">
        <v>18</v>
      </c>
      <c r="L2461" s="44" t="s">
        <v>18</v>
      </c>
      <c r="M2461" s="44" t="s">
        <v>18</v>
      </c>
      <c r="N2461" s="44" t="s">
        <v>18</v>
      </c>
      <c r="O2461" s="44" t="s">
        <v>18</v>
      </c>
      <c r="P2461" s="102" t="s">
        <v>109</v>
      </c>
    </row>
    <row r="2462" spans="1:19" x14ac:dyDescent="0.25">
      <c r="A2462" s="29">
        <v>9</v>
      </c>
      <c r="B2462" s="30">
        <v>438287.10856199998</v>
      </c>
      <c r="C2462" s="30">
        <v>5688274.3324180003</v>
      </c>
      <c r="D2462" s="30">
        <v>14</v>
      </c>
      <c r="E2462" s="30" t="s">
        <v>33</v>
      </c>
      <c r="F2462" s="46">
        <v>2019</v>
      </c>
      <c r="G2462" s="47">
        <v>5.0999999999999997E-2</v>
      </c>
      <c r="H2462" s="47">
        <f t="shared" si="228"/>
        <v>1.7782916696472861E-2</v>
      </c>
      <c r="I2462" s="47">
        <v>0</v>
      </c>
      <c r="J2462" s="47">
        <f t="shared" si="229"/>
        <v>0</v>
      </c>
      <c r="K2462" s="47">
        <v>2.92E-2</v>
      </c>
      <c r="L2462" s="47">
        <f t="shared" si="230"/>
        <v>1.2074777554561419E-2</v>
      </c>
      <c r="M2462" s="47">
        <f t="shared" si="231"/>
        <v>5.7081391419114419E-3</v>
      </c>
      <c r="N2462" s="47">
        <v>0</v>
      </c>
      <c r="O2462" s="47">
        <f t="shared" si="232"/>
        <v>0</v>
      </c>
      <c r="P2462" s="92"/>
    </row>
    <row r="2463" spans="1:19" x14ac:dyDescent="0.25">
      <c r="A2463" s="29">
        <v>10</v>
      </c>
      <c r="B2463" s="30">
        <v>438406.10856199998</v>
      </c>
      <c r="C2463" s="30">
        <v>5688274.3324180003</v>
      </c>
      <c r="D2463" s="30">
        <v>14</v>
      </c>
      <c r="E2463" s="30" t="s">
        <v>33</v>
      </c>
      <c r="F2463" s="46">
        <v>2019</v>
      </c>
      <c r="G2463" s="47">
        <v>2.9899999999999999E-2</v>
      </c>
      <c r="H2463" s="47">
        <f t="shared" si="228"/>
        <v>1.0425670769108599E-2</v>
      </c>
      <c r="I2463" s="47">
        <v>0</v>
      </c>
      <c r="J2463" s="47">
        <f t="shared" si="229"/>
        <v>0</v>
      </c>
      <c r="K2463" s="47">
        <v>1.4199999999999999E-2</v>
      </c>
      <c r="L2463" s="47">
        <f t="shared" si="230"/>
        <v>5.8719808655743879E-3</v>
      </c>
      <c r="M2463" s="47">
        <f t="shared" si="231"/>
        <v>4.5536899035342115E-3</v>
      </c>
      <c r="N2463" s="47">
        <v>0</v>
      </c>
      <c r="O2463" s="47">
        <f t="shared" si="232"/>
        <v>0</v>
      </c>
      <c r="P2463" s="92"/>
    </row>
    <row r="2464" spans="1:19" x14ac:dyDescent="0.25">
      <c r="A2464" s="42">
        <v>11</v>
      </c>
      <c r="B2464" s="43">
        <v>437454.10856199998</v>
      </c>
      <c r="C2464" s="43">
        <v>5688393.3324180003</v>
      </c>
      <c r="D2464" s="44">
        <v>14</v>
      </c>
      <c r="E2464" s="44" t="s">
        <v>33</v>
      </c>
      <c r="F2464" s="44">
        <v>2019</v>
      </c>
      <c r="G2464" s="44" t="s">
        <v>18</v>
      </c>
      <c r="H2464" s="44" t="s">
        <v>18</v>
      </c>
      <c r="I2464" s="44" t="s">
        <v>18</v>
      </c>
      <c r="J2464" s="44" t="s">
        <v>18</v>
      </c>
      <c r="K2464" s="44" t="s">
        <v>18</v>
      </c>
      <c r="L2464" s="44" t="s">
        <v>18</v>
      </c>
      <c r="M2464" s="44" t="s">
        <v>18</v>
      </c>
      <c r="N2464" s="44" t="s">
        <v>18</v>
      </c>
      <c r="O2464" s="44" t="s">
        <v>18</v>
      </c>
      <c r="P2464" s="102" t="s">
        <v>109</v>
      </c>
    </row>
    <row r="2465" spans="1:16" x14ac:dyDescent="0.25">
      <c r="A2465" s="29">
        <v>12</v>
      </c>
      <c r="B2465" s="30">
        <v>437573.10856199998</v>
      </c>
      <c r="C2465" s="30">
        <v>5688393.3324180003</v>
      </c>
      <c r="D2465" s="30">
        <v>13</v>
      </c>
      <c r="E2465" s="30" t="s">
        <v>33</v>
      </c>
      <c r="F2465" s="46">
        <v>2019</v>
      </c>
      <c r="G2465" s="47">
        <v>2.6600000000000002E-2</v>
      </c>
      <c r="H2465" s="47">
        <f>G2465*0.324728477788932</f>
        <v>8.6377775091855923E-3</v>
      </c>
      <c r="I2465" s="47">
        <v>0</v>
      </c>
      <c r="J2465" s="47">
        <f>I2465*0.317460317460317</f>
        <v>0</v>
      </c>
      <c r="K2465" s="47">
        <v>1.5599999999999999E-2</v>
      </c>
      <c r="L2465" s="47">
        <f>K2465*0.390151515151515</f>
        <v>6.0863636363636345E-3</v>
      </c>
      <c r="M2465" s="47">
        <f t="shared" si="231"/>
        <v>2.5514138728219577E-3</v>
      </c>
      <c r="N2465" s="47">
        <v>0</v>
      </c>
      <c r="O2465" s="47">
        <f t="shared" si="232"/>
        <v>0</v>
      </c>
      <c r="P2465" s="92"/>
    </row>
    <row r="2466" spans="1:16" x14ac:dyDescent="0.25">
      <c r="A2466" s="29">
        <v>13</v>
      </c>
      <c r="B2466" s="30">
        <v>437692.10856199998</v>
      </c>
      <c r="C2466" s="30">
        <v>5688393.3324180003</v>
      </c>
      <c r="D2466" s="30">
        <v>14</v>
      </c>
      <c r="E2466" s="30" t="s">
        <v>33</v>
      </c>
      <c r="F2466" s="46">
        <v>2019</v>
      </c>
      <c r="G2466" s="47">
        <v>2.35E-2</v>
      </c>
      <c r="H2466" s="47">
        <f t="shared" si="228"/>
        <v>8.1940890660218094E-3</v>
      </c>
      <c r="I2466" s="47">
        <v>0</v>
      </c>
      <c r="J2466" s="47">
        <f t="shared" si="229"/>
        <v>0</v>
      </c>
      <c r="K2466" s="47">
        <v>1.7000000000000001E-2</v>
      </c>
      <c r="L2466" s="47">
        <f t="shared" si="230"/>
        <v>7.0298362475186352E-3</v>
      </c>
      <c r="M2466" s="47">
        <f t="shared" si="231"/>
        <v>1.1642528185031743E-3</v>
      </c>
      <c r="N2466" s="47">
        <v>8.0000000000000002E-3</v>
      </c>
      <c r="O2466" s="47">
        <f t="shared" si="232"/>
        <v>3.6580156879783597E-3</v>
      </c>
      <c r="P2466" s="92"/>
    </row>
    <row r="2467" spans="1:16" x14ac:dyDescent="0.25">
      <c r="A2467" s="32">
        <v>14</v>
      </c>
      <c r="B2467" s="33">
        <v>437811.10856199998</v>
      </c>
      <c r="C2467" s="33">
        <v>5688393.3324180003</v>
      </c>
      <c r="D2467" s="48">
        <v>14</v>
      </c>
      <c r="E2467" s="48" t="s">
        <v>33</v>
      </c>
      <c r="F2467" s="48">
        <v>2019</v>
      </c>
      <c r="G2467" s="48" t="s">
        <v>18</v>
      </c>
      <c r="H2467" s="48" t="s">
        <v>18</v>
      </c>
      <c r="I2467" s="48" t="s">
        <v>18</v>
      </c>
      <c r="J2467" s="48" t="s">
        <v>18</v>
      </c>
      <c r="K2467" s="48" t="s">
        <v>18</v>
      </c>
      <c r="L2467" s="48" t="s">
        <v>18</v>
      </c>
      <c r="M2467" s="48" t="s">
        <v>18</v>
      </c>
      <c r="N2467" s="48" t="s">
        <v>18</v>
      </c>
      <c r="O2467" s="48" t="s">
        <v>18</v>
      </c>
      <c r="P2467" s="103" t="s">
        <v>89</v>
      </c>
    </row>
    <row r="2468" spans="1:16" x14ac:dyDescent="0.25">
      <c r="A2468" s="29">
        <v>15</v>
      </c>
      <c r="B2468" s="30">
        <v>437930.10856199998</v>
      </c>
      <c r="C2468" s="30">
        <v>5688393.3324180003</v>
      </c>
      <c r="D2468" s="30">
        <v>14</v>
      </c>
      <c r="E2468" s="30" t="s">
        <v>33</v>
      </c>
      <c r="F2468" s="46">
        <v>2019</v>
      </c>
      <c r="G2468" s="46">
        <v>2.4199999999999999E-2</v>
      </c>
      <c r="H2468" s="47">
        <f t="shared" si="228"/>
        <v>8.4381683147969257E-3</v>
      </c>
      <c r="I2468" s="47">
        <v>0</v>
      </c>
      <c r="J2468" s="47">
        <f t="shared" si="229"/>
        <v>0</v>
      </c>
      <c r="K2468" s="47">
        <v>3.1399999999999997E-2</v>
      </c>
      <c r="L2468" s="47">
        <f t="shared" si="230"/>
        <v>1.2984521068946183E-2</v>
      </c>
      <c r="M2468" s="47">
        <f t="shared" si="231"/>
        <v>-4.546352754149257E-3</v>
      </c>
      <c r="N2468" s="47">
        <v>0</v>
      </c>
      <c r="O2468" s="47">
        <f t="shared" si="232"/>
        <v>0</v>
      </c>
      <c r="P2468" s="92"/>
    </row>
    <row r="2469" spans="1:16" x14ac:dyDescent="0.25">
      <c r="A2469" s="29">
        <v>16</v>
      </c>
      <c r="B2469" s="30">
        <v>438049.10856199998</v>
      </c>
      <c r="C2469" s="30">
        <v>5688393.3324180003</v>
      </c>
      <c r="D2469" s="30">
        <v>14</v>
      </c>
      <c r="E2469" s="30" t="s">
        <v>33</v>
      </c>
      <c r="F2469" s="46">
        <v>2019</v>
      </c>
      <c r="G2469" s="46">
        <v>2.01E-2</v>
      </c>
      <c r="H2469" s="47">
        <f t="shared" si="228"/>
        <v>7.0085612862569513E-3</v>
      </c>
      <c r="I2469" s="46">
        <v>8.6099999999999996E-2</v>
      </c>
      <c r="J2469" s="47">
        <f t="shared" si="229"/>
        <v>3.8878473934674439E-2</v>
      </c>
      <c r="K2469" s="47">
        <v>0</v>
      </c>
      <c r="L2469" s="47">
        <f t="shared" si="230"/>
        <v>0</v>
      </c>
      <c r="M2469" s="47">
        <f t="shared" si="231"/>
        <v>7.0085612862569513E-3</v>
      </c>
      <c r="N2469" s="47">
        <v>0.22209999999999999</v>
      </c>
      <c r="O2469" s="47">
        <f t="shared" si="232"/>
        <v>0.10155566053749922</v>
      </c>
      <c r="P2469" s="92"/>
    </row>
    <row r="2470" spans="1:16" x14ac:dyDescent="0.25">
      <c r="A2470" s="29">
        <v>17</v>
      </c>
      <c r="B2470" s="30">
        <v>438168.10856199998</v>
      </c>
      <c r="C2470" s="30">
        <v>5688393.3324180003</v>
      </c>
      <c r="D2470" s="30">
        <v>14</v>
      </c>
      <c r="E2470" s="30" t="s">
        <v>33</v>
      </c>
      <c r="F2470" s="46">
        <v>2019</v>
      </c>
      <c r="G2470" s="47">
        <v>3.8899999999999997E-2</v>
      </c>
      <c r="H2470" s="47">
        <f t="shared" si="228"/>
        <v>1.3563832539074398E-2</v>
      </c>
      <c r="I2470" s="47">
        <v>0</v>
      </c>
      <c r="J2470" s="47">
        <f t="shared" si="229"/>
        <v>0</v>
      </c>
      <c r="K2470" s="47">
        <v>9.4999999999999998E-3</v>
      </c>
      <c r="L2470" s="47">
        <f t="shared" si="230"/>
        <v>3.928437903025119E-3</v>
      </c>
      <c r="M2470" s="47">
        <f t="shared" si="231"/>
        <v>9.6353946360492777E-3</v>
      </c>
      <c r="N2470" s="47">
        <v>0</v>
      </c>
      <c r="O2470" s="47">
        <f t="shared" si="232"/>
        <v>0</v>
      </c>
      <c r="P2470" s="92"/>
    </row>
    <row r="2471" spans="1:16" x14ac:dyDescent="0.25">
      <c r="A2471" s="29">
        <v>18</v>
      </c>
      <c r="B2471" s="30">
        <v>438287.10856199998</v>
      </c>
      <c r="C2471" s="30">
        <v>5688393.3324180003</v>
      </c>
      <c r="D2471" s="30">
        <v>14</v>
      </c>
      <c r="E2471" s="30" t="s">
        <v>33</v>
      </c>
      <c r="F2471" s="46">
        <v>2019</v>
      </c>
      <c r="G2471" s="47">
        <v>5.5600000000000004E-2</v>
      </c>
      <c r="H2471" s="47">
        <f t="shared" si="228"/>
        <v>1.9386866045566494E-2</v>
      </c>
      <c r="I2471" s="47">
        <v>0</v>
      </c>
      <c r="J2471" s="47">
        <f t="shared" si="229"/>
        <v>0</v>
      </c>
      <c r="K2471" s="47">
        <v>3.0999999999999999E-3</v>
      </c>
      <c r="L2471" s="47">
        <f t="shared" si="230"/>
        <v>1.2819113157239862E-3</v>
      </c>
      <c r="M2471" s="47">
        <f t="shared" si="231"/>
        <v>1.8104954729842509E-2</v>
      </c>
      <c r="N2471" s="47">
        <v>0</v>
      </c>
      <c r="O2471" s="47">
        <f t="shared" si="232"/>
        <v>0</v>
      </c>
      <c r="P2471" s="92"/>
    </row>
    <row r="2472" spans="1:16" x14ac:dyDescent="0.25">
      <c r="A2472" s="29">
        <v>19</v>
      </c>
      <c r="B2472" s="30">
        <v>438406.10856199998</v>
      </c>
      <c r="C2472" s="30">
        <v>5688393.3324180003</v>
      </c>
      <c r="D2472" s="30">
        <v>14</v>
      </c>
      <c r="E2472" s="30" t="s">
        <v>33</v>
      </c>
      <c r="F2472" s="46">
        <v>2019</v>
      </c>
      <c r="G2472" s="47">
        <v>6.2399999999999997E-2</v>
      </c>
      <c r="H2472" s="47">
        <f t="shared" si="228"/>
        <v>2.1757921605096205E-2</v>
      </c>
      <c r="I2472" s="47">
        <v>0</v>
      </c>
      <c r="J2472" s="47">
        <f t="shared" si="229"/>
        <v>0</v>
      </c>
      <c r="K2472" s="47">
        <v>3.0499999999999999E-2</v>
      </c>
      <c r="L2472" s="47">
        <f t="shared" si="230"/>
        <v>1.2612353267606961E-2</v>
      </c>
      <c r="M2472" s="47">
        <f t="shared" si="231"/>
        <v>9.1455683374892446E-3</v>
      </c>
      <c r="N2472" s="47">
        <v>0</v>
      </c>
      <c r="O2472" s="47">
        <f t="shared" si="232"/>
        <v>0</v>
      </c>
      <c r="P2472" s="92"/>
    </row>
    <row r="2473" spans="1:16" x14ac:dyDescent="0.25">
      <c r="A2473" s="42">
        <v>20</v>
      </c>
      <c r="B2473" s="43">
        <v>437335.10856199998</v>
      </c>
      <c r="C2473" s="43">
        <v>5688512.3324180003</v>
      </c>
      <c r="D2473" s="44">
        <v>14</v>
      </c>
      <c r="E2473" s="44" t="s">
        <v>33</v>
      </c>
      <c r="F2473" s="44">
        <v>2019</v>
      </c>
      <c r="G2473" s="44" t="s">
        <v>18</v>
      </c>
      <c r="H2473" s="44" t="s">
        <v>18</v>
      </c>
      <c r="I2473" s="44" t="s">
        <v>18</v>
      </c>
      <c r="J2473" s="44" t="s">
        <v>18</v>
      </c>
      <c r="K2473" s="44" t="s">
        <v>18</v>
      </c>
      <c r="L2473" s="44" t="s">
        <v>18</v>
      </c>
      <c r="M2473" s="44" t="s">
        <v>18</v>
      </c>
      <c r="N2473" s="44" t="s">
        <v>18</v>
      </c>
      <c r="O2473" s="44" t="s">
        <v>18</v>
      </c>
      <c r="P2473" s="102" t="s">
        <v>109</v>
      </c>
    </row>
    <row r="2474" spans="1:16" x14ac:dyDescent="0.25">
      <c r="A2474" s="29">
        <v>21</v>
      </c>
      <c r="B2474" s="30">
        <v>437454.10856199998</v>
      </c>
      <c r="C2474" s="30">
        <v>5688512.3324180003</v>
      </c>
      <c r="D2474" s="30">
        <v>14</v>
      </c>
      <c r="E2474" s="30" t="s">
        <v>33</v>
      </c>
      <c r="F2474" s="46">
        <v>2019</v>
      </c>
      <c r="G2474" s="47">
        <v>1.7999999999999999E-2</v>
      </c>
      <c r="H2474" s="47">
        <f t="shared" si="228"/>
        <v>6.276323539931598E-3</v>
      </c>
      <c r="I2474" s="47">
        <v>0</v>
      </c>
      <c r="J2474" s="47">
        <f t="shared" si="229"/>
        <v>0</v>
      </c>
      <c r="K2474" s="47">
        <v>5.7000000000000002E-3</v>
      </c>
      <c r="L2474" s="47">
        <f t="shared" si="230"/>
        <v>2.3570627418150717E-3</v>
      </c>
      <c r="M2474" s="47">
        <f t="shared" si="231"/>
        <v>3.9192607981165268E-3</v>
      </c>
      <c r="N2474" s="47">
        <v>0</v>
      </c>
      <c r="O2474" s="47">
        <f t="shared" si="232"/>
        <v>0</v>
      </c>
      <c r="P2474" s="92"/>
    </row>
    <row r="2475" spans="1:16" x14ac:dyDescent="0.25">
      <c r="A2475" s="29">
        <v>22</v>
      </c>
      <c r="B2475" s="30">
        <v>437573.10856199998</v>
      </c>
      <c r="C2475" s="30">
        <v>5688512.3324180003</v>
      </c>
      <c r="D2475" s="30">
        <v>14</v>
      </c>
      <c r="E2475" s="30" t="s">
        <v>33</v>
      </c>
      <c r="F2475" s="46">
        <v>2019</v>
      </c>
      <c r="G2475" s="47">
        <v>5.4200000000000005E-2</v>
      </c>
      <c r="H2475" s="47">
        <f t="shared" si="228"/>
        <v>1.8898707548016258E-2</v>
      </c>
      <c r="I2475" s="47">
        <v>0.10579999999999999</v>
      </c>
      <c r="J2475" s="47">
        <f t="shared" si="229"/>
        <v>4.7774013266998323E-2</v>
      </c>
      <c r="K2475" s="47">
        <v>1.1699999999999999E-2</v>
      </c>
      <c r="L2475" s="47">
        <f t="shared" si="230"/>
        <v>4.8381814174098831E-3</v>
      </c>
      <c r="M2475" s="47">
        <f t="shared" si="231"/>
        <v>1.4060526130606375E-2</v>
      </c>
      <c r="N2475" s="47">
        <v>7.6700000000000004E-2</v>
      </c>
      <c r="O2475" s="47">
        <f t="shared" si="232"/>
        <v>3.5071225408492529E-2</v>
      </c>
      <c r="P2475" s="92"/>
    </row>
    <row r="2476" spans="1:16" x14ac:dyDescent="0.25">
      <c r="A2476" s="29">
        <v>23</v>
      </c>
      <c r="B2476" s="30">
        <v>437692.10856199998</v>
      </c>
      <c r="C2476" s="30">
        <v>5688512.3324180003</v>
      </c>
      <c r="D2476" s="30">
        <v>14</v>
      </c>
      <c r="E2476" s="30" t="s">
        <v>33</v>
      </c>
      <c r="F2476" s="46">
        <v>2019</v>
      </c>
      <c r="G2476" s="46">
        <v>2.3800000000000002E-2</v>
      </c>
      <c r="H2476" s="47">
        <f t="shared" si="228"/>
        <v>8.2986944583540029E-3</v>
      </c>
      <c r="I2476" s="47">
        <v>0</v>
      </c>
      <c r="J2476" s="47">
        <f t="shared" si="229"/>
        <v>0</v>
      </c>
      <c r="K2476" s="47">
        <v>6.6E-3</v>
      </c>
      <c r="L2476" s="47">
        <f t="shared" si="230"/>
        <v>2.7292305431542933E-3</v>
      </c>
      <c r="M2476" s="47">
        <f>H2476-L2476</f>
        <v>5.5694639151997096E-3</v>
      </c>
      <c r="N2476" s="47">
        <v>8.0000000000000004E-4</v>
      </c>
      <c r="O2476" s="47">
        <f t="shared" si="232"/>
        <v>3.65801568797836E-4</v>
      </c>
      <c r="P2476" s="92"/>
    </row>
    <row r="2477" spans="1:16" x14ac:dyDescent="0.25">
      <c r="A2477" s="29">
        <v>24</v>
      </c>
      <c r="B2477" s="30">
        <v>437811.10856199998</v>
      </c>
      <c r="C2477" s="30">
        <v>5688512.3324180003</v>
      </c>
      <c r="D2477" s="30">
        <v>14</v>
      </c>
      <c r="E2477" s="30" t="s">
        <v>33</v>
      </c>
      <c r="F2477" s="46">
        <v>2019</v>
      </c>
      <c r="G2477" s="47">
        <v>7.3300000000000004E-2</v>
      </c>
      <c r="H2477" s="47">
        <f t="shared" si="228"/>
        <v>2.5558584193165899E-2</v>
      </c>
      <c r="I2477" s="47">
        <v>0</v>
      </c>
      <c r="J2477" s="47">
        <f t="shared" si="229"/>
        <v>0</v>
      </c>
      <c r="K2477" s="47">
        <v>1.21E-2</v>
      </c>
      <c r="L2477" s="47">
        <f t="shared" si="230"/>
        <v>5.003589329116204E-3</v>
      </c>
      <c r="M2477" s="47">
        <f t="shared" si="231"/>
        <v>2.0554994864049693E-2</v>
      </c>
      <c r="N2477" s="47">
        <v>0</v>
      </c>
      <c r="O2477" s="47">
        <f t="shared" si="232"/>
        <v>0</v>
      </c>
      <c r="P2477" s="92"/>
    </row>
    <row r="2478" spans="1:16" x14ac:dyDescent="0.25">
      <c r="A2478" s="29">
        <v>25</v>
      </c>
      <c r="B2478" s="46">
        <v>437995</v>
      </c>
      <c r="C2478" s="46">
        <v>5688493</v>
      </c>
      <c r="D2478" s="30">
        <v>14</v>
      </c>
      <c r="E2478" s="30" t="s">
        <v>33</v>
      </c>
      <c r="F2478" s="46">
        <v>2019</v>
      </c>
      <c r="G2478" s="47">
        <v>3.6700000000000003E-2</v>
      </c>
      <c r="H2478" s="47">
        <f t="shared" si="228"/>
        <v>1.2796726328638316E-2</v>
      </c>
      <c r="I2478" s="47">
        <v>0</v>
      </c>
      <c r="J2478" s="47">
        <f t="shared" si="229"/>
        <v>0</v>
      </c>
      <c r="K2478" s="47">
        <v>1.1599999999999999E-2</v>
      </c>
      <c r="L2478" s="47">
        <f t="shared" si="230"/>
        <v>4.7968294394833029E-3</v>
      </c>
      <c r="M2478" s="47">
        <f t="shared" si="231"/>
        <v>7.9998968891550129E-3</v>
      </c>
      <c r="N2478" s="47">
        <v>0</v>
      </c>
      <c r="O2478" s="47">
        <f t="shared" si="232"/>
        <v>0</v>
      </c>
      <c r="P2478" s="92"/>
    </row>
    <row r="2479" spans="1:16" x14ac:dyDescent="0.25">
      <c r="A2479" s="29">
        <v>26</v>
      </c>
      <c r="B2479" s="46">
        <v>438112</v>
      </c>
      <c r="C2479" s="46">
        <v>5688567</v>
      </c>
      <c r="D2479" s="30">
        <v>14</v>
      </c>
      <c r="E2479" s="30" t="s">
        <v>33</v>
      </c>
      <c r="F2479" s="46">
        <v>2019</v>
      </c>
      <c r="G2479" s="47">
        <v>7.0000000000000007E-2</v>
      </c>
      <c r="H2479" s="47">
        <f t="shared" si="228"/>
        <v>2.4407924877511773E-2</v>
      </c>
      <c r="I2479" s="47">
        <v>0</v>
      </c>
      <c r="J2479" s="47">
        <f t="shared" si="229"/>
        <v>0</v>
      </c>
      <c r="K2479" s="47">
        <v>2.6100000000000002E-2</v>
      </c>
      <c r="L2479" s="47">
        <f t="shared" si="230"/>
        <v>1.0792866238837434E-2</v>
      </c>
      <c r="M2479" s="47">
        <f t="shared" si="231"/>
        <v>1.3615058638674338E-2</v>
      </c>
      <c r="N2479" s="47">
        <v>1.03E-2</v>
      </c>
      <c r="O2479" s="47">
        <f t="shared" si="232"/>
        <v>4.7096951982721381E-3</v>
      </c>
      <c r="P2479" s="92"/>
    </row>
    <row r="2480" spans="1:16" x14ac:dyDescent="0.25">
      <c r="A2480" s="32">
        <v>27</v>
      </c>
      <c r="B2480" s="33">
        <v>438168.10856199998</v>
      </c>
      <c r="C2480" s="33">
        <v>5688512.3324180003</v>
      </c>
      <c r="D2480" s="48">
        <v>14</v>
      </c>
      <c r="E2480" s="48" t="s">
        <v>33</v>
      </c>
      <c r="F2480" s="48">
        <v>2019</v>
      </c>
      <c r="G2480" s="48" t="s">
        <v>18</v>
      </c>
      <c r="H2480" s="48" t="s">
        <v>18</v>
      </c>
      <c r="I2480" s="48" t="s">
        <v>18</v>
      </c>
      <c r="J2480" s="48" t="s">
        <v>18</v>
      </c>
      <c r="K2480" s="48" t="s">
        <v>18</v>
      </c>
      <c r="L2480" s="48" t="s">
        <v>18</v>
      </c>
      <c r="M2480" s="48" t="s">
        <v>18</v>
      </c>
      <c r="N2480" s="48" t="s">
        <v>18</v>
      </c>
      <c r="O2480" s="48" t="s">
        <v>18</v>
      </c>
      <c r="P2480" s="103" t="s">
        <v>89</v>
      </c>
    </row>
    <row r="2481" spans="1:16" x14ac:dyDescent="0.25">
      <c r="A2481" s="32">
        <v>28</v>
      </c>
      <c r="B2481" s="33">
        <v>438287.10856199998</v>
      </c>
      <c r="C2481" s="33">
        <v>5688512.3324180003</v>
      </c>
      <c r="D2481" s="48">
        <v>14</v>
      </c>
      <c r="E2481" s="48" t="s">
        <v>33</v>
      </c>
      <c r="F2481" s="48">
        <v>2019</v>
      </c>
      <c r="G2481" s="48" t="s">
        <v>18</v>
      </c>
      <c r="H2481" s="48" t="s">
        <v>18</v>
      </c>
      <c r="I2481" s="48" t="s">
        <v>18</v>
      </c>
      <c r="J2481" s="48" t="s">
        <v>18</v>
      </c>
      <c r="K2481" s="48" t="s">
        <v>18</v>
      </c>
      <c r="L2481" s="48" t="s">
        <v>18</v>
      </c>
      <c r="M2481" s="48" t="s">
        <v>18</v>
      </c>
      <c r="N2481" s="48" t="s">
        <v>18</v>
      </c>
      <c r="O2481" s="48" t="s">
        <v>18</v>
      </c>
      <c r="P2481" s="103" t="s">
        <v>89</v>
      </c>
    </row>
    <row r="2482" spans="1:16" x14ac:dyDescent="0.25">
      <c r="A2482" s="29">
        <v>29</v>
      </c>
      <c r="B2482" s="30">
        <v>438381</v>
      </c>
      <c r="C2482" s="30">
        <v>5688526</v>
      </c>
      <c r="D2482" s="30">
        <v>14</v>
      </c>
      <c r="E2482" s="30" t="s">
        <v>33</v>
      </c>
      <c r="F2482" s="46">
        <v>2019</v>
      </c>
      <c r="G2482" s="47">
        <v>7.4499999999999997E-2</v>
      </c>
      <c r="H2482" s="47">
        <f t="shared" si="228"/>
        <v>2.5977005762494669E-2</v>
      </c>
      <c r="I2482" s="47">
        <v>0</v>
      </c>
      <c r="J2482" s="47">
        <f t="shared" si="229"/>
        <v>0</v>
      </c>
      <c r="K2482" s="47">
        <v>2.29E-2</v>
      </c>
      <c r="L2482" s="47">
        <f t="shared" si="230"/>
        <v>9.4696029451868668E-3</v>
      </c>
      <c r="M2482" s="47">
        <f t="shared" si="231"/>
        <v>1.6507402817307802E-2</v>
      </c>
      <c r="N2482" s="47">
        <v>0</v>
      </c>
      <c r="O2482" s="47">
        <f t="shared" si="232"/>
        <v>0</v>
      </c>
      <c r="P2482" s="92"/>
    </row>
    <row r="2483" spans="1:16" x14ac:dyDescent="0.25">
      <c r="A2483" s="29">
        <v>30</v>
      </c>
      <c r="B2483" s="30">
        <v>438525.10856199998</v>
      </c>
      <c r="C2483" s="30">
        <v>5688512.3324180003</v>
      </c>
      <c r="D2483" s="30">
        <v>14</v>
      </c>
      <c r="E2483" s="30" t="s">
        <v>33</v>
      </c>
      <c r="F2483" s="46">
        <v>2019</v>
      </c>
      <c r="G2483" s="47">
        <v>7.690000000000001E-2</v>
      </c>
      <c r="H2483" s="47">
        <f t="shared" si="228"/>
        <v>2.681384890115222E-2</v>
      </c>
      <c r="I2483" s="47">
        <v>0</v>
      </c>
      <c r="J2483" s="47">
        <f t="shared" si="229"/>
        <v>0</v>
      </c>
      <c r="K2483" s="47">
        <v>3.3100000000000004E-2</v>
      </c>
      <c r="L2483" s="47">
        <f t="shared" si="230"/>
        <v>1.3687504693698048E-2</v>
      </c>
      <c r="M2483" s="47">
        <f t="shared" si="231"/>
        <v>1.3126344207454172E-2</v>
      </c>
      <c r="N2483" s="47">
        <v>0</v>
      </c>
      <c r="O2483" s="47">
        <f t="shared" si="232"/>
        <v>0</v>
      </c>
      <c r="P2483" s="92"/>
    </row>
    <row r="2484" spans="1:16" x14ac:dyDescent="0.25">
      <c r="A2484" s="29">
        <v>31</v>
      </c>
      <c r="B2484" s="30">
        <v>437335.10856199998</v>
      </c>
      <c r="C2484" s="30">
        <v>5688631.3324180003</v>
      </c>
      <c r="D2484" s="30">
        <v>14</v>
      </c>
      <c r="E2484" s="30" t="s">
        <v>33</v>
      </c>
      <c r="F2484" s="46">
        <v>2019</v>
      </c>
      <c r="G2484" s="47">
        <v>9.8000000000000014E-3</v>
      </c>
      <c r="H2484" s="47">
        <f t="shared" si="228"/>
        <v>3.4171094828516482E-3</v>
      </c>
      <c r="I2484" s="47">
        <v>0</v>
      </c>
      <c r="J2484" s="47">
        <f t="shared" si="229"/>
        <v>0</v>
      </c>
      <c r="K2484" s="5">
        <v>3.7000000000000002E-3</v>
      </c>
      <c r="L2484" s="47">
        <f t="shared" si="230"/>
        <v>1.5300231832834675E-3</v>
      </c>
      <c r="M2484" s="47">
        <f t="shared" si="231"/>
        <v>1.8870862995681807E-3</v>
      </c>
      <c r="N2484" s="47">
        <v>0</v>
      </c>
      <c r="O2484" s="47">
        <f t="shared" si="232"/>
        <v>0</v>
      </c>
      <c r="P2484" s="92"/>
    </row>
    <row r="2485" spans="1:16" x14ac:dyDescent="0.25">
      <c r="A2485" s="29">
        <v>32</v>
      </c>
      <c r="B2485" s="30">
        <v>437454.10856199998</v>
      </c>
      <c r="C2485" s="30">
        <v>5688631.3324180003</v>
      </c>
      <c r="D2485" s="30">
        <v>14</v>
      </c>
      <c r="E2485" s="30" t="s">
        <v>33</v>
      </c>
      <c r="F2485" s="46">
        <v>2019</v>
      </c>
      <c r="G2485" s="47">
        <v>8.2799999999999999E-2</v>
      </c>
      <c r="H2485" s="47">
        <f t="shared" si="228"/>
        <v>2.8871088283685353E-2</v>
      </c>
      <c r="I2485" s="47">
        <v>0</v>
      </c>
      <c r="J2485" s="47">
        <f t="shared" si="229"/>
        <v>0</v>
      </c>
      <c r="K2485" s="47">
        <v>5.7000000000000002E-2</v>
      </c>
      <c r="L2485" s="47">
        <f t="shared" si="230"/>
        <v>2.3570627418150716E-2</v>
      </c>
      <c r="M2485" s="47">
        <f t="shared" si="231"/>
        <v>5.3004608655346369E-3</v>
      </c>
      <c r="N2485" s="47">
        <v>0</v>
      </c>
      <c r="O2485" s="47">
        <f t="shared" si="232"/>
        <v>0</v>
      </c>
      <c r="P2485" s="92"/>
    </row>
    <row r="2486" spans="1:16" x14ac:dyDescent="0.25">
      <c r="A2486" s="29">
        <v>33</v>
      </c>
      <c r="B2486" s="30">
        <v>437573.10856199998</v>
      </c>
      <c r="C2486" s="30">
        <v>5688631.3324180003</v>
      </c>
      <c r="D2486" s="30">
        <v>14</v>
      </c>
      <c r="E2486" s="30" t="s">
        <v>33</v>
      </c>
      <c r="F2486" s="46">
        <v>2019</v>
      </c>
      <c r="G2486" s="47">
        <v>5.3700000000000005E-2</v>
      </c>
      <c r="H2486" s="47">
        <f t="shared" si="228"/>
        <v>1.8724365227462604E-2</v>
      </c>
      <c r="I2486" s="47">
        <v>0</v>
      </c>
      <c r="J2486" s="47">
        <f t="shared" si="229"/>
        <v>0</v>
      </c>
      <c r="K2486" s="47">
        <v>7.7999999999999996E-3</v>
      </c>
      <c r="L2486" s="47">
        <f t="shared" si="230"/>
        <v>3.2254542782732556E-3</v>
      </c>
      <c r="M2486" s="47">
        <f t="shared" si="231"/>
        <v>1.5498910949189348E-2</v>
      </c>
      <c r="N2486" s="47">
        <v>0</v>
      </c>
      <c r="O2486" s="47">
        <f t="shared" si="232"/>
        <v>0</v>
      </c>
      <c r="P2486" s="92"/>
    </row>
    <row r="2487" spans="1:16" x14ac:dyDescent="0.25">
      <c r="A2487" s="29">
        <v>34</v>
      </c>
      <c r="B2487" s="30">
        <v>437692.10856199998</v>
      </c>
      <c r="C2487" s="30">
        <v>5688631.3324180003</v>
      </c>
      <c r="D2487" s="30">
        <v>14</v>
      </c>
      <c r="E2487" s="30" t="s">
        <v>33</v>
      </c>
      <c r="F2487" s="46">
        <v>2019</v>
      </c>
      <c r="G2487" s="47">
        <v>2.6600000000000002E-2</v>
      </c>
      <c r="H2487" s="47">
        <f t="shared" si="228"/>
        <v>9.2750114534544733E-3</v>
      </c>
      <c r="I2487" s="47">
        <v>0</v>
      </c>
      <c r="J2487" s="47">
        <f t="shared" si="229"/>
        <v>0</v>
      </c>
      <c r="K2487" s="47">
        <v>7.0000000000000001E-3</v>
      </c>
      <c r="L2487" s="47">
        <f t="shared" si="230"/>
        <v>2.8946384548606142E-3</v>
      </c>
      <c r="M2487" s="47">
        <f t="shared" si="231"/>
        <v>6.3803729985938591E-3</v>
      </c>
      <c r="N2487" s="47">
        <v>1.32E-2</v>
      </c>
      <c r="O2487" s="47">
        <f t="shared" si="232"/>
        <v>6.0357258851642939E-3</v>
      </c>
      <c r="P2487" s="92"/>
    </row>
    <row r="2488" spans="1:16" x14ac:dyDescent="0.25">
      <c r="A2488" s="29">
        <v>35</v>
      </c>
      <c r="B2488" s="30">
        <v>437893</v>
      </c>
      <c r="C2488" s="30">
        <v>5688620</v>
      </c>
      <c r="D2488" s="30">
        <v>14</v>
      </c>
      <c r="E2488" s="30" t="s">
        <v>33</v>
      </c>
      <c r="F2488" s="46">
        <v>2019</v>
      </c>
      <c r="G2488" s="47">
        <v>2.5899999999999999E-2</v>
      </c>
      <c r="H2488" s="47">
        <f t="shared" si="228"/>
        <v>9.0309322046793553E-3</v>
      </c>
      <c r="I2488" s="47">
        <v>0</v>
      </c>
      <c r="J2488" s="47">
        <f t="shared" si="229"/>
        <v>0</v>
      </c>
      <c r="K2488" s="47">
        <v>9.300000000000001E-3</v>
      </c>
      <c r="L2488" s="47">
        <f t="shared" si="230"/>
        <v>3.8457339471719594E-3</v>
      </c>
      <c r="M2488" s="47">
        <f t="shared" si="231"/>
        <v>5.1851982575073959E-3</v>
      </c>
      <c r="N2488" s="47">
        <v>0</v>
      </c>
      <c r="O2488" s="47">
        <f t="shared" si="232"/>
        <v>0</v>
      </c>
      <c r="P2488" s="92"/>
    </row>
    <row r="2489" spans="1:16" x14ac:dyDescent="0.25">
      <c r="A2489" s="29">
        <v>36</v>
      </c>
      <c r="B2489" s="30">
        <v>437930.10856199998</v>
      </c>
      <c r="C2489" s="30">
        <v>5688631.3324180003</v>
      </c>
      <c r="D2489" s="30">
        <v>14</v>
      </c>
      <c r="E2489" s="30" t="s">
        <v>33</v>
      </c>
      <c r="F2489" s="46">
        <v>2019</v>
      </c>
      <c r="G2489" s="47">
        <v>6.1399999999999996E-2</v>
      </c>
      <c r="H2489" s="47">
        <f t="shared" si="228"/>
        <v>2.1409236963988894E-2</v>
      </c>
      <c r="I2489" s="47">
        <v>0</v>
      </c>
      <c r="J2489" s="47">
        <f t="shared" si="229"/>
        <v>0</v>
      </c>
      <c r="K2489" s="47">
        <v>1.5599999999999999E-2</v>
      </c>
      <c r="L2489" s="47">
        <f t="shared" si="230"/>
        <v>6.4509085565465111E-3</v>
      </c>
      <c r="M2489" s="47">
        <f t="shared" si="231"/>
        <v>1.4958328407442382E-2</v>
      </c>
      <c r="N2489" s="47">
        <v>0</v>
      </c>
      <c r="O2489" s="47">
        <f t="shared" si="232"/>
        <v>0</v>
      </c>
      <c r="P2489" s="92"/>
    </row>
    <row r="2490" spans="1:16" x14ac:dyDescent="0.25">
      <c r="A2490" s="32">
        <v>37</v>
      </c>
      <c r="B2490" s="33">
        <v>438049.10856199998</v>
      </c>
      <c r="C2490" s="33">
        <v>5688631.3324180003</v>
      </c>
      <c r="D2490" s="48">
        <v>14</v>
      </c>
      <c r="E2490" s="48" t="s">
        <v>33</v>
      </c>
      <c r="F2490" s="48">
        <v>2019</v>
      </c>
      <c r="G2490" s="48" t="s">
        <v>18</v>
      </c>
      <c r="H2490" s="48" t="s">
        <v>18</v>
      </c>
      <c r="I2490" s="48" t="s">
        <v>18</v>
      </c>
      <c r="J2490" s="48" t="s">
        <v>18</v>
      </c>
      <c r="K2490" s="48" t="s">
        <v>18</v>
      </c>
      <c r="L2490" s="48" t="s">
        <v>18</v>
      </c>
      <c r="M2490" s="48" t="s">
        <v>18</v>
      </c>
      <c r="N2490" s="48" t="s">
        <v>18</v>
      </c>
      <c r="O2490" s="48" t="s">
        <v>18</v>
      </c>
      <c r="P2490" s="103" t="s">
        <v>89</v>
      </c>
    </row>
    <row r="2491" spans="1:16" x14ac:dyDescent="0.25">
      <c r="A2491" s="29">
        <v>38</v>
      </c>
      <c r="B2491" s="30">
        <v>438067</v>
      </c>
      <c r="C2491" s="30">
        <v>5688710</v>
      </c>
      <c r="D2491" s="30">
        <v>13</v>
      </c>
      <c r="E2491" s="30" t="s">
        <v>33</v>
      </c>
      <c r="F2491" s="46">
        <v>2019</v>
      </c>
      <c r="G2491" s="106" t="s">
        <v>18</v>
      </c>
      <c r="H2491" s="106" t="s">
        <v>18</v>
      </c>
      <c r="I2491" s="106" t="s">
        <v>18</v>
      </c>
      <c r="J2491" s="106" t="s">
        <v>18</v>
      </c>
      <c r="K2491" s="54">
        <v>9.6999999999999986E-3</v>
      </c>
      <c r="L2491" s="47">
        <f>K2491*0.390151515151515</f>
        <v>3.784469696969695E-3</v>
      </c>
      <c r="M2491" s="106" t="s">
        <v>18</v>
      </c>
      <c r="N2491" s="47">
        <v>0</v>
      </c>
      <c r="O2491" s="47">
        <f t="shared" si="232"/>
        <v>0</v>
      </c>
      <c r="P2491" s="92" t="s">
        <v>93</v>
      </c>
    </row>
    <row r="2492" spans="1:16" x14ac:dyDescent="0.25">
      <c r="A2492" s="32">
        <v>39</v>
      </c>
      <c r="B2492" s="33">
        <v>438287.10856199998</v>
      </c>
      <c r="C2492" s="33">
        <v>5688631.3324180003</v>
      </c>
      <c r="D2492" s="48">
        <v>14</v>
      </c>
      <c r="E2492" s="48" t="s">
        <v>33</v>
      </c>
      <c r="F2492" s="48">
        <v>2019</v>
      </c>
      <c r="G2492" s="48" t="s">
        <v>18</v>
      </c>
      <c r="H2492" s="48" t="s">
        <v>18</v>
      </c>
      <c r="I2492" s="48" t="s">
        <v>18</v>
      </c>
      <c r="J2492" s="48" t="s">
        <v>18</v>
      </c>
      <c r="K2492" s="48" t="s">
        <v>18</v>
      </c>
      <c r="L2492" s="48" t="s">
        <v>18</v>
      </c>
      <c r="M2492" s="48" t="s">
        <v>18</v>
      </c>
      <c r="N2492" s="48" t="s">
        <v>18</v>
      </c>
      <c r="O2492" s="48" t="s">
        <v>18</v>
      </c>
      <c r="P2492" s="94" t="s">
        <v>22</v>
      </c>
    </row>
    <row r="2493" spans="1:16" x14ac:dyDescent="0.25">
      <c r="A2493" s="29">
        <v>40</v>
      </c>
      <c r="B2493" s="30">
        <v>438406.10856199998</v>
      </c>
      <c r="C2493" s="30">
        <v>5688631.3324180003</v>
      </c>
      <c r="D2493" s="30">
        <v>14</v>
      </c>
      <c r="E2493" s="30" t="s">
        <v>33</v>
      </c>
      <c r="F2493" s="46">
        <v>2019</v>
      </c>
      <c r="G2493" s="47">
        <v>2.4300000000000002E-2</v>
      </c>
      <c r="H2493" s="47">
        <f t="shared" si="228"/>
        <v>8.4730367789076586E-3</v>
      </c>
      <c r="I2493" s="47">
        <v>0</v>
      </c>
      <c r="J2493" s="47">
        <f t="shared" si="229"/>
        <v>0</v>
      </c>
      <c r="K2493" s="47">
        <v>0.02</v>
      </c>
      <c r="L2493" s="47">
        <f t="shared" si="230"/>
        <v>8.2703955853160403E-3</v>
      </c>
      <c r="M2493" s="47">
        <f t="shared" si="231"/>
        <v>2.0264119359161836E-4</v>
      </c>
      <c r="N2493" s="47">
        <v>0</v>
      </c>
      <c r="O2493" s="47">
        <f t="shared" si="232"/>
        <v>0</v>
      </c>
      <c r="P2493" s="92"/>
    </row>
    <row r="2494" spans="1:16" x14ac:dyDescent="0.25">
      <c r="A2494" s="29">
        <v>41</v>
      </c>
      <c r="B2494" s="30">
        <v>437310</v>
      </c>
      <c r="C2494" s="30">
        <v>5688729</v>
      </c>
      <c r="D2494" s="30">
        <v>14</v>
      </c>
      <c r="E2494" s="30" t="s">
        <v>33</v>
      </c>
      <c r="F2494" s="46">
        <v>2019</v>
      </c>
      <c r="G2494" s="47">
        <v>0</v>
      </c>
      <c r="H2494" s="47">
        <f t="shared" si="228"/>
        <v>0</v>
      </c>
      <c r="I2494" s="47">
        <v>0</v>
      </c>
      <c r="J2494" s="47">
        <f t="shared" si="229"/>
        <v>0</v>
      </c>
      <c r="K2494" s="47">
        <v>5.8599999999999999E-2</v>
      </c>
      <c r="L2494" s="47">
        <f t="shared" si="230"/>
        <v>2.4232259064975999E-2</v>
      </c>
      <c r="M2494" s="47">
        <f t="shared" si="231"/>
        <v>-2.4232259064975999E-2</v>
      </c>
      <c r="N2494" s="47">
        <v>0</v>
      </c>
      <c r="O2494" s="47">
        <f t="shared" si="232"/>
        <v>0</v>
      </c>
      <c r="P2494" s="92"/>
    </row>
    <row r="2495" spans="1:16" x14ac:dyDescent="0.25">
      <c r="A2495" s="29">
        <v>42</v>
      </c>
      <c r="B2495" s="30">
        <v>437454.10856199998</v>
      </c>
      <c r="C2495" s="30">
        <v>5688750.3324180003</v>
      </c>
      <c r="D2495" s="30">
        <v>14</v>
      </c>
      <c r="E2495" s="30" t="s">
        <v>33</v>
      </c>
      <c r="F2495" s="46">
        <v>2019</v>
      </c>
      <c r="G2495" s="54">
        <v>1.15E-2</v>
      </c>
      <c r="H2495" s="47">
        <f t="shared" si="228"/>
        <v>4.0098733727340768E-3</v>
      </c>
      <c r="I2495" s="47">
        <v>0</v>
      </c>
      <c r="J2495" s="47">
        <f t="shared" si="229"/>
        <v>0</v>
      </c>
      <c r="K2495" s="47">
        <v>1.29E-2</v>
      </c>
      <c r="L2495" s="47">
        <f t="shared" si="230"/>
        <v>5.3344051525288459E-3</v>
      </c>
      <c r="M2495" s="47">
        <f t="shared" si="231"/>
        <v>-1.324531779794769E-3</v>
      </c>
      <c r="N2495" s="47">
        <v>2.8999999999999998E-3</v>
      </c>
      <c r="O2495" s="47">
        <f t="shared" si="232"/>
        <v>1.3260306868921553E-3</v>
      </c>
      <c r="P2495" s="92"/>
    </row>
    <row r="2496" spans="1:16" x14ac:dyDescent="0.25">
      <c r="A2496" s="29">
        <v>43</v>
      </c>
      <c r="B2496" s="30">
        <v>437573.10856199998</v>
      </c>
      <c r="C2496" s="30">
        <v>5688750.3324180003</v>
      </c>
      <c r="D2496" s="30">
        <v>14</v>
      </c>
      <c r="E2496" s="30" t="s">
        <v>33</v>
      </c>
      <c r="F2496" s="46">
        <v>2019</v>
      </c>
      <c r="G2496" s="47">
        <v>3.8200000000000005E-2</v>
      </c>
      <c r="H2496" s="47">
        <f t="shared" si="228"/>
        <v>1.3319753290299283E-2</v>
      </c>
      <c r="I2496" s="47">
        <v>0</v>
      </c>
      <c r="J2496" s="47">
        <f t="shared" si="229"/>
        <v>0</v>
      </c>
      <c r="K2496" s="47">
        <v>9.1999999999999998E-3</v>
      </c>
      <c r="L2496" s="47">
        <f t="shared" si="230"/>
        <v>3.8043819692453787E-3</v>
      </c>
      <c r="M2496" s="47">
        <f t="shared" si="231"/>
        <v>9.5153713210539038E-3</v>
      </c>
      <c r="N2496" s="47">
        <v>0</v>
      </c>
      <c r="O2496" s="47">
        <f t="shared" si="232"/>
        <v>0</v>
      </c>
      <c r="P2496" s="92"/>
    </row>
    <row r="2497" spans="1:16" x14ac:dyDescent="0.25">
      <c r="A2497" s="29">
        <v>44</v>
      </c>
      <c r="B2497" s="30">
        <v>437692.10856199998</v>
      </c>
      <c r="C2497" s="30">
        <v>5688750.3324180003</v>
      </c>
      <c r="D2497" s="30">
        <v>14</v>
      </c>
      <c r="E2497" s="30" t="s">
        <v>33</v>
      </c>
      <c r="F2497" s="46">
        <v>2019</v>
      </c>
      <c r="G2497" s="54">
        <v>5.9200000000000003E-2</v>
      </c>
      <c r="H2497" s="47">
        <f t="shared" si="228"/>
        <v>2.0642130753552812E-2</v>
      </c>
      <c r="I2497" s="47">
        <v>0</v>
      </c>
      <c r="J2497" s="47">
        <f t="shared" si="229"/>
        <v>0</v>
      </c>
      <c r="K2497" s="47">
        <v>3.0899999999999997E-2</v>
      </c>
      <c r="L2497" s="47">
        <f t="shared" si="230"/>
        <v>1.2777761179313282E-2</v>
      </c>
      <c r="M2497" s="47">
        <f t="shared" si="231"/>
        <v>7.8643695742395305E-3</v>
      </c>
      <c r="N2497" s="47">
        <v>0</v>
      </c>
      <c r="O2497" s="47">
        <f t="shared" si="232"/>
        <v>0</v>
      </c>
      <c r="P2497" s="92"/>
    </row>
    <row r="2498" spans="1:16" x14ac:dyDescent="0.25">
      <c r="A2498" s="29">
        <v>45</v>
      </c>
      <c r="B2498" s="30">
        <v>437811.10856199998</v>
      </c>
      <c r="C2498" s="30">
        <v>5688750.3324180003</v>
      </c>
      <c r="D2498" s="30">
        <v>13</v>
      </c>
      <c r="E2498" s="30" t="s">
        <v>33</v>
      </c>
      <c r="F2498" s="46">
        <v>2019</v>
      </c>
      <c r="G2498" s="47">
        <v>6.2200000000000005E-2</v>
      </c>
      <c r="H2498" s="47">
        <f t="shared" ref="H2498:H2500" si="233">G2498*0.324728477788932</f>
        <v>2.0198111318471573E-2</v>
      </c>
      <c r="I2498" s="47">
        <v>0</v>
      </c>
      <c r="J2498" s="47">
        <f t="shared" ref="J2498:J2504" si="234">I2498*0.317460317460317</f>
        <v>0</v>
      </c>
      <c r="K2498" s="47">
        <v>1.4500000000000001E-2</v>
      </c>
      <c r="L2498" s="47">
        <f t="shared" ref="L2498:L2504" si="235">K2498*0.390151515151515</f>
        <v>5.6571969696969683E-3</v>
      </c>
      <c r="M2498" s="47">
        <f t="shared" si="231"/>
        <v>1.4540914348774605E-2</v>
      </c>
      <c r="N2498" s="47">
        <v>0</v>
      </c>
      <c r="O2498" s="47">
        <f t="shared" si="232"/>
        <v>0</v>
      </c>
      <c r="P2498" s="92"/>
    </row>
    <row r="2499" spans="1:16" x14ac:dyDescent="0.25">
      <c r="A2499" s="29">
        <v>46</v>
      </c>
      <c r="B2499" s="30">
        <v>437930.10856199998</v>
      </c>
      <c r="C2499" s="30">
        <v>5688750.3324180003</v>
      </c>
      <c r="D2499" s="30">
        <v>13</v>
      </c>
      <c r="E2499" s="30" t="s">
        <v>33</v>
      </c>
      <c r="F2499" s="46">
        <v>2019</v>
      </c>
      <c r="G2499" s="47">
        <v>1.72E-2</v>
      </c>
      <c r="H2499" s="47">
        <f t="shared" si="233"/>
        <v>5.5853298179696304E-3</v>
      </c>
      <c r="I2499" s="47">
        <v>0</v>
      </c>
      <c r="J2499" s="47">
        <f t="shared" si="234"/>
        <v>0</v>
      </c>
      <c r="K2499" s="47">
        <v>1.8499999999999999E-2</v>
      </c>
      <c r="L2499" s="47">
        <f t="shared" si="235"/>
        <v>7.2178030303030275E-3</v>
      </c>
      <c r="M2499" s="47">
        <f t="shared" si="231"/>
        <v>-1.6324732123333971E-3</v>
      </c>
      <c r="N2499" s="47">
        <v>0</v>
      </c>
      <c r="O2499" s="47">
        <f t="shared" si="232"/>
        <v>0</v>
      </c>
      <c r="P2499" s="92" t="s">
        <v>148</v>
      </c>
    </row>
    <row r="2500" spans="1:16" x14ac:dyDescent="0.25">
      <c r="A2500" s="29">
        <v>47</v>
      </c>
      <c r="B2500" s="30">
        <v>438061</v>
      </c>
      <c r="C2500" s="30">
        <v>5688779</v>
      </c>
      <c r="D2500" s="30">
        <v>13</v>
      </c>
      <c r="E2500" s="30" t="s">
        <v>33</v>
      </c>
      <c r="F2500" s="46">
        <v>2019</v>
      </c>
      <c r="G2500" s="47">
        <v>6.2100000000000002E-2</v>
      </c>
      <c r="H2500" s="47">
        <f t="shared" si="233"/>
        <v>2.0165638470692679E-2</v>
      </c>
      <c r="I2500" s="47">
        <v>6.3E-3</v>
      </c>
      <c r="J2500" s="47">
        <f t="shared" si="234"/>
        <v>1.999999999999997E-3</v>
      </c>
      <c r="K2500" s="47">
        <v>1.9E-2</v>
      </c>
      <c r="L2500" s="47">
        <f t="shared" si="235"/>
        <v>7.4128787878787851E-3</v>
      </c>
      <c r="M2500" s="47">
        <f t="shared" si="231"/>
        <v>1.2752759682813895E-2</v>
      </c>
      <c r="N2500" s="47">
        <v>0</v>
      </c>
      <c r="O2500" s="47">
        <f t="shared" si="232"/>
        <v>0</v>
      </c>
      <c r="P2500" s="92"/>
    </row>
    <row r="2501" spans="1:16" x14ac:dyDescent="0.25">
      <c r="A2501" s="32">
        <v>48</v>
      </c>
      <c r="B2501" s="33">
        <v>438168.10856199998</v>
      </c>
      <c r="C2501" s="33">
        <v>5688750.3324180003</v>
      </c>
      <c r="D2501" s="48">
        <v>14</v>
      </c>
      <c r="E2501" s="48" t="s">
        <v>33</v>
      </c>
      <c r="F2501" s="48">
        <v>2019</v>
      </c>
      <c r="G2501" s="48" t="s">
        <v>18</v>
      </c>
      <c r="H2501" s="48" t="s">
        <v>18</v>
      </c>
      <c r="I2501" s="48" t="s">
        <v>18</v>
      </c>
      <c r="J2501" s="48" t="s">
        <v>18</v>
      </c>
      <c r="K2501" s="48" t="s">
        <v>18</v>
      </c>
      <c r="L2501" s="48" t="s">
        <v>18</v>
      </c>
      <c r="M2501" s="48" t="s">
        <v>18</v>
      </c>
      <c r="N2501" s="48" t="s">
        <v>18</v>
      </c>
      <c r="O2501" s="48" t="s">
        <v>18</v>
      </c>
      <c r="P2501" s="103" t="s">
        <v>89</v>
      </c>
    </row>
    <row r="2502" spans="1:16" x14ac:dyDescent="0.25">
      <c r="A2502" s="29">
        <v>49</v>
      </c>
      <c r="B2502" s="30">
        <v>437454.10856199998</v>
      </c>
      <c r="C2502" s="30">
        <v>5688869.3324180003</v>
      </c>
      <c r="D2502" s="30">
        <v>13</v>
      </c>
      <c r="E2502" s="30" t="s">
        <v>33</v>
      </c>
      <c r="F2502" s="46">
        <v>2019</v>
      </c>
      <c r="G2502" s="47">
        <v>5.91E-2</v>
      </c>
      <c r="H2502" s="47">
        <f t="shared" ref="H2502:H2504" si="236">G2502*0.324728477788932</f>
        <v>1.9191453037325879E-2</v>
      </c>
      <c r="I2502" s="47">
        <v>0</v>
      </c>
      <c r="J2502" s="47">
        <f t="shared" si="234"/>
        <v>0</v>
      </c>
      <c r="K2502" s="47">
        <v>1.9899999999999998E-2</v>
      </c>
      <c r="L2502" s="47">
        <f t="shared" si="235"/>
        <v>7.7640151515151485E-3</v>
      </c>
      <c r="M2502" s="47">
        <f t="shared" si="231"/>
        <v>1.1427437885810731E-2</v>
      </c>
      <c r="N2502" s="47">
        <v>0</v>
      </c>
      <c r="O2502" s="47">
        <f t="shared" si="232"/>
        <v>0</v>
      </c>
      <c r="P2502" s="92"/>
    </row>
    <row r="2503" spans="1:16" x14ac:dyDescent="0.25">
      <c r="A2503" s="29">
        <v>50</v>
      </c>
      <c r="B2503" s="30">
        <v>437811.10856199998</v>
      </c>
      <c r="C2503" s="30">
        <v>5688869.3324180003</v>
      </c>
      <c r="D2503" s="30">
        <v>13</v>
      </c>
      <c r="E2503" s="30" t="s">
        <v>33</v>
      </c>
      <c r="F2503" s="46">
        <v>2019</v>
      </c>
      <c r="G2503" s="47">
        <v>9.1299999999999992E-2</v>
      </c>
      <c r="H2503" s="47">
        <f t="shared" si="236"/>
        <v>2.964771002212949E-2</v>
      </c>
      <c r="I2503" s="47">
        <v>0</v>
      </c>
      <c r="J2503" s="47">
        <f t="shared" si="234"/>
        <v>0</v>
      </c>
      <c r="K2503" s="47">
        <v>1.6300000000000002E-2</v>
      </c>
      <c r="L2503" s="47">
        <f t="shared" si="235"/>
        <v>6.3594696969696959E-3</v>
      </c>
      <c r="M2503" s="47">
        <f t="shared" si="231"/>
        <v>2.3288240325159793E-2</v>
      </c>
      <c r="N2503" s="47">
        <v>0</v>
      </c>
      <c r="O2503" s="47">
        <f t="shared" si="232"/>
        <v>0</v>
      </c>
      <c r="P2503" s="92"/>
    </row>
    <row r="2504" spans="1:16" x14ac:dyDescent="0.25">
      <c r="A2504" s="29">
        <v>51</v>
      </c>
      <c r="B2504" s="30">
        <v>437930.10856199998</v>
      </c>
      <c r="C2504" s="30">
        <v>5688869.3324180003</v>
      </c>
      <c r="D2504" s="30">
        <v>13</v>
      </c>
      <c r="E2504" s="30" t="s">
        <v>33</v>
      </c>
      <c r="F2504" s="46">
        <v>2019</v>
      </c>
      <c r="G2504" s="47">
        <v>2.5700000000000001E-2</v>
      </c>
      <c r="H2504" s="47">
        <f t="shared" si="236"/>
        <v>8.3455218791755516E-3</v>
      </c>
      <c r="I2504" s="47">
        <v>0</v>
      </c>
      <c r="J2504" s="47">
        <f t="shared" si="234"/>
        <v>0</v>
      </c>
      <c r="K2504" s="47">
        <v>1.03E-2</v>
      </c>
      <c r="L2504" s="47">
        <f t="shared" si="235"/>
        <v>4.0185606060606045E-3</v>
      </c>
      <c r="M2504" s="47">
        <f t="shared" si="231"/>
        <v>4.3269612731149472E-3</v>
      </c>
      <c r="N2504" s="47">
        <v>0</v>
      </c>
      <c r="O2504" s="47">
        <f t="shared" si="232"/>
        <v>0</v>
      </c>
      <c r="P2504" s="92"/>
    </row>
    <row r="2505" spans="1:16" x14ac:dyDescent="0.25">
      <c r="A2505" s="29">
        <v>52</v>
      </c>
      <c r="B2505" s="30">
        <v>438049.10856199998</v>
      </c>
      <c r="C2505" s="30">
        <v>5688869.3324180003</v>
      </c>
      <c r="D2505" s="30">
        <v>14</v>
      </c>
      <c r="E2505" s="30" t="s">
        <v>33</v>
      </c>
      <c r="F2505" s="46">
        <v>2019</v>
      </c>
      <c r="G2505" s="47">
        <v>3.5999999999999999E-3</v>
      </c>
      <c r="H2505" s="47">
        <f t="shared" si="228"/>
        <v>1.2552647079863196E-3</v>
      </c>
      <c r="I2505" s="47">
        <v>0</v>
      </c>
      <c r="J2505" s="47">
        <f t="shared" si="229"/>
        <v>0</v>
      </c>
      <c r="K2505" s="47">
        <v>3.8E-3</v>
      </c>
      <c r="L2505" s="47">
        <f t="shared" si="230"/>
        <v>1.5713751612100478E-3</v>
      </c>
      <c r="M2505" s="47">
        <f t="shared" si="231"/>
        <v>-3.1611045322372817E-4</v>
      </c>
      <c r="N2505" s="47">
        <v>0</v>
      </c>
      <c r="O2505" s="47">
        <f t="shared" si="232"/>
        <v>0</v>
      </c>
      <c r="P2505" s="92"/>
    </row>
    <row r="2506" spans="1:16" x14ac:dyDescent="0.25">
      <c r="A2506" s="29">
        <v>53</v>
      </c>
      <c r="B2506" s="30">
        <v>438287.10856199998</v>
      </c>
      <c r="C2506" s="30">
        <v>5688869.3324180003</v>
      </c>
      <c r="D2506" s="30">
        <v>14</v>
      </c>
      <c r="E2506" s="30" t="s">
        <v>33</v>
      </c>
      <c r="F2506" s="46">
        <v>2019</v>
      </c>
      <c r="G2506" s="47">
        <v>3.8999999999999998E-3</v>
      </c>
      <c r="H2506" s="47">
        <f t="shared" si="228"/>
        <v>1.3598701003185128E-3</v>
      </c>
      <c r="I2506" s="47">
        <v>0</v>
      </c>
      <c r="J2506" s="47">
        <f t="shared" si="229"/>
        <v>0</v>
      </c>
      <c r="K2506" s="47">
        <v>0</v>
      </c>
      <c r="L2506" s="47">
        <f t="shared" si="230"/>
        <v>0</v>
      </c>
      <c r="M2506" s="47">
        <f t="shared" si="231"/>
        <v>1.3598701003185128E-3</v>
      </c>
      <c r="N2506" s="47">
        <v>0</v>
      </c>
      <c r="O2506" s="47">
        <f t="shared" si="232"/>
        <v>0</v>
      </c>
      <c r="P2506" s="92"/>
    </row>
    <row r="2507" spans="1:16" x14ac:dyDescent="0.25">
      <c r="A2507" s="29">
        <v>54</v>
      </c>
      <c r="B2507" s="30">
        <v>437454.10856199998</v>
      </c>
      <c r="C2507" s="30">
        <v>5688988.3324180003</v>
      </c>
      <c r="D2507" s="30">
        <v>13</v>
      </c>
      <c r="E2507" s="30" t="s">
        <v>33</v>
      </c>
      <c r="F2507" s="46">
        <v>2019</v>
      </c>
      <c r="G2507" s="47">
        <v>2.98E-2</v>
      </c>
      <c r="H2507" s="47">
        <f t="shared" ref="H2507:H2513" si="237">G2507*0.324728477788932</f>
        <v>9.6769086381101738E-3</v>
      </c>
      <c r="I2507" s="47">
        <v>0</v>
      </c>
      <c r="J2507" s="47">
        <f t="shared" ref="J2507:J2513" si="238">I2507*0.317460317460317</f>
        <v>0</v>
      </c>
      <c r="K2507" s="47">
        <v>1.15E-2</v>
      </c>
      <c r="L2507" s="47">
        <f t="shared" ref="L2507:L2513" si="239">K2507*0.390151515151515</f>
        <v>4.4867424242424226E-3</v>
      </c>
      <c r="M2507" s="47">
        <f t="shared" si="231"/>
        <v>5.1901662138677512E-3</v>
      </c>
      <c r="N2507" s="47">
        <v>0</v>
      </c>
      <c r="O2507" s="47">
        <f t="shared" si="232"/>
        <v>0</v>
      </c>
      <c r="P2507" s="92"/>
    </row>
    <row r="2508" spans="1:16" x14ac:dyDescent="0.25">
      <c r="A2508" s="29">
        <v>55</v>
      </c>
      <c r="B2508" s="30">
        <v>438049.10856199998</v>
      </c>
      <c r="C2508" s="30">
        <v>5688988.3324180003</v>
      </c>
      <c r="D2508" s="30">
        <v>13</v>
      </c>
      <c r="E2508" s="30" t="s">
        <v>33</v>
      </c>
      <c r="F2508" s="46">
        <v>2019</v>
      </c>
      <c r="G2508" s="47">
        <v>6.9199999999999998E-2</v>
      </c>
      <c r="H2508" s="47">
        <f t="shared" si="237"/>
        <v>2.2471210662994092E-2</v>
      </c>
      <c r="I2508" s="47">
        <v>0</v>
      </c>
      <c r="J2508" s="47">
        <f t="shared" si="238"/>
        <v>0</v>
      </c>
      <c r="K2508" s="47">
        <v>4.7000000000000002E-3</v>
      </c>
      <c r="L2508" s="47">
        <f t="shared" si="239"/>
        <v>1.8337121212121208E-3</v>
      </c>
      <c r="M2508" s="47">
        <f>H2508-L2508</f>
        <v>2.0637498541781971E-2</v>
      </c>
      <c r="N2508" s="47">
        <v>0</v>
      </c>
      <c r="O2508" s="47">
        <f t="shared" si="232"/>
        <v>0</v>
      </c>
      <c r="P2508" s="92"/>
    </row>
    <row r="2509" spans="1:16" x14ac:dyDescent="0.25">
      <c r="A2509" s="29">
        <v>56</v>
      </c>
      <c r="B2509" s="30">
        <v>438168.10856199998</v>
      </c>
      <c r="C2509" s="30">
        <v>5688988.3324180003</v>
      </c>
      <c r="D2509" s="30">
        <v>13</v>
      </c>
      <c r="E2509" s="30" t="s">
        <v>33</v>
      </c>
      <c r="F2509" s="46">
        <v>2019</v>
      </c>
      <c r="G2509" s="47">
        <v>1.9100000000000002E-2</v>
      </c>
      <c r="H2509" s="47">
        <f t="shared" si="237"/>
        <v>6.2023139257686016E-3</v>
      </c>
      <c r="I2509" s="47">
        <v>0</v>
      </c>
      <c r="J2509" s="47">
        <f t="shared" si="238"/>
        <v>0</v>
      </c>
      <c r="K2509" s="47">
        <v>1.4E-3</v>
      </c>
      <c r="L2509" s="47">
        <f t="shared" si="239"/>
        <v>5.4621212121212098E-4</v>
      </c>
      <c r="M2509" s="47">
        <f t="shared" si="231"/>
        <v>5.6561018045564807E-3</v>
      </c>
      <c r="N2509" s="47">
        <v>0</v>
      </c>
      <c r="O2509" s="47">
        <f t="shared" si="232"/>
        <v>0</v>
      </c>
      <c r="P2509" s="92"/>
    </row>
    <row r="2510" spans="1:16" x14ac:dyDescent="0.25">
      <c r="A2510" s="40">
        <v>57</v>
      </c>
      <c r="B2510" s="41">
        <v>438146</v>
      </c>
      <c r="C2510" s="41">
        <v>5688977</v>
      </c>
      <c r="D2510" s="41">
        <v>13</v>
      </c>
      <c r="E2510" s="41" t="s">
        <v>33</v>
      </c>
      <c r="F2510" s="50">
        <v>2019</v>
      </c>
      <c r="G2510" s="51">
        <v>7.1599999999999997E-2</v>
      </c>
      <c r="H2510" s="51">
        <f t="shared" si="237"/>
        <v>2.3250559009687529E-2</v>
      </c>
      <c r="I2510" s="51">
        <v>0</v>
      </c>
      <c r="J2510" s="51">
        <f t="shared" si="238"/>
        <v>0</v>
      </c>
      <c r="K2510" s="51">
        <v>5.1999999999999998E-3</v>
      </c>
      <c r="L2510" s="51">
        <f t="shared" si="239"/>
        <v>2.0287878787878782E-3</v>
      </c>
      <c r="M2510" s="51">
        <f t="shared" si="231"/>
        <v>2.1221771130899653E-2</v>
      </c>
      <c r="N2510" s="51">
        <v>0</v>
      </c>
      <c r="O2510" s="51">
        <f t="shared" si="232"/>
        <v>0</v>
      </c>
      <c r="P2510" s="101"/>
    </row>
    <row r="2511" spans="1:16" x14ac:dyDescent="0.25">
      <c r="A2511" s="40">
        <v>58</v>
      </c>
      <c r="B2511" s="41">
        <v>438131</v>
      </c>
      <c r="C2511" s="41">
        <v>5688972</v>
      </c>
      <c r="D2511" s="41">
        <v>13</v>
      </c>
      <c r="E2511" s="41" t="s">
        <v>33</v>
      </c>
      <c r="F2511" s="50">
        <v>2019</v>
      </c>
      <c r="G2511" s="51">
        <v>9.1799999999999993E-2</v>
      </c>
      <c r="H2511" s="51">
        <f t="shared" si="237"/>
        <v>2.9810074261023955E-2</v>
      </c>
      <c r="I2511" s="51">
        <v>0</v>
      </c>
      <c r="J2511" s="51">
        <f t="shared" si="238"/>
        <v>0</v>
      </c>
      <c r="K2511" s="51">
        <v>5.0000000000000001E-3</v>
      </c>
      <c r="L2511" s="51">
        <f t="shared" si="239"/>
        <v>1.9507575757575751E-3</v>
      </c>
      <c r="M2511" s="51">
        <f t="shared" si="231"/>
        <v>2.785931668526638E-2</v>
      </c>
      <c r="N2511" s="51">
        <v>0</v>
      </c>
      <c r="O2511" s="51">
        <f t="shared" si="232"/>
        <v>0</v>
      </c>
      <c r="P2511" s="101"/>
    </row>
    <row r="2512" spans="1:16" x14ac:dyDescent="0.25">
      <c r="A2512" s="40">
        <v>59</v>
      </c>
      <c r="B2512" s="41">
        <v>438089</v>
      </c>
      <c r="C2512" s="41">
        <v>5688713</v>
      </c>
      <c r="D2512" s="41">
        <v>13</v>
      </c>
      <c r="E2512" s="41" t="s">
        <v>33</v>
      </c>
      <c r="F2512" s="50">
        <v>2019</v>
      </c>
      <c r="G2512" s="51">
        <v>4.0100000000000004E-2</v>
      </c>
      <c r="H2512" s="51">
        <f t="shared" si="237"/>
        <v>1.3021611959336174E-2</v>
      </c>
      <c r="I2512" s="51">
        <v>0</v>
      </c>
      <c r="J2512" s="51">
        <f t="shared" si="238"/>
        <v>0</v>
      </c>
      <c r="K2512" s="51">
        <v>1.43E-2</v>
      </c>
      <c r="L2512" s="51">
        <f t="shared" si="239"/>
        <v>5.5791666666666646E-3</v>
      </c>
      <c r="M2512" s="51">
        <f t="shared" si="231"/>
        <v>7.4424452926695091E-3</v>
      </c>
      <c r="N2512" s="51">
        <v>0</v>
      </c>
      <c r="O2512" s="51">
        <f t="shared" si="232"/>
        <v>0</v>
      </c>
      <c r="P2512" s="101"/>
    </row>
    <row r="2513" spans="1:19" x14ac:dyDescent="0.25">
      <c r="A2513" s="40">
        <v>60</v>
      </c>
      <c r="B2513" s="41">
        <v>438099</v>
      </c>
      <c r="C2513" s="41">
        <v>5688719</v>
      </c>
      <c r="D2513" s="41">
        <v>13</v>
      </c>
      <c r="E2513" s="41" t="s">
        <v>33</v>
      </c>
      <c r="F2513" s="50">
        <v>2019</v>
      </c>
      <c r="G2513" s="51">
        <v>5.0900000000000001E-2</v>
      </c>
      <c r="H2513" s="51">
        <f t="shared" si="237"/>
        <v>1.6528679519456638E-2</v>
      </c>
      <c r="I2513" s="51">
        <v>0</v>
      </c>
      <c r="J2513" s="51">
        <f t="shared" si="238"/>
        <v>0</v>
      </c>
      <c r="K2513" s="51">
        <v>0.01</v>
      </c>
      <c r="L2513" s="51">
        <f t="shared" si="239"/>
        <v>3.9015151515151502E-3</v>
      </c>
      <c r="M2513" s="51">
        <f t="shared" si="231"/>
        <v>1.2627164367941488E-2</v>
      </c>
      <c r="N2513" s="51">
        <v>0</v>
      </c>
      <c r="O2513" s="51">
        <f t="shared" si="232"/>
        <v>0</v>
      </c>
      <c r="P2513" s="101"/>
    </row>
    <row r="2514" spans="1:19" x14ac:dyDescent="0.25">
      <c r="A2514" s="42">
        <v>1</v>
      </c>
      <c r="B2514" s="43">
        <v>437930.10856199998</v>
      </c>
      <c r="C2514" s="43">
        <v>5688036.3324180003</v>
      </c>
      <c r="D2514" s="44">
        <v>30</v>
      </c>
      <c r="E2514" s="44" t="s">
        <v>36</v>
      </c>
      <c r="F2514" s="44">
        <v>2019</v>
      </c>
      <c r="G2514" s="44" t="s">
        <v>18</v>
      </c>
      <c r="H2514" s="44" t="s">
        <v>18</v>
      </c>
      <c r="I2514" s="44" t="s">
        <v>18</v>
      </c>
      <c r="J2514" s="44" t="s">
        <v>18</v>
      </c>
      <c r="K2514" s="44" t="s">
        <v>18</v>
      </c>
      <c r="L2514" s="44" t="s">
        <v>18</v>
      </c>
      <c r="M2514" s="44" t="s">
        <v>18</v>
      </c>
      <c r="N2514" s="44" t="s">
        <v>18</v>
      </c>
      <c r="O2514" s="44" t="s">
        <v>18</v>
      </c>
      <c r="P2514" s="102" t="s">
        <v>109</v>
      </c>
      <c r="R2514" s="5">
        <f>AVERAGE(M2514:M2573)</f>
        <v>1.6526863915957736E-2</v>
      </c>
      <c r="S2514" s="5">
        <f>AVERAGE(H2514:H2573)</f>
        <v>2.0460501110257469E-2</v>
      </c>
    </row>
    <row r="2515" spans="1:19" x14ac:dyDescent="0.25">
      <c r="A2515" s="42">
        <v>2</v>
      </c>
      <c r="B2515" s="43">
        <v>437811.10856199998</v>
      </c>
      <c r="C2515" s="43">
        <v>5688155.3324180003</v>
      </c>
      <c r="D2515" s="44">
        <v>30</v>
      </c>
      <c r="E2515" s="44" t="s">
        <v>36</v>
      </c>
      <c r="F2515" s="44">
        <v>2019</v>
      </c>
      <c r="G2515" s="44" t="s">
        <v>18</v>
      </c>
      <c r="H2515" s="44" t="s">
        <v>18</v>
      </c>
      <c r="I2515" s="44" t="s">
        <v>18</v>
      </c>
      <c r="J2515" s="44" t="s">
        <v>18</v>
      </c>
      <c r="K2515" s="44" t="s">
        <v>18</v>
      </c>
      <c r="L2515" s="44" t="s">
        <v>18</v>
      </c>
      <c r="M2515" s="44" t="s">
        <v>18</v>
      </c>
      <c r="N2515" s="44" t="s">
        <v>18</v>
      </c>
      <c r="O2515" s="44" t="s">
        <v>18</v>
      </c>
      <c r="P2515" s="102" t="s">
        <v>109</v>
      </c>
    </row>
    <row r="2516" spans="1:19" x14ac:dyDescent="0.25">
      <c r="A2516" s="29">
        <v>3</v>
      </c>
      <c r="B2516" s="30">
        <v>437930.10856199998</v>
      </c>
      <c r="C2516" s="30">
        <v>5688155.3324180003</v>
      </c>
      <c r="D2516" s="30">
        <v>30</v>
      </c>
      <c r="E2516" s="30" t="s">
        <v>36</v>
      </c>
      <c r="F2516" s="46">
        <v>2019</v>
      </c>
      <c r="G2516" s="47">
        <v>2.93E-2</v>
      </c>
      <c r="H2516" s="47">
        <f>G2516*0.315844639765763</f>
        <v>9.2542479451368561E-3</v>
      </c>
      <c r="I2516" s="47">
        <v>0</v>
      </c>
      <c r="J2516" s="47">
        <f>I2516*0.274812501341967</f>
        <v>0</v>
      </c>
      <c r="K2516" s="47">
        <v>6.6E-3</v>
      </c>
      <c r="L2516" s="47">
        <f>K2516*0.369102129908806</f>
        <v>2.4360740573981196E-3</v>
      </c>
      <c r="M2516" s="47">
        <f>H2516-L2516</f>
        <v>6.818173887738737E-3</v>
      </c>
      <c r="N2516" s="47">
        <v>2.9999999999999997E-4</v>
      </c>
      <c r="O2516" s="47">
        <f>N2516*0.303541983664492</f>
        <v>9.1062595099347584E-5</v>
      </c>
      <c r="P2516" s="92"/>
    </row>
    <row r="2517" spans="1:19" x14ac:dyDescent="0.25">
      <c r="A2517" s="42">
        <v>4</v>
      </c>
      <c r="B2517" s="43">
        <v>438049.10856199998</v>
      </c>
      <c r="C2517" s="43">
        <v>5688155.3324180003</v>
      </c>
      <c r="D2517" s="44">
        <v>30</v>
      </c>
      <c r="E2517" s="44" t="s">
        <v>36</v>
      </c>
      <c r="F2517" s="44">
        <v>2019</v>
      </c>
      <c r="G2517" s="44" t="s">
        <v>18</v>
      </c>
      <c r="H2517" s="44" t="s">
        <v>18</v>
      </c>
      <c r="I2517" s="44" t="s">
        <v>18</v>
      </c>
      <c r="J2517" s="44" t="s">
        <v>18</v>
      </c>
      <c r="K2517" s="44" t="s">
        <v>18</v>
      </c>
      <c r="L2517" s="44" t="s">
        <v>18</v>
      </c>
      <c r="M2517" s="44" t="s">
        <v>18</v>
      </c>
      <c r="N2517" s="44" t="s">
        <v>18</v>
      </c>
      <c r="O2517" s="44" t="s">
        <v>18</v>
      </c>
      <c r="P2517" s="102" t="s">
        <v>109</v>
      </c>
    </row>
    <row r="2518" spans="1:19" x14ac:dyDescent="0.25">
      <c r="A2518" s="42">
        <v>5</v>
      </c>
      <c r="B2518" s="43">
        <v>437573.10856199998</v>
      </c>
      <c r="C2518" s="43">
        <v>5688274.3324180003</v>
      </c>
      <c r="D2518" s="44">
        <v>30</v>
      </c>
      <c r="E2518" s="44" t="s">
        <v>36</v>
      </c>
      <c r="F2518" s="44">
        <v>2019</v>
      </c>
      <c r="G2518" s="44" t="s">
        <v>18</v>
      </c>
      <c r="H2518" s="44" t="s">
        <v>18</v>
      </c>
      <c r="I2518" s="44" t="s">
        <v>18</v>
      </c>
      <c r="J2518" s="44" t="s">
        <v>18</v>
      </c>
      <c r="K2518" s="44" t="s">
        <v>18</v>
      </c>
      <c r="L2518" s="44" t="s">
        <v>18</v>
      </c>
      <c r="M2518" s="44" t="s">
        <v>18</v>
      </c>
      <c r="N2518" s="44" t="s">
        <v>18</v>
      </c>
      <c r="O2518" s="44" t="s">
        <v>18</v>
      </c>
      <c r="P2518" s="102" t="s">
        <v>109</v>
      </c>
    </row>
    <row r="2519" spans="1:19" x14ac:dyDescent="0.25">
      <c r="A2519" s="29">
        <v>6</v>
      </c>
      <c r="B2519" s="30">
        <v>437692.10856199998</v>
      </c>
      <c r="C2519" s="30">
        <v>5688274.3324180003</v>
      </c>
      <c r="D2519" s="30">
        <v>30</v>
      </c>
      <c r="E2519" s="30" t="s">
        <v>36</v>
      </c>
      <c r="F2519" s="46">
        <v>2019</v>
      </c>
      <c r="G2519" s="47">
        <v>2.3199999999999998E-2</v>
      </c>
      <c r="H2519" s="47">
        <f t="shared" ref="H2519:H2556" si="240">G2519*0.315844639765763</f>
        <v>7.3275956425657013E-3</v>
      </c>
      <c r="I2519" s="47">
        <v>9.2299999999999993E-2</v>
      </c>
      <c r="J2519" s="47">
        <f t="shared" ref="J2519:J2556" si="241">I2519*0.274812501341967</f>
        <v>2.5365193873863552E-2</v>
      </c>
      <c r="K2519" s="54">
        <v>8.6E-3</v>
      </c>
      <c r="L2519" s="47">
        <f t="shared" ref="L2519:L2549" si="242">K2519*0.369102129908806</f>
        <v>3.1742783172157315E-3</v>
      </c>
      <c r="M2519" s="47">
        <f t="shared" ref="M2519:M2573" si="243">H2519-L2519</f>
        <v>4.1533173253499693E-3</v>
      </c>
      <c r="N2519" s="47">
        <v>1.01E-2</v>
      </c>
      <c r="O2519" s="47">
        <f t="shared" ref="O2519:O2556" si="244">N2519*0.303541983664492</f>
        <v>3.0657740350113686E-3</v>
      </c>
      <c r="P2519" s="92"/>
    </row>
    <row r="2520" spans="1:19" x14ac:dyDescent="0.25">
      <c r="A2520" s="65">
        <v>7</v>
      </c>
      <c r="B2520" s="66">
        <v>437811.10856199998</v>
      </c>
      <c r="C2520" s="66">
        <v>5688274.3324180003</v>
      </c>
      <c r="D2520" s="66">
        <v>30</v>
      </c>
      <c r="E2520" s="66" t="s">
        <v>36</v>
      </c>
      <c r="F2520" s="66">
        <v>2019</v>
      </c>
      <c r="G2520" s="66" t="s">
        <v>18</v>
      </c>
      <c r="H2520" s="66" t="s">
        <v>18</v>
      </c>
      <c r="I2520" s="66" t="s">
        <v>18</v>
      </c>
      <c r="J2520" s="66" t="s">
        <v>18</v>
      </c>
      <c r="K2520" s="66" t="s">
        <v>18</v>
      </c>
      <c r="L2520" s="66" t="s">
        <v>18</v>
      </c>
      <c r="M2520" s="66" t="s">
        <v>18</v>
      </c>
      <c r="N2520" s="66" t="s">
        <v>18</v>
      </c>
      <c r="O2520" s="66" t="s">
        <v>18</v>
      </c>
      <c r="P2520" s="105" t="s">
        <v>147</v>
      </c>
    </row>
    <row r="2521" spans="1:19" x14ac:dyDescent="0.25">
      <c r="A2521" s="42">
        <v>8</v>
      </c>
      <c r="B2521" s="43">
        <v>437930.10856199998</v>
      </c>
      <c r="C2521" s="43">
        <v>5688274.3324180003</v>
      </c>
      <c r="D2521" s="44">
        <v>30</v>
      </c>
      <c r="E2521" s="44" t="s">
        <v>36</v>
      </c>
      <c r="F2521" s="44">
        <v>2019</v>
      </c>
      <c r="G2521" s="44" t="s">
        <v>18</v>
      </c>
      <c r="H2521" s="44" t="s">
        <v>18</v>
      </c>
      <c r="I2521" s="44" t="s">
        <v>18</v>
      </c>
      <c r="J2521" s="44" t="s">
        <v>18</v>
      </c>
      <c r="K2521" s="44" t="s">
        <v>18</v>
      </c>
      <c r="L2521" s="44" t="s">
        <v>18</v>
      </c>
      <c r="M2521" s="44" t="s">
        <v>18</v>
      </c>
      <c r="N2521" s="44" t="s">
        <v>18</v>
      </c>
      <c r="O2521" s="44" t="s">
        <v>18</v>
      </c>
      <c r="P2521" s="102" t="s">
        <v>109</v>
      </c>
    </row>
    <row r="2522" spans="1:19" x14ac:dyDescent="0.25">
      <c r="A2522" s="29">
        <v>9</v>
      </c>
      <c r="B2522" s="30">
        <v>438287.10856199998</v>
      </c>
      <c r="C2522" s="30">
        <v>5688274.3324180003</v>
      </c>
      <c r="D2522" s="30">
        <v>30</v>
      </c>
      <c r="E2522" s="30" t="s">
        <v>36</v>
      </c>
      <c r="F2522" s="46">
        <v>2019</v>
      </c>
      <c r="G2522" s="47">
        <v>5.9200000000000003E-2</v>
      </c>
      <c r="H2522" s="47">
        <f t="shared" si="240"/>
        <v>1.8698002674133171E-2</v>
      </c>
      <c r="I2522" s="47">
        <v>1.1300000000000001E-2</v>
      </c>
      <c r="J2522" s="47">
        <f t="shared" si="241"/>
        <v>3.1053812651642273E-3</v>
      </c>
      <c r="K2522" s="47">
        <v>1.7299999999999999E-2</v>
      </c>
      <c r="L2522" s="47">
        <f t="shared" si="242"/>
        <v>6.3854668474223435E-3</v>
      </c>
      <c r="M2522" s="47">
        <f t="shared" si="243"/>
        <v>1.2312535826710828E-2</v>
      </c>
      <c r="N2522" s="47">
        <v>1.1999999999999999E-3</v>
      </c>
      <c r="O2522" s="47">
        <f t="shared" si="244"/>
        <v>3.6425038039739034E-4</v>
      </c>
      <c r="P2522" s="92"/>
    </row>
    <row r="2523" spans="1:19" x14ac:dyDescent="0.25">
      <c r="A2523" s="29">
        <v>10</v>
      </c>
      <c r="B2523" s="30">
        <v>438406.10856199998</v>
      </c>
      <c r="C2523" s="30">
        <v>5688274.3324180003</v>
      </c>
      <c r="D2523" s="30">
        <v>30</v>
      </c>
      <c r="E2523" s="30" t="s">
        <v>36</v>
      </c>
      <c r="F2523" s="46">
        <v>2019</v>
      </c>
      <c r="G2523" s="47">
        <v>8.4900000000000003E-2</v>
      </c>
      <c r="H2523" s="47">
        <f t="shared" si="240"/>
        <v>2.6815209916113279E-2</v>
      </c>
      <c r="I2523" s="47">
        <v>0</v>
      </c>
      <c r="J2523" s="47">
        <f t="shared" si="241"/>
        <v>0</v>
      </c>
      <c r="K2523" s="47">
        <v>8.199999999999999E-3</v>
      </c>
      <c r="L2523" s="47">
        <f t="shared" si="242"/>
        <v>3.0266374652522087E-3</v>
      </c>
      <c r="M2523" s="47">
        <f t="shared" si="243"/>
        <v>2.3788572450861072E-2</v>
      </c>
      <c r="N2523" s="47">
        <v>2.3999999999999998E-3</v>
      </c>
      <c r="O2523" s="47">
        <f t="shared" si="244"/>
        <v>7.2850076079478067E-4</v>
      </c>
      <c r="P2523" s="92"/>
    </row>
    <row r="2524" spans="1:19" x14ac:dyDescent="0.25">
      <c r="A2524" s="42">
        <v>11</v>
      </c>
      <c r="B2524" s="43">
        <v>437454.10856199998</v>
      </c>
      <c r="C2524" s="43">
        <v>5688393.3324180003</v>
      </c>
      <c r="D2524" s="44">
        <v>30</v>
      </c>
      <c r="E2524" s="44" t="s">
        <v>36</v>
      </c>
      <c r="F2524" s="44">
        <v>2019</v>
      </c>
      <c r="G2524" s="44" t="s">
        <v>18</v>
      </c>
      <c r="H2524" s="44" t="s">
        <v>18</v>
      </c>
      <c r="I2524" s="44" t="s">
        <v>18</v>
      </c>
      <c r="J2524" s="44" t="s">
        <v>18</v>
      </c>
      <c r="K2524" s="44" t="s">
        <v>18</v>
      </c>
      <c r="L2524" s="44" t="s">
        <v>18</v>
      </c>
      <c r="M2524" s="44" t="s">
        <v>18</v>
      </c>
      <c r="N2524" s="44" t="s">
        <v>18</v>
      </c>
      <c r="O2524" s="44" t="s">
        <v>18</v>
      </c>
      <c r="P2524" s="102" t="s">
        <v>109</v>
      </c>
    </row>
    <row r="2525" spans="1:19" x14ac:dyDescent="0.25">
      <c r="A2525" s="29">
        <v>12</v>
      </c>
      <c r="B2525" s="30">
        <v>437573.10856199998</v>
      </c>
      <c r="C2525" s="30">
        <v>5688393.3324180003</v>
      </c>
      <c r="D2525" s="30">
        <v>30</v>
      </c>
      <c r="E2525" s="30" t="s">
        <v>36</v>
      </c>
      <c r="F2525" s="46">
        <v>2019</v>
      </c>
      <c r="G2525" s="47">
        <v>3.4799999999999998E-2</v>
      </c>
      <c r="H2525" s="47">
        <f t="shared" si="240"/>
        <v>1.0991393463848552E-2</v>
      </c>
      <c r="I2525" s="47">
        <v>2.5999999999999999E-3</v>
      </c>
      <c r="J2525" s="47">
        <f t="shared" si="241"/>
        <v>7.1451250348911416E-4</v>
      </c>
      <c r="K2525" s="47">
        <v>1.6999999999999999E-3</v>
      </c>
      <c r="L2525" s="47">
        <f t="shared" si="242"/>
        <v>6.2747362084497008E-4</v>
      </c>
      <c r="M2525" s="47">
        <f t="shared" si="243"/>
        <v>1.0363919843003581E-2</v>
      </c>
      <c r="N2525" s="47">
        <v>0</v>
      </c>
      <c r="O2525" s="47">
        <f t="shared" si="244"/>
        <v>0</v>
      </c>
      <c r="P2525" s="92"/>
    </row>
    <row r="2526" spans="1:19" x14ac:dyDescent="0.25">
      <c r="A2526" s="29">
        <v>13</v>
      </c>
      <c r="B2526" s="30">
        <v>437692.10856199998</v>
      </c>
      <c r="C2526" s="30">
        <v>5688393.3324180003</v>
      </c>
      <c r="D2526" s="30">
        <v>30</v>
      </c>
      <c r="E2526" s="30" t="s">
        <v>36</v>
      </c>
      <c r="F2526" s="46">
        <v>2019</v>
      </c>
      <c r="G2526" s="47">
        <v>2.24E-2</v>
      </c>
      <c r="H2526" s="47">
        <f t="shared" si="240"/>
        <v>7.0749199307530907E-3</v>
      </c>
      <c r="I2526" s="47">
        <v>5.11E-2</v>
      </c>
      <c r="J2526" s="47">
        <f t="shared" si="241"/>
        <v>1.4042918818574513E-2</v>
      </c>
      <c r="K2526" s="47">
        <v>3.9799999999999995E-2</v>
      </c>
      <c r="L2526" s="47">
        <f t="shared" si="242"/>
        <v>1.4690264770370475E-2</v>
      </c>
      <c r="M2526" s="47">
        <f t="shared" si="243"/>
        <v>-7.6153448396173848E-3</v>
      </c>
      <c r="N2526" s="47">
        <v>5.4200000000000005E-2</v>
      </c>
      <c r="O2526" s="47">
        <f t="shared" si="244"/>
        <v>1.6451975514615465E-2</v>
      </c>
      <c r="P2526" s="92"/>
    </row>
    <row r="2527" spans="1:19" x14ac:dyDescent="0.25">
      <c r="A2527" s="32">
        <v>14</v>
      </c>
      <c r="B2527" s="33">
        <v>437811.10856199998</v>
      </c>
      <c r="C2527" s="33">
        <v>5688393.3324180003</v>
      </c>
      <c r="D2527" s="48">
        <v>30</v>
      </c>
      <c r="E2527" s="48" t="s">
        <v>36</v>
      </c>
      <c r="F2527" s="48">
        <v>2019</v>
      </c>
      <c r="G2527" s="48" t="s">
        <v>18</v>
      </c>
      <c r="H2527" s="48" t="s">
        <v>18</v>
      </c>
      <c r="I2527" s="48" t="s">
        <v>18</v>
      </c>
      <c r="J2527" s="48" t="s">
        <v>18</v>
      </c>
      <c r="K2527" s="48" t="s">
        <v>18</v>
      </c>
      <c r="L2527" s="48" t="s">
        <v>18</v>
      </c>
      <c r="M2527" s="48" t="s">
        <v>18</v>
      </c>
      <c r="N2527" s="48" t="s">
        <v>18</v>
      </c>
      <c r="O2527" s="48" t="s">
        <v>18</v>
      </c>
      <c r="P2527" s="103" t="s">
        <v>89</v>
      </c>
    </row>
    <row r="2528" spans="1:19" x14ac:dyDescent="0.25">
      <c r="A2528" s="29">
        <v>15</v>
      </c>
      <c r="B2528" s="30">
        <v>437930.10856199998</v>
      </c>
      <c r="C2528" s="30">
        <v>5688393.3324180003</v>
      </c>
      <c r="D2528" s="30">
        <v>30</v>
      </c>
      <c r="E2528" s="30" t="s">
        <v>36</v>
      </c>
      <c r="F2528" s="46">
        <v>2019</v>
      </c>
      <c r="G2528" s="46">
        <v>5.57E-2</v>
      </c>
      <c r="H2528" s="47">
        <f t="shared" si="240"/>
        <v>1.7592546434952998E-2</v>
      </c>
      <c r="I2528" s="46">
        <v>7.4999999999999997E-2</v>
      </c>
      <c r="J2528" s="47">
        <f t="shared" si="241"/>
        <v>2.0610937600647524E-2</v>
      </c>
      <c r="K2528" s="47">
        <v>1.2999999999999999E-2</v>
      </c>
      <c r="L2528" s="47">
        <f t="shared" si="242"/>
        <v>4.7983276888144775E-3</v>
      </c>
      <c r="M2528" s="47">
        <f t="shared" si="243"/>
        <v>1.279421874613852E-2</v>
      </c>
      <c r="N2528" s="47">
        <v>2.12E-2</v>
      </c>
      <c r="O2528" s="47">
        <f t="shared" si="244"/>
        <v>6.4350900536872301E-3</v>
      </c>
      <c r="P2528" s="92"/>
    </row>
    <row r="2529" spans="1:16" x14ac:dyDescent="0.25">
      <c r="A2529" s="29">
        <v>16</v>
      </c>
      <c r="B2529" s="30">
        <v>438049.10856199998</v>
      </c>
      <c r="C2529" s="30">
        <v>5688393.3324180003</v>
      </c>
      <c r="D2529" s="30">
        <v>30</v>
      </c>
      <c r="E2529" s="30" t="s">
        <v>36</v>
      </c>
      <c r="F2529" s="46">
        <v>2019</v>
      </c>
      <c r="G2529" s="46">
        <v>2.63E-2</v>
      </c>
      <c r="H2529" s="47">
        <f t="shared" si="240"/>
        <v>8.3067140258395664E-3</v>
      </c>
      <c r="I2529" s="46">
        <v>9.0900000000000009E-2</v>
      </c>
      <c r="J2529" s="47">
        <f t="shared" si="241"/>
        <v>2.4980456371984802E-2</v>
      </c>
      <c r="K2529" s="47">
        <v>3.3999999999999998E-3</v>
      </c>
      <c r="L2529" s="47">
        <f t="shared" si="242"/>
        <v>1.2549472416899402E-3</v>
      </c>
      <c r="M2529" s="47">
        <f t="shared" si="243"/>
        <v>7.0517667841496264E-3</v>
      </c>
      <c r="N2529" s="47">
        <v>1.9899999999999998E-2</v>
      </c>
      <c r="O2529" s="47">
        <f t="shared" si="244"/>
        <v>6.0404854749233896E-3</v>
      </c>
      <c r="P2529" s="92"/>
    </row>
    <row r="2530" spans="1:16" x14ac:dyDescent="0.25">
      <c r="A2530" s="29">
        <v>17</v>
      </c>
      <c r="B2530" s="30">
        <v>438168.10856199998</v>
      </c>
      <c r="C2530" s="30">
        <v>5688393.3324180003</v>
      </c>
      <c r="D2530" s="30">
        <v>30</v>
      </c>
      <c r="E2530" s="30" t="s">
        <v>36</v>
      </c>
      <c r="F2530" s="46">
        <v>2019</v>
      </c>
      <c r="G2530" s="47">
        <v>3.6999999999999998E-2</v>
      </c>
      <c r="H2530" s="47">
        <f t="shared" si="240"/>
        <v>1.168625167133323E-2</v>
      </c>
      <c r="I2530" s="47">
        <v>6.1200000000000004E-2</v>
      </c>
      <c r="J2530" s="47">
        <f t="shared" si="241"/>
        <v>1.6818525082128381E-2</v>
      </c>
      <c r="K2530" s="47">
        <v>5.1999999999999998E-3</v>
      </c>
      <c r="L2530" s="47">
        <f t="shared" si="242"/>
        <v>1.9193310755257909E-3</v>
      </c>
      <c r="M2530" s="47">
        <f t="shared" si="243"/>
        <v>9.76692059580744E-3</v>
      </c>
      <c r="N2530" s="47">
        <v>6.9999999999999999E-4</v>
      </c>
      <c r="O2530" s="47">
        <f t="shared" si="244"/>
        <v>2.1247938856514437E-4</v>
      </c>
      <c r="P2530" s="92"/>
    </row>
    <row r="2531" spans="1:16" x14ac:dyDescent="0.25">
      <c r="A2531" s="29">
        <v>18</v>
      </c>
      <c r="B2531" s="30">
        <v>438287.10856199998</v>
      </c>
      <c r="C2531" s="30">
        <v>5688393.3324180003</v>
      </c>
      <c r="D2531" s="30">
        <v>30</v>
      </c>
      <c r="E2531" s="30" t="s">
        <v>36</v>
      </c>
      <c r="F2531" s="46">
        <v>2019</v>
      </c>
      <c r="G2531" s="47">
        <v>4.6799999999999994E-2</v>
      </c>
      <c r="H2531" s="47">
        <f t="shared" si="240"/>
        <v>1.4781529141037706E-2</v>
      </c>
      <c r="I2531" s="47">
        <v>0</v>
      </c>
      <c r="J2531" s="47">
        <f t="shared" si="241"/>
        <v>0</v>
      </c>
      <c r="K2531" s="47">
        <v>7.1999999999999998E-3</v>
      </c>
      <c r="L2531" s="47">
        <f t="shared" si="242"/>
        <v>2.6575353353434032E-3</v>
      </c>
      <c r="M2531" s="47">
        <f t="shared" si="243"/>
        <v>1.2123993805694303E-2</v>
      </c>
      <c r="N2531" s="47">
        <v>2.2000000000000001E-3</v>
      </c>
      <c r="O2531" s="47">
        <f t="shared" si="244"/>
        <v>6.6779236406188237E-4</v>
      </c>
      <c r="P2531" s="92"/>
    </row>
    <row r="2532" spans="1:16" x14ac:dyDescent="0.25">
      <c r="A2532" s="29">
        <v>19</v>
      </c>
      <c r="B2532" s="30">
        <v>438406.10856199998</v>
      </c>
      <c r="C2532" s="30">
        <v>5688393.3324180003</v>
      </c>
      <c r="D2532" s="30">
        <v>30</v>
      </c>
      <c r="E2532" s="30" t="s">
        <v>36</v>
      </c>
      <c r="F2532" s="46">
        <v>2019</v>
      </c>
      <c r="G2532" s="47">
        <v>9.2099999999999987E-2</v>
      </c>
      <c r="H2532" s="47">
        <f t="shared" si="240"/>
        <v>2.9089291322426769E-2</v>
      </c>
      <c r="I2532" s="47">
        <v>0</v>
      </c>
      <c r="J2532" s="47">
        <f t="shared" si="241"/>
        <v>0</v>
      </c>
      <c r="K2532" s="47">
        <v>2.58E-2</v>
      </c>
      <c r="L2532" s="47">
        <f t="shared" si="242"/>
        <v>9.5228349516471942E-3</v>
      </c>
      <c r="M2532" s="47">
        <f t="shared" si="243"/>
        <v>1.9566456370779577E-2</v>
      </c>
      <c r="N2532" s="47">
        <v>0</v>
      </c>
      <c r="O2532" s="47">
        <f t="shared" si="244"/>
        <v>0</v>
      </c>
      <c r="P2532" s="92"/>
    </row>
    <row r="2533" spans="1:16" x14ac:dyDescent="0.25">
      <c r="A2533" s="42">
        <v>20</v>
      </c>
      <c r="B2533" s="43">
        <v>437335.10856199998</v>
      </c>
      <c r="C2533" s="43">
        <v>5688512.3324180003</v>
      </c>
      <c r="D2533" s="44">
        <v>30</v>
      </c>
      <c r="E2533" s="44" t="s">
        <v>36</v>
      </c>
      <c r="F2533" s="44">
        <v>2019</v>
      </c>
      <c r="G2533" s="44" t="s">
        <v>18</v>
      </c>
      <c r="H2533" s="44" t="s">
        <v>18</v>
      </c>
      <c r="I2533" s="44" t="s">
        <v>18</v>
      </c>
      <c r="J2533" s="44" t="s">
        <v>18</v>
      </c>
      <c r="K2533" s="44" t="s">
        <v>18</v>
      </c>
      <c r="L2533" s="44" t="s">
        <v>18</v>
      </c>
      <c r="M2533" s="44" t="s">
        <v>18</v>
      </c>
      <c r="N2533" s="44" t="s">
        <v>18</v>
      </c>
      <c r="O2533" s="44" t="s">
        <v>18</v>
      </c>
      <c r="P2533" s="102" t="s">
        <v>109</v>
      </c>
    </row>
    <row r="2534" spans="1:16" x14ac:dyDescent="0.25">
      <c r="A2534" s="29">
        <v>21</v>
      </c>
      <c r="B2534" s="30">
        <v>437454.10856199998</v>
      </c>
      <c r="C2534" s="30">
        <v>5688512.3324180003</v>
      </c>
      <c r="D2534" s="30">
        <v>30</v>
      </c>
      <c r="E2534" s="30" t="s">
        <v>36</v>
      </c>
      <c r="F2534" s="46">
        <v>2019</v>
      </c>
      <c r="G2534" s="47">
        <v>6.3299999999999995E-2</v>
      </c>
      <c r="H2534" s="47">
        <f t="shared" si="240"/>
        <v>1.9992965697172797E-2</v>
      </c>
      <c r="I2534" s="47">
        <v>0</v>
      </c>
      <c r="J2534" s="47">
        <f t="shared" si="241"/>
        <v>0</v>
      </c>
      <c r="K2534" s="47">
        <v>1.1599999999999999E-2</v>
      </c>
      <c r="L2534" s="47">
        <f t="shared" si="242"/>
        <v>4.2815847069421487E-3</v>
      </c>
      <c r="M2534" s="47">
        <f t="shared" si="243"/>
        <v>1.5711380990230648E-2</v>
      </c>
      <c r="N2534" s="47">
        <v>0</v>
      </c>
      <c r="O2534" s="47">
        <f t="shared" si="244"/>
        <v>0</v>
      </c>
      <c r="P2534" s="92"/>
    </row>
    <row r="2535" spans="1:16" x14ac:dyDescent="0.25">
      <c r="A2535" s="29">
        <v>22</v>
      </c>
      <c r="B2535" s="30">
        <v>437573.10856199998</v>
      </c>
      <c r="C2535" s="30">
        <v>5688512.3324180003</v>
      </c>
      <c r="D2535" s="30">
        <v>30</v>
      </c>
      <c r="E2535" s="30" t="s">
        <v>36</v>
      </c>
      <c r="F2535" s="46">
        <v>2019</v>
      </c>
      <c r="G2535" s="47">
        <v>8.7999999999999995E-2</v>
      </c>
      <c r="H2535" s="47">
        <f t="shared" si="240"/>
        <v>2.779432829938714E-2</v>
      </c>
      <c r="I2535" s="47">
        <v>0.16819999999999999</v>
      </c>
      <c r="J2535" s="47">
        <f t="shared" si="241"/>
        <v>4.6223462725718846E-2</v>
      </c>
      <c r="K2535" s="47">
        <v>3.7600000000000001E-2</v>
      </c>
      <c r="L2535" s="47">
        <f t="shared" si="242"/>
        <v>1.3878240084571105E-2</v>
      </c>
      <c r="M2535" s="47">
        <f t="shared" si="243"/>
        <v>1.3916088214816035E-2</v>
      </c>
      <c r="N2535" s="47">
        <v>0.10249999999999999</v>
      </c>
      <c r="O2535" s="47">
        <f t="shared" si="244"/>
        <v>3.1113053325610426E-2</v>
      </c>
      <c r="P2535" s="92"/>
    </row>
    <row r="2536" spans="1:16" x14ac:dyDescent="0.25">
      <c r="A2536" s="29">
        <v>23</v>
      </c>
      <c r="B2536" s="30">
        <v>437692.10856199998</v>
      </c>
      <c r="C2536" s="30">
        <v>5688512.3324180003</v>
      </c>
      <c r="D2536" s="30">
        <v>30</v>
      </c>
      <c r="E2536" s="30" t="s">
        <v>36</v>
      </c>
      <c r="F2536" s="46">
        <v>2019</v>
      </c>
      <c r="G2536" s="46">
        <v>5.7999999999999996E-3</v>
      </c>
      <c r="H2536" s="47">
        <f t="shared" si="240"/>
        <v>1.8318989106414253E-3</v>
      </c>
      <c r="I2536" s="47">
        <v>0</v>
      </c>
      <c r="J2536" s="47">
        <f t="shared" si="241"/>
        <v>0</v>
      </c>
      <c r="K2536" s="47">
        <v>1.41E-2</v>
      </c>
      <c r="L2536" s="47">
        <f t="shared" si="242"/>
        <v>5.2043400317141643E-3</v>
      </c>
      <c r="M2536" s="47">
        <f>H2536-L2536</f>
        <v>-3.372441121072739E-3</v>
      </c>
      <c r="N2536" s="47">
        <v>0</v>
      </c>
      <c r="O2536" s="47">
        <f t="shared" si="244"/>
        <v>0</v>
      </c>
      <c r="P2536" s="92"/>
    </row>
    <row r="2537" spans="1:16" x14ac:dyDescent="0.25">
      <c r="A2537" s="29">
        <v>24</v>
      </c>
      <c r="B2537" s="30">
        <v>437811.10856199998</v>
      </c>
      <c r="C2537" s="30">
        <v>5688512.3324180003</v>
      </c>
      <c r="D2537" s="30">
        <v>30</v>
      </c>
      <c r="E2537" s="30" t="s">
        <v>36</v>
      </c>
      <c r="F2537" s="46">
        <v>2019</v>
      </c>
      <c r="G2537" s="47">
        <v>7.6799999999999993E-2</v>
      </c>
      <c r="H2537" s="47">
        <f t="shared" si="240"/>
        <v>2.4256868334010594E-2</v>
      </c>
      <c r="I2537" s="47">
        <v>6.9400000000000003E-2</v>
      </c>
      <c r="J2537" s="47">
        <f t="shared" si="241"/>
        <v>1.907198759313251E-2</v>
      </c>
      <c r="K2537" s="47">
        <v>3.5900000000000001E-2</v>
      </c>
      <c r="L2537" s="47">
        <f t="shared" si="242"/>
        <v>1.3250766463726135E-2</v>
      </c>
      <c r="M2537" s="47">
        <f t="shared" si="243"/>
        <v>1.100610187028446E-2</v>
      </c>
      <c r="N2537" s="47">
        <v>2.8999999999999998E-3</v>
      </c>
      <c r="O2537" s="47">
        <f t="shared" si="244"/>
        <v>8.8027175262702663E-4</v>
      </c>
      <c r="P2537" s="92"/>
    </row>
    <row r="2538" spans="1:16" x14ac:dyDescent="0.25">
      <c r="A2538" s="29">
        <v>25</v>
      </c>
      <c r="B2538" s="46">
        <v>437995</v>
      </c>
      <c r="C2538" s="46">
        <v>5688493</v>
      </c>
      <c r="D2538" s="30">
        <v>30</v>
      </c>
      <c r="E2538" s="30" t="s">
        <v>36</v>
      </c>
      <c r="F2538" s="46">
        <v>2019</v>
      </c>
      <c r="G2538" s="47">
        <v>0.1027</v>
      </c>
      <c r="H2538" s="47">
        <f t="shared" si="240"/>
        <v>3.2437244503943856E-2</v>
      </c>
      <c r="I2538" s="47">
        <v>0</v>
      </c>
      <c r="J2538" s="47">
        <f t="shared" si="241"/>
        <v>0</v>
      </c>
      <c r="K2538" s="47">
        <v>6.4999999999999997E-3</v>
      </c>
      <c r="L2538" s="47">
        <f t="shared" si="242"/>
        <v>2.3991638444072387E-3</v>
      </c>
      <c r="M2538" s="47">
        <f t="shared" si="243"/>
        <v>3.0038080659536618E-2</v>
      </c>
      <c r="N2538" s="47">
        <v>0</v>
      </c>
      <c r="O2538" s="47">
        <f t="shared" si="244"/>
        <v>0</v>
      </c>
      <c r="P2538" s="92"/>
    </row>
    <row r="2539" spans="1:16" x14ac:dyDescent="0.25">
      <c r="A2539" s="29">
        <v>26</v>
      </c>
      <c r="B2539" s="46">
        <v>438112</v>
      </c>
      <c r="C2539" s="46">
        <v>5688567</v>
      </c>
      <c r="D2539" s="30">
        <v>30</v>
      </c>
      <c r="E2539" s="30" t="s">
        <v>36</v>
      </c>
      <c r="F2539" s="46">
        <v>2019</v>
      </c>
      <c r="G2539" s="47">
        <v>0.1477</v>
      </c>
      <c r="H2539" s="47">
        <f t="shared" si="240"/>
        <v>4.6650253293403193E-2</v>
      </c>
      <c r="I2539" s="47">
        <v>7.4999999999999997E-3</v>
      </c>
      <c r="J2539" s="47">
        <f t="shared" si="241"/>
        <v>2.0610937600647524E-3</v>
      </c>
      <c r="K2539" s="47">
        <v>6.0000000000000001E-3</v>
      </c>
      <c r="L2539" s="47">
        <f t="shared" si="242"/>
        <v>2.214612779452836E-3</v>
      </c>
      <c r="M2539" s="47">
        <f t="shared" si="243"/>
        <v>4.443564051395036E-2</v>
      </c>
      <c r="N2539" s="47">
        <v>2.2000000000000001E-3</v>
      </c>
      <c r="O2539" s="47">
        <f t="shared" si="244"/>
        <v>6.6779236406188237E-4</v>
      </c>
      <c r="P2539" s="92"/>
    </row>
    <row r="2540" spans="1:16" x14ac:dyDescent="0.25">
      <c r="A2540" s="32">
        <v>27</v>
      </c>
      <c r="B2540" s="33">
        <v>438168.10856199998</v>
      </c>
      <c r="C2540" s="33">
        <v>5688512.3324180003</v>
      </c>
      <c r="D2540" s="48">
        <v>30</v>
      </c>
      <c r="E2540" s="48" t="s">
        <v>36</v>
      </c>
      <c r="F2540" s="48">
        <v>2019</v>
      </c>
      <c r="G2540" s="48" t="s">
        <v>18</v>
      </c>
      <c r="H2540" s="48" t="s">
        <v>18</v>
      </c>
      <c r="I2540" s="48" t="s">
        <v>18</v>
      </c>
      <c r="J2540" s="48" t="s">
        <v>18</v>
      </c>
      <c r="K2540" s="48" t="s">
        <v>18</v>
      </c>
      <c r="L2540" s="48" t="s">
        <v>18</v>
      </c>
      <c r="M2540" s="48" t="s">
        <v>18</v>
      </c>
      <c r="N2540" s="48" t="s">
        <v>18</v>
      </c>
      <c r="O2540" s="48" t="s">
        <v>18</v>
      </c>
      <c r="P2540" s="103" t="s">
        <v>89</v>
      </c>
    </row>
    <row r="2541" spans="1:16" x14ac:dyDescent="0.25">
      <c r="A2541" s="32">
        <v>28</v>
      </c>
      <c r="B2541" s="33">
        <v>438287.10856199998</v>
      </c>
      <c r="C2541" s="33">
        <v>5688512.3324180003</v>
      </c>
      <c r="D2541" s="48">
        <v>30</v>
      </c>
      <c r="E2541" s="48" t="s">
        <v>36</v>
      </c>
      <c r="F2541" s="48">
        <v>2019</v>
      </c>
      <c r="G2541" s="48" t="s">
        <v>18</v>
      </c>
      <c r="H2541" s="48" t="s">
        <v>18</v>
      </c>
      <c r="I2541" s="48" t="s">
        <v>18</v>
      </c>
      <c r="J2541" s="48" t="s">
        <v>18</v>
      </c>
      <c r="K2541" s="48" t="s">
        <v>18</v>
      </c>
      <c r="L2541" s="48" t="s">
        <v>18</v>
      </c>
      <c r="M2541" s="48" t="s">
        <v>18</v>
      </c>
      <c r="N2541" s="48" t="s">
        <v>18</v>
      </c>
      <c r="O2541" s="48" t="s">
        <v>18</v>
      </c>
      <c r="P2541" s="103" t="s">
        <v>89</v>
      </c>
    </row>
    <row r="2542" spans="1:16" x14ac:dyDescent="0.25">
      <c r="A2542" s="29">
        <v>29</v>
      </c>
      <c r="B2542" s="30">
        <v>438381</v>
      </c>
      <c r="C2542" s="30">
        <v>5688526</v>
      </c>
      <c r="D2542" s="30">
        <v>30</v>
      </c>
      <c r="E2542" s="30" t="s">
        <v>36</v>
      </c>
      <c r="F2542" s="46">
        <v>2019</v>
      </c>
      <c r="G2542" s="47">
        <v>9.3599999999999989E-2</v>
      </c>
      <c r="H2542" s="47">
        <f t="shared" si="240"/>
        <v>2.9563058282075411E-2</v>
      </c>
      <c r="I2542" s="47">
        <v>0</v>
      </c>
      <c r="J2542" s="47">
        <f t="shared" si="241"/>
        <v>0</v>
      </c>
      <c r="K2542" s="47">
        <v>6.7999999999999996E-3</v>
      </c>
      <c r="L2542" s="47">
        <f t="shared" si="242"/>
        <v>2.5098944833798803E-3</v>
      </c>
      <c r="M2542" s="47">
        <f t="shared" si="243"/>
        <v>2.7053163798695531E-2</v>
      </c>
      <c r="N2542" s="47">
        <v>0</v>
      </c>
      <c r="O2542" s="47">
        <f t="shared" si="244"/>
        <v>0</v>
      </c>
      <c r="P2542" s="92"/>
    </row>
    <row r="2543" spans="1:16" x14ac:dyDescent="0.25">
      <c r="A2543" s="29">
        <v>30</v>
      </c>
      <c r="B2543" s="30">
        <v>438525.10856199998</v>
      </c>
      <c r="C2543" s="30">
        <v>5688512.3324180003</v>
      </c>
      <c r="D2543" s="30">
        <v>30</v>
      </c>
      <c r="E2543" s="30" t="s">
        <v>36</v>
      </c>
      <c r="F2543" s="46">
        <v>2019</v>
      </c>
      <c r="G2543" s="47">
        <v>2.7699999999999999E-2</v>
      </c>
      <c r="H2543" s="47">
        <f t="shared" si="240"/>
        <v>8.748896521511635E-3</v>
      </c>
      <c r="I2543" s="47">
        <v>0</v>
      </c>
      <c r="J2543" s="47">
        <f t="shared" si="241"/>
        <v>0</v>
      </c>
      <c r="K2543" s="47">
        <v>0.02</v>
      </c>
      <c r="L2543" s="47">
        <f t="shared" si="242"/>
        <v>7.3820425981761199E-3</v>
      </c>
      <c r="M2543" s="47">
        <f t="shared" si="243"/>
        <v>1.3668539233355152E-3</v>
      </c>
      <c r="N2543" s="47">
        <v>0</v>
      </c>
      <c r="O2543" s="47">
        <f t="shared" si="244"/>
        <v>0</v>
      </c>
      <c r="P2543" s="92"/>
    </row>
    <row r="2544" spans="1:16" x14ac:dyDescent="0.25">
      <c r="A2544" s="29">
        <v>31</v>
      </c>
      <c r="B2544" s="30">
        <v>437335.10856199998</v>
      </c>
      <c r="C2544" s="30">
        <v>5688631.3324180003</v>
      </c>
      <c r="D2544" s="30">
        <v>30</v>
      </c>
      <c r="E2544" s="30" t="s">
        <v>36</v>
      </c>
      <c r="F2544" s="46">
        <v>2019</v>
      </c>
      <c r="G2544" s="47">
        <v>0.1643</v>
      </c>
      <c r="H2544" s="47">
        <f t="shared" si="240"/>
        <v>5.1893274313514863E-2</v>
      </c>
      <c r="I2544" s="47">
        <v>0</v>
      </c>
      <c r="J2544" s="47">
        <f t="shared" si="241"/>
        <v>0</v>
      </c>
      <c r="K2544" s="5">
        <v>1.03E-2</v>
      </c>
      <c r="L2544" s="47">
        <f t="shared" si="242"/>
        <v>3.8017519380607015E-3</v>
      </c>
      <c r="M2544" s="47">
        <f t="shared" si="243"/>
        <v>4.8091522375454158E-2</v>
      </c>
      <c r="N2544" s="47">
        <v>0</v>
      </c>
      <c r="O2544" s="47">
        <f t="shared" si="244"/>
        <v>0</v>
      </c>
      <c r="P2544" s="92"/>
    </row>
    <row r="2545" spans="1:16" x14ac:dyDescent="0.25">
      <c r="A2545" s="29">
        <v>32</v>
      </c>
      <c r="B2545" s="30">
        <v>437454.10856199998</v>
      </c>
      <c r="C2545" s="30">
        <v>5688631.3324180003</v>
      </c>
      <c r="D2545" s="30">
        <v>30</v>
      </c>
      <c r="E2545" s="30" t="s">
        <v>36</v>
      </c>
      <c r="F2545" s="46">
        <v>2019</v>
      </c>
      <c r="G2545" s="47">
        <v>2.3800000000000002E-2</v>
      </c>
      <c r="H2545" s="47">
        <f t="shared" si="240"/>
        <v>7.5171024264251594E-3</v>
      </c>
      <c r="I2545" s="47">
        <v>4.2000000000000006E-3</v>
      </c>
      <c r="J2545" s="47">
        <f t="shared" si="241"/>
        <v>1.1542125056362615E-3</v>
      </c>
      <c r="K2545" s="47">
        <v>5.9000000000000007E-3</v>
      </c>
      <c r="L2545" s="47">
        <f t="shared" si="242"/>
        <v>2.1777025664619556E-3</v>
      </c>
      <c r="M2545" s="47">
        <f t="shared" si="243"/>
        <v>5.3393998599632038E-3</v>
      </c>
      <c r="N2545" s="47">
        <v>8.0000000000000004E-4</v>
      </c>
      <c r="O2545" s="47">
        <f t="shared" si="244"/>
        <v>2.428335869315936E-4</v>
      </c>
      <c r="P2545" s="92"/>
    </row>
    <row r="2546" spans="1:16" x14ac:dyDescent="0.25">
      <c r="A2546" s="29">
        <v>33</v>
      </c>
      <c r="B2546" s="30">
        <v>437573.10856199998</v>
      </c>
      <c r="C2546" s="30">
        <v>5688631.3324180003</v>
      </c>
      <c r="D2546" s="30">
        <v>30</v>
      </c>
      <c r="E2546" s="30" t="s">
        <v>36</v>
      </c>
      <c r="F2546" s="46">
        <v>2019</v>
      </c>
      <c r="G2546" s="47">
        <v>0.15869999999999998</v>
      </c>
      <c r="H2546" s="47">
        <f t="shared" si="240"/>
        <v>5.0124544330826581E-2</v>
      </c>
      <c r="I2546" s="47">
        <v>0</v>
      </c>
      <c r="J2546" s="47">
        <f t="shared" si="241"/>
        <v>0</v>
      </c>
      <c r="K2546" s="47">
        <v>8.9999999999999993E-3</v>
      </c>
      <c r="L2546" s="47">
        <f t="shared" si="242"/>
        <v>3.3219191691792535E-3</v>
      </c>
      <c r="M2546" s="47">
        <f t="shared" si="243"/>
        <v>4.6802625161647328E-2</v>
      </c>
      <c r="N2546" s="47">
        <v>0</v>
      </c>
      <c r="O2546" s="47">
        <f t="shared" si="244"/>
        <v>0</v>
      </c>
      <c r="P2546" s="92"/>
    </row>
    <row r="2547" spans="1:16" x14ac:dyDescent="0.25">
      <c r="A2547" s="29">
        <v>34</v>
      </c>
      <c r="B2547" s="30">
        <v>437692.10856199998</v>
      </c>
      <c r="C2547" s="30">
        <v>5688631.3324180003</v>
      </c>
      <c r="D2547" s="30">
        <v>30</v>
      </c>
      <c r="E2547" s="30" t="s">
        <v>36</v>
      </c>
      <c r="F2547" s="46">
        <v>2019</v>
      </c>
      <c r="G2547" s="47">
        <v>6.8099999999999994E-2</v>
      </c>
      <c r="H2547" s="47">
        <f t="shared" si="240"/>
        <v>2.1509019968048458E-2</v>
      </c>
      <c r="I2547" s="47">
        <v>0</v>
      </c>
      <c r="J2547" s="47">
        <f t="shared" si="241"/>
        <v>0</v>
      </c>
      <c r="K2547" s="47">
        <v>2.3E-3</v>
      </c>
      <c r="L2547" s="47">
        <f t="shared" si="242"/>
        <v>8.4893489879025368E-4</v>
      </c>
      <c r="M2547" s="47">
        <f t="shared" si="243"/>
        <v>2.0660085069258205E-2</v>
      </c>
      <c r="N2547" s="47">
        <v>0</v>
      </c>
      <c r="O2547" s="47">
        <f t="shared" si="244"/>
        <v>0</v>
      </c>
      <c r="P2547" s="92"/>
    </row>
    <row r="2548" spans="1:16" x14ac:dyDescent="0.25">
      <c r="A2548" s="29">
        <v>35</v>
      </c>
      <c r="B2548" s="30">
        <v>437893</v>
      </c>
      <c r="C2548" s="30">
        <v>5688620</v>
      </c>
      <c r="D2548" s="30">
        <v>30</v>
      </c>
      <c r="E2548" s="30" t="s">
        <v>36</v>
      </c>
      <c r="F2548" s="46">
        <v>2019</v>
      </c>
      <c r="G2548" s="47">
        <v>5.1700000000000003E-2</v>
      </c>
      <c r="H2548" s="47">
        <f t="shared" si="240"/>
        <v>1.6329167875889946E-2</v>
      </c>
      <c r="I2548" s="47">
        <v>0</v>
      </c>
      <c r="J2548" s="47">
        <f t="shared" si="241"/>
        <v>0</v>
      </c>
      <c r="K2548" s="47">
        <v>3.3999999999999998E-3</v>
      </c>
      <c r="L2548" s="47">
        <f t="shared" si="242"/>
        <v>1.2549472416899402E-3</v>
      </c>
      <c r="M2548" s="47">
        <f t="shared" si="243"/>
        <v>1.5074220634200006E-2</v>
      </c>
      <c r="N2548" s="47">
        <v>0</v>
      </c>
      <c r="O2548" s="47">
        <f t="shared" si="244"/>
        <v>0</v>
      </c>
      <c r="P2548" s="92"/>
    </row>
    <row r="2549" spans="1:16" x14ac:dyDescent="0.25">
      <c r="A2549" s="29">
        <v>36</v>
      </c>
      <c r="B2549" s="30">
        <v>437930.10856199998</v>
      </c>
      <c r="C2549" s="30">
        <v>5688631.3324180003</v>
      </c>
      <c r="D2549" s="30">
        <v>30</v>
      </c>
      <c r="E2549" s="30" t="s">
        <v>36</v>
      </c>
      <c r="F2549" s="46">
        <v>2019</v>
      </c>
      <c r="G2549" s="46">
        <v>0.12720000000000001</v>
      </c>
      <c r="H2549" s="47">
        <f t="shared" si="240"/>
        <v>4.0175438178205056E-2</v>
      </c>
      <c r="I2549" s="47">
        <v>0</v>
      </c>
      <c r="J2549" s="47">
        <f t="shared" si="241"/>
        <v>0</v>
      </c>
      <c r="K2549" s="47">
        <v>1.3599999999999999E-2</v>
      </c>
      <c r="L2549" s="47">
        <f t="shared" si="242"/>
        <v>5.0197889667597606E-3</v>
      </c>
      <c r="M2549" s="47">
        <f t="shared" si="243"/>
        <v>3.5155649211445296E-2</v>
      </c>
      <c r="N2549" s="47">
        <v>0</v>
      </c>
      <c r="O2549" s="47">
        <f t="shared" si="244"/>
        <v>0</v>
      </c>
      <c r="P2549" s="92"/>
    </row>
    <row r="2550" spans="1:16" x14ac:dyDescent="0.25">
      <c r="A2550" s="32">
        <v>37</v>
      </c>
      <c r="B2550" s="33">
        <v>438049.10856199998</v>
      </c>
      <c r="C2550" s="33">
        <v>5688631.3324180003</v>
      </c>
      <c r="D2550" s="48">
        <v>30</v>
      </c>
      <c r="E2550" s="48" t="s">
        <v>36</v>
      </c>
      <c r="F2550" s="48">
        <v>2019</v>
      </c>
      <c r="G2550" s="48" t="s">
        <v>18</v>
      </c>
      <c r="H2550" s="48" t="s">
        <v>18</v>
      </c>
      <c r="I2550" s="48" t="s">
        <v>18</v>
      </c>
      <c r="J2550" s="48" t="s">
        <v>18</v>
      </c>
      <c r="K2550" s="48" t="s">
        <v>18</v>
      </c>
      <c r="L2550" s="48" t="s">
        <v>18</v>
      </c>
      <c r="M2550" s="48" t="s">
        <v>18</v>
      </c>
      <c r="N2550" s="48" t="s">
        <v>18</v>
      </c>
      <c r="O2550" s="48" t="s">
        <v>18</v>
      </c>
      <c r="P2550" s="103" t="s">
        <v>89</v>
      </c>
    </row>
    <row r="2551" spans="1:16" x14ac:dyDescent="0.25">
      <c r="A2551" s="29">
        <v>38</v>
      </c>
      <c r="B2551" s="30">
        <v>438067</v>
      </c>
      <c r="C2551" s="30">
        <v>5688710</v>
      </c>
      <c r="D2551" s="30">
        <v>29</v>
      </c>
      <c r="E2551" s="30" t="s">
        <v>36</v>
      </c>
      <c r="F2551" s="46">
        <v>2019</v>
      </c>
      <c r="G2551" s="54">
        <v>0.1041</v>
      </c>
      <c r="H2551" s="47">
        <f t="shared" ref="H2551:H2573" si="245">G2551*0.313831373938447</f>
        <v>3.2669846026992334E-2</v>
      </c>
      <c r="I2551" s="54">
        <v>0</v>
      </c>
      <c r="J2551" s="47">
        <f t="shared" ref="J2551:J2573" si="246">I2551*0.268983268983269</f>
        <v>0</v>
      </c>
      <c r="K2551" s="54">
        <v>4.7999999999999996E-3</v>
      </c>
      <c r="L2551" s="47">
        <f t="shared" ref="L2551:L2573" si="247">K2551*0.357158309472142</f>
        <v>1.7143598854662814E-3</v>
      </c>
      <c r="M2551" s="47">
        <f t="shared" si="243"/>
        <v>3.0955486141526052E-2</v>
      </c>
      <c r="N2551" s="47">
        <v>0</v>
      </c>
      <c r="O2551" s="47">
        <f t="shared" ref="O2551:O2573" si="248">N2551*0.300939715786545</f>
        <v>0</v>
      </c>
      <c r="P2551" s="92"/>
    </row>
    <row r="2552" spans="1:16" x14ac:dyDescent="0.25">
      <c r="A2552" s="32">
        <v>39</v>
      </c>
      <c r="B2552" s="33">
        <v>438287.10856199998</v>
      </c>
      <c r="C2552" s="33">
        <v>5688631.3324180003</v>
      </c>
      <c r="D2552" s="48">
        <v>30</v>
      </c>
      <c r="E2552" s="48" t="s">
        <v>36</v>
      </c>
      <c r="F2552" s="48">
        <v>2019</v>
      </c>
      <c r="G2552" s="48" t="s">
        <v>18</v>
      </c>
      <c r="H2552" s="48" t="s">
        <v>18</v>
      </c>
      <c r="I2552" s="48" t="s">
        <v>18</v>
      </c>
      <c r="J2552" s="48" t="s">
        <v>18</v>
      </c>
      <c r="K2552" s="48" t="s">
        <v>18</v>
      </c>
      <c r="L2552" s="48" t="s">
        <v>18</v>
      </c>
      <c r="M2552" s="48" t="s">
        <v>18</v>
      </c>
      <c r="N2552" s="48" t="s">
        <v>18</v>
      </c>
      <c r="O2552" s="48" t="s">
        <v>18</v>
      </c>
      <c r="P2552" s="94" t="s">
        <v>22</v>
      </c>
    </row>
    <row r="2553" spans="1:16" x14ac:dyDescent="0.25">
      <c r="A2553" s="29">
        <v>40</v>
      </c>
      <c r="B2553" s="30">
        <v>438406.10856199998</v>
      </c>
      <c r="C2553" s="30">
        <v>5688631.3324180003</v>
      </c>
      <c r="D2553" s="30">
        <v>30</v>
      </c>
      <c r="E2553" s="30" t="s">
        <v>36</v>
      </c>
      <c r="F2553" s="46">
        <v>2019</v>
      </c>
      <c r="G2553" s="47">
        <v>1.4199999999999999E-2</v>
      </c>
      <c r="H2553" s="47">
        <f t="shared" si="240"/>
        <v>4.4849938846738338E-3</v>
      </c>
      <c r="I2553" s="47">
        <v>0</v>
      </c>
      <c r="J2553" s="47">
        <f t="shared" si="241"/>
        <v>0</v>
      </c>
      <c r="K2553" s="47">
        <v>1.52E-2</v>
      </c>
      <c r="L2553" s="47">
        <f t="shared" ref="L2553:L2554" si="249">K2553*0.369102129908806</f>
        <v>5.6103523746138511E-3</v>
      </c>
      <c r="M2553" s="47">
        <f t="shared" si="243"/>
        <v>-1.1253584899400173E-3</v>
      </c>
      <c r="N2553" s="47">
        <v>0</v>
      </c>
      <c r="O2553" s="47">
        <f t="shared" si="244"/>
        <v>0</v>
      </c>
      <c r="P2553" s="92"/>
    </row>
    <row r="2554" spans="1:16" x14ac:dyDescent="0.25">
      <c r="A2554" s="29">
        <v>41</v>
      </c>
      <c r="B2554" s="30">
        <v>437310</v>
      </c>
      <c r="C2554" s="30">
        <v>5688729</v>
      </c>
      <c r="D2554" s="30">
        <v>30</v>
      </c>
      <c r="E2554" s="30" t="s">
        <v>36</v>
      </c>
      <c r="F2554" s="46">
        <v>2019</v>
      </c>
      <c r="G2554" s="47">
        <v>0.123</v>
      </c>
      <c r="H2554" s="47">
        <f t="shared" si="240"/>
        <v>3.8848890691188846E-2</v>
      </c>
      <c r="I2554" s="47">
        <v>3.8999999999999998E-3</v>
      </c>
      <c r="J2554" s="47">
        <f t="shared" si="241"/>
        <v>1.0717687552336712E-3</v>
      </c>
      <c r="K2554" s="47">
        <v>1E-4</v>
      </c>
      <c r="L2554" s="47">
        <f t="shared" si="249"/>
        <v>3.6910212990880599E-5</v>
      </c>
      <c r="M2554" s="47">
        <f t="shared" si="243"/>
        <v>3.8811980478197963E-2</v>
      </c>
      <c r="N2554" s="47">
        <v>0</v>
      </c>
      <c r="O2554" s="47">
        <f t="shared" si="244"/>
        <v>0</v>
      </c>
      <c r="P2554" s="92"/>
    </row>
    <row r="2555" spans="1:16" x14ac:dyDescent="0.25">
      <c r="A2555" s="29">
        <v>42</v>
      </c>
      <c r="B2555" s="30">
        <v>437454.10856199998</v>
      </c>
      <c r="C2555" s="30">
        <v>5688750.3324180003</v>
      </c>
      <c r="D2555" s="30">
        <v>29</v>
      </c>
      <c r="E2555" s="30" t="s">
        <v>36</v>
      </c>
      <c r="F2555" s="46">
        <v>2019</v>
      </c>
      <c r="G2555" s="54">
        <v>3.6899999999999995E-2</v>
      </c>
      <c r="H2555" s="47">
        <f t="shared" si="245"/>
        <v>1.1580377698328693E-2</v>
      </c>
      <c r="I2555" s="47">
        <v>4.7000000000000002E-3</v>
      </c>
      <c r="J2555" s="47">
        <f t="shared" si="246"/>
        <v>1.2642213642213645E-3</v>
      </c>
      <c r="K2555" s="47">
        <v>3.2000000000000002E-3</v>
      </c>
      <c r="L2555" s="47">
        <f t="shared" si="247"/>
        <v>1.1429065903108544E-3</v>
      </c>
      <c r="M2555" s="47">
        <f t="shared" si="243"/>
        <v>1.0437471108017838E-2</v>
      </c>
      <c r="N2555" s="47">
        <v>8.0000000000000004E-4</v>
      </c>
      <c r="O2555" s="47">
        <f t="shared" si="248"/>
        <v>2.4075177262923599E-4</v>
      </c>
      <c r="P2555" s="92"/>
    </row>
    <row r="2556" spans="1:16" x14ac:dyDescent="0.25">
      <c r="A2556" s="29">
        <v>43</v>
      </c>
      <c r="B2556" s="30">
        <v>437573.10856199998</v>
      </c>
      <c r="C2556" s="30">
        <v>5688750.3324180003</v>
      </c>
      <c r="D2556" s="30">
        <v>30</v>
      </c>
      <c r="E2556" s="30" t="s">
        <v>36</v>
      </c>
      <c r="F2556" s="46">
        <v>2019</v>
      </c>
      <c r="G2556" s="47">
        <v>2.1899999999999999E-2</v>
      </c>
      <c r="H2556" s="47">
        <f t="shared" si="240"/>
        <v>6.9169976108702097E-3</v>
      </c>
      <c r="I2556" s="47">
        <v>2.2000000000000001E-3</v>
      </c>
      <c r="J2556" s="47">
        <f t="shared" si="241"/>
        <v>6.0458750295232743E-4</v>
      </c>
      <c r="K2556" s="47">
        <v>4.0000000000000001E-3</v>
      </c>
      <c r="L2556" s="47">
        <f>K2556*0.369102129908806</f>
        <v>1.476408519635224E-3</v>
      </c>
      <c r="M2556" s="47">
        <f t="shared" si="243"/>
        <v>5.4405890912349857E-3</v>
      </c>
      <c r="N2556" s="47">
        <v>0</v>
      </c>
      <c r="O2556" s="47">
        <f t="shared" si="244"/>
        <v>0</v>
      </c>
      <c r="P2556" s="92"/>
    </row>
    <row r="2557" spans="1:16" x14ac:dyDescent="0.25">
      <c r="A2557" s="29">
        <v>44</v>
      </c>
      <c r="B2557" s="30">
        <v>437692.10856199998</v>
      </c>
      <c r="C2557" s="30">
        <v>5688750.3324180003</v>
      </c>
      <c r="D2557" s="30">
        <v>29</v>
      </c>
      <c r="E2557" s="30" t="s">
        <v>36</v>
      </c>
      <c r="F2557" s="46">
        <v>2019</v>
      </c>
      <c r="G2557" s="54">
        <v>3.1699999999999999E-2</v>
      </c>
      <c r="H2557" s="47">
        <f t="shared" si="245"/>
        <v>9.9484545538487696E-3</v>
      </c>
      <c r="I2557" s="47">
        <v>0</v>
      </c>
      <c r="J2557" s="47">
        <f t="shared" si="246"/>
        <v>0</v>
      </c>
      <c r="K2557" s="47">
        <v>1.3099999999999999E-2</v>
      </c>
      <c r="L2557" s="47">
        <f t="shared" si="247"/>
        <v>4.6787738540850594E-3</v>
      </c>
      <c r="M2557" s="47">
        <f t="shared" si="243"/>
        <v>5.2696806997637102E-3</v>
      </c>
      <c r="N2557" s="47">
        <v>0</v>
      </c>
      <c r="O2557" s="47">
        <f t="shared" si="248"/>
        <v>0</v>
      </c>
      <c r="P2557" s="92"/>
    </row>
    <row r="2558" spans="1:16" x14ac:dyDescent="0.25">
      <c r="A2558" s="29">
        <v>45</v>
      </c>
      <c r="B2558" s="30">
        <v>437811.10856199998</v>
      </c>
      <c r="C2558" s="30">
        <v>5688750.3324180003</v>
      </c>
      <c r="D2558" s="30">
        <v>29</v>
      </c>
      <c r="E2558" s="30" t="s">
        <v>36</v>
      </c>
      <c r="F2558" s="46">
        <v>2019</v>
      </c>
      <c r="G2558" s="47">
        <v>9.9500000000000005E-2</v>
      </c>
      <c r="H2558" s="47">
        <f t="shared" si="245"/>
        <v>3.122622170687548E-2</v>
      </c>
      <c r="I2558" s="47">
        <v>0</v>
      </c>
      <c r="J2558" s="47">
        <f t="shared" si="246"/>
        <v>0</v>
      </c>
      <c r="K2558" s="47">
        <v>3.2000000000000002E-3</v>
      </c>
      <c r="L2558" s="47">
        <f t="shared" si="247"/>
        <v>1.1429065903108544E-3</v>
      </c>
      <c r="M2558" s="47">
        <f t="shared" si="243"/>
        <v>3.0083315116564625E-2</v>
      </c>
      <c r="N2558" s="47">
        <v>1.2800000000000001E-2</v>
      </c>
      <c r="O2558" s="47">
        <f t="shared" si="248"/>
        <v>3.8520283620677759E-3</v>
      </c>
      <c r="P2558" s="92"/>
    </row>
    <row r="2559" spans="1:16" x14ac:dyDescent="0.25">
      <c r="A2559" s="65">
        <v>46</v>
      </c>
      <c r="B2559" s="66">
        <v>437930.10856199998</v>
      </c>
      <c r="C2559" s="66">
        <v>5688750.3324180003</v>
      </c>
      <c r="D2559" s="66">
        <v>30</v>
      </c>
      <c r="E2559" s="66" t="s">
        <v>36</v>
      </c>
      <c r="F2559" s="66">
        <v>2019</v>
      </c>
      <c r="G2559" s="66" t="s">
        <v>18</v>
      </c>
      <c r="H2559" s="66" t="s">
        <v>18</v>
      </c>
      <c r="I2559" s="66" t="s">
        <v>18</v>
      </c>
      <c r="J2559" s="66" t="s">
        <v>18</v>
      </c>
      <c r="K2559" s="66" t="s">
        <v>18</v>
      </c>
      <c r="L2559" s="66" t="s">
        <v>18</v>
      </c>
      <c r="M2559" s="66" t="s">
        <v>18</v>
      </c>
      <c r="N2559" s="66" t="s">
        <v>18</v>
      </c>
      <c r="O2559" s="66" t="s">
        <v>18</v>
      </c>
      <c r="P2559" s="105" t="s">
        <v>149</v>
      </c>
    </row>
    <row r="2560" spans="1:16" x14ac:dyDescent="0.25">
      <c r="A2560" s="29">
        <v>47</v>
      </c>
      <c r="B2560" s="30">
        <v>438061</v>
      </c>
      <c r="C2560" s="30">
        <v>5688779</v>
      </c>
      <c r="D2560" s="30">
        <v>29</v>
      </c>
      <c r="E2560" s="30" t="s">
        <v>36</v>
      </c>
      <c r="F2560" s="46">
        <v>2019</v>
      </c>
      <c r="G2560" s="47">
        <v>4.0600000000000004E-2</v>
      </c>
      <c r="H2560" s="47">
        <f t="shared" si="245"/>
        <v>1.2741553781900949E-2</v>
      </c>
      <c r="I2560" s="47">
        <v>0</v>
      </c>
      <c r="J2560" s="47">
        <f t="shared" si="246"/>
        <v>0</v>
      </c>
      <c r="K2560" s="47">
        <v>3.0300000000000001E-2</v>
      </c>
      <c r="L2560" s="47">
        <f t="shared" si="247"/>
        <v>1.0821896777005903E-2</v>
      </c>
      <c r="M2560" s="47">
        <f t="shared" si="243"/>
        <v>1.9196570048950461E-3</v>
      </c>
      <c r="N2560" s="47">
        <v>4.9000000000000007E-3</v>
      </c>
      <c r="O2560" s="47">
        <f t="shared" si="248"/>
        <v>1.4746046073540707E-3</v>
      </c>
      <c r="P2560" s="92"/>
    </row>
    <row r="2561" spans="1:19" x14ac:dyDescent="0.25">
      <c r="A2561" s="32">
        <v>48</v>
      </c>
      <c r="B2561" s="33">
        <v>438168.10856199998</v>
      </c>
      <c r="C2561" s="33">
        <v>5688750.3324180003</v>
      </c>
      <c r="D2561" s="48">
        <v>30</v>
      </c>
      <c r="E2561" s="48" t="s">
        <v>36</v>
      </c>
      <c r="F2561" s="48">
        <v>2019</v>
      </c>
      <c r="G2561" s="48" t="s">
        <v>18</v>
      </c>
      <c r="H2561" s="48" t="s">
        <v>18</v>
      </c>
      <c r="I2561" s="48" t="s">
        <v>18</v>
      </c>
      <c r="J2561" s="48" t="s">
        <v>18</v>
      </c>
      <c r="K2561" s="48" t="s">
        <v>18</v>
      </c>
      <c r="L2561" s="48" t="s">
        <v>18</v>
      </c>
      <c r="M2561" s="48" t="s">
        <v>18</v>
      </c>
      <c r="N2561" s="48" t="s">
        <v>18</v>
      </c>
      <c r="O2561" s="48" t="s">
        <v>18</v>
      </c>
      <c r="P2561" s="103" t="s">
        <v>89</v>
      </c>
    </row>
    <row r="2562" spans="1:19" x14ac:dyDescent="0.25">
      <c r="A2562" s="29">
        <v>49</v>
      </c>
      <c r="B2562" s="30">
        <v>437454.10856199998</v>
      </c>
      <c r="C2562" s="30">
        <v>5688869.3324180003</v>
      </c>
      <c r="D2562" s="30">
        <v>29</v>
      </c>
      <c r="E2562" s="30" t="s">
        <v>36</v>
      </c>
      <c r="F2562" s="46">
        <v>2019</v>
      </c>
      <c r="G2562" s="47">
        <v>6.5000000000000002E-2</v>
      </c>
      <c r="H2562" s="47">
        <f t="shared" si="245"/>
        <v>2.0399039305999057E-2</v>
      </c>
      <c r="I2562" s="47">
        <v>0</v>
      </c>
      <c r="J2562" s="47">
        <f t="shared" si="246"/>
        <v>0</v>
      </c>
      <c r="K2562" s="47">
        <v>3.7000000000000002E-3</v>
      </c>
      <c r="L2562" s="47">
        <f t="shared" si="247"/>
        <v>1.3214857450469255E-3</v>
      </c>
      <c r="M2562" s="47">
        <f t="shared" si="243"/>
        <v>1.9077553560952133E-2</v>
      </c>
      <c r="N2562" s="47">
        <v>0</v>
      </c>
      <c r="O2562" s="47">
        <f t="shared" si="248"/>
        <v>0</v>
      </c>
      <c r="P2562" s="92"/>
    </row>
    <row r="2563" spans="1:19" x14ac:dyDescent="0.25">
      <c r="A2563" s="29">
        <v>50</v>
      </c>
      <c r="B2563" s="30">
        <v>437811.10856199998</v>
      </c>
      <c r="C2563" s="30">
        <v>5688869.3324180003</v>
      </c>
      <c r="D2563" s="30">
        <v>29</v>
      </c>
      <c r="E2563" s="30" t="s">
        <v>36</v>
      </c>
      <c r="F2563" s="46">
        <v>2019</v>
      </c>
      <c r="G2563" s="47">
        <v>7.6599999999999988E-2</v>
      </c>
      <c r="H2563" s="47">
        <f t="shared" si="245"/>
        <v>2.4039483243685038E-2</v>
      </c>
      <c r="I2563" s="47">
        <v>0</v>
      </c>
      <c r="J2563" s="47">
        <f t="shared" si="246"/>
        <v>0</v>
      </c>
      <c r="K2563" s="47">
        <v>5.7000000000000002E-3</v>
      </c>
      <c r="L2563" s="47">
        <f t="shared" si="247"/>
        <v>2.0358023639912093E-3</v>
      </c>
      <c r="M2563" s="47">
        <f t="shared" si="243"/>
        <v>2.2003680879693829E-2</v>
      </c>
      <c r="N2563" s="47">
        <v>0</v>
      </c>
      <c r="O2563" s="47">
        <f t="shared" si="248"/>
        <v>0</v>
      </c>
      <c r="P2563" s="92"/>
    </row>
    <row r="2564" spans="1:19" x14ac:dyDescent="0.25">
      <c r="A2564" s="29">
        <v>51</v>
      </c>
      <c r="B2564" s="30">
        <v>437930.10856199998</v>
      </c>
      <c r="C2564" s="30">
        <v>5688869.3324180003</v>
      </c>
      <c r="D2564" s="30">
        <v>29</v>
      </c>
      <c r="E2564" s="30" t="s">
        <v>36</v>
      </c>
      <c r="F2564" s="46">
        <v>2019</v>
      </c>
      <c r="G2564" s="47">
        <v>1.2699999999999999E-2</v>
      </c>
      <c r="H2564" s="47">
        <f t="shared" si="245"/>
        <v>3.985658449018277E-3</v>
      </c>
      <c r="I2564" s="47">
        <v>3.6200000000000003E-2</v>
      </c>
      <c r="J2564" s="47">
        <f t="shared" si="246"/>
        <v>9.7371943371943395E-3</v>
      </c>
      <c r="K2564" s="47">
        <v>1.52E-2</v>
      </c>
      <c r="L2564" s="47">
        <f t="shared" si="247"/>
        <v>5.4288063039765588E-3</v>
      </c>
      <c r="M2564" s="47">
        <f t="shared" si="243"/>
        <v>-1.4431478549582818E-3</v>
      </c>
      <c r="N2564" s="47">
        <v>0</v>
      </c>
      <c r="O2564" s="47">
        <f t="shared" si="248"/>
        <v>0</v>
      </c>
      <c r="P2564" s="92"/>
    </row>
    <row r="2565" spans="1:19" x14ac:dyDescent="0.25">
      <c r="A2565" s="29">
        <v>52</v>
      </c>
      <c r="B2565" s="30">
        <v>438049.10856199998</v>
      </c>
      <c r="C2565" s="30">
        <v>5688869.3324180003</v>
      </c>
      <c r="D2565" s="30">
        <v>29</v>
      </c>
      <c r="E2565" s="30" t="s">
        <v>36</v>
      </c>
      <c r="F2565" s="46">
        <v>2019</v>
      </c>
      <c r="G2565" s="47">
        <v>3.8999999999999998E-3</v>
      </c>
      <c r="H2565" s="47">
        <f t="shared" si="245"/>
        <v>1.2239423583599433E-3</v>
      </c>
      <c r="I2565" s="47">
        <v>3.7999999999999999E-2</v>
      </c>
      <c r="J2565" s="47">
        <f t="shared" si="246"/>
        <v>1.0221364221364222E-2</v>
      </c>
      <c r="K2565" s="47">
        <v>1.6500000000000001E-2</v>
      </c>
      <c r="L2565" s="47">
        <f t="shared" si="247"/>
        <v>5.8931121062903435E-3</v>
      </c>
      <c r="M2565" s="47">
        <f t="shared" si="243"/>
        <v>-4.6691697479304007E-3</v>
      </c>
      <c r="N2565" s="47">
        <v>0.15909999999999999</v>
      </c>
      <c r="O2565" s="47">
        <f t="shared" si="248"/>
        <v>4.7879508781639303E-2</v>
      </c>
      <c r="P2565" s="92"/>
    </row>
    <row r="2566" spans="1:19" x14ac:dyDescent="0.25">
      <c r="A2566" s="29">
        <v>53</v>
      </c>
      <c r="B2566" s="30">
        <v>438287.10856199998</v>
      </c>
      <c r="C2566" s="30">
        <v>5688869.3324180003</v>
      </c>
      <c r="D2566" s="30">
        <v>30</v>
      </c>
      <c r="E2566" s="30" t="s">
        <v>36</v>
      </c>
      <c r="F2566" s="46">
        <v>2019</v>
      </c>
      <c r="G2566" s="46">
        <v>2.3999999999999998E-3</v>
      </c>
      <c r="H2566" s="47">
        <f t="shared" ref="H2566" si="250">G2566*0.315844639765763</f>
        <v>7.5802713543783107E-4</v>
      </c>
      <c r="I2566" s="47">
        <v>0</v>
      </c>
      <c r="J2566" s="47">
        <f t="shared" ref="J2566" si="251">I2566*0.274812501341967</f>
        <v>0</v>
      </c>
      <c r="K2566" s="47">
        <v>2.3E-3</v>
      </c>
      <c r="L2566" s="47">
        <f>K2566*0.369102129908806</f>
        <v>8.4893489879025368E-4</v>
      </c>
      <c r="M2566" s="47">
        <f t="shared" si="243"/>
        <v>-9.0907763352422602E-5</v>
      </c>
      <c r="N2566" s="47">
        <v>0</v>
      </c>
      <c r="O2566" s="47">
        <f t="shared" ref="O2566" si="252">N2566*0.303541983664492</f>
        <v>0</v>
      </c>
      <c r="P2566" s="92"/>
    </row>
    <row r="2567" spans="1:19" x14ac:dyDescent="0.25">
      <c r="A2567" s="29">
        <v>54</v>
      </c>
      <c r="B2567" s="30">
        <v>437454.10856199998</v>
      </c>
      <c r="C2567" s="30">
        <v>5688988.3324180003</v>
      </c>
      <c r="D2567" s="30">
        <v>29</v>
      </c>
      <c r="E2567" s="30" t="s">
        <v>36</v>
      </c>
      <c r="F2567" s="46">
        <v>2019</v>
      </c>
      <c r="G2567" s="47">
        <v>7.5200000000000003E-2</v>
      </c>
      <c r="H2567" s="47">
        <f t="shared" si="245"/>
        <v>2.3600119320171215E-2</v>
      </c>
      <c r="I2567" s="47">
        <v>0</v>
      </c>
      <c r="J2567" s="47">
        <f t="shared" si="246"/>
        <v>0</v>
      </c>
      <c r="K2567" s="47">
        <v>4.9000000000000007E-3</v>
      </c>
      <c r="L2567" s="47">
        <f t="shared" si="247"/>
        <v>1.750075716413496E-3</v>
      </c>
      <c r="M2567" s="47">
        <f t="shared" si="243"/>
        <v>2.185004360375772E-2</v>
      </c>
      <c r="N2567" s="47">
        <v>0</v>
      </c>
      <c r="O2567" s="47">
        <f t="shared" si="248"/>
        <v>0</v>
      </c>
      <c r="P2567" s="92"/>
    </row>
    <row r="2568" spans="1:19" x14ac:dyDescent="0.25">
      <c r="A2568" s="29">
        <v>55</v>
      </c>
      <c r="B2568" s="30">
        <v>438049.10856199998</v>
      </c>
      <c r="C2568" s="30">
        <v>5688988.3324180003</v>
      </c>
      <c r="D2568" s="30">
        <v>29</v>
      </c>
      <c r="E2568" s="30" t="s">
        <v>36</v>
      </c>
      <c r="F2568" s="46">
        <v>2019</v>
      </c>
      <c r="G2568" s="47">
        <v>7.9200000000000007E-2</v>
      </c>
      <c r="H2568" s="47">
        <f t="shared" si="245"/>
        <v>2.4855444815925005E-2</v>
      </c>
      <c r="I2568" s="47">
        <v>0</v>
      </c>
      <c r="J2568" s="47">
        <f t="shared" si="246"/>
        <v>0</v>
      </c>
      <c r="K2568" s="47">
        <v>8.6999999999999994E-3</v>
      </c>
      <c r="L2568" s="47">
        <f t="shared" si="247"/>
        <v>3.1072772924076353E-3</v>
      </c>
      <c r="M2568" s="47">
        <f>H2568-L2568</f>
        <v>2.1748167523517371E-2</v>
      </c>
      <c r="N2568" s="47">
        <v>6.2399999999999997E-2</v>
      </c>
      <c r="O2568" s="47">
        <f t="shared" si="248"/>
        <v>1.8778638265080406E-2</v>
      </c>
      <c r="P2568" s="92"/>
    </row>
    <row r="2569" spans="1:19" x14ac:dyDescent="0.25">
      <c r="A2569" s="29">
        <v>56</v>
      </c>
      <c r="B2569" s="30">
        <v>438168.10856199998</v>
      </c>
      <c r="C2569" s="30">
        <v>5688988.3324180003</v>
      </c>
      <c r="D2569" s="30">
        <v>29</v>
      </c>
      <c r="E2569" s="30" t="s">
        <v>36</v>
      </c>
      <c r="F2569" s="46">
        <v>2019</v>
      </c>
      <c r="G2569" s="47">
        <v>4.0500000000000001E-2</v>
      </c>
      <c r="H2569" s="47">
        <f t="shared" si="245"/>
        <v>1.2710170644507104E-2</v>
      </c>
      <c r="I2569" s="47">
        <v>0</v>
      </c>
      <c r="J2569" s="47">
        <f t="shared" si="246"/>
        <v>0</v>
      </c>
      <c r="K2569" s="47">
        <v>2E-3</v>
      </c>
      <c r="L2569" s="47">
        <f t="shared" si="247"/>
        <v>7.1431661894428406E-4</v>
      </c>
      <c r="M2569" s="47">
        <f t="shared" si="243"/>
        <v>1.1995854025562819E-2</v>
      </c>
      <c r="N2569" s="47">
        <v>0</v>
      </c>
      <c r="O2569" s="47">
        <f t="shared" si="248"/>
        <v>0</v>
      </c>
      <c r="P2569" s="92"/>
    </row>
    <row r="2570" spans="1:19" x14ac:dyDescent="0.25">
      <c r="A2570" s="40">
        <v>57</v>
      </c>
      <c r="B2570" s="41">
        <v>438146</v>
      </c>
      <c r="C2570" s="41">
        <v>5688977</v>
      </c>
      <c r="D2570" s="41">
        <v>29</v>
      </c>
      <c r="E2570" s="41" t="s">
        <v>36</v>
      </c>
      <c r="F2570" s="50">
        <v>2019</v>
      </c>
      <c r="G2570" s="51">
        <v>1.43E-2</v>
      </c>
      <c r="H2570" s="51">
        <f t="shared" si="245"/>
        <v>4.4877886473197928E-3</v>
      </c>
      <c r="I2570" s="51">
        <v>0</v>
      </c>
      <c r="J2570" s="51">
        <f t="shared" si="246"/>
        <v>0</v>
      </c>
      <c r="K2570" s="51">
        <v>1.11E-2</v>
      </c>
      <c r="L2570" s="51">
        <f t="shared" si="247"/>
        <v>3.964457235140776E-3</v>
      </c>
      <c r="M2570" s="51">
        <f t="shared" si="243"/>
        <v>5.2333141217901676E-4</v>
      </c>
      <c r="N2570" s="51">
        <v>0</v>
      </c>
      <c r="O2570" s="51">
        <f t="shared" si="248"/>
        <v>0</v>
      </c>
      <c r="P2570" s="101"/>
    </row>
    <row r="2571" spans="1:19" x14ac:dyDescent="0.25">
      <c r="A2571" s="40">
        <v>58</v>
      </c>
      <c r="B2571" s="41">
        <v>438131</v>
      </c>
      <c r="C2571" s="41">
        <v>5688972</v>
      </c>
      <c r="D2571" s="41">
        <v>29</v>
      </c>
      <c r="E2571" s="41" t="s">
        <v>36</v>
      </c>
      <c r="F2571" s="50">
        <v>2019</v>
      </c>
      <c r="G2571" s="51">
        <v>9.7900000000000001E-2</v>
      </c>
      <c r="H2571" s="51">
        <f t="shared" si="245"/>
        <v>3.0724091508573963E-2</v>
      </c>
      <c r="I2571" s="51">
        <v>0</v>
      </c>
      <c r="J2571" s="51">
        <f t="shared" si="246"/>
        <v>0</v>
      </c>
      <c r="K2571" s="51">
        <v>2.7000000000000001E-3</v>
      </c>
      <c r="L2571" s="51">
        <f t="shared" si="247"/>
        <v>9.6432743557478345E-4</v>
      </c>
      <c r="M2571" s="51">
        <f t="shared" si="243"/>
        <v>2.9759764072999181E-2</v>
      </c>
      <c r="N2571" s="51">
        <v>0</v>
      </c>
      <c r="O2571" s="51">
        <f t="shared" si="248"/>
        <v>0</v>
      </c>
      <c r="P2571" s="101"/>
    </row>
    <row r="2572" spans="1:19" x14ac:dyDescent="0.25">
      <c r="A2572" s="40">
        <v>59</v>
      </c>
      <c r="B2572" s="41">
        <v>438089</v>
      </c>
      <c r="C2572" s="41">
        <v>5688713</v>
      </c>
      <c r="D2572" s="41">
        <v>29</v>
      </c>
      <c r="E2572" s="41" t="s">
        <v>36</v>
      </c>
      <c r="F2572" s="50">
        <v>2019</v>
      </c>
      <c r="G2572" s="51">
        <v>0.16290000000000002</v>
      </c>
      <c r="H2572" s="51">
        <f t="shared" si="245"/>
        <v>5.1123130814573023E-2</v>
      </c>
      <c r="I2572" s="51">
        <v>0</v>
      </c>
      <c r="J2572" s="51">
        <f t="shared" si="246"/>
        <v>0</v>
      </c>
      <c r="K2572" s="51">
        <v>3.8999999999999998E-3</v>
      </c>
      <c r="L2572" s="51">
        <f t="shared" si="247"/>
        <v>1.3929174069413537E-3</v>
      </c>
      <c r="M2572" s="51">
        <f t="shared" si="243"/>
        <v>4.9730213407631667E-2</v>
      </c>
      <c r="N2572" s="51">
        <v>0</v>
      </c>
      <c r="O2572" s="51">
        <f t="shared" si="248"/>
        <v>0</v>
      </c>
      <c r="P2572" s="101"/>
    </row>
    <row r="2573" spans="1:19" x14ac:dyDescent="0.25">
      <c r="A2573" s="40">
        <v>60</v>
      </c>
      <c r="B2573" s="41">
        <v>438099</v>
      </c>
      <c r="C2573" s="41">
        <v>5688719</v>
      </c>
      <c r="D2573" s="41">
        <v>29</v>
      </c>
      <c r="E2573" s="41" t="s">
        <v>36</v>
      </c>
      <c r="F2573" s="50">
        <v>2019</v>
      </c>
      <c r="G2573" s="51">
        <v>0.1082</v>
      </c>
      <c r="H2573" s="51">
        <f t="shared" si="245"/>
        <v>3.395655466013997E-2</v>
      </c>
      <c r="I2573" s="51">
        <v>0</v>
      </c>
      <c r="J2573" s="51">
        <f t="shared" si="246"/>
        <v>0</v>
      </c>
      <c r="K2573" s="51">
        <v>1.3800000000000002E-2</v>
      </c>
      <c r="L2573" s="51">
        <f t="shared" si="247"/>
        <v>4.9287846707155598E-3</v>
      </c>
      <c r="M2573" s="51">
        <f t="shared" si="243"/>
        <v>2.9027769989424412E-2</v>
      </c>
      <c r="N2573" s="51">
        <v>0</v>
      </c>
      <c r="O2573" s="51">
        <f t="shared" si="248"/>
        <v>0</v>
      </c>
      <c r="P2573" s="101"/>
    </row>
    <row r="2574" spans="1:19" x14ac:dyDescent="0.25">
      <c r="A2574" s="42">
        <v>1</v>
      </c>
      <c r="B2574" s="43">
        <v>437930.10856199998</v>
      </c>
      <c r="C2574" s="43">
        <v>5688036.3324180003</v>
      </c>
      <c r="D2574" s="44">
        <v>6</v>
      </c>
      <c r="E2574" s="44" t="s">
        <v>64</v>
      </c>
      <c r="F2574" s="44">
        <v>2020</v>
      </c>
      <c r="G2574" s="44" t="s">
        <v>18</v>
      </c>
      <c r="H2574" s="44" t="s">
        <v>18</v>
      </c>
      <c r="I2574" s="44" t="s">
        <v>18</v>
      </c>
      <c r="J2574" s="44" t="s">
        <v>18</v>
      </c>
      <c r="K2574" s="44" t="s">
        <v>18</v>
      </c>
      <c r="L2574" s="44" t="s">
        <v>18</v>
      </c>
      <c r="M2574" s="44" t="s">
        <v>18</v>
      </c>
      <c r="N2574" s="44" t="s">
        <v>18</v>
      </c>
      <c r="O2574" s="44" t="s">
        <v>18</v>
      </c>
      <c r="P2574" s="102" t="s">
        <v>109</v>
      </c>
      <c r="R2574" s="5">
        <f>AVERAGE(M2574:M2633)</f>
        <v>1.4629903920866567E-2</v>
      </c>
      <c r="S2574" s="5">
        <f>AVERAGE(H2574:H2633)</f>
        <v>2.0649840844092368E-2</v>
      </c>
    </row>
    <row r="2575" spans="1:19" x14ac:dyDescent="0.25">
      <c r="A2575" s="42">
        <v>2</v>
      </c>
      <c r="B2575" s="43">
        <v>437811.10856199998</v>
      </c>
      <c r="C2575" s="43">
        <v>5688155.3324180003</v>
      </c>
      <c r="D2575" s="44">
        <v>6</v>
      </c>
      <c r="E2575" s="44" t="s">
        <v>64</v>
      </c>
      <c r="F2575" s="44">
        <v>2020</v>
      </c>
      <c r="G2575" s="44" t="s">
        <v>18</v>
      </c>
      <c r="H2575" s="44" t="s">
        <v>18</v>
      </c>
      <c r="I2575" s="44" t="s">
        <v>18</v>
      </c>
      <c r="J2575" s="44" t="s">
        <v>18</v>
      </c>
      <c r="K2575" s="44" t="s">
        <v>18</v>
      </c>
      <c r="L2575" s="44" t="s">
        <v>18</v>
      </c>
      <c r="M2575" s="44" t="s">
        <v>18</v>
      </c>
      <c r="N2575" s="44" t="s">
        <v>18</v>
      </c>
      <c r="O2575" s="44" t="s">
        <v>18</v>
      </c>
      <c r="P2575" s="102" t="s">
        <v>109</v>
      </c>
    </row>
    <row r="2576" spans="1:19" x14ac:dyDescent="0.25">
      <c r="A2576" s="29">
        <v>3</v>
      </c>
      <c r="B2576" s="30">
        <v>437930.10856199998</v>
      </c>
      <c r="C2576" s="30">
        <v>5688155.3324180003</v>
      </c>
      <c r="D2576" s="30">
        <v>6</v>
      </c>
      <c r="E2576" s="30" t="s">
        <v>64</v>
      </c>
      <c r="F2576" s="46">
        <v>2020</v>
      </c>
      <c r="G2576" s="47">
        <v>5.9999999999999995E-4</v>
      </c>
      <c r="H2576" s="47">
        <f>G2576*0.315844639765763</f>
        <v>1.8950678385945777E-4</v>
      </c>
      <c r="I2576" s="47">
        <v>1.8699999999999998E-2</v>
      </c>
      <c r="J2576" s="47">
        <f>I2576*0.42584263684268</f>
        <v>7.9632573089581139E-3</v>
      </c>
      <c r="K2576" s="47">
        <v>4.0000000000000002E-4</v>
      </c>
      <c r="L2576" s="47">
        <f>K2576*0.364504504186355</f>
        <v>1.45801801674542E-4</v>
      </c>
      <c r="M2576" s="47">
        <f>H2576-L2576</f>
        <v>4.3704982184915769E-5</v>
      </c>
      <c r="N2576" s="47">
        <v>1.35E-2</v>
      </c>
      <c r="O2576" s="47">
        <f>N2576*0.478350798726113</f>
        <v>6.457735782802526E-3</v>
      </c>
      <c r="P2576" s="92"/>
    </row>
    <row r="2577" spans="1:16" x14ac:dyDescent="0.25">
      <c r="A2577" s="42">
        <v>4</v>
      </c>
      <c r="B2577" s="43">
        <v>438049.10856199998</v>
      </c>
      <c r="C2577" s="43">
        <v>5688155.3324180003</v>
      </c>
      <c r="D2577" s="44">
        <v>6</v>
      </c>
      <c r="E2577" s="44" t="s">
        <v>64</v>
      </c>
      <c r="F2577" s="44">
        <v>2020</v>
      </c>
      <c r="G2577" s="44" t="s">
        <v>18</v>
      </c>
      <c r="H2577" s="44" t="s">
        <v>18</v>
      </c>
      <c r="I2577" s="44" t="s">
        <v>18</v>
      </c>
      <c r="J2577" s="44" t="s">
        <v>18</v>
      </c>
      <c r="K2577" s="44" t="s">
        <v>18</v>
      </c>
      <c r="L2577" s="44" t="s">
        <v>18</v>
      </c>
      <c r="M2577" s="44" t="s">
        <v>18</v>
      </c>
      <c r="N2577" s="44" t="s">
        <v>18</v>
      </c>
      <c r="O2577" s="44" t="s">
        <v>18</v>
      </c>
      <c r="P2577" s="102" t="s">
        <v>109</v>
      </c>
    </row>
    <row r="2578" spans="1:16" x14ac:dyDescent="0.25">
      <c r="A2578" s="42">
        <v>5</v>
      </c>
      <c r="B2578" s="43">
        <v>437573.10856199998</v>
      </c>
      <c r="C2578" s="43">
        <v>5688274.3324180003</v>
      </c>
      <c r="D2578" s="44">
        <v>6</v>
      </c>
      <c r="E2578" s="44" t="s">
        <v>64</v>
      </c>
      <c r="F2578" s="44">
        <v>2020</v>
      </c>
      <c r="G2578" s="44" t="s">
        <v>18</v>
      </c>
      <c r="H2578" s="44" t="s">
        <v>18</v>
      </c>
      <c r="I2578" s="44" t="s">
        <v>18</v>
      </c>
      <c r="J2578" s="44" t="s">
        <v>18</v>
      </c>
      <c r="K2578" s="44" t="s">
        <v>18</v>
      </c>
      <c r="L2578" s="44" t="s">
        <v>18</v>
      </c>
      <c r="M2578" s="44" t="s">
        <v>18</v>
      </c>
      <c r="N2578" s="44" t="s">
        <v>18</v>
      </c>
      <c r="O2578" s="44" t="s">
        <v>18</v>
      </c>
      <c r="P2578" s="102" t="s">
        <v>109</v>
      </c>
    </row>
    <row r="2579" spans="1:16" x14ac:dyDescent="0.25">
      <c r="A2579" s="29">
        <v>6</v>
      </c>
      <c r="B2579" s="30">
        <v>437692.10856199998</v>
      </c>
      <c r="C2579" s="30">
        <v>5688274.3324180003</v>
      </c>
      <c r="D2579" s="30">
        <v>6</v>
      </c>
      <c r="E2579" s="30" t="s">
        <v>64</v>
      </c>
      <c r="F2579" s="46">
        <v>2020</v>
      </c>
      <c r="G2579" s="47">
        <v>5.3E-3</v>
      </c>
      <c r="H2579" s="47">
        <f t="shared" ref="H2579" si="253">G2579*0.315844639765763</f>
        <v>1.6739765907585438E-3</v>
      </c>
      <c r="I2579" s="47">
        <v>0.317</v>
      </c>
      <c r="J2579" s="47">
        <f t="shared" ref="J2579:J2633" si="254">I2579*0.42584263684268</f>
        <v>0.13499211587912954</v>
      </c>
      <c r="K2579" s="54">
        <v>2.5999999999999999E-3</v>
      </c>
      <c r="L2579" s="47">
        <f t="shared" ref="L2579:L2633" si="255">K2579*0.364504504186355</f>
        <v>9.4771171088452297E-4</v>
      </c>
      <c r="M2579" s="47">
        <f t="shared" ref="M2579:M2633" si="256">H2579-L2579</f>
        <v>7.2626487987402088E-4</v>
      </c>
      <c r="N2579" s="47">
        <v>2.7899999999999998E-2</v>
      </c>
      <c r="O2579" s="47">
        <f t="shared" ref="O2579:O2633" si="257">N2579*0.478350798726113</f>
        <v>1.3345987284458552E-2</v>
      </c>
      <c r="P2579" s="92"/>
    </row>
    <row r="2580" spans="1:16" x14ac:dyDescent="0.25">
      <c r="A2580" s="65">
        <v>7</v>
      </c>
      <c r="B2580" s="66">
        <v>437811.10856199998</v>
      </c>
      <c r="C2580" s="66">
        <v>5688274.3324180003</v>
      </c>
      <c r="D2580" s="66">
        <v>6</v>
      </c>
      <c r="E2580" s="66" t="s">
        <v>64</v>
      </c>
      <c r="F2580" s="66">
        <v>2020</v>
      </c>
      <c r="G2580" s="66" t="s">
        <v>18</v>
      </c>
      <c r="H2580" s="66" t="s">
        <v>18</v>
      </c>
      <c r="I2580" s="66" t="s">
        <v>18</v>
      </c>
      <c r="J2580" s="66" t="s">
        <v>18</v>
      </c>
      <c r="K2580" s="66" t="s">
        <v>18</v>
      </c>
      <c r="L2580" s="66" t="s">
        <v>18</v>
      </c>
      <c r="M2580" s="66" t="s">
        <v>18</v>
      </c>
      <c r="N2580" s="66" t="s">
        <v>18</v>
      </c>
      <c r="O2580" s="66" t="s">
        <v>18</v>
      </c>
      <c r="P2580" s="105" t="s">
        <v>147</v>
      </c>
    </row>
    <row r="2581" spans="1:16" x14ac:dyDescent="0.25">
      <c r="A2581" s="42">
        <v>8</v>
      </c>
      <c r="B2581" s="43">
        <v>437930.10856199998</v>
      </c>
      <c r="C2581" s="43">
        <v>5688274.3324180003</v>
      </c>
      <c r="D2581" s="44">
        <v>6</v>
      </c>
      <c r="E2581" s="44" t="s">
        <v>64</v>
      </c>
      <c r="F2581" s="44">
        <v>2020</v>
      </c>
      <c r="G2581" s="44" t="s">
        <v>18</v>
      </c>
      <c r="H2581" s="44" t="s">
        <v>18</v>
      </c>
      <c r="I2581" s="44" t="s">
        <v>18</v>
      </c>
      <c r="J2581" s="44" t="s">
        <v>18</v>
      </c>
      <c r="K2581" s="44" t="s">
        <v>18</v>
      </c>
      <c r="L2581" s="44" t="s">
        <v>18</v>
      </c>
      <c r="M2581" s="44" t="s">
        <v>18</v>
      </c>
      <c r="N2581" s="44" t="s">
        <v>18</v>
      </c>
      <c r="O2581" s="44" t="s">
        <v>18</v>
      </c>
      <c r="P2581" s="102" t="s">
        <v>109</v>
      </c>
    </row>
    <row r="2582" spans="1:16" x14ac:dyDescent="0.25">
      <c r="A2582" s="29">
        <v>9</v>
      </c>
      <c r="B2582" s="30">
        <v>438287.10856199998</v>
      </c>
      <c r="C2582" s="30">
        <v>5688274.3324180003</v>
      </c>
      <c r="D2582" s="30">
        <v>6</v>
      </c>
      <c r="E2582" s="30" t="s">
        <v>64</v>
      </c>
      <c r="F2582" s="46">
        <v>2020</v>
      </c>
      <c r="G2582" s="47">
        <v>5.1700000000000003E-2</v>
      </c>
      <c r="H2582" s="47">
        <f>G2582*0.345485701678748</f>
        <v>1.786161077679127E-2</v>
      </c>
      <c r="I2582" s="47">
        <v>1.0999999999999999E-2</v>
      </c>
      <c r="J2582" s="47">
        <f t="shared" si="254"/>
        <v>4.6842690052694798E-3</v>
      </c>
      <c r="K2582" s="47">
        <v>8.4000000000000012E-3</v>
      </c>
      <c r="L2582" s="47">
        <f t="shared" si="255"/>
        <v>3.0618378351653826E-3</v>
      </c>
      <c r="M2582" s="47">
        <f t="shared" si="256"/>
        <v>1.4799772941625888E-2</v>
      </c>
      <c r="N2582" s="47">
        <v>0</v>
      </c>
      <c r="O2582" s="47">
        <f t="shared" si="257"/>
        <v>0</v>
      </c>
      <c r="P2582" s="92"/>
    </row>
    <row r="2583" spans="1:16" x14ac:dyDescent="0.25">
      <c r="A2583" s="29">
        <v>10</v>
      </c>
      <c r="B2583" s="30">
        <v>438406.10856199998</v>
      </c>
      <c r="C2583" s="30">
        <v>5688274.3324180003</v>
      </c>
      <c r="D2583" s="30">
        <v>6</v>
      </c>
      <c r="E2583" s="30" t="s">
        <v>64</v>
      </c>
      <c r="F2583" s="46">
        <v>2020</v>
      </c>
      <c r="G2583" s="47">
        <v>8.4000000000000005E-2</v>
      </c>
      <c r="H2583" s="47">
        <f t="shared" ref="H2583:H2633" si="258">G2583*0.345485701678748</f>
        <v>2.9020798941014832E-2</v>
      </c>
      <c r="I2583" s="47">
        <v>0</v>
      </c>
      <c r="J2583" s="47">
        <f t="shared" si="254"/>
        <v>0</v>
      </c>
      <c r="K2583" s="47">
        <v>2.3300000000000001E-2</v>
      </c>
      <c r="L2583" s="47">
        <f t="shared" si="255"/>
        <v>8.4929549475420713E-3</v>
      </c>
      <c r="M2583" s="47">
        <f t="shared" si="256"/>
        <v>2.0527843993472759E-2</v>
      </c>
      <c r="N2583" s="47">
        <v>0</v>
      </c>
      <c r="O2583" s="47">
        <f t="shared" si="257"/>
        <v>0</v>
      </c>
      <c r="P2583" s="92"/>
    </row>
    <row r="2584" spans="1:16" x14ac:dyDescent="0.25">
      <c r="A2584" s="42">
        <v>11</v>
      </c>
      <c r="B2584" s="43">
        <v>437454.10856199998</v>
      </c>
      <c r="C2584" s="43">
        <v>5688393.3324180003</v>
      </c>
      <c r="D2584" s="44">
        <v>6</v>
      </c>
      <c r="E2584" s="44" t="s">
        <v>64</v>
      </c>
      <c r="F2584" s="44">
        <v>2020</v>
      </c>
      <c r="G2584" s="44" t="s">
        <v>18</v>
      </c>
      <c r="H2584" s="44" t="s">
        <v>18</v>
      </c>
      <c r="I2584" s="44" t="s">
        <v>18</v>
      </c>
      <c r="J2584" s="44" t="s">
        <v>18</v>
      </c>
      <c r="K2584" s="44" t="s">
        <v>18</v>
      </c>
      <c r="L2584" s="44" t="s">
        <v>18</v>
      </c>
      <c r="M2584" s="44" t="s">
        <v>18</v>
      </c>
      <c r="N2584" s="44" t="s">
        <v>18</v>
      </c>
      <c r="O2584" s="44" t="s">
        <v>18</v>
      </c>
      <c r="P2584" s="102" t="s">
        <v>109</v>
      </c>
    </row>
    <row r="2585" spans="1:16" x14ac:dyDescent="0.25">
      <c r="A2585" s="29">
        <v>12</v>
      </c>
      <c r="B2585" s="30">
        <v>437573.10856199998</v>
      </c>
      <c r="C2585" s="30">
        <v>5688393.3324180003</v>
      </c>
      <c r="D2585" s="30">
        <v>6</v>
      </c>
      <c r="E2585" s="30" t="s">
        <v>64</v>
      </c>
      <c r="F2585" s="46">
        <v>2020</v>
      </c>
      <c r="G2585" s="47">
        <v>3.2600000000000004E-2</v>
      </c>
      <c r="H2585" s="47">
        <f t="shared" si="258"/>
        <v>1.1262833874727186E-2</v>
      </c>
      <c r="I2585" s="47">
        <v>3.7000000000000002E-3</v>
      </c>
      <c r="J2585" s="47">
        <f t="shared" si="254"/>
        <v>1.5756177563179159E-3</v>
      </c>
      <c r="K2585" s="47">
        <v>6.4999999999999997E-3</v>
      </c>
      <c r="L2585" s="47">
        <f t="shared" si="255"/>
        <v>2.3692792772113075E-3</v>
      </c>
      <c r="M2585" s="47">
        <f t="shared" si="256"/>
        <v>8.8935545975158785E-3</v>
      </c>
      <c r="N2585" s="47">
        <v>9.8799999999999999E-2</v>
      </c>
      <c r="O2585" s="47">
        <f t="shared" si="257"/>
        <v>4.7261058914139967E-2</v>
      </c>
      <c r="P2585" s="92"/>
    </row>
    <row r="2586" spans="1:16" x14ac:dyDescent="0.25">
      <c r="A2586" s="29">
        <v>13</v>
      </c>
      <c r="B2586" s="30">
        <v>437692.10856199998</v>
      </c>
      <c r="C2586" s="30">
        <v>5688393.3324180003</v>
      </c>
      <c r="D2586" s="30">
        <v>6</v>
      </c>
      <c r="E2586" s="30" t="s">
        <v>64</v>
      </c>
      <c r="F2586" s="46">
        <v>2020</v>
      </c>
      <c r="G2586" s="47">
        <v>0.14000000000000001</v>
      </c>
      <c r="H2586" s="47">
        <f t="shared" si="258"/>
        <v>4.8367998235024724E-2</v>
      </c>
      <c r="I2586" s="47">
        <v>0.12720000000000001</v>
      </c>
      <c r="J2586" s="47">
        <f t="shared" si="254"/>
        <v>5.4167183406388895E-2</v>
      </c>
      <c r="K2586" s="47">
        <v>3.2399999999999998E-2</v>
      </c>
      <c r="L2586" s="47">
        <f t="shared" si="255"/>
        <v>1.1809945935637901E-2</v>
      </c>
      <c r="M2586" s="47">
        <f t="shared" si="256"/>
        <v>3.6558052299386821E-2</v>
      </c>
      <c r="N2586" s="47">
        <v>3.5099999999999999E-2</v>
      </c>
      <c r="O2586" s="47">
        <f t="shared" si="257"/>
        <v>1.6790113035286568E-2</v>
      </c>
      <c r="P2586" s="92"/>
    </row>
    <row r="2587" spans="1:16" x14ac:dyDescent="0.25">
      <c r="A2587" s="32">
        <v>14</v>
      </c>
      <c r="B2587" s="33">
        <v>437811.10856199998</v>
      </c>
      <c r="C2587" s="33">
        <v>5688393.3324180003</v>
      </c>
      <c r="D2587" s="48">
        <v>6</v>
      </c>
      <c r="E2587" s="48" t="s">
        <v>64</v>
      </c>
      <c r="F2587" s="48">
        <v>2020</v>
      </c>
      <c r="G2587" s="48" t="s">
        <v>18</v>
      </c>
      <c r="H2587" s="48" t="s">
        <v>18</v>
      </c>
      <c r="I2587" s="48" t="s">
        <v>18</v>
      </c>
      <c r="J2587" s="48" t="s">
        <v>18</v>
      </c>
      <c r="K2587" s="48" t="s">
        <v>18</v>
      </c>
      <c r="L2587" s="48" t="s">
        <v>18</v>
      </c>
      <c r="M2587" s="48" t="s">
        <v>18</v>
      </c>
      <c r="N2587" s="48" t="s">
        <v>18</v>
      </c>
      <c r="O2587" s="48" t="s">
        <v>18</v>
      </c>
      <c r="P2587" s="103" t="s">
        <v>89</v>
      </c>
    </row>
    <row r="2588" spans="1:16" x14ac:dyDescent="0.25">
      <c r="A2588" s="29">
        <v>15</v>
      </c>
      <c r="B2588" s="30">
        <v>437930.10856199998</v>
      </c>
      <c r="C2588" s="30">
        <v>5688393.3324180003</v>
      </c>
      <c r="D2588" s="30">
        <v>6</v>
      </c>
      <c r="E2588" s="30" t="s">
        <v>64</v>
      </c>
      <c r="F2588" s="46">
        <v>2020</v>
      </c>
      <c r="G2588" s="47">
        <v>3.85E-2</v>
      </c>
      <c r="H2588" s="47">
        <f t="shared" si="258"/>
        <v>1.3301199514631797E-2</v>
      </c>
      <c r="I2588" s="46">
        <v>0.21880000000000002</v>
      </c>
      <c r="J2588" s="47">
        <f t="shared" si="254"/>
        <v>9.3174368941178393E-2</v>
      </c>
      <c r="K2588" s="47">
        <v>1.4999999999999999E-2</v>
      </c>
      <c r="L2588" s="47">
        <f t="shared" si="255"/>
        <v>5.4675675627953247E-3</v>
      </c>
      <c r="M2588" s="47">
        <f t="shared" si="256"/>
        <v>7.8336319518364714E-3</v>
      </c>
      <c r="N2588" s="47">
        <v>4.4600000000000001E-2</v>
      </c>
      <c r="O2588" s="47">
        <f t="shared" si="257"/>
        <v>2.133444562318464E-2</v>
      </c>
      <c r="P2588" s="92"/>
    </row>
    <row r="2589" spans="1:16" x14ac:dyDescent="0.25">
      <c r="A2589" s="29">
        <v>16</v>
      </c>
      <c r="B2589" s="30">
        <v>438049.10856199998</v>
      </c>
      <c r="C2589" s="30">
        <v>5688393.3324180003</v>
      </c>
      <c r="D2589" s="30">
        <v>6</v>
      </c>
      <c r="E2589" s="30" t="s">
        <v>64</v>
      </c>
      <c r="F2589" s="46">
        <v>2020</v>
      </c>
      <c r="G2589" s="47">
        <v>5.0999999999999997E-2</v>
      </c>
      <c r="H2589" s="47">
        <f t="shared" si="258"/>
        <v>1.7619770785616145E-2</v>
      </c>
      <c r="I2589" s="46">
        <v>0.39039999999999997</v>
      </c>
      <c r="J2589" s="47">
        <f t="shared" si="254"/>
        <v>0.16624896542338224</v>
      </c>
      <c r="K2589" s="47">
        <v>6.9000000000000008E-3</v>
      </c>
      <c r="L2589" s="47">
        <f t="shared" si="255"/>
        <v>2.5150810788858498E-3</v>
      </c>
      <c r="M2589" s="47">
        <f t="shared" si="256"/>
        <v>1.5104689706730295E-2</v>
      </c>
      <c r="N2589" s="47">
        <v>0.13009999999999999</v>
      </c>
      <c r="O2589" s="47">
        <f t="shared" si="257"/>
        <v>6.2233438914267303E-2</v>
      </c>
      <c r="P2589" s="92"/>
    </row>
    <row r="2590" spans="1:16" x14ac:dyDescent="0.25">
      <c r="A2590" s="29">
        <v>17</v>
      </c>
      <c r="B2590" s="30">
        <v>438168.10856199998</v>
      </c>
      <c r="C2590" s="30">
        <v>5688393.3324180003</v>
      </c>
      <c r="D2590" s="30">
        <v>6</v>
      </c>
      <c r="E2590" s="30" t="s">
        <v>64</v>
      </c>
      <c r="F2590" s="46">
        <v>2020</v>
      </c>
      <c r="G2590" s="47">
        <v>8.3900000000000002E-2</v>
      </c>
      <c r="H2590" s="47">
        <f t="shared" si="258"/>
        <v>2.8986250370846955E-2</v>
      </c>
      <c r="I2590" s="47">
        <v>0.1474</v>
      </c>
      <c r="J2590" s="47">
        <f t="shared" si="254"/>
        <v>6.2769204670611034E-2</v>
      </c>
      <c r="K2590" s="47">
        <v>1.3099999999999999E-2</v>
      </c>
      <c r="L2590" s="47">
        <f t="shared" si="255"/>
        <v>4.77500900484125E-3</v>
      </c>
      <c r="M2590" s="47">
        <f t="shared" si="256"/>
        <v>2.4211241366005706E-2</v>
      </c>
      <c r="N2590" s="47">
        <v>1.5800000000000002E-2</v>
      </c>
      <c r="O2590" s="47">
        <f t="shared" si="257"/>
        <v>7.5579426198725862E-3</v>
      </c>
      <c r="P2590" s="92"/>
    </row>
    <row r="2591" spans="1:16" x14ac:dyDescent="0.25">
      <c r="A2591" s="29">
        <v>18</v>
      </c>
      <c r="B2591" s="30">
        <v>438287.10856199998</v>
      </c>
      <c r="C2591" s="30">
        <v>5688393.3324180003</v>
      </c>
      <c r="D2591" s="30">
        <v>6</v>
      </c>
      <c r="E2591" s="30" t="s">
        <v>64</v>
      </c>
      <c r="F2591" s="46">
        <v>2020</v>
      </c>
      <c r="G2591" s="47">
        <v>3.3E-3</v>
      </c>
      <c r="H2591" s="47">
        <f t="shared" si="258"/>
        <v>1.1401028155398683E-3</v>
      </c>
      <c r="I2591" s="47">
        <v>3.85E-2</v>
      </c>
      <c r="J2591" s="47">
        <f t="shared" si="254"/>
        <v>1.639494151844318E-2</v>
      </c>
      <c r="K2591" s="47">
        <v>9.1999999999999998E-3</v>
      </c>
      <c r="L2591" s="47">
        <f t="shared" si="255"/>
        <v>3.353441438514466E-3</v>
      </c>
      <c r="M2591" s="47">
        <f t="shared" si="256"/>
        <v>-2.2133386229745977E-3</v>
      </c>
      <c r="N2591" s="47">
        <v>4.0500000000000001E-2</v>
      </c>
      <c r="O2591" s="47">
        <f t="shared" si="257"/>
        <v>1.9373207348407577E-2</v>
      </c>
      <c r="P2591" s="92"/>
    </row>
    <row r="2592" spans="1:16" x14ac:dyDescent="0.25">
      <c r="A2592" s="29">
        <v>19</v>
      </c>
      <c r="B2592" s="30">
        <v>438406.10856199998</v>
      </c>
      <c r="C2592" s="30">
        <v>5688393.3324180003</v>
      </c>
      <c r="D2592" s="30">
        <v>6</v>
      </c>
      <c r="E2592" s="30" t="s">
        <v>64</v>
      </c>
      <c r="F2592" s="46">
        <v>2020</v>
      </c>
      <c r="G2592" s="47">
        <v>0.1196</v>
      </c>
      <c r="H2592" s="47">
        <f t="shared" si="258"/>
        <v>4.1320089920778257E-2</v>
      </c>
      <c r="I2592" s="47">
        <v>0</v>
      </c>
      <c r="J2592" s="47">
        <f t="shared" si="254"/>
        <v>0</v>
      </c>
      <c r="K2592" s="47">
        <v>9.300000000000001E-3</v>
      </c>
      <c r="L2592" s="47">
        <f t="shared" si="255"/>
        <v>3.389891888933102E-3</v>
      </c>
      <c r="M2592" s="47">
        <f t="shared" si="256"/>
        <v>3.7930198031845157E-2</v>
      </c>
      <c r="N2592" s="47">
        <v>2.5899999999999999E-2</v>
      </c>
      <c r="O2592" s="47">
        <f t="shared" si="257"/>
        <v>1.2389285687006327E-2</v>
      </c>
      <c r="P2592" s="92"/>
    </row>
    <row r="2593" spans="1:16" x14ac:dyDescent="0.25">
      <c r="A2593" s="42">
        <v>20</v>
      </c>
      <c r="B2593" s="43">
        <v>437335.10856199998</v>
      </c>
      <c r="C2593" s="43">
        <v>5688512.3324180003</v>
      </c>
      <c r="D2593" s="44">
        <v>6</v>
      </c>
      <c r="E2593" s="44" t="s">
        <v>64</v>
      </c>
      <c r="F2593" s="44">
        <v>2020</v>
      </c>
      <c r="G2593" s="44" t="s">
        <v>18</v>
      </c>
      <c r="H2593" s="44" t="s">
        <v>18</v>
      </c>
      <c r="I2593" s="44" t="s">
        <v>18</v>
      </c>
      <c r="J2593" s="44" t="s">
        <v>18</v>
      </c>
      <c r="K2593" s="44" t="s">
        <v>18</v>
      </c>
      <c r="L2593" s="44" t="s">
        <v>18</v>
      </c>
      <c r="M2593" s="44" t="s">
        <v>18</v>
      </c>
      <c r="N2593" s="44" t="s">
        <v>18</v>
      </c>
      <c r="O2593" s="44" t="s">
        <v>18</v>
      </c>
      <c r="P2593" s="102" t="s">
        <v>109</v>
      </c>
    </row>
    <row r="2594" spans="1:16" x14ac:dyDescent="0.25">
      <c r="A2594" s="29">
        <v>21</v>
      </c>
      <c r="B2594" s="30">
        <v>437454.10856199998</v>
      </c>
      <c r="C2594" s="30">
        <v>5688512.3324180003</v>
      </c>
      <c r="D2594" s="30">
        <v>6</v>
      </c>
      <c r="E2594" s="30" t="s">
        <v>64</v>
      </c>
      <c r="F2594" s="46">
        <v>2020</v>
      </c>
      <c r="G2594" s="47">
        <v>6.0299999999999999E-2</v>
      </c>
      <c r="H2594" s="47">
        <f t="shared" si="258"/>
        <v>2.0832787811228503E-2</v>
      </c>
      <c r="I2594" s="47">
        <v>1.5300000000000001E-2</v>
      </c>
      <c r="J2594" s="47">
        <f t="shared" si="254"/>
        <v>6.5153923436930038E-3</v>
      </c>
      <c r="K2594" s="47">
        <v>1.34E-2</v>
      </c>
      <c r="L2594" s="47">
        <f t="shared" si="255"/>
        <v>4.8843603560971569E-3</v>
      </c>
      <c r="M2594" s="47">
        <f t="shared" si="256"/>
        <v>1.5948427455131347E-2</v>
      </c>
      <c r="N2594" s="47">
        <v>0</v>
      </c>
      <c r="O2594" s="47">
        <f t="shared" si="257"/>
        <v>0</v>
      </c>
      <c r="P2594" s="92"/>
    </row>
    <row r="2595" spans="1:16" x14ac:dyDescent="0.25">
      <c r="A2595" s="29">
        <v>22</v>
      </c>
      <c r="B2595" s="30">
        <v>437573.10856199998</v>
      </c>
      <c r="C2595" s="30">
        <v>5688512.3324180003</v>
      </c>
      <c r="D2595" s="30">
        <v>6</v>
      </c>
      <c r="E2595" s="30" t="s">
        <v>64</v>
      </c>
      <c r="F2595" s="46">
        <v>2020</v>
      </c>
      <c r="G2595" s="47">
        <v>1.46E-2</v>
      </c>
      <c r="H2595" s="47">
        <f t="shared" si="258"/>
        <v>5.0440912445097203E-3</v>
      </c>
      <c r="I2595" s="47">
        <v>0.64529999999999998</v>
      </c>
      <c r="J2595" s="47">
        <f t="shared" si="254"/>
        <v>0.27479625355458137</v>
      </c>
      <c r="K2595" s="47">
        <v>6.3299999999999995E-2</v>
      </c>
      <c r="L2595" s="47">
        <f t="shared" si="255"/>
        <v>2.3073135114996271E-2</v>
      </c>
      <c r="M2595" s="47">
        <f t="shared" si="256"/>
        <v>-1.8029043870486552E-2</v>
      </c>
      <c r="N2595" s="47">
        <v>0.40389999999999998</v>
      </c>
      <c r="O2595" s="47">
        <f t="shared" si="257"/>
        <v>0.19320588760547705</v>
      </c>
      <c r="P2595" s="92"/>
    </row>
    <row r="2596" spans="1:16" x14ac:dyDescent="0.25">
      <c r="A2596" s="29">
        <v>23</v>
      </c>
      <c r="B2596" s="30">
        <v>437692.10856199998</v>
      </c>
      <c r="C2596" s="30">
        <v>5688512.3324180003</v>
      </c>
      <c r="D2596" s="30">
        <v>6</v>
      </c>
      <c r="E2596" s="30" t="s">
        <v>64</v>
      </c>
      <c r="F2596" s="46">
        <v>2020</v>
      </c>
      <c r="G2596" s="47">
        <v>4.1100000000000005E-2</v>
      </c>
      <c r="H2596" s="47">
        <f t="shared" si="258"/>
        <v>1.4199462338996544E-2</v>
      </c>
      <c r="I2596" s="47">
        <v>0</v>
      </c>
      <c r="J2596" s="47">
        <f t="shared" si="254"/>
        <v>0</v>
      </c>
      <c r="K2596" s="47">
        <v>1.1900000000000001E-2</v>
      </c>
      <c r="L2596" s="47">
        <f t="shared" si="255"/>
        <v>4.337603599817625E-3</v>
      </c>
      <c r="M2596" s="47">
        <f>H2596-L2596</f>
        <v>9.8618587391789189E-3</v>
      </c>
      <c r="N2596" s="47">
        <v>0</v>
      </c>
      <c r="O2596" s="47">
        <f t="shared" si="257"/>
        <v>0</v>
      </c>
      <c r="P2596" s="92"/>
    </row>
    <row r="2597" spans="1:16" x14ac:dyDescent="0.25">
      <c r="A2597" s="29">
        <v>24</v>
      </c>
      <c r="B2597" s="30">
        <v>437811.10856199998</v>
      </c>
      <c r="C2597" s="30">
        <v>5688512.3324180003</v>
      </c>
      <c r="D2597" s="30">
        <v>6</v>
      </c>
      <c r="E2597" s="30" t="s">
        <v>64</v>
      </c>
      <c r="F2597" s="46">
        <v>2020</v>
      </c>
      <c r="G2597" s="47">
        <v>0.16469999999999999</v>
      </c>
      <c r="H2597" s="47">
        <f t="shared" si="258"/>
        <v>5.6901495066489789E-2</v>
      </c>
      <c r="I2597" s="47">
        <v>0.13869999999999999</v>
      </c>
      <c r="J2597" s="47">
        <f t="shared" si="254"/>
        <v>5.9064373730079708E-2</v>
      </c>
      <c r="K2597" s="47">
        <v>0</v>
      </c>
      <c r="L2597" s="47">
        <f t="shared" si="255"/>
        <v>0</v>
      </c>
      <c r="M2597" s="47">
        <f t="shared" si="256"/>
        <v>5.6901495066489789E-2</v>
      </c>
      <c r="N2597" s="47">
        <v>0</v>
      </c>
      <c r="O2597" s="47">
        <f t="shared" si="257"/>
        <v>0</v>
      </c>
      <c r="P2597" s="92"/>
    </row>
    <row r="2598" spans="1:16" x14ac:dyDescent="0.25">
      <c r="A2598" s="29">
        <v>25</v>
      </c>
      <c r="B2598" s="46">
        <v>437995</v>
      </c>
      <c r="C2598" s="46">
        <v>5688493</v>
      </c>
      <c r="D2598" s="30">
        <v>6</v>
      </c>
      <c r="E2598" s="30" t="s">
        <v>64</v>
      </c>
      <c r="F2598" s="46">
        <v>2020</v>
      </c>
      <c r="G2598" s="46" t="s">
        <v>18</v>
      </c>
      <c r="H2598" s="46" t="s">
        <v>18</v>
      </c>
      <c r="I2598" s="46" t="s">
        <v>18</v>
      </c>
      <c r="J2598" s="46" t="s">
        <v>18</v>
      </c>
      <c r="K2598" s="47">
        <v>1.3599999999999999E-2</v>
      </c>
      <c r="L2598" s="47">
        <f t="shared" si="255"/>
        <v>4.9572612569344279E-3</v>
      </c>
      <c r="M2598" s="46" t="s">
        <v>18</v>
      </c>
      <c r="N2598" s="47">
        <v>0</v>
      </c>
      <c r="O2598" s="47">
        <f t="shared" si="257"/>
        <v>0</v>
      </c>
      <c r="P2598" s="92" t="s">
        <v>103</v>
      </c>
    </row>
    <row r="2599" spans="1:16" x14ac:dyDescent="0.25">
      <c r="A2599" s="29">
        <v>26</v>
      </c>
      <c r="B2599" s="46">
        <v>438112</v>
      </c>
      <c r="C2599" s="46">
        <v>5688567</v>
      </c>
      <c r="D2599" s="30">
        <v>6</v>
      </c>
      <c r="E2599" s="30" t="s">
        <v>64</v>
      </c>
      <c r="F2599" s="46">
        <v>2020</v>
      </c>
      <c r="G2599" s="47">
        <v>0.1467</v>
      </c>
      <c r="H2599" s="47">
        <f t="shared" si="258"/>
        <v>5.0682752436272328E-2</v>
      </c>
      <c r="I2599" s="47">
        <v>3.27E-2</v>
      </c>
      <c r="J2599" s="47">
        <f t="shared" si="254"/>
        <v>1.3925054224755635E-2</v>
      </c>
      <c r="K2599" s="47">
        <v>3.1899999999999998E-2</v>
      </c>
      <c r="L2599" s="47">
        <f t="shared" si="255"/>
        <v>1.1627693683544724E-2</v>
      </c>
      <c r="M2599" s="47">
        <f t="shared" si="256"/>
        <v>3.9055058752727606E-2</v>
      </c>
      <c r="N2599" s="47">
        <v>4.2500000000000003E-2</v>
      </c>
      <c r="O2599" s="47">
        <f t="shared" si="257"/>
        <v>2.0329908945859804E-2</v>
      </c>
      <c r="P2599" s="92"/>
    </row>
    <row r="2600" spans="1:16" x14ac:dyDescent="0.25">
      <c r="A2600" s="32">
        <v>27</v>
      </c>
      <c r="B2600" s="33">
        <v>438168.10856199998</v>
      </c>
      <c r="C2600" s="33">
        <v>5688512.3324180003</v>
      </c>
      <c r="D2600" s="48">
        <v>6</v>
      </c>
      <c r="E2600" s="48" t="s">
        <v>64</v>
      </c>
      <c r="F2600" s="48">
        <v>2020</v>
      </c>
      <c r="G2600" s="48" t="s">
        <v>18</v>
      </c>
      <c r="H2600" s="48" t="s">
        <v>18</v>
      </c>
      <c r="I2600" s="48" t="s">
        <v>18</v>
      </c>
      <c r="J2600" s="48" t="s">
        <v>18</v>
      </c>
      <c r="K2600" s="48" t="s">
        <v>18</v>
      </c>
      <c r="L2600" s="48" t="s">
        <v>18</v>
      </c>
      <c r="M2600" s="48" t="s">
        <v>18</v>
      </c>
      <c r="N2600" s="48" t="s">
        <v>18</v>
      </c>
      <c r="O2600" s="48" t="s">
        <v>18</v>
      </c>
      <c r="P2600" s="103" t="s">
        <v>89</v>
      </c>
    </row>
    <row r="2601" spans="1:16" x14ac:dyDescent="0.25">
      <c r="A2601" s="32">
        <v>28</v>
      </c>
      <c r="B2601" s="33">
        <v>438287.10856199998</v>
      </c>
      <c r="C2601" s="33">
        <v>5688512.3324180003</v>
      </c>
      <c r="D2601" s="48">
        <v>6</v>
      </c>
      <c r="E2601" s="48" t="s">
        <v>64</v>
      </c>
      <c r="F2601" s="48">
        <v>2020</v>
      </c>
      <c r="G2601" s="48" t="s">
        <v>18</v>
      </c>
      <c r="H2601" s="48" t="s">
        <v>18</v>
      </c>
      <c r="I2601" s="48" t="s">
        <v>18</v>
      </c>
      <c r="J2601" s="48" t="s">
        <v>18</v>
      </c>
      <c r="K2601" s="48" t="s">
        <v>18</v>
      </c>
      <c r="L2601" s="48" t="s">
        <v>18</v>
      </c>
      <c r="M2601" s="48" t="s">
        <v>18</v>
      </c>
      <c r="N2601" s="48" t="s">
        <v>18</v>
      </c>
      <c r="O2601" s="48" t="s">
        <v>18</v>
      </c>
      <c r="P2601" s="103" t="s">
        <v>89</v>
      </c>
    </row>
    <row r="2602" spans="1:16" x14ac:dyDescent="0.25">
      <c r="A2602" s="29">
        <v>29</v>
      </c>
      <c r="B2602" s="30">
        <v>438381</v>
      </c>
      <c r="C2602" s="30">
        <v>5688526</v>
      </c>
      <c r="D2602" s="30">
        <v>6</v>
      </c>
      <c r="E2602" s="30" t="s">
        <v>64</v>
      </c>
      <c r="F2602" s="46">
        <v>2020</v>
      </c>
      <c r="G2602" s="47">
        <v>9.9400000000000002E-2</v>
      </c>
      <c r="H2602" s="47">
        <f t="shared" si="258"/>
        <v>3.434127874686755E-2</v>
      </c>
      <c r="I2602" s="47">
        <v>0</v>
      </c>
      <c r="J2602" s="47">
        <f t="shared" si="254"/>
        <v>0</v>
      </c>
      <c r="K2602" s="47">
        <v>2.18E-2</v>
      </c>
      <c r="L2602" s="47">
        <f t="shared" si="255"/>
        <v>7.9461981912625386E-3</v>
      </c>
      <c r="M2602" s="47">
        <f t="shared" si="256"/>
        <v>2.6395080555605011E-2</v>
      </c>
      <c r="N2602" s="47">
        <v>0</v>
      </c>
      <c r="O2602" s="47">
        <f t="shared" si="257"/>
        <v>0</v>
      </c>
      <c r="P2602" s="92"/>
    </row>
    <row r="2603" spans="1:16" x14ac:dyDescent="0.25">
      <c r="A2603" s="29">
        <v>30</v>
      </c>
      <c r="B2603" s="30">
        <v>438525.10856199998</v>
      </c>
      <c r="C2603" s="30">
        <v>5688512.3324180003</v>
      </c>
      <c r="D2603" s="30">
        <v>6</v>
      </c>
      <c r="E2603" s="30" t="s">
        <v>64</v>
      </c>
      <c r="F2603" s="46">
        <v>2020</v>
      </c>
      <c r="G2603" s="47">
        <v>7.1999999999999995E-2</v>
      </c>
      <c r="H2603" s="47">
        <f t="shared" si="258"/>
        <v>2.4874970520869854E-2</v>
      </c>
      <c r="I2603" s="47">
        <v>0</v>
      </c>
      <c r="J2603" s="47">
        <f t="shared" si="254"/>
        <v>0</v>
      </c>
      <c r="K2603" s="47">
        <v>2.2499999999999999E-2</v>
      </c>
      <c r="L2603" s="47">
        <f t="shared" si="255"/>
        <v>8.2013513441929874E-3</v>
      </c>
      <c r="M2603" s="47">
        <f t="shared" si="256"/>
        <v>1.6673619176676868E-2</v>
      </c>
      <c r="N2603" s="47">
        <v>0</v>
      </c>
      <c r="O2603" s="47">
        <f t="shared" si="257"/>
        <v>0</v>
      </c>
      <c r="P2603" s="92"/>
    </row>
    <row r="2604" spans="1:16" x14ac:dyDescent="0.25">
      <c r="A2604" s="29">
        <v>31</v>
      </c>
      <c r="B2604" s="30">
        <v>437335.10856199998</v>
      </c>
      <c r="C2604" s="30">
        <v>5688631.3324180003</v>
      </c>
      <c r="D2604" s="30">
        <v>6</v>
      </c>
      <c r="E2604" s="30" t="s">
        <v>64</v>
      </c>
      <c r="F2604" s="46">
        <v>2020</v>
      </c>
      <c r="G2604" s="46" t="s">
        <v>18</v>
      </c>
      <c r="H2604" s="46" t="s">
        <v>18</v>
      </c>
      <c r="I2604" s="46" t="s">
        <v>18</v>
      </c>
      <c r="J2604" s="46" t="s">
        <v>18</v>
      </c>
      <c r="K2604" s="5">
        <v>1.61E-2</v>
      </c>
      <c r="L2604" s="47">
        <f t="shared" si="255"/>
        <v>5.8685225174003154E-3</v>
      </c>
      <c r="M2604" s="46" t="s">
        <v>18</v>
      </c>
      <c r="N2604" s="47">
        <v>0</v>
      </c>
      <c r="O2604" s="47">
        <f t="shared" si="257"/>
        <v>0</v>
      </c>
      <c r="P2604" s="92" t="s">
        <v>103</v>
      </c>
    </row>
    <row r="2605" spans="1:16" x14ac:dyDescent="0.25">
      <c r="A2605" s="29">
        <v>32</v>
      </c>
      <c r="B2605" s="30">
        <v>437454.10856199998</v>
      </c>
      <c r="C2605" s="30">
        <v>5688631.3324180003</v>
      </c>
      <c r="D2605" s="30">
        <v>6</v>
      </c>
      <c r="E2605" s="30" t="s">
        <v>64</v>
      </c>
      <c r="F2605" s="46">
        <v>2020</v>
      </c>
      <c r="G2605" s="47">
        <v>7.6599999999999988E-2</v>
      </c>
      <c r="H2605" s="47">
        <f t="shared" si="258"/>
        <v>2.6464204748592093E-2</v>
      </c>
      <c r="I2605" s="47">
        <v>0</v>
      </c>
      <c r="J2605" s="47">
        <f t="shared" si="254"/>
        <v>0</v>
      </c>
      <c r="K2605" s="47">
        <v>4.3499999999999997E-2</v>
      </c>
      <c r="L2605" s="47">
        <f t="shared" si="255"/>
        <v>1.585594593210644E-2</v>
      </c>
      <c r="M2605" s="47">
        <f t="shared" si="256"/>
        <v>1.0608258816485652E-2</v>
      </c>
      <c r="N2605" s="47">
        <v>1.0199999999999999E-2</v>
      </c>
      <c r="O2605" s="47">
        <f t="shared" si="257"/>
        <v>4.879178147006352E-3</v>
      </c>
      <c r="P2605" s="92"/>
    </row>
    <row r="2606" spans="1:16" x14ac:dyDescent="0.25">
      <c r="A2606" s="29">
        <v>33</v>
      </c>
      <c r="B2606" s="30">
        <v>437573.10856199998</v>
      </c>
      <c r="C2606" s="30">
        <v>5688631.3324180003</v>
      </c>
      <c r="D2606" s="30">
        <v>6</v>
      </c>
      <c r="E2606" s="30" t="s">
        <v>64</v>
      </c>
      <c r="F2606" s="46">
        <v>2020</v>
      </c>
      <c r="G2606" s="47">
        <v>3.1300000000000001E-2</v>
      </c>
      <c r="H2606" s="47">
        <f t="shared" si="258"/>
        <v>1.0813702462544813E-2</v>
      </c>
      <c r="I2606" s="47">
        <v>0</v>
      </c>
      <c r="J2606" s="47">
        <f t="shared" si="254"/>
        <v>0</v>
      </c>
      <c r="K2606" s="47">
        <v>6.3E-3</v>
      </c>
      <c r="L2606" s="47">
        <f t="shared" si="255"/>
        <v>2.2963783763740365E-3</v>
      </c>
      <c r="M2606" s="47">
        <f t="shared" si="256"/>
        <v>8.5173240861707768E-3</v>
      </c>
      <c r="N2606" s="47">
        <v>0</v>
      </c>
      <c r="O2606" s="47">
        <f t="shared" si="257"/>
        <v>0</v>
      </c>
      <c r="P2606" s="92"/>
    </row>
    <row r="2607" spans="1:16" x14ac:dyDescent="0.25">
      <c r="A2607" s="29">
        <v>34</v>
      </c>
      <c r="B2607" s="30">
        <v>437692.10856199998</v>
      </c>
      <c r="C2607" s="30">
        <v>5688631.3324180003</v>
      </c>
      <c r="D2607" s="30">
        <v>6</v>
      </c>
      <c r="E2607" s="30" t="s">
        <v>64</v>
      </c>
      <c r="F2607" s="46">
        <v>2020</v>
      </c>
      <c r="G2607" s="47">
        <v>3.6499999999999998E-2</v>
      </c>
      <c r="H2607" s="47">
        <f t="shared" si="258"/>
        <v>1.26102281112743E-2</v>
      </c>
      <c r="I2607" s="47">
        <v>9.300000000000001E-3</v>
      </c>
      <c r="J2607" s="47">
        <f t="shared" si="254"/>
        <v>3.9603365226369243E-3</v>
      </c>
      <c r="K2607" s="47">
        <v>9.4000000000000004E-3</v>
      </c>
      <c r="L2607" s="47">
        <f t="shared" si="255"/>
        <v>3.426342339351737E-3</v>
      </c>
      <c r="M2607" s="47">
        <f t="shared" si="256"/>
        <v>9.1838857719225633E-3</v>
      </c>
      <c r="N2607" s="47">
        <v>0</v>
      </c>
      <c r="O2607" s="47">
        <f t="shared" si="257"/>
        <v>0</v>
      </c>
      <c r="P2607" s="92"/>
    </row>
    <row r="2608" spans="1:16" x14ac:dyDescent="0.25">
      <c r="A2608" s="29">
        <v>35</v>
      </c>
      <c r="B2608" s="30">
        <v>437893</v>
      </c>
      <c r="C2608" s="30">
        <v>5688620</v>
      </c>
      <c r="D2608" s="30">
        <v>6</v>
      </c>
      <c r="E2608" s="30" t="s">
        <v>64</v>
      </c>
      <c r="F2608" s="46">
        <v>2020</v>
      </c>
      <c r="G2608" s="47">
        <v>9.0999999999999998E-2</v>
      </c>
      <c r="H2608" s="47">
        <f t="shared" si="258"/>
        <v>3.1439198852766068E-2</v>
      </c>
      <c r="I2608" s="47">
        <v>0</v>
      </c>
      <c r="J2608" s="47">
        <f t="shared" si="254"/>
        <v>0</v>
      </c>
      <c r="K2608" s="47">
        <v>4.6200000000000005E-2</v>
      </c>
      <c r="L2608" s="47">
        <f t="shared" si="255"/>
        <v>1.6840108093409602E-2</v>
      </c>
      <c r="M2608" s="47">
        <f t="shared" si="256"/>
        <v>1.4599090759356465E-2</v>
      </c>
      <c r="N2608" s="47">
        <v>0</v>
      </c>
      <c r="O2608" s="47">
        <f t="shared" si="257"/>
        <v>0</v>
      </c>
      <c r="P2608" s="92"/>
    </row>
    <row r="2609" spans="1:16" x14ac:dyDescent="0.25">
      <c r="A2609" s="29">
        <v>36</v>
      </c>
      <c r="B2609" s="30">
        <v>437930.10856199998</v>
      </c>
      <c r="C2609" s="30">
        <v>5688631.3324180003</v>
      </c>
      <c r="D2609" s="30">
        <v>6</v>
      </c>
      <c r="E2609" s="30" t="s">
        <v>64</v>
      </c>
      <c r="F2609" s="46">
        <v>2020</v>
      </c>
      <c r="G2609" s="46">
        <v>3.7899999999999996E-2</v>
      </c>
      <c r="H2609" s="47">
        <f t="shared" si="258"/>
        <v>1.3093908093624547E-2</v>
      </c>
      <c r="I2609" s="47">
        <v>0</v>
      </c>
      <c r="J2609" s="47">
        <f t="shared" si="254"/>
        <v>0</v>
      </c>
      <c r="K2609" s="47">
        <v>1.03E-2</v>
      </c>
      <c r="L2609" s="47">
        <f t="shared" si="255"/>
        <v>3.7543963931194564E-3</v>
      </c>
      <c r="M2609" s="47">
        <f t="shared" si="256"/>
        <v>9.3395117005050897E-3</v>
      </c>
      <c r="N2609" s="47">
        <v>4.0999999999999995E-3</v>
      </c>
      <c r="O2609" s="47">
        <f t="shared" si="257"/>
        <v>1.9612382747770632E-3</v>
      </c>
      <c r="P2609" s="92"/>
    </row>
    <row r="2610" spans="1:16" x14ac:dyDescent="0.25">
      <c r="A2610" s="32">
        <v>37</v>
      </c>
      <c r="B2610" s="33">
        <v>438049.10856199998</v>
      </c>
      <c r="C2610" s="33">
        <v>5688631.3324180003</v>
      </c>
      <c r="D2610" s="48">
        <v>6</v>
      </c>
      <c r="E2610" s="48" t="s">
        <v>64</v>
      </c>
      <c r="F2610" s="48">
        <v>2020</v>
      </c>
      <c r="G2610" s="48" t="s">
        <v>18</v>
      </c>
      <c r="H2610" s="48" t="s">
        <v>18</v>
      </c>
      <c r="I2610" s="48" t="s">
        <v>18</v>
      </c>
      <c r="J2610" s="48" t="s">
        <v>18</v>
      </c>
      <c r="K2610" s="48" t="s">
        <v>18</v>
      </c>
      <c r="L2610" s="48" t="s">
        <v>18</v>
      </c>
      <c r="M2610" s="48" t="s">
        <v>18</v>
      </c>
      <c r="N2610" s="48" t="s">
        <v>18</v>
      </c>
      <c r="O2610" s="48" t="s">
        <v>18</v>
      </c>
      <c r="P2610" s="103" t="s">
        <v>89</v>
      </c>
    </row>
    <row r="2611" spans="1:16" x14ac:dyDescent="0.25">
      <c r="A2611" s="29">
        <v>38</v>
      </c>
      <c r="B2611" s="30">
        <v>438067</v>
      </c>
      <c r="C2611" s="30">
        <v>5688710</v>
      </c>
      <c r="D2611" s="30">
        <v>6</v>
      </c>
      <c r="E2611" s="30" t="s">
        <v>64</v>
      </c>
      <c r="F2611" s="46">
        <v>2020</v>
      </c>
      <c r="G2611" s="54">
        <v>8.3299999999999999E-2</v>
      </c>
      <c r="H2611" s="47">
        <f t="shared" si="258"/>
        <v>2.8778958949839707E-2</v>
      </c>
      <c r="I2611" s="54">
        <v>0</v>
      </c>
      <c r="J2611" s="47">
        <f t="shared" si="254"/>
        <v>0</v>
      </c>
      <c r="K2611" s="54">
        <v>4.9000000000000007E-3</v>
      </c>
      <c r="L2611" s="47">
        <f t="shared" si="255"/>
        <v>1.7860720705131397E-3</v>
      </c>
      <c r="M2611" s="47">
        <f t="shared" si="256"/>
        <v>2.6992886879326567E-2</v>
      </c>
      <c r="N2611" s="47">
        <v>0</v>
      </c>
      <c r="O2611" s="47">
        <f t="shared" si="257"/>
        <v>0</v>
      </c>
      <c r="P2611" s="92"/>
    </row>
    <row r="2612" spans="1:16" x14ac:dyDescent="0.25">
      <c r="A2612" s="32">
        <v>39</v>
      </c>
      <c r="B2612" s="33">
        <v>438287.10856199998</v>
      </c>
      <c r="C2612" s="33">
        <v>5688631.3324180003</v>
      </c>
      <c r="D2612" s="48">
        <v>6</v>
      </c>
      <c r="E2612" s="48" t="s">
        <v>64</v>
      </c>
      <c r="F2612" s="48">
        <v>2020</v>
      </c>
      <c r="G2612" s="48" t="s">
        <v>18</v>
      </c>
      <c r="H2612" s="48" t="s">
        <v>18</v>
      </c>
      <c r="I2612" s="48" t="s">
        <v>18</v>
      </c>
      <c r="J2612" s="48" t="s">
        <v>18</v>
      </c>
      <c r="K2612" s="48" t="s">
        <v>18</v>
      </c>
      <c r="L2612" s="48" t="s">
        <v>18</v>
      </c>
      <c r="M2612" s="48" t="s">
        <v>18</v>
      </c>
      <c r="N2612" s="48" t="s">
        <v>18</v>
      </c>
      <c r="O2612" s="48" t="s">
        <v>18</v>
      </c>
      <c r="P2612" s="94" t="s">
        <v>22</v>
      </c>
    </row>
    <row r="2613" spans="1:16" x14ac:dyDescent="0.25">
      <c r="A2613" s="29">
        <v>40</v>
      </c>
      <c r="B2613" s="30">
        <v>438406.10856199998</v>
      </c>
      <c r="C2613" s="30">
        <v>5688631.3324180003</v>
      </c>
      <c r="D2613" s="30">
        <v>6</v>
      </c>
      <c r="E2613" s="30" t="s">
        <v>64</v>
      </c>
      <c r="F2613" s="46">
        <v>2020</v>
      </c>
      <c r="G2613" s="47">
        <v>8.4000000000000012E-3</v>
      </c>
      <c r="H2613" s="47">
        <f t="shared" si="258"/>
        <v>2.9020798941014835E-3</v>
      </c>
      <c r="I2613" s="47">
        <v>8.0000000000000004E-4</v>
      </c>
      <c r="J2613" s="47">
        <f t="shared" si="254"/>
        <v>3.4067410947414401E-4</v>
      </c>
      <c r="K2613" s="47">
        <v>3.5000000000000001E-3</v>
      </c>
      <c r="L2613" s="47">
        <f t="shared" si="255"/>
        <v>1.2757657646522425E-3</v>
      </c>
      <c r="M2613" s="47">
        <f t="shared" si="256"/>
        <v>1.6263141294492411E-3</v>
      </c>
      <c r="N2613" s="47">
        <v>0</v>
      </c>
      <c r="O2613" s="47">
        <f t="shared" si="257"/>
        <v>0</v>
      </c>
      <c r="P2613" s="92"/>
    </row>
    <row r="2614" spans="1:16" x14ac:dyDescent="0.25">
      <c r="A2614" s="29">
        <v>41</v>
      </c>
      <c r="B2614" s="30">
        <v>437310</v>
      </c>
      <c r="C2614" s="30">
        <v>5688729</v>
      </c>
      <c r="D2614" s="30">
        <v>6</v>
      </c>
      <c r="E2614" s="30" t="s">
        <v>64</v>
      </c>
      <c r="F2614" s="46">
        <v>2020</v>
      </c>
      <c r="G2614" s="47">
        <v>2.1700000000000001E-2</v>
      </c>
      <c r="H2614" s="47">
        <f t="shared" si="258"/>
        <v>7.4970397264288316E-3</v>
      </c>
      <c r="I2614" s="47">
        <v>1.46E-2</v>
      </c>
      <c r="J2614" s="47">
        <f t="shared" si="254"/>
        <v>6.2173024979031277E-3</v>
      </c>
      <c r="K2614" s="47">
        <v>2.1000000000000001E-2</v>
      </c>
      <c r="L2614" s="47">
        <f t="shared" si="255"/>
        <v>7.6545945879134556E-3</v>
      </c>
      <c r="M2614" s="47">
        <f t="shared" si="256"/>
        <v>-1.5755486148462394E-4</v>
      </c>
      <c r="N2614" s="47">
        <v>2.5100000000000001E-2</v>
      </c>
      <c r="O2614" s="47">
        <f t="shared" si="257"/>
        <v>1.2006605048025438E-2</v>
      </c>
      <c r="P2614" s="92"/>
    </row>
    <row r="2615" spans="1:16" x14ac:dyDescent="0.25">
      <c r="A2615" s="29">
        <v>42</v>
      </c>
      <c r="B2615" s="30">
        <v>437454.10856199998</v>
      </c>
      <c r="C2615" s="30">
        <v>5688750.3324180003</v>
      </c>
      <c r="D2615" s="30">
        <v>6</v>
      </c>
      <c r="E2615" s="30" t="s">
        <v>64</v>
      </c>
      <c r="F2615" s="46">
        <v>2020</v>
      </c>
      <c r="G2615" s="54">
        <v>4.0899999999999999E-2</v>
      </c>
      <c r="H2615" s="47">
        <f t="shared" si="258"/>
        <v>1.4130365198660792E-2</v>
      </c>
      <c r="I2615" s="47">
        <v>3.6600000000000001E-2</v>
      </c>
      <c r="J2615" s="47">
        <f t="shared" si="254"/>
        <v>1.5585840508442087E-2</v>
      </c>
      <c r="K2615" s="47">
        <v>1.1900000000000001E-2</v>
      </c>
      <c r="L2615" s="47">
        <f t="shared" si="255"/>
        <v>4.337603599817625E-3</v>
      </c>
      <c r="M2615" s="47">
        <f t="shared" si="256"/>
        <v>9.7927615988431665E-3</v>
      </c>
      <c r="N2615" s="47">
        <v>0.03</v>
      </c>
      <c r="O2615" s="47">
        <f t="shared" si="257"/>
        <v>1.4350523961783389E-2</v>
      </c>
      <c r="P2615" s="92"/>
    </row>
    <row r="2616" spans="1:16" x14ac:dyDescent="0.25">
      <c r="A2616" s="29">
        <v>43</v>
      </c>
      <c r="B2616" s="30">
        <v>437573.10856199998</v>
      </c>
      <c r="C2616" s="30">
        <v>5688750.3324180003</v>
      </c>
      <c r="D2616" s="30">
        <v>6</v>
      </c>
      <c r="E2616" s="30" t="s">
        <v>64</v>
      </c>
      <c r="F2616" s="46">
        <v>2020</v>
      </c>
      <c r="G2616" s="47">
        <v>2.53E-2</v>
      </c>
      <c r="H2616" s="47">
        <f t="shared" si="258"/>
        <v>8.7407882524723236E-3</v>
      </c>
      <c r="I2616" s="47">
        <v>3.1399999999999997E-2</v>
      </c>
      <c r="J2616" s="47">
        <f t="shared" si="254"/>
        <v>1.337145879686015E-2</v>
      </c>
      <c r="K2616" s="47">
        <v>1.3099999999999999E-2</v>
      </c>
      <c r="L2616" s="47">
        <f t="shared" si="255"/>
        <v>4.77500900484125E-3</v>
      </c>
      <c r="M2616" s="47">
        <f t="shared" si="256"/>
        <v>3.9657792476310736E-3</v>
      </c>
      <c r="N2616" s="47">
        <v>2.5999999999999999E-3</v>
      </c>
      <c r="O2616" s="47">
        <f t="shared" si="257"/>
        <v>1.2437120766878938E-3</v>
      </c>
      <c r="P2616" s="92"/>
    </row>
    <row r="2617" spans="1:16" x14ac:dyDescent="0.25">
      <c r="A2617" s="29">
        <v>44</v>
      </c>
      <c r="B2617" s="30">
        <v>437692.10856199998</v>
      </c>
      <c r="C2617" s="30">
        <v>5688750.3324180003</v>
      </c>
      <c r="D2617" s="30">
        <v>6</v>
      </c>
      <c r="E2617" s="30" t="s">
        <v>64</v>
      </c>
      <c r="F2617" s="46">
        <v>2020</v>
      </c>
      <c r="G2617" s="54">
        <v>3.8100000000000002E-2</v>
      </c>
      <c r="H2617" s="47">
        <f t="shared" si="258"/>
        <v>1.3163005233960299E-2</v>
      </c>
      <c r="I2617" s="47">
        <v>0</v>
      </c>
      <c r="J2617" s="47">
        <f t="shared" si="254"/>
        <v>0</v>
      </c>
      <c r="K2617" s="47">
        <v>3.1199999999999999E-2</v>
      </c>
      <c r="L2617" s="47">
        <f t="shared" si="255"/>
        <v>1.1372540530614275E-2</v>
      </c>
      <c r="M2617" s="47">
        <f t="shared" si="256"/>
        <v>1.7904647033460241E-3</v>
      </c>
      <c r="N2617" s="47">
        <v>0</v>
      </c>
      <c r="O2617" s="47">
        <f t="shared" si="257"/>
        <v>0</v>
      </c>
      <c r="P2617" s="92"/>
    </row>
    <row r="2618" spans="1:16" x14ac:dyDescent="0.25">
      <c r="A2618" s="29">
        <v>45</v>
      </c>
      <c r="B2618" s="30">
        <v>437811.10856199998</v>
      </c>
      <c r="C2618" s="30">
        <v>5688750.3324180003</v>
      </c>
      <c r="D2618" s="30">
        <v>6</v>
      </c>
      <c r="E2618" s="30" t="s">
        <v>64</v>
      </c>
      <c r="F2618" s="46">
        <v>2020</v>
      </c>
      <c r="G2618" s="47">
        <v>8.2900000000000001E-2</v>
      </c>
      <c r="H2618" s="47">
        <f t="shared" si="258"/>
        <v>2.864076466916821E-2</v>
      </c>
      <c r="I2618" s="47">
        <v>5.0000000000000001E-3</v>
      </c>
      <c r="J2618" s="47">
        <f t="shared" si="254"/>
        <v>2.1292131842133998E-3</v>
      </c>
      <c r="K2618" s="47">
        <v>1.7999999999999999E-2</v>
      </c>
      <c r="L2618" s="47">
        <f t="shared" si="255"/>
        <v>6.5610810753543893E-3</v>
      </c>
      <c r="M2618" s="47">
        <f t="shared" si="256"/>
        <v>2.207968359381382E-2</v>
      </c>
      <c r="N2618" s="47">
        <v>1.6300000000000002E-2</v>
      </c>
      <c r="O2618" s="47">
        <f t="shared" si="257"/>
        <v>7.797118019235643E-3</v>
      </c>
      <c r="P2618" s="92"/>
    </row>
    <row r="2619" spans="1:16" x14ac:dyDescent="0.25">
      <c r="A2619" s="65">
        <v>46</v>
      </c>
      <c r="B2619" s="66">
        <v>437930.10856199998</v>
      </c>
      <c r="C2619" s="66">
        <v>5688750.3324180003</v>
      </c>
      <c r="D2619" s="66">
        <v>6</v>
      </c>
      <c r="E2619" s="66" t="s">
        <v>64</v>
      </c>
      <c r="F2619" s="66">
        <v>2020</v>
      </c>
      <c r="G2619" s="66" t="s">
        <v>18</v>
      </c>
      <c r="H2619" s="66" t="s">
        <v>18</v>
      </c>
      <c r="I2619" s="66" t="s">
        <v>18</v>
      </c>
      <c r="J2619" s="66" t="s">
        <v>18</v>
      </c>
      <c r="K2619" s="66" t="s">
        <v>18</v>
      </c>
      <c r="L2619" s="66" t="s">
        <v>18</v>
      </c>
      <c r="M2619" s="66" t="s">
        <v>18</v>
      </c>
      <c r="N2619" s="66" t="s">
        <v>18</v>
      </c>
      <c r="O2619" s="66" t="s">
        <v>18</v>
      </c>
      <c r="P2619" s="105" t="s">
        <v>149</v>
      </c>
    </row>
    <row r="2620" spans="1:16" x14ac:dyDescent="0.25">
      <c r="A2620" s="29">
        <v>47</v>
      </c>
      <c r="B2620" s="30">
        <v>438061</v>
      </c>
      <c r="C2620" s="30">
        <v>5688779</v>
      </c>
      <c r="D2620" s="30">
        <v>6</v>
      </c>
      <c r="E2620" s="30" t="s">
        <v>64</v>
      </c>
      <c r="F2620" s="46">
        <v>2020</v>
      </c>
      <c r="G2620" s="47">
        <v>8.5400000000000004E-2</v>
      </c>
      <c r="H2620" s="47">
        <f t="shared" si="258"/>
        <v>2.9504478923365079E-2</v>
      </c>
      <c r="I2620" s="47">
        <v>0</v>
      </c>
      <c r="J2620" s="47">
        <f t="shared" si="254"/>
        <v>0</v>
      </c>
      <c r="K2620" s="47">
        <v>3.2600000000000004E-2</v>
      </c>
      <c r="L2620" s="47">
        <f t="shared" si="255"/>
        <v>1.1882846836475175E-2</v>
      </c>
      <c r="M2620" s="47">
        <f t="shared" si="256"/>
        <v>1.7621632086889903E-2</v>
      </c>
      <c r="N2620" s="47">
        <v>0</v>
      </c>
      <c r="O2620" s="47">
        <f t="shared" si="257"/>
        <v>0</v>
      </c>
      <c r="P2620" s="92"/>
    </row>
    <row r="2621" spans="1:16" x14ac:dyDescent="0.25">
      <c r="A2621" s="32">
        <v>48</v>
      </c>
      <c r="B2621" s="33">
        <v>438168.10856199998</v>
      </c>
      <c r="C2621" s="33">
        <v>5688750.3324180003</v>
      </c>
      <c r="D2621" s="48">
        <v>6</v>
      </c>
      <c r="E2621" s="48" t="s">
        <v>64</v>
      </c>
      <c r="F2621" s="48">
        <v>2020</v>
      </c>
      <c r="G2621" s="48" t="s">
        <v>18</v>
      </c>
      <c r="H2621" s="48" t="s">
        <v>18</v>
      </c>
      <c r="I2621" s="48" t="s">
        <v>18</v>
      </c>
      <c r="J2621" s="48" t="s">
        <v>18</v>
      </c>
      <c r="K2621" s="48" t="s">
        <v>18</v>
      </c>
      <c r="L2621" s="48" t="s">
        <v>18</v>
      </c>
      <c r="M2621" s="48" t="s">
        <v>18</v>
      </c>
      <c r="N2621" s="48" t="s">
        <v>18</v>
      </c>
      <c r="O2621" s="48" t="s">
        <v>18</v>
      </c>
      <c r="P2621" s="103" t="s">
        <v>89</v>
      </c>
    </row>
    <row r="2622" spans="1:16" x14ac:dyDescent="0.25">
      <c r="A2622" s="29">
        <v>49</v>
      </c>
      <c r="B2622" s="30">
        <v>437454.10856199998</v>
      </c>
      <c r="C2622" s="30">
        <v>5688869.3324180003</v>
      </c>
      <c r="D2622" s="30">
        <v>5</v>
      </c>
      <c r="E2622" s="30" t="s">
        <v>64</v>
      </c>
      <c r="F2622" s="46">
        <v>2020</v>
      </c>
      <c r="G2622" s="47">
        <v>7.0300000000000001E-2</v>
      </c>
      <c r="H2622" s="47">
        <f>G2622*0.262426050789222</f>
        <v>1.8448551370482305E-2</v>
      </c>
      <c r="I2622" s="47">
        <v>0</v>
      </c>
      <c r="J2622" s="47">
        <f t="shared" si="254"/>
        <v>0</v>
      </c>
      <c r="K2622" s="47">
        <v>2.93E-2</v>
      </c>
      <c r="L2622" s="47">
        <f>K2622*0.313834726090993</f>
        <v>9.1953574744660944E-3</v>
      </c>
      <c r="M2622" s="47">
        <f t="shared" si="256"/>
        <v>9.2531938960162107E-3</v>
      </c>
      <c r="N2622" s="47">
        <v>0</v>
      </c>
      <c r="O2622" s="47">
        <f>N2622*0.276729559748428</f>
        <v>0</v>
      </c>
      <c r="P2622" s="92"/>
    </row>
    <row r="2623" spans="1:16" x14ac:dyDescent="0.25">
      <c r="A2623" s="29">
        <v>50</v>
      </c>
      <c r="B2623" s="30">
        <v>437811.10856199998</v>
      </c>
      <c r="C2623" s="30">
        <v>5688869.3324180003</v>
      </c>
      <c r="D2623" s="30">
        <v>5</v>
      </c>
      <c r="E2623" s="30" t="s">
        <v>64</v>
      </c>
      <c r="F2623" s="46">
        <v>2020</v>
      </c>
      <c r="G2623" s="47">
        <v>0.10979999999999999</v>
      </c>
      <c r="H2623" s="47">
        <f>G2623*0.262426050789222</f>
        <v>2.8814380376656575E-2</v>
      </c>
      <c r="I2623" s="47">
        <v>8.77E-2</v>
      </c>
      <c r="J2623" s="47">
        <f>I2623*0.223525808539122</f>
        <v>1.9603213408881E-2</v>
      </c>
      <c r="K2623" s="47">
        <v>2.7800000000000002E-2</v>
      </c>
      <c r="L2623" s="47">
        <f>K2623*0.313834726090993</f>
        <v>8.7246053853296066E-3</v>
      </c>
      <c r="M2623" s="47">
        <f t="shared" si="256"/>
        <v>2.008977499132697E-2</v>
      </c>
      <c r="N2623" s="47">
        <v>1E-3</v>
      </c>
      <c r="O2623" s="47">
        <f>N2623*0.276729559748428</f>
        <v>2.7672955974842803E-4</v>
      </c>
      <c r="P2623" s="92"/>
    </row>
    <row r="2624" spans="1:16" x14ac:dyDescent="0.25">
      <c r="A2624" s="29">
        <v>51</v>
      </c>
      <c r="B2624" s="30">
        <v>437930.10856199998</v>
      </c>
      <c r="C2624" s="30">
        <v>5688869.3324180003</v>
      </c>
      <c r="D2624" s="30">
        <v>5</v>
      </c>
      <c r="E2624" s="30" t="s">
        <v>64</v>
      </c>
      <c r="F2624" s="46">
        <v>2020</v>
      </c>
      <c r="G2624" s="47">
        <v>0.03</v>
      </c>
      <c r="H2624" s="47">
        <f>G2624*0.262426050789222</f>
        <v>7.8727815236766599E-3</v>
      </c>
      <c r="I2624" s="47">
        <v>4.3099999999999999E-2</v>
      </c>
      <c r="J2624" s="47">
        <f>I2624*0.223525808539122</f>
        <v>9.6339623480361583E-3</v>
      </c>
      <c r="K2624" s="47">
        <v>3.4299999999999997E-2</v>
      </c>
      <c r="L2624" s="47">
        <f>K2624*0.313834726090993</f>
        <v>1.0764531104921059E-2</v>
      </c>
      <c r="M2624" s="47">
        <f t="shared" si="256"/>
        <v>-2.8917495812443988E-3</v>
      </c>
      <c r="N2624" s="47">
        <v>1.09E-2</v>
      </c>
      <c r="O2624" s="47">
        <f>N2624*0.276729559748428</f>
        <v>3.0163522012578653E-3</v>
      </c>
      <c r="P2624" s="92"/>
    </row>
    <row r="2625" spans="1:19" x14ac:dyDescent="0.25">
      <c r="A2625" s="29">
        <v>52</v>
      </c>
      <c r="B2625" s="30">
        <v>438049.10856199998</v>
      </c>
      <c r="C2625" s="30">
        <v>5688869.3324180003</v>
      </c>
      <c r="D2625" s="30">
        <v>6</v>
      </c>
      <c r="E2625" s="30" t="s">
        <v>64</v>
      </c>
      <c r="F2625" s="46">
        <v>2020</v>
      </c>
      <c r="G2625" s="46" t="s">
        <v>18</v>
      </c>
      <c r="H2625" s="46" t="s">
        <v>18</v>
      </c>
      <c r="I2625" s="46" t="s">
        <v>18</v>
      </c>
      <c r="J2625" s="46" t="s">
        <v>18</v>
      </c>
      <c r="K2625" s="47">
        <v>6.9999999999999999E-4</v>
      </c>
      <c r="L2625" s="47">
        <f t="shared" si="255"/>
        <v>2.5515315293044851E-4</v>
      </c>
      <c r="M2625" s="46" t="s">
        <v>18</v>
      </c>
      <c r="N2625" s="47">
        <v>1.4E-3</v>
      </c>
      <c r="O2625" s="47">
        <f t="shared" si="257"/>
        <v>6.6969111821655822E-4</v>
      </c>
      <c r="P2625" s="92" t="s">
        <v>103</v>
      </c>
    </row>
    <row r="2626" spans="1:19" x14ac:dyDescent="0.25">
      <c r="A2626" s="29">
        <v>53</v>
      </c>
      <c r="B2626" s="30">
        <v>438287.10856199998</v>
      </c>
      <c r="C2626" s="30">
        <v>5688869.3324180003</v>
      </c>
      <c r="D2626" s="30">
        <v>6</v>
      </c>
      <c r="E2626" s="30" t="s">
        <v>64</v>
      </c>
      <c r="F2626" s="46">
        <v>2020</v>
      </c>
      <c r="G2626" s="46">
        <v>2.9999999999999997E-4</v>
      </c>
      <c r="H2626" s="47">
        <f t="shared" si="258"/>
        <v>1.0364571050362439E-4</v>
      </c>
      <c r="I2626" s="47">
        <v>0</v>
      </c>
      <c r="J2626" s="47">
        <f t="shared" si="254"/>
        <v>0</v>
      </c>
      <c r="K2626" s="47">
        <v>8.9999999999999998E-4</v>
      </c>
      <c r="L2626" s="47">
        <f t="shared" si="255"/>
        <v>3.2805405376771948E-4</v>
      </c>
      <c r="M2626" s="47">
        <f t="shared" si="256"/>
        <v>-2.244083432640951E-4</v>
      </c>
      <c r="N2626" s="47">
        <v>3.8E-3</v>
      </c>
      <c r="O2626" s="47">
        <f t="shared" si="257"/>
        <v>1.8177330351592295E-3</v>
      </c>
      <c r="P2626" s="92"/>
    </row>
    <row r="2627" spans="1:19" x14ac:dyDescent="0.25">
      <c r="A2627" s="29">
        <v>54</v>
      </c>
      <c r="B2627" s="30">
        <v>437454.10856199998</v>
      </c>
      <c r="C2627" s="30">
        <v>5688988.3324180003</v>
      </c>
      <c r="D2627" s="30">
        <v>5</v>
      </c>
      <c r="E2627" s="30" t="s">
        <v>64</v>
      </c>
      <c r="F2627" s="46">
        <v>2020</v>
      </c>
      <c r="G2627" s="47">
        <v>8.1500000000000003E-2</v>
      </c>
      <c r="H2627" s="47">
        <f>G2627*0.262426050789222</f>
        <v>2.1387723139321593E-2</v>
      </c>
      <c r="I2627" s="47">
        <v>2.8999999999999998E-3</v>
      </c>
      <c r="J2627" s="47">
        <f>I2627*0.223525808539122</f>
        <v>6.4822484476345372E-4</v>
      </c>
      <c r="K2627" s="47">
        <v>1.7000000000000001E-2</v>
      </c>
      <c r="L2627" s="47">
        <f>K2627*0.313834726090993</f>
        <v>5.3351903435468811E-3</v>
      </c>
      <c r="M2627" s="47">
        <f t="shared" si="256"/>
        <v>1.6052532795774711E-2</v>
      </c>
      <c r="N2627" s="47">
        <v>4.0000000000000001E-3</v>
      </c>
      <c r="O2627" s="47">
        <f>N2627*0.276729559748428</f>
        <v>1.1069182389937121E-3</v>
      </c>
      <c r="P2627" s="92"/>
    </row>
    <row r="2628" spans="1:19" x14ac:dyDescent="0.25">
      <c r="A2628" s="29">
        <v>55</v>
      </c>
      <c r="B2628" s="30">
        <v>438049.10856199998</v>
      </c>
      <c r="C2628" s="30">
        <v>5688988.3324180003</v>
      </c>
      <c r="D2628" s="30">
        <v>6</v>
      </c>
      <c r="E2628" s="30" t="s">
        <v>64</v>
      </c>
      <c r="F2628" s="46">
        <v>2020</v>
      </c>
      <c r="G2628" s="46" t="s">
        <v>18</v>
      </c>
      <c r="H2628" s="46" t="s">
        <v>18</v>
      </c>
      <c r="I2628" s="46" t="s">
        <v>18</v>
      </c>
      <c r="J2628" s="46" t="s">
        <v>18</v>
      </c>
      <c r="K2628" s="47">
        <v>5.0000000000000001E-4</v>
      </c>
      <c r="L2628" s="47">
        <f t="shared" si="255"/>
        <v>1.8225225209317751E-4</v>
      </c>
      <c r="M2628" s="46" t="s">
        <v>18</v>
      </c>
      <c r="N2628" s="47">
        <v>9.300000000000001E-3</v>
      </c>
      <c r="O2628" s="47">
        <f t="shared" si="257"/>
        <v>4.4486624281528516E-3</v>
      </c>
      <c r="P2628" s="92" t="s">
        <v>103</v>
      </c>
    </row>
    <row r="2629" spans="1:19" x14ac:dyDescent="0.25">
      <c r="A2629" s="29">
        <v>56</v>
      </c>
      <c r="B2629" s="30">
        <v>438168.10856199998</v>
      </c>
      <c r="C2629" s="30">
        <v>5688988.3324180003</v>
      </c>
      <c r="D2629" s="30">
        <v>6</v>
      </c>
      <c r="E2629" s="30" t="s">
        <v>64</v>
      </c>
      <c r="F2629" s="46">
        <v>2020</v>
      </c>
      <c r="G2629" s="47">
        <v>2.87E-2</v>
      </c>
      <c r="H2629" s="47">
        <f t="shared" si="258"/>
        <v>9.9154396381800677E-3</v>
      </c>
      <c r="I2629" s="47">
        <v>0</v>
      </c>
      <c r="J2629" s="47">
        <f t="shared" si="254"/>
        <v>0</v>
      </c>
      <c r="K2629" s="47">
        <v>1.8E-3</v>
      </c>
      <c r="L2629" s="47">
        <f t="shared" si="255"/>
        <v>6.5610810753543897E-4</v>
      </c>
      <c r="M2629" s="47">
        <f t="shared" si="256"/>
        <v>9.259331530644628E-3</v>
      </c>
      <c r="N2629" s="47">
        <v>0</v>
      </c>
      <c r="O2629" s="47">
        <f t="shared" si="257"/>
        <v>0</v>
      </c>
      <c r="P2629" s="92"/>
    </row>
    <row r="2630" spans="1:19" x14ac:dyDescent="0.25">
      <c r="A2630" s="40">
        <v>57</v>
      </c>
      <c r="B2630" s="41">
        <v>438146</v>
      </c>
      <c r="C2630" s="41">
        <v>5688977</v>
      </c>
      <c r="D2630" s="41">
        <v>6</v>
      </c>
      <c r="E2630" s="41" t="s">
        <v>64</v>
      </c>
      <c r="F2630" s="50">
        <v>2020</v>
      </c>
      <c r="G2630" s="51">
        <v>7.1499999999999994E-2</v>
      </c>
      <c r="H2630" s="51">
        <f t="shared" si="258"/>
        <v>2.4702227670030479E-2</v>
      </c>
      <c r="I2630" s="51">
        <v>0</v>
      </c>
      <c r="J2630" s="51">
        <f t="shared" si="254"/>
        <v>0</v>
      </c>
      <c r="K2630" s="51">
        <v>2.2000000000000001E-3</v>
      </c>
      <c r="L2630" s="51">
        <f t="shared" si="255"/>
        <v>8.0190990920998102E-4</v>
      </c>
      <c r="M2630" s="51">
        <f t="shared" si="256"/>
        <v>2.3900317760820498E-2</v>
      </c>
      <c r="N2630" s="51">
        <v>0</v>
      </c>
      <c r="O2630" s="51">
        <f t="shared" si="257"/>
        <v>0</v>
      </c>
      <c r="P2630" s="101"/>
    </row>
    <row r="2631" spans="1:19" x14ac:dyDescent="0.25">
      <c r="A2631" s="40">
        <v>58</v>
      </c>
      <c r="B2631" s="41">
        <v>438131</v>
      </c>
      <c r="C2631" s="41">
        <v>5688972</v>
      </c>
      <c r="D2631" s="41">
        <v>6</v>
      </c>
      <c r="E2631" s="41" t="s">
        <v>64</v>
      </c>
      <c r="F2631" s="50">
        <v>2020</v>
      </c>
      <c r="G2631" s="51">
        <v>0.12709999999999999</v>
      </c>
      <c r="H2631" s="51">
        <f t="shared" si="258"/>
        <v>4.3911232683368863E-2</v>
      </c>
      <c r="I2631" s="51">
        <v>0</v>
      </c>
      <c r="J2631" s="51">
        <f t="shared" si="254"/>
        <v>0</v>
      </c>
      <c r="K2631" s="51">
        <v>1.43E-2</v>
      </c>
      <c r="L2631" s="51">
        <f t="shared" si="255"/>
        <v>5.2124144098648767E-3</v>
      </c>
      <c r="M2631" s="51">
        <f t="shared" si="256"/>
        <v>3.8698818273503986E-2</v>
      </c>
      <c r="N2631" s="51">
        <v>0</v>
      </c>
      <c r="O2631" s="51">
        <f t="shared" si="257"/>
        <v>0</v>
      </c>
      <c r="P2631" s="101"/>
    </row>
    <row r="2632" spans="1:19" x14ac:dyDescent="0.25">
      <c r="A2632" s="40">
        <v>59</v>
      </c>
      <c r="B2632" s="41">
        <v>438089</v>
      </c>
      <c r="C2632" s="41">
        <v>5688713</v>
      </c>
      <c r="D2632" s="41">
        <v>6</v>
      </c>
      <c r="E2632" s="41" t="s">
        <v>64</v>
      </c>
      <c r="F2632" s="50">
        <v>2020</v>
      </c>
      <c r="G2632" s="51">
        <v>6.7500000000000004E-2</v>
      </c>
      <c r="H2632" s="51">
        <f t="shared" si="258"/>
        <v>2.3320284863315489E-2</v>
      </c>
      <c r="I2632" s="51">
        <v>0</v>
      </c>
      <c r="J2632" s="51">
        <f t="shared" si="254"/>
        <v>0</v>
      </c>
      <c r="K2632" s="51">
        <v>5.5999999999999999E-3</v>
      </c>
      <c r="L2632" s="51">
        <f t="shared" si="255"/>
        <v>2.0412252234435881E-3</v>
      </c>
      <c r="M2632" s="51">
        <f t="shared" si="256"/>
        <v>2.1279059639871901E-2</v>
      </c>
      <c r="N2632" s="51">
        <v>0</v>
      </c>
      <c r="O2632" s="51">
        <f t="shared" si="257"/>
        <v>0</v>
      </c>
      <c r="P2632" s="101"/>
    </row>
    <row r="2633" spans="1:19" x14ac:dyDescent="0.25">
      <c r="A2633" s="40">
        <v>60</v>
      </c>
      <c r="B2633" s="41">
        <v>438099</v>
      </c>
      <c r="C2633" s="41">
        <v>5688719</v>
      </c>
      <c r="D2633" s="41">
        <v>6</v>
      </c>
      <c r="E2633" s="41" t="s">
        <v>64</v>
      </c>
      <c r="F2633" s="50">
        <v>2020</v>
      </c>
      <c r="G2633" s="51">
        <v>6.59E-2</v>
      </c>
      <c r="H2633" s="51">
        <f t="shared" si="258"/>
        <v>2.2767507740629491E-2</v>
      </c>
      <c r="I2633" s="51">
        <v>0</v>
      </c>
      <c r="J2633" s="51">
        <f t="shared" si="254"/>
        <v>0</v>
      </c>
      <c r="K2633" s="51">
        <v>1.52E-2</v>
      </c>
      <c r="L2633" s="51">
        <f t="shared" si="255"/>
        <v>5.5404684636325956E-3</v>
      </c>
      <c r="M2633" s="51">
        <f t="shared" si="256"/>
        <v>1.7227039276996897E-2</v>
      </c>
      <c r="N2633" s="51">
        <v>0</v>
      </c>
      <c r="O2633" s="51">
        <f t="shared" si="257"/>
        <v>0</v>
      </c>
      <c r="P2633" s="101"/>
    </row>
    <row r="2634" spans="1:19" x14ac:dyDescent="0.25">
      <c r="A2634" s="42">
        <v>1</v>
      </c>
      <c r="B2634" s="43">
        <v>437930.10856199998</v>
      </c>
      <c r="C2634" s="43">
        <v>5688036.3324180003</v>
      </c>
      <c r="D2634" s="44">
        <v>28</v>
      </c>
      <c r="E2634" s="44" t="s">
        <v>24</v>
      </c>
      <c r="F2634" s="44">
        <v>2020</v>
      </c>
      <c r="G2634" s="44" t="s">
        <v>18</v>
      </c>
      <c r="H2634" s="44" t="s">
        <v>18</v>
      </c>
      <c r="I2634" s="44" t="s">
        <v>18</v>
      </c>
      <c r="J2634" s="44" t="s">
        <v>18</v>
      </c>
      <c r="K2634" s="44" t="s">
        <v>18</v>
      </c>
      <c r="L2634" s="44" t="s">
        <v>18</v>
      </c>
      <c r="M2634" s="44" t="s">
        <v>18</v>
      </c>
      <c r="N2634" s="44" t="s">
        <v>18</v>
      </c>
      <c r="O2634" s="44" t="s">
        <v>18</v>
      </c>
      <c r="P2634" s="102" t="s">
        <v>109</v>
      </c>
      <c r="R2634" s="5">
        <f>AVERAGE(M2634:M2693)</f>
        <v>1.6393373806496178E-2</v>
      </c>
      <c r="S2634" s="5">
        <f>AVERAGE(H2634:H2693)</f>
        <v>2.5838018791197903E-2</v>
      </c>
    </row>
    <row r="2635" spans="1:19" x14ac:dyDescent="0.25">
      <c r="A2635" s="42">
        <v>2</v>
      </c>
      <c r="B2635" s="43">
        <v>437811.10856199998</v>
      </c>
      <c r="C2635" s="43">
        <v>5688155.3324180003</v>
      </c>
      <c r="D2635" s="44">
        <v>28</v>
      </c>
      <c r="E2635" s="44" t="s">
        <v>24</v>
      </c>
      <c r="F2635" s="44">
        <v>2020</v>
      </c>
      <c r="G2635" s="44" t="s">
        <v>18</v>
      </c>
      <c r="H2635" s="44" t="s">
        <v>18</v>
      </c>
      <c r="I2635" s="44" t="s">
        <v>18</v>
      </c>
      <c r="J2635" s="44" t="s">
        <v>18</v>
      </c>
      <c r="K2635" s="44" t="s">
        <v>18</v>
      </c>
      <c r="L2635" s="44" t="s">
        <v>18</v>
      </c>
      <c r="M2635" s="44" t="s">
        <v>18</v>
      </c>
      <c r="N2635" s="44" t="s">
        <v>18</v>
      </c>
      <c r="O2635" s="44" t="s">
        <v>18</v>
      </c>
      <c r="P2635" s="102" t="s">
        <v>109</v>
      </c>
    </row>
    <row r="2636" spans="1:19" x14ac:dyDescent="0.25">
      <c r="A2636" s="29">
        <v>3</v>
      </c>
      <c r="B2636" s="30">
        <v>437930.10856199998</v>
      </c>
      <c r="C2636" s="30">
        <v>5688155.3324180003</v>
      </c>
      <c r="D2636" s="30">
        <v>28</v>
      </c>
      <c r="E2636" s="30" t="s">
        <v>24</v>
      </c>
      <c r="F2636" s="46">
        <v>2020</v>
      </c>
      <c r="G2636" s="47">
        <v>7.3000000000000001E-3</v>
      </c>
      <c r="H2636" s="47">
        <f>G2636*0.284877808299308</f>
        <v>2.079608000584948E-3</v>
      </c>
      <c r="I2636" s="47">
        <v>1.8600000000000002E-2</v>
      </c>
      <c r="J2636" s="47">
        <f>I2636*0.328598875351453</f>
        <v>6.1119390815370265E-3</v>
      </c>
      <c r="K2636" s="47">
        <v>4.0000000000000001E-3</v>
      </c>
      <c r="L2636" s="47">
        <f>K2636*0.359672673326559</f>
        <v>1.4386906933062361E-3</v>
      </c>
      <c r="M2636" s="47">
        <f>H2636-L2636</f>
        <v>6.4091730727871199E-4</v>
      </c>
      <c r="N2636" s="47">
        <v>5.1900000000000002E-2</v>
      </c>
      <c r="O2636" s="47">
        <f>N2636*0.396097010330437</f>
        <v>2.055743483614968E-2</v>
      </c>
      <c r="P2636" s="92"/>
    </row>
    <row r="2637" spans="1:19" x14ac:dyDescent="0.25">
      <c r="A2637" s="42">
        <v>4</v>
      </c>
      <c r="B2637" s="43">
        <v>438049.10856199998</v>
      </c>
      <c r="C2637" s="43">
        <v>5688155.3324180003</v>
      </c>
      <c r="D2637" s="44">
        <v>28</v>
      </c>
      <c r="E2637" s="44" t="s">
        <v>24</v>
      </c>
      <c r="F2637" s="44">
        <v>2020</v>
      </c>
      <c r="G2637" s="44" t="s">
        <v>18</v>
      </c>
      <c r="H2637" s="44" t="s">
        <v>18</v>
      </c>
      <c r="I2637" s="44" t="s">
        <v>18</v>
      </c>
      <c r="J2637" s="44" t="s">
        <v>18</v>
      </c>
      <c r="K2637" s="44" t="s">
        <v>18</v>
      </c>
      <c r="L2637" s="44" t="s">
        <v>18</v>
      </c>
      <c r="M2637" s="44" t="s">
        <v>18</v>
      </c>
      <c r="N2637" s="44" t="s">
        <v>18</v>
      </c>
      <c r="O2637" s="44" t="s">
        <v>18</v>
      </c>
      <c r="P2637" s="102" t="s">
        <v>109</v>
      </c>
    </row>
    <row r="2638" spans="1:19" x14ac:dyDescent="0.25">
      <c r="A2638" s="42">
        <v>5</v>
      </c>
      <c r="B2638" s="43">
        <v>437573.10856199998</v>
      </c>
      <c r="C2638" s="43">
        <v>5688274.3324180003</v>
      </c>
      <c r="D2638" s="44">
        <v>28</v>
      </c>
      <c r="E2638" s="44" t="s">
        <v>24</v>
      </c>
      <c r="F2638" s="44">
        <v>2020</v>
      </c>
      <c r="G2638" s="44" t="s">
        <v>18</v>
      </c>
      <c r="H2638" s="44" t="s">
        <v>18</v>
      </c>
      <c r="I2638" s="44" t="s">
        <v>18</v>
      </c>
      <c r="J2638" s="44" t="s">
        <v>18</v>
      </c>
      <c r="K2638" s="44" t="s">
        <v>18</v>
      </c>
      <c r="L2638" s="44" t="s">
        <v>18</v>
      </c>
      <c r="M2638" s="44" t="s">
        <v>18</v>
      </c>
      <c r="N2638" s="44" t="s">
        <v>18</v>
      </c>
      <c r="O2638" s="44" t="s">
        <v>18</v>
      </c>
      <c r="P2638" s="102" t="s">
        <v>109</v>
      </c>
    </row>
    <row r="2639" spans="1:19" x14ac:dyDescent="0.25">
      <c r="A2639" s="29">
        <v>6</v>
      </c>
      <c r="B2639" s="30">
        <v>437692.10856199998</v>
      </c>
      <c r="C2639" s="30">
        <v>5688274.3324180003</v>
      </c>
      <c r="D2639" s="30">
        <v>27</v>
      </c>
      <c r="E2639" s="30" t="s">
        <v>24</v>
      </c>
      <c r="F2639" s="46">
        <v>2020</v>
      </c>
      <c r="G2639" s="46">
        <v>1.4500000000000001E-2</v>
      </c>
      <c r="H2639" s="47">
        <f t="shared" ref="H2639:H2693" si="259">G2639*0.30653815795991</f>
        <v>4.4448032904186958E-3</v>
      </c>
      <c r="I2639" s="47">
        <v>6.6799999999999998E-2</v>
      </c>
      <c r="J2639" s="47">
        <f t="shared" ref="J2639:J2693" si="260">I2639*0.372790691074503</f>
        <v>2.49024181637768E-2</v>
      </c>
      <c r="K2639" s="47">
        <v>7.1999999999999998E-3</v>
      </c>
      <c r="L2639" s="47">
        <f t="shared" ref="L2639:L2693" si="261">K2639*0.368370985584452</f>
        <v>2.6522710962080544E-3</v>
      </c>
      <c r="M2639" s="47">
        <f t="shared" ref="M2639:M2693" si="262">H2639-L2639</f>
        <v>1.7925321942106414E-3</v>
      </c>
      <c r="N2639" s="47">
        <v>7.0599999999999996E-2</v>
      </c>
      <c r="O2639" s="47">
        <f t="shared" ref="O2639:O2693" si="263">N2639*0.400521082253535</f>
        <v>2.827678840709957E-2</v>
      </c>
      <c r="P2639" s="92"/>
    </row>
    <row r="2640" spans="1:19" x14ac:dyDescent="0.25">
      <c r="A2640" s="65">
        <v>7</v>
      </c>
      <c r="B2640" s="66">
        <v>437811.10856199998</v>
      </c>
      <c r="C2640" s="66">
        <v>5688274.3324180003</v>
      </c>
      <c r="D2640" s="66">
        <v>28</v>
      </c>
      <c r="E2640" s="66" t="s">
        <v>24</v>
      </c>
      <c r="F2640" s="66">
        <v>2020</v>
      </c>
      <c r="G2640" s="66" t="s">
        <v>18</v>
      </c>
      <c r="H2640" s="66" t="s">
        <v>18</v>
      </c>
      <c r="I2640" s="66" t="s">
        <v>18</v>
      </c>
      <c r="J2640" s="66" t="s">
        <v>18</v>
      </c>
      <c r="K2640" s="66" t="s">
        <v>18</v>
      </c>
      <c r="L2640" s="66" t="s">
        <v>18</v>
      </c>
      <c r="M2640" s="66" t="s">
        <v>18</v>
      </c>
      <c r="N2640" s="66" t="s">
        <v>18</v>
      </c>
      <c r="O2640" s="66" t="s">
        <v>18</v>
      </c>
      <c r="P2640" s="105" t="s">
        <v>147</v>
      </c>
    </row>
    <row r="2641" spans="1:16" x14ac:dyDescent="0.25">
      <c r="A2641" s="42">
        <v>8</v>
      </c>
      <c r="B2641" s="43">
        <v>437930.10856199998</v>
      </c>
      <c r="C2641" s="43">
        <v>5688274.3324180003</v>
      </c>
      <c r="D2641" s="44">
        <v>28</v>
      </c>
      <c r="E2641" s="44" t="s">
        <v>24</v>
      </c>
      <c r="F2641" s="44">
        <v>2020</v>
      </c>
      <c r="G2641" s="44" t="s">
        <v>18</v>
      </c>
      <c r="H2641" s="44" t="s">
        <v>18</v>
      </c>
      <c r="I2641" s="44" t="s">
        <v>18</v>
      </c>
      <c r="J2641" s="44" t="s">
        <v>18</v>
      </c>
      <c r="K2641" s="44" t="s">
        <v>18</v>
      </c>
      <c r="L2641" s="44" t="s">
        <v>18</v>
      </c>
      <c r="M2641" s="44" t="s">
        <v>18</v>
      </c>
      <c r="N2641" s="44" t="s">
        <v>18</v>
      </c>
      <c r="O2641" s="44" t="s">
        <v>18</v>
      </c>
      <c r="P2641" s="102" t="s">
        <v>109</v>
      </c>
    </row>
    <row r="2642" spans="1:16" x14ac:dyDescent="0.25">
      <c r="A2642" s="29">
        <v>9</v>
      </c>
      <c r="B2642" s="30">
        <v>438287.10856199998</v>
      </c>
      <c r="C2642" s="30">
        <v>5688274.3324180003</v>
      </c>
      <c r="D2642" s="30">
        <v>27</v>
      </c>
      <c r="E2642" s="30" t="s">
        <v>24</v>
      </c>
      <c r="F2642" s="46">
        <v>2020</v>
      </c>
      <c r="G2642" s="47">
        <v>7.6599999999999988E-2</v>
      </c>
      <c r="H2642" s="47">
        <f t="shared" si="259"/>
        <v>2.3480822899729102E-2</v>
      </c>
      <c r="I2642" s="47">
        <v>0</v>
      </c>
      <c r="J2642" s="47">
        <f t="shared" si="260"/>
        <v>0</v>
      </c>
      <c r="K2642" s="47">
        <v>4.0399999999999998E-2</v>
      </c>
      <c r="L2642" s="47">
        <f t="shared" si="261"/>
        <v>1.4882187817611862E-2</v>
      </c>
      <c r="M2642" s="47">
        <f t="shared" si="262"/>
        <v>8.5986350821172404E-3</v>
      </c>
      <c r="N2642" s="47">
        <v>0</v>
      </c>
      <c r="O2642" s="47">
        <f t="shared" si="263"/>
        <v>0</v>
      </c>
      <c r="P2642" s="92"/>
    </row>
    <row r="2643" spans="1:16" x14ac:dyDescent="0.25">
      <c r="A2643" s="29">
        <v>10</v>
      </c>
      <c r="B2643" s="30">
        <v>438406.10856199998</v>
      </c>
      <c r="C2643" s="30">
        <v>5688274.3324180003</v>
      </c>
      <c r="D2643" s="30">
        <v>27</v>
      </c>
      <c r="E2643" s="30" t="s">
        <v>24</v>
      </c>
      <c r="F2643" s="46">
        <v>2020</v>
      </c>
      <c r="G2643" s="47">
        <v>4.53E-2</v>
      </c>
      <c r="H2643" s="47">
        <f t="shared" si="259"/>
        <v>1.3886178555583923E-2</v>
      </c>
      <c r="I2643" s="47">
        <v>9.6799999999999997E-2</v>
      </c>
      <c r="J2643" s="47">
        <f t="shared" si="260"/>
        <v>3.6086138896011893E-2</v>
      </c>
      <c r="K2643" s="47">
        <v>3.5900000000000001E-2</v>
      </c>
      <c r="L2643" s="47">
        <f t="shared" si="261"/>
        <v>1.3224518382481829E-2</v>
      </c>
      <c r="M2643" s="47">
        <f t="shared" si="262"/>
        <v>6.6166017310209484E-4</v>
      </c>
      <c r="N2643" s="47">
        <v>8.8999999999999999E-3</v>
      </c>
      <c r="O2643" s="47">
        <f t="shared" si="263"/>
        <v>3.5646376320564613E-3</v>
      </c>
      <c r="P2643" s="92"/>
    </row>
    <row r="2644" spans="1:16" x14ac:dyDescent="0.25">
      <c r="A2644" s="42">
        <v>11</v>
      </c>
      <c r="B2644" s="43">
        <v>437454.10856199998</v>
      </c>
      <c r="C2644" s="43">
        <v>5688393.3324180003</v>
      </c>
      <c r="D2644" s="44">
        <v>28</v>
      </c>
      <c r="E2644" s="44" t="s">
        <v>24</v>
      </c>
      <c r="F2644" s="44">
        <v>2020</v>
      </c>
      <c r="G2644" s="44" t="s">
        <v>18</v>
      </c>
      <c r="H2644" s="44" t="s">
        <v>18</v>
      </c>
      <c r="I2644" s="44" t="s">
        <v>18</v>
      </c>
      <c r="J2644" s="44" t="s">
        <v>18</v>
      </c>
      <c r="K2644" s="44" t="s">
        <v>18</v>
      </c>
      <c r="L2644" s="44" t="s">
        <v>18</v>
      </c>
      <c r="M2644" s="44" t="s">
        <v>18</v>
      </c>
      <c r="N2644" s="44" t="s">
        <v>18</v>
      </c>
      <c r="O2644" s="44" t="s">
        <v>18</v>
      </c>
      <c r="P2644" s="102" t="s">
        <v>109</v>
      </c>
    </row>
    <row r="2645" spans="1:16" x14ac:dyDescent="0.25">
      <c r="A2645" s="29">
        <v>12</v>
      </c>
      <c r="B2645" s="30">
        <v>437573.10856199998</v>
      </c>
      <c r="C2645" s="30">
        <v>5688393.3324180003</v>
      </c>
      <c r="D2645" s="30">
        <v>27</v>
      </c>
      <c r="E2645" s="30" t="s">
        <v>24</v>
      </c>
      <c r="F2645" s="46">
        <v>2020</v>
      </c>
      <c r="G2645" s="47">
        <v>4.7200000000000006E-2</v>
      </c>
      <c r="H2645" s="47">
        <f t="shared" si="259"/>
        <v>1.4468601055707755E-2</v>
      </c>
      <c r="I2645" s="47">
        <v>0</v>
      </c>
      <c r="J2645" s="47">
        <f t="shared" si="260"/>
        <v>0</v>
      </c>
      <c r="K2645" s="47">
        <v>5.3E-3</v>
      </c>
      <c r="L2645" s="47">
        <f t="shared" si="261"/>
        <v>1.9523662235975958E-3</v>
      </c>
      <c r="M2645" s="47">
        <f t="shared" si="262"/>
        <v>1.251623483211016E-2</v>
      </c>
      <c r="N2645" s="47">
        <v>0</v>
      </c>
      <c r="O2645" s="47">
        <f t="shared" si="263"/>
        <v>0</v>
      </c>
      <c r="P2645" s="92"/>
    </row>
    <row r="2646" spans="1:16" x14ac:dyDescent="0.25">
      <c r="A2646" s="29">
        <v>13</v>
      </c>
      <c r="B2646" s="30">
        <v>437692.10856199998</v>
      </c>
      <c r="C2646" s="30">
        <v>5688393.3324180003</v>
      </c>
      <c r="D2646" s="30">
        <v>27</v>
      </c>
      <c r="E2646" s="30" t="s">
        <v>24</v>
      </c>
      <c r="F2646" s="46">
        <v>2020</v>
      </c>
      <c r="G2646" s="47">
        <v>0.16440000000000002</v>
      </c>
      <c r="H2646" s="47">
        <f t="shared" si="259"/>
        <v>5.039487316860921E-2</v>
      </c>
      <c r="I2646" s="47">
        <v>0.17169999999999999</v>
      </c>
      <c r="J2646" s="47">
        <f t="shared" si="260"/>
        <v>6.4008161657492166E-2</v>
      </c>
      <c r="K2646" s="47">
        <v>5.2999999999999999E-2</v>
      </c>
      <c r="L2646" s="47">
        <f t="shared" si="261"/>
        <v>1.9523662235975958E-2</v>
      </c>
      <c r="M2646" s="47">
        <f t="shared" si="262"/>
        <v>3.0871210932633252E-2</v>
      </c>
      <c r="N2646" s="47">
        <v>4.5200000000000004E-2</v>
      </c>
      <c r="O2646" s="47">
        <f t="shared" si="263"/>
        <v>1.8103552917859783E-2</v>
      </c>
      <c r="P2646" s="92"/>
    </row>
    <row r="2647" spans="1:16" x14ac:dyDescent="0.25">
      <c r="A2647" s="32">
        <v>14</v>
      </c>
      <c r="B2647" s="33">
        <v>437811.10856199998</v>
      </c>
      <c r="C2647" s="33">
        <v>5688393.3324180003</v>
      </c>
      <c r="D2647" s="48">
        <v>28</v>
      </c>
      <c r="E2647" s="48" t="s">
        <v>24</v>
      </c>
      <c r="F2647" s="48">
        <v>2020</v>
      </c>
      <c r="G2647" s="48" t="s">
        <v>18</v>
      </c>
      <c r="H2647" s="48" t="s">
        <v>18</v>
      </c>
      <c r="I2647" s="48" t="s">
        <v>18</v>
      </c>
      <c r="J2647" s="48" t="s">
        <v>18</v>
      </c>
      <c r="K2647" s="48" t="s">
        <v>18</v>
      </c>
      <c r="L2647" s="48" t="s">
        <v>18</v>
      </c>
      <c r="M2647" s="48" t="s">
        <v>18</v>
      </c>
      <c r="N2647" s="48" t="s">
        <v>18</v>
      </c>
      <c r="O2647" s="48" t="s">
        <v>18</v>
      </c>
      <c r="P2647" s="103" t="s">
        <v>89</v>
      </c>
    </row>
    <row r="2648" spans="1:16" x14ac:dyDescent="0.25">
      <c r="A2648" s="29">
        <v>15</v>
      </c>
      <c r="B2648" s="30">
        <v>437930.10856199998</v>
      </c>
      <c r="C2648" s="30">
        <v>5688393.3324180003</v>
      </c>
      <c r="D2648" s="30">
        <v>27</v>
      </c>
      <c r="E2648" s="30" t="s">
        <v>24</v>
      </c>
      <c r="F2648" s="46">
        <v>2020</v>
      </c>
      <c r="G2648" s="46">
        <v>8.8400000000000006E-2</v>
      </c>
      <c r="H2648" s="47">
        <f t="shared" si="259"/>
        <v>2.7097973163656048E-2</v>
      </c>
      <c r="I2648" s="46">
        <v>0.27460000000000001</v>
      </c>
      <c r="J2648" s="47">
        <f t="shared" si="260"/>
        <v>0.10236832376905854</v>
      </c>
      <c r="K2648" s="47">
        <v>4.7700000000000006E-2</v>
      </c>
      <c r="L2648" s="47">
        <f t="shared" si="261"/>
        <v>1.7571296012378362E-2</v>
      </c>
      <c r="M2648" s="47">
        <f t="shared" si="262"/>
        <v>9.5266771512776856E-3</v>
      </c>
      <c r="N2648" s="47">
        <v>0.24440000000000001</v>
      </c>
      <c r="O2648" s="47">
        <f t="shared" si="263"/>
        <v>9.7887352502763952E-2</v>
      </c>
      <c r="P2648" s="92"/>
    </row>
    <row r="2649" spans="1:16" x14ac:dyDescent="0.25">
      <c r="A2649" s="29">
        <v>16</v>
      </c>
      <c r="B2649" s="30">
        <v>438049.10856199998</v>
      </c>
      <c r="C2649" s="30">
        <v>5688393.3324180003</v>
      </c>
      <c r="D2649" s="30">
        <v>27</v>
      </c>
      <c r="E2649" s="30" t="s">
        <v>24</v>
      </c>
      <c r="F2649" s="46">
        <v>2020</v>
      </c>
      <c r="G2649" s="46">
        <v>4.0000000000000001E-3</v>
      </c>
      <c r="H2649" s="47">
        <f t="shared" si="259"/>
        <v>1.2261526318396402E-3</v>
      </c>
      <c r="I2649" s="46">
        <v>0.4012</v>
      </c>
      <c r="J2649" s="47">
        <f t="shared" si="260"/>
        <v>0.14956362525909062</v>
      </c>
      <c r="K2649" s="47">
        <v>8.5000000000000006E-3</v>
      </c>
      <c r="L2649" s="47">
        <f t="shared" si="261"/>
        <v>3.1311533774678424E-3</v>
      </c>
      <c r="M2649" s="47">
        <f t="shared" si="262"/>
        <v>-1.9050007456282022E-3</v>
      </c>
      <c r="N2649" s="47">
        <v>0.1993</v>
      </c>
      <c r="O2649" s="47">
        <f t="shared" si="263"/>
        <v>7.9823851693129527E-2</v>
      </c>
      <c r="P2649" s="92"/>
    </row>
    <row r="2650" spans="1:16" x14ac:dyDescent="0.25">
      <c r="A2650" s="29">
        <v>17</v>
      </c>
      <c r="B2650" s="30">
        <v>438168.10856199998</v>
      </c>
      <c r="C2650" s="30">
        <v>5688393.3324180003</v>
      </c>
      <c r="D2650" s="30">
        <v>27</v>
      </c>
      <c r="E2650" s="30" t="s">
        <v>24</v>
      </c>
      <c r="F2650" s="46">
        <v>2020</v>
      </c>
      <c r="G2650" s="47">
        <v>3.32E-2</v>
      </c>
      <c r="H2650" s="47">
        <f t="shared" si="259"/>
        <v>1.0177066844269013E-2</v>
      </c>
      <c r="I2650" s="47">
        <v>0.1012</v>
      </c>
      <c r="J2650" s="47">
        <f t="shared" si="260"/>
        <v>3.7726417936739705E-2</v>
      </c>
      <c r="K2650" s="47">
        <v>1.7299999999999999E-2</v>
      </c>
      <c r="L2650" s="47">
        <f t="shared" si="261"/>
        <v>6.3728180506110194E-3</v>
      </c>
      <c r="M2650" s="47">
        <f t="shared" si="262"/>
        <v>3.8042487936579931E-3</v>
      </c>
      <c r="N2650" s="47">
        <v>0.22690000000000002</v>
      </c>
      <c r="O2650" s="47">
        <f t="shared" si="263"/>
        <v>9.0878233563327096E-2</v>
      </c>
      <c r="P2650" s="92"/>
    </row>
    <row r="2651" spans="1:16" x14ac:dyDescent="0.25">
      <c r="A2651" s="29">
        <v>18</v>
      </c>
      <c r="B2651" s="30">
        <v>438287.10856199998</v>
      </c>
      <c r="C2651" s="30">
        <v>5688393.3324180003</v>
      </c>
      <c r="D2651" s="30">
        <v>27</v>
      </c>
      <c r="E2651" s="30" t="s">
        <v>24</v>
      </c>
      <c r="F2651" s="46">
        <v>2020</v>
      </c>
      <c r="G2651" s="47">
        <v>2.86E-2</v>
      </c>
      <c r="H2651" s="47">
        <f t="shared" si="259"/>
        <v>8.7669913176534262E-3</v>
      </c>
      <c r="I2651" s="47">
        <v>0</v>
      </c>
      <c r="J2651" s="47">
        <f t="shared" si="260"/>
        <v>0</v>
      </c>
      <c r="K2651" s="47">
        <v>1.9E-3</v>
      </c>
      <c r="L2651" s="47">
        <f t="shared" si="261"/>
        <v>6.9990487261045882E-4</v>
      </c>
      <c r="M2651" s="47">
        <f t="shared" si="262"/>
        <v>8.0670864450429671E-3</v>
      </c>
      <c r="N2651" s="47">
        <v>1.1300000000000001E-2</v>
      </c>
      <c r="O2651" s="47">
        <f t="shared" si="263"/>
        <v>4.5258882294649458E-3</v>
      </c>
      <c r="P2651" s="92"/>
    </row>
    <row r="2652" spans="1:16" x14ac:dyDescent="0.25">
      <c r="A2652" s="29">
        <v>19</v>
      </c>
      <c r="B2652" s="30">
        <v>438406.10856199998</v>
      </c>
      <c r="C2652" s="30">
        <v>5688393.3324180003</v>
      </c>
      <c r="D2652" s="30">
        <v>27</v>
      </c>
      <c r="E2652" s="30" t="s">
        <v>24</v>
      </c>
      <c r="F2652" s="46">
        <v>2020</v>
      </c>
      <c r="G2652" s="47">
        <v>0.128</v>
      </c>
      <c r="H2652" s="47">
        <f t="shared" si="259"/>
        <v>3.9236884218868485E-2</v>
      </c>
      <c r="I2652" s="47">
        <v>0</v>
      </c>
      <c r="J2652" s="47">
        <f t="shared" si="260"/>
        <v>0</v>
      </c>
      <c r="K2652" s="47">
        <v>3.1899999999999998E-2</v>
      </c>
      <c r="L2652" s="47">
        <f t="shared" si="261"/>
        <v>1.1751034440144019E-2</v>
      </c>
      <c r="M2652" s="47">
        <f t="shared" si="262"/>
        <v>2.7485849778724467E-2</v>
      </c>
      <c r="N2652" s="47">
        <v>0</v>
      </c>
      <c r="O2652" s="47">
        <f t="shared" si="263"/>
        <v>0</v>
      </c>
      <c r="P2652" s="92"/>
    </row>
    <row r="2653" spans="1:16" x14ac:dyDescent="0.25">
      <c r="A2653" s="42">
        <v>20</v>
      </c>
      <c r="B2653" s="43">
        <v>437335.10856199998</v>
      </c>
      <c r="C2653" s="43">
        <v>5688512.3324180003</v>
      </c>
      <c r="D2653" s="44">
        <v>28</v>
      </c>
      <c r="E2653" s="44" t="s">
        <v>24</v>
      </c>
      <c r="F2653" s="44">
        <v>2020</v>
      </c>
      <c r="G2653" s="44" t="s">
        <v>18</v>
      </c>
      <c r="H2653" s="44" t="s">
        <v>18</v>
      </c>
      <c r="I2653" s="44" t="s">
        <v>18</v>
      </c>
      <c r="J2653" s="44" t="s">
        <v>18</v>
      </c>
      <c r="K2653" s="44" t="s">
        <v>18</v>
      </c>
      <c r="L2653" s="44" t="s">
        <v>18</v>
      </c>
      <c r="M2653" s="44" t="s">
        <v>18</v>
      </c>
      <c r="N2653" s="44" t="s">
        <v>18</v>
      </c>
      <c r="O2653" s="44" t="s">
        <v>18</v>
      </c>
      <c r="P2653" s="102" t="s">
        <v>109</v>
      </c>
    </row>
    <row r="2654" spans="1:16" x14ac:dyDescent="0.25">
      <c r="A2654" s="29">
        <v>21</v>
      </c>
      <c r="B2654" s="30">
        <v>437454.10856199998</v>
      </c>
      <c r="C2654" s="30">
        <v>5688512.3324180003</v>
      </c>
      <c r="D2654" s="30">
        <v>27</v>
      </c>
      <c r="E2654" s="30" t="s">
        <v>24</v>
      </c>
      <c r="F2654" s="46">
        <v>2020</v>
      </c>
      <c r="G2654" s="47">
        <v>4.7600000000000003E-2</v>
      </c>
      <c r="H2654" s="47">
        <f t="shared" si="259"/>
        <v>1.4591216318891717E-2</v>
      </c>
      <c r="I2654" s="47">
        <v>1.6999999999999999E-3</v>
      </c>
      <c r="J2654" s="47">
        <f t="shared" si="260"/>
        <v>6.337441748266551E-4</v>
      </c>
      <c r="K2654" s="47">
        <v>1.67E-2</v>
      </c>
      <c r="L2654" s="47">
        <f t="shared" si="261"/>
        <v>6.1517954592603483E-3</v>
      </c>
      <c r="M2654" s="47">
        <f t="shared" si="262"/>
        <v>8.4394208596313691E-3</v>
      </c>
      <c r="N2654" s="47">
        <v>1E-3</v>
      </c>
      <c r="O2654" s="47">
        <f t="shared" si="263"/>
        <v>4.0052108225353502E-4</v>
      </c>
      <c r="P2654" s="92"/>
    </row>
    <row r="2655" spans="1:16" x14ac:dyDescent="0.25">
      <c r="A2655" s="29">
        <v>22</v>
      </c>
      <c r="B2655" s="30">
        <v>437573.10856199998</v>
      </c>
      <c r="C2655" s="30">
        <v>5688512.3324180003</v>
      </c>
      <c r="D2655" s="30">
        <v>27</v>
      </c>
      <c r="E2655" s="30" t="s">
        <v>24</v>
      </c>
      <c r="F2655" s="46">
        <v>2020</v>
      </c>
      <c r="G2655" s="107" t="s">
        <v>18</v>
      </c>
      <c r="H2655" s="107" t="s">
        <v>18</v>
      </c>
      <c r="I2655" s="107" t="s">
        <v>18</v>
      </c>
      <c r="J2655" s="107" t="s">
        <v>18</v>
      </c>
      <c r="K2655" s="47">
        <v>4.1299999999999996E-2</v>
      </c>
      <c r="L2655" s="47">
        <f t="shared" si="261"/>
        <v>1.5213721704637867E-2</v>
      </c>
      <c r="M2655" s="107" t="s">
        <v>18</v>
      </c>
      <c r="N2655" s="47">
        <v>0.10249999999999999</v>
      </c>
      <c r="O2655" s="47">
        <f t="shared" si="263"/>
        <v>4.1053410930987334E-2</v>
      </c>
      <c r="P2655" s="92" t="s">
        <v>103</v>
      </c>
    </row>
    <row r="2656" spans="1:16" x14ac:dyDescent="0.25">
      <c r="A2656" s="29">
        <v>23</v>
      </c>
      <c r="B2656" s="30">
        <v>437692.10856199998</v>
      </c>
      <c r="C2656" s="30">
        <v>5688512.3324180003</v>
      </c>
      <c r="D2656" s="30">
        <v>27</v>
      </c>
      <c r="E2656" s="30" t="s">
        <v>24</v>
      </c>
      <c r="F2656" s="46">
        <v>2020</v>
      </c>
      <c r="G2656" s="46">
        <v>2.07E-2</v>
      </c>
      <c r="H2656" s="47">
        <f t="shared" si="259"/>
        <v>6.3453398697701372E-3</v>
      </c>
      <c r="I2656" s="47">
        <v>0</v>
      </c>
      <c r="J2656" s="47">
        <f t="shared" si="260"/>
        <v>0</v>
      </c>
      <c r="K2656" s="47">
        <v>2E-3</v>
      </c>
      <c r="L2656" s="47">
        <f t="shared" si="261"/>
        <v>7.3674197116890404E-4</v>
      </c>
      <c r="M2656" s="47">
        <f>H2656-L2656</f>
        <v>5.6085978986012332E-3</v>
      </c>
      <c r="N2656" s="47">
        <v>0</v>
      </c>
      <c r="O2656" s="47">
        <f t="shared" si="263"/>
        <v>0</v>
      </c>
      <c r="P2656" s="92"/>
    </row>
    <row r="2657" spans="1:16" x14ac:dyDescent="0.25">
      <c r="A2657" s="29">
        <v>24</v>
      </c>
      <c r="B2657" s="30">
        <v>437811.10856199998</v>
      </c>
      <c r="C2657" s="30">
        <v>5688512.3324180003</v>
      </c>
      <c r="D2657" s="30">
        <v>27</v>
      </c>
      <c r="E2657" s="30" t="s">
        <v>24</v>
      </c>
      <c r="F2657" s="46">
        <v>2020</v>
      </c>
      <c r="G2657" s="47">
        <v>0.1668</v>
      </c>
      <c r="H2657" s="47">
        <f t="shared" si="259"/>
        <v>5.1130564747712992E-2</v>
      </c>
      <c r="I2657" s="47">
        <v>4.6799999999999994E-2</v>
      </c>
      <c r="J2657" s="47">
        <f t="shared" si="260"/>
        <v>1.7446604342286738E-2</v>
      </c>
      <c r="K2657" s="47">
        <v>7.3700000000000002E-2</v>
      </c>
      <c r="L2657" s="47">
        <f t="shared" si="261"/>
        <v>2.7148941637574114E-2</v>
      </c>
      <c r="M2657" s="47">
        <f t="shared" si="262"/>
        <v>2.3981623110138878E-2</v>
      </c>
      <c r="N2657" s="47">
        <v>1.35E-2</v>
      </c>
      <c r="O2657" s="47">
        <f t="shared" si="263"/>
        <v>5.4070346104227226E-3</v>
      </c>
      <c r="P2657" s="92"/>
    </row>
    <row r="2658" spans="1:16" x14ac:dyDescent="0.25">
      <c r="A2658" s="29">
        <v>25</v>
      </c>
      <c r="B2658" s="46">
        <v>437995</v>
      </c>
      <c r="C2658" s="46">
        <v>5688493</v>
      </c>
      <c r="D2658" s="30">
        <v>27</v>
      </c>
      <c r="E2658" s="30" t="s">
        <v>24</v>
      </c>
      <c r="F2658" s="46">
        <v>2020</v>
      </c>
      <c r="G2658" s="47">
        <v>8.8800000000000004E-2</v>
      </c>
      <c r="H2658" s="47">
        <f t="shared" si="259"/>
        <v>2.7220588426840012E-2</v>
      </c>
      <c r="I2658" s="47">
        <v>0.12709999999999999</v>
      </c>
      <c r="J2658" s="47">
        <f t="shared" si="260"/>
        <v>4.738169683556933E-2</v>
      </c>
      <c r="K2658" s="47">
        <v>2.63E-2</v>
      </c>
      <c r="L2658" s="47">
        <f t="shared" si="261"/>
        <v>9.6881569208710893E-3</v>
      </c>
      <c r="M2658" s="47">
        <f t="shared" si="262"/>
        <v>1.7532431505968921E-2</v>
      </c>
      <c r="N2658" s="47">
        <v>3.1800000000000002E-2</v>
      </c>
      <c r="O2658" s="47">
        <f t="shared" si="263"/>
        <v>1.2736570415662413E-2</v>
      </c>
      <c r="P2658" s="92"/>
    </row>
    <row r="2659" spans="1:16" x14ac:dyDescent="0.25">
      <c r="A2659" s="29">
        <v>26</v>
      </c>
      <c r="B2659" s="46">
        <v>438112</v>
      </c>
      <c r="C2659" s="46">
        <v>5688567</v>
      </c>
      <c r="D2659" s="30">
        <v>27</v>
      </c>
      <c r="E2659" s="30" t="s">
        <v>24</v>
      </c>
      <c r="F2659" s="46">
        <v>2020</v>
      </c>
      <c r="G2659" s="47">
        <v>0.10729999999999999</v>
      </c>
      <c r="H2659" s="47">
        <f t="shared" si="259"/>
        <v>3.2891544349098342E-2</v>
      </c>
      <c r="I2659" s="47">
        <v>0</v>
      </c>
      <c r="J2659" s="47">
        <f t="shared" si="260"/>
        <v>0</v>
      </c>
      <c r="K2659" s="47">
        <v>2.6100000000000002E-2</v>
      </c>
      <c r="L2659" s="47">
        <f t="shared" si="261"/>
        <v>9.6144827237541978E-3</v>
      </c>
      <c r="M2659" s="47">
        <f t="shared" si="262"/>
        <v>2.3277061625344146E-2</v>
      </c>
      <c r="N2659" s="47">
        <v>1.4E-3</v>
      </c>
      <c r="O2659" s="47">
        <f t="shared" si="263"/>
        <v>5.6072951515494902E-4</v>
      </c>
      <c r="P2659" s="92"/>
    </row>
    <row r="2660" spans="1:16" x14ac:dyDescent="0.25">
      <c r="A2660" s="32">
        <v>27</v>
      </c>
      <c r="B2660" s="33">
        <v>438168.10856199998</v>
      </c>
      <c r="C2660" s="33">
        <v>5688512.3324180003</v>
      </c>
      <c r="D2660" s="48">
        <v>28</v>
      </c>
      <c r="E2660" s="48" t="s">
        <v>24</v>
      </c>
      <c r="F2660" s="48">
        <v>2020</v>
      </c>
      <c r="G2660" s="48" t="s">
        <v>18</v>
      </c>
      <c r="H2660" s="48" t="s">
        <v>18</v>
      </c>
      <c r="I2660" s="48" t="s">
        <v>18</v>
      </c>
      <c r="J2660" s="48" t="s">
        <v>18</v>
      </c>
      <c r="K2660" s="48" t="s">
        <v>18</v>
      </c>
      <c r="L2660" s="48" t="s">
        <v>18</v>
      </c>
      <c r="M2660" s="48" t="s">
        <v>18</v>
      </c>
      <c r="N2660" s="48" t="s">
        <v>18</v>
      </c>
      <c r="O2660" s="48" t="s">
        <v>18</v>
      </c>
      <c r="P2660" s="103" t="s">
        <v>89</v>
      </c>
    </row>
    <row r="2661" spans="1:16" x14ac:dyDescent="0.25">
      <c r="A2661" s="32">
        <v>28</v>
      </c>
      <c r="B2661" s="33">
        <v>438287.10856199998</v>
      </c>
      <c r="C2661" s="33">
        <v>5688512.3324180003</v>
      </c>
      <c r="D2661" s="48">
        <v>28</v>
      </c>
      <c r="E2661" s="48" t="s">
        <v>24</v>
      </c>
      <c r="F2661" s="48">
        <v>2020</v>
      </c>
      <c r="G2661" s="48" t="s">
        <v>18</v>
      </c>
      <c r="H2661" s="48" t="s">
        <v>18</v>
      </c>
      <c r="I2661" s="48" t="s">
        <v>18</v>
      </c>
      <c r="J2661" s="48" t="s">
        <v>18</v>
      </c>
      <c r="K2661" s="48" t="s">
        <v>18</v>
      </c>
      <c r="L2661" s="48" t="s">
        <v>18</v>
      </c>
      <c r="M2661" s="48" t="s">
        <v>18</v>
      </c>
      <c r="N2661" s="48" t="s">
        <v>18</v>
      </c>
      <c r="O2661" s="48" t="s">
        <v>18</v>
      </c>
      <c r="P2661" s="103" t="s">
        <v>89</v>
      </c>
    </row>
    <row r="2662" spans="1:16" x14ac:dyDescent="0.25">
      <c r="A2662" s="29">
        <v>29</v>
      </c>
      <c r="B2662" s="30">
        <v>438381</v>
      </c>
      <c r="C2662" s="30">
        <v>5688526</v>
      </c>
      <c r="D2662" s="30">
        <v>28</v>
      </c>
      <c r="E2662" s="30" t="s">
        <v>24</v>
      </c>
      <c r="F2662" s="46">
        <v>2020</v>
      </c>
      <c r="G2662" s="47">
        <v>0.13789999999999999</v>
      </c>
      <c r="H2662" s="47">
        <f>G2662*0.284877808299308</f>
        <v>3.9284649764474572E-2</v>
      </c>
      <c r="I2662" s="47">
        <v>0</v>
      </c>
      <c r="J2662" s="47">
        <f>I2662*0.328598875351453</f>
        <v>0</v>
      </c>
      <c r="K2662" s="47">
        <v>2.2200000000000001E-2</v>
      </c>
      <c r="L2662" s="47">
        <f>K2662*0.359672673326559</f>
        <v>7.9847333478496093E-3</v>
      </c>
      <c r="M2662" s="47">
        <f t="shared" si="262"/>
        <v>3.1299916416624961E-2</v>
      </c>
      <c r="N2662" s="47">
        <v>0</v>
      </c>
      <c r="O2662" s="47">
        <f>N2662*0.396097010330437</f>
        <v>0</v>
      </c>
      <c r="P2662" s="92"/>
    </row>
    <row r="2663" spans="1:16" x14ac:dyDescent="0.25">
      <c r="A2663" s="29">
        <v>30</v>
      </c>
      <c r="B2663" s="30">
        <v>438525.10856199998</v>
      </c>
      <c r="C2663" s="30">
        <v>5688512.3324180003</v>
      </c>
      <c r="D2663" s="30">
        <v>28</v>
      </c>
      <c r="E2663" s="30" t="s">
        <v>24</v>
      </c>
      <c r="F2663" s="46">
        <v>2020</v>
      </c>
      <c r="G2663" s="47">
        <v>7.5299999999999992E-2</v>
      </c>
      <c r="H2663" s="47">
        <f>G2663*0.284877808299308</f>
        <v>2.1451298964937887E-2</v>
      </c>
      <c r="I2663" s="47">
        <v>0</v>
      </c>
      <c r="J2663" s="47">
        <f>I2663*0.328598875351453</f>
        <v>0</v>
      </c>
      <c r="K2663" s="47">
        <v>4.3299999999999998E-2</v>
      </c>
      <c r="L2663" s="47">
        <f>K2663*0.359672673326559</f>
        <v>1.5573826755040003E-2</v>
      </c>
      <c r="M2663" s="47">
        <f t="shared" si="262"/>
        <v>5.8774722098978837E-3</v>
      </c>
      <c r="N2663" s="47">
        <v>0</v>
      </c>
      <c r="O2663" s="47">
        <f>N2663*0.396097010330437</f>
        <v>0</v>
      </c>
      <c r="P2663" s="92"/>
    </row>
    <row r="2664" spans="1:16" x14ac:dyDescent="0.25">
      <c r="A2664" s="29">
        <v>31</v>
      </c>
      <c r="B2664" s="30">
        <v>437335.10856199998</v>
      </c>
      <c r="C2664" s="30">
        <v>5688631.3324180003</v>
      </c>
      <c r="D2664" s="30">
        <v>27</v>
      </c>
      <c r="E2664" s="30" t="s">
        <v>24</v>
      </c>
      <c r="F2664" s="46">
        <v>2020</v>
      </c>
      <c r="G2664" s="47">
        <v>0.15790000000000001</v>
      </c>
      <c r="H2664" s="47">
        <f t="shared" si="259"/>
        <v>4.8402375141869798E-2</v>
      </c>
      <c r="I2664" s="47">
        <v>0</v>
      </c>
      <c r="J2664" s="47">
        <f t="shared" si="260"/>
        <v>0</v>
      </c>
      <c r="K2664" s="5">
        <v>1.95E-2</v>
      </c>
      <c r="L2664" s="47">
        <f t="shared" si="261"/>
        <v>7.1832342188968149E-3</v>
      </c>
      <c r="M2664" s="47">
        <f t="shared" si="262"/>
        <v>4.1219140922972984E-2</v>
      </c>
      <c r="N2664" s="47">
        <v>0</v>
      </c>
      <c r="O2664" s="47">
        <f t="shared" si="263"/>
        <v>0</v>
      </c>
      <c r="P2664" s="92"/>
    </row>
    <row r="2665" spans="1:16" x14ac:dyDescent="0.25">
      <c r="A2665" s="29">
        <v>32</v>
      </c>
      <c r="B2665" s="30">
        <v>437454.10856199998</v>
      </c>
      <c r="C2665" s="30">
        <v>5688631.3324180003</v>
      </c>
      <c r="D2665" s="30">
        <v>27</v>
      </c>
      <c r="E2665" s="30" t="s">
        <v>24</v>
      </c>
      <c r="F2665" s="46">
        <v>2020</v>
      </c>
      <c r="G2665" s="47">
        <v>7.4099999999999999E-2</v>
      </c>
      <c r="H2665" s="47">
        <f t="shared" si="259"/>
        <v>2.2714477504829331E-2</v>
      </c>
      <c r="I2665" s="47">
        <v>8.2400000000000001E-2</v>
      </c>
      <c r="J2665" s="47">
        <f t="shared" si="260"/>
        <v>3.0717952944539051E-2</v>
      </c>
      <c r="K2665" s="47">
        <v>4.4299999999999999E-2</v>
      </c>
      <c r="L2665" s="47">
        <f t="shared" si="261"/>
        <v>1.6318834661391224E-2</v>
      </c>
      <c r="M2665" s="47">
        <f t="shared" si="262"/>
        <v>6.3956428434381075E-3</v>
      </c>
      <c r="N2665" s="47">
        <v>9.1600000000000001E-2</v>
      </c>
      <c r="O2665" s="47">
        <f t="shared" si="263"/>
        <v>3.6687731134423807E-2</v>
      </c>
      <c r="P2665" s="92"/>
    </row>
    <row r="2666" spans="1:16" x14ac:dyDescent="0.25">
      <c r="A2666" s="29">
        <v>33</v>
      </c>
      <c r="B2666" s="30">
        <v>437573.10856199998</v>
      </c>
      <c r="C2666" s="30">
        <v>5688631.3324180003</v>
      </c>
      <c r="D2666" s="30">
        <v>27</v>
      </c>
      <c r="E2666" s="30" t="s">
        <v>24</v>
      </c>
      <c r="F2666" s="46">
        <v>2020</v>
      </c>
      <c r="G2666" s="47">
        <v>5.4200000000000005E-2</v>
      </c>
      <c r="H2666" s="47">
        <f t="shared" si="259"/>
        <v>1.6614368161427126E-2</v>
      </c>
      <c r="I2666" s="47">
        <v>0</v>
      </c>
      <c r="J2666" s="47">
        <f t="shared" si="260"/>
        <v>0</v>
      </c>
      <c r="K2666" s="47">
        <v>1.1800000000000001E-2</v>
      </c>
      <c r="L2666" s="47">
        <f t="shared" si="261"/>
        <v>4.3467776298965347E-3</v>
      </c>
      <c r="M2666" s="47">
        <f t="shared" si="262"/>
        <v>1.2267590531530592E-2</v>
      </c>
      <c r="N2666" s="47">
        <v>0</v>
      </c>
      <c r="O2666" s="47">
        <f t="shared" si="263"/>
        <v>0</v>
      </c>
      <c r="P2666" s="92"/>
    </row>
    <row r="2667" spans="1:16" x14ac:dyDescent="0.25">
      <c r="A2667" s="29">
        <v>34</v>
      </c>
      <c r="B2667" s="30">
        <v>437692.10856199998</v>
      </c>
      <c r="C2667" s="30">
        <v>5688631.3324180003</v>
      </c>
      <c r="D2667" s="30">
        <v>27</v>
      </c>
      <c r="E2667" s="30" t="s">
        <v>24</v>
      </c>
      <c r="F2667" s="46">
        <v>2020</v>
      </c>
      <c r="G2667" s="47">
        <f>0.1361-0.016</f>
        <v>0.1201</v>
      </c>
      <c r="H2667" s="47">
        <f t="shared" si="259"/>
        <v>3.6815232770985196E-2</v>
      </c>
      <c r="I2667" s="47">
        <f>0.0023+0.016</f>
        <v>1.83E-2</v>
      </c>
      <c r="J2667" s="47">
        <f t="shared" si="260"/>
        <v>6.8220696466634052E-3</v>
      </c>
      <c r="K2667" s="47">
        <f>0.0407-0.0057</f>
        <v>3.5000000000000003E-2</v>
      </c>
      <c r="L2667" s="47">
        <f t="shared" si="261"/>
        <v>1.2892984495455822E-2</v>
      </c>
      <c r="M2667" s="47">
        <f t="shared" si="262"/>
        <v>2.3922248275529374E-2</v>
      </c>
      <c r="N2667" s="47">
        <f>0+0.0057</f>
        <v>5.7000000000000002E-3</v>
      </c>
      <c r="O2667" s="47">
        <f t="shared" si="263"/>
        <v>2.2829701688451497E-3</v>
      </c>
      <c r="P2667" s="92" t="s">
        <v>165</v>
      </c>
    </row>
    <row r="2668" spans="1:16" x14ac:dyDescent="0.25">
      <c r="A2668" s="29">
        <v>35</v>
      </c>
      <c r="B2668" s="30">
        <v>437893</v>
      </c>
      <c r="C2668" s="30">
        <v>5688620</v>
      </c>
      <c r="D2668" s="30">
        <v>27</v>
      </c>
      <c r="E2668" s="30" t="s">
        <v>24</v>
      </c>
      <c r="F2668" s="46">
        <v>2020</v>
      </c>
      <c r="G2668" s="47">
        <v>0.1067</v>
      </c>
      <c r="H2668" s="47">
        <f t="shared" si="259"/>
        <v>3.2707621454322398E-2</v>
      </c>
      <c r="I2668" s="47">
        <v>0</v>
      </c>
      <c r="J2668" s="47">
        <f t="shared" si="260"/>
        <v>0</v>
      </c>
      <c r="K2668" s="47">
        <v>9.4000000000000004E-3</v>
      </c>
      <c r="L2668" s="47">
        <f t="shared" si="261"/>
        <v>3.462687264493849E-3</v>
      </c>
      <c r="M2668" s="47">
        <f t="shared" si="262"/>
        <v>2.9244934189828549E-2</v>
      </c>
      <c r="N2668" s="47">
        <v>0</v>
      </c>
      <c r="O2668" s="47">
        <f t="shared" si="263"/>
        <v>0</v>
      </c>
      <c r="P2668" s="92"/>
    </row>
    <row r="2669" spans="1:16" x14ac:dyDescent="0.25">
      <c r="A2669" s="29">
        <v>36</v>
      </c>
      <c r="B2669" s="30">
        <v>437930.10856199998</v>
      </c>
      <c r="C2669" s="30">
        <v>5688631.3324180003</v>
      </c>
      <c r="D2669" s="30">
        <v>27</v>
      </c>
      <c r="E2669" s="30" t="s">
        <v>24</v>
      </c>
      <c r="F2669" s="46">
        <v>2020</v>
      </c>
      <c r="G2669" s="47">
        <f>0.0725-0.033</f>
        <v>3.9499999999999993E-2</v>
      </c>
      <c r="H2669" s="47">
        <f t="shared" si="259"/>
        <v>1.2108257239416444E-2</v>
      </c>
      <c r="I2669" s="46">
        <f>0.0247+0.033</f>
        <v>5.7700000000000001E-2</v>
      </c>
      <c r="J2669" s="47">
        <f t="shared" si="260"/>
        <v>2.1510022874998824E-2</v>
      </c>
      <c r="K2669" s="47">
        <v>9.9000000000000008E-3</v>
      </c>
      <c r="L2669" s="47">
        <f t="shared" si="261"/>
        <v>3.6468727572860752E-3</v>
      </c>
      <c r="M2669" s="47">
        <f t="shared" si="262"/>
        <v>8.4613844821303692E-3</v>
      </c>
      <c r="N2669" s="47">
        <v>0</v>
      </c>
      <c r="O2669" s="47">
        <f t="shared" si="263"/>
        <v>0</v>
      </c>
      <c r="P2669" s="92" t="s">
        <v>165</v>
      </c>
    </row>
    <row r="2670" spans="1:16" x14ac:dyDescent="0.25">
      <c r="A2670" s="32">
        <v>37</v>
      </c>
      <c r="B2670" s="33">
        <v>438049.10856199998</v>
      </c>
      <c r="C2670" s="33">
        <v>5688631.3324180003</v>
      </c>
      <c r="D2670" s="48">
        <v>28</v>
      </c>
      <c r="E2670" s="48" t="s">
        <v>24</v>
      </c>
      <c r="F2670" s="48">
        <v>2020</v>
      </c>
      <c r="G2670" s="48" t="s">
        <v>18</v>
      </c>
      <c r="H2670" s="48" t="s">
        <v>18</v>
      </c>
      <c r="I2670" s="48" t="s">
        <v>18</v>
      </c>
      <c r="J2670" s="48" t="s">
        <v>18</v>
      </c>
      <c r="K2670" s="48" t="s">
        <v>18</v>
      </c>
      <c r="L2670" s="48" t="s">
        <v>18</v>
      </c>
      <c r="M2670" s="48" t="s">
        <v>18</v>
      </c>
      <c r="N2670" s="48" t="s">
        <v>18</v>
      </c>
      <c r="O2670" s="48" t="s">
        <v>18</v>
      </c>
      <c r="P2670" s="103" t="s">
        <v>89</v>
      </c>
    </row>
    <row r="2671" spans="1:16" x14ac:dyDescent="0.25">
      <c r="A2671" s="29">
        <v>38</v>
      </c>
      <c r="B2671" s="30">
        <v>438067</v>
      </c>
      <c r="C2671" s="30">
        <v>5688710</v>
      </c>
      <c r="D2671" s="30">
        <v>27</v>
      </c>
      <c r="E2671" s="30" t="s">
        <v>24</v>
      </c>
      <c r="F2671" s="46">
        <v>2020</v>
      </c>
      <c r="G2671" s="106">
        <v>0.1474</v>
      </c>
      <c r="H2671" s="46">
        <f t="shared" si="259"/>
        <v>4.5183724483290735E-2</v>
      </c>
      <c r="I2671" s="54">
        <v>0</v>
      </c>
      <c r="J2671" s="47">
        <f t="shared" si="260"/>
        <v>0</v>
      </c>
      <c r="K2671" s="54">
        <v>4.0999999999999995E-3</v>
      </c>
      <c r="L2671" s="46">
        <f t="shared" si="261"/>
        <v>1.5103210408962532E-3</v>
      </c>
      <c r="M2671" s="46">
        <f t="shared" si="262"/>
        <v>4.3673403442394482E-2</v>
      </c>
      <c r="N2671" s="47">
        <v>0</v>
      </c>
      <c r="O2671" s="47">
        <f t="shared" si="263"/>
        <v>0</v>
      </c>
      <c r="P2671" s="92"/>
    </row>
    <row r="2672" spans="1:16" x14ac:dyDescent="0.25">
      <c r="A2672" s="32">
        <v>39</v>
      </c>
      <c r="B2672" s="33">
        <v>438287.10856199998</v>
      </c>
      <c r="C2672" s="33">
        <v>5688631.3324180003</v>
      </c>
      <c r="D2672" s="48">
        <v>28</v>
      </c>
      <c r="E2672" s="48" t="s">
        <v>24</v>
      </c>
      <c r="F2672" s="48">
        <v>2020</v>
      </c>
      <c r="G2672" s="48" t="s">
        <v>18</v>
      </c>
      <c r="H2672" s="48" t="s">
        <v>18</v>
      </c>
      <c r="I2672" s="48" t="s">
        <v>18</v>
      </c>
      <c r="J2672" s="48" t="s">
        <v>18</v>
      </c>
      <c r="K2672" s="48" t="s">
        <v>18</v>
      </c>
      <c r="L2672" s="48" t="s">
        <v>18</v>
      </c>
      <c r="M2672" s="48" t="s">
        <v>18</v>
      </c>
      <c r="N2672" s="48" t="s">
        <v>18</v>
      </c>
      <c r="O2672" s="48" t="s">
        <v>18</v>
      </c>
      <c r="P2672" s="94" t="s">
        <v>22</v>
      </c>
    </row>
    <row r="2673" spans="1:16" x14ac:dyDescent="0.25">
      <c r="A2673" s="29">
        <v>40</v>
      </c>
      <c r="B2673" s="30">
        <v>438406.10856199998</v>
      </c>
      <c r="C2673" s="30">
        <v>5688631.3324180003</v>
      </c>
      <c r="D2673" s="30">
        <v>28</v>
      </c>
      <c r="E2673" s="30" t="s">
        <v>24</v>
      </c>
      <c r="F2673" s="46">
        <v>2020</v>
      </c>
      <c r="G2673" s="47">
        <v>1.2199999999999999E-2</v>
      </c>
      <c r="H2673" s="47">
        <f>G2673*0.284877808299308</f>
        <v>3.4755092612515572E-3</v>
      </c>
      <c r="I2673" s="47">
        <v>0</v>
      </c>
      <c r="J2673" s="47">
        <f>I2673*0.328598875351453</f>
        <v>0</v>
      </c>
      <c r="K2673" s="47">
        <v>4.6700000000000005E-2</v>
      </c>
      <c r="L2673" s="47">
        <f>K2673*0.359672673326559</f>
        <v>1.6796713844350306E-2</v>
      </c>
      <c r="M2673" s="47">
        <f t="shared" si="262"/>
        <v>-1.332120458309875E-2</v>
      </c>
      <c r="N2673" s="47">
        <v>0</v>
      </c>
      <c r="O2673" s="47">
        <f>N2673*0.396097010330437</f>
        <v>0</v>
      </c>
      <c r="P2673" s="92"/>
    </row>
    <row r="2674" spans="1:16" x14ac:dyDescent="0.25">
      <c r="A2674" s="29">
        <v>41</v>
      </c>
      <c r="B2674" s="30">
        <v>437310</v>
      </c>
      <c r="C2674" s="30">
        <v>5688729</v>
      </c>
      <c r="D2674" s="30">
        <v>27</v>
      </c>
      <c r="E2674" s="30" t="s">
        <v>24</v>
      </c>
      <c r="F2674" s="46">
        <v>2020</v>
      </c>
      <c r="G2674" s="47">
        <v>0.1062</v>
      </c>
      <c r="H2674" s="47">
        <f t="shared" si="259"/>
        <v>3.2554352375342446E-2</v>
      </c>
      <c r="I2674" s="47">
        <v>0.26919999999999999</v>
      </c>
      <c r="J2674" s="47">
        <f t="shared" si="260"/>
        <v>0.10035525403725622</v>
      </c>
      <c r="K2674" s="47">
        <v>4.3799999999999999E-2</v>
      </c>
      <c r="L2674" s="47">
        <f t="shared" si="261"/>
        <v>1.6134649168598997E-2</v>
      </c>
      <c r="M2674" s="47">
        <f t="shared" si="262"/>
        <v>1.641970320674345E-2</v>
      </c>
      <c r="N2674" s="47">
        <v>1.49E-2</v>
      </c>
      <c r="O2674" s="47">
        <f t="shared" si="263"/>
        <v>5.9677641255776719E-3</v>
      </c>
      <c r="P2674" s="92"/>
    </row>
    <row r="2675" spans="1:16" x14ac:dyDescent="0.25">
      <c r="A2675" s="29">
        <v>42</v>
      </c>
      <c r="B2675" s="30">
        <v>437454.10856199998</v>
      </c>
      <c r="C2675" s="30">
        <v>5688750.3324180003</v>
      </c>
      <c r="D2675" s="30">
        <v>27</v>
      </c>
      <c r="E2675" s="30" t="s">
        <v>24</v>
      </c>
      <c r="F2675" s="46">
        <v>2020</v>
      </c>
      <c r="G2675" s="54">
        <v>7.4700000000000003E-2</v>
      </c>
      <c r="H2675" s="47">
        <f t="shared" si="259"/>
        <v>2.2898400399605279E-2</v>
      </c>
      <c r="I2675" s="47">
        <v>1.1000000000000001E-3</v>
      </c>
      <c r="J2675" s="47">
        <f t="shared" si="260"/>
        <v>4.1006976018195335E-4</v>
      </c>
      <c r="K2675" s="47">
        <v>2.12E-2</v>
      </c>
      <c r="L2675" s="47">
        <f t="shared" si="261"/>
        <v>7.8094648943903833E-3</v>
      </c>
      <c r="M2675" s="47">
        <f t="shared" si="262"/>
        <v>1.5088935505214895E-2</v>
      </c>
      <c r="N2675" s="47">
        <v>2E-3</v>
      </c>
      <c r="O2675" s="47">
        <f t="shared" si="263"/>
        <v>8.0104216450707004E-4</v>
      </c>
      <c r="P2675" s="92"/>
    </row>
    <row r="2676" spans="1:16" x14ac:dyDescent="0.25">
      <c r="A2676" s="29">
        <v>43</v>
      </c>
      <c r="B2676" s="30">
        <v>437573.10856199998</v>
      </c>
      <c r="C2676" s="30">
        <v>5688750.3324180003</v>
      </c>
      <c r="D2676" s="30">
        <v>27</v>
      </c>
      <c r="E2676" s="30" t="s">
        <v>24</v>
      </c>
      <c r="F2676" s="46">
        <v>2020</v>
      </c>
      <c r="G2676" s="47">
        <v>0.10299999999999999</v>
      </c>
      <c r="H2676" s="47">
        <f t="shared" si="259"/>
        <v>3.1573430269870729E-2</v>
      </c>
      <c r="I2676" s="47">
        <v>0</v>
      </c>
      <c r="J2676" s="47">
        <f t="shared" si="260"/>
        <v>0</v>
      </c>
      <c r="K2676" s="47">
        <v>2.4399999999999998E-2</v>
      </c>
      <c r="L2676" s="47">
        <f t="shared" si="261"/>
        <v>8.9882520482606285E-3</v>
      </c>
      <c r="M2676" s="47">
        <f t="shared" si="262"/>
        <v>2.2585178221610103E-2</v>
      </c>
      <c r="N2676" s="47">
        <v>0</v>
      </c>
      <c r="O2676" s="47">
        <f t="shared" si="263"/>
        <v>0</v>
      </c>
      <c r="P2676" s="92"/>
    </row>
    <row r="2677" spans="1:16" x14ac:dyDescent="0.25">
      <c r="A2677" s="29">
        <v>44</v>
      </c>
      <c r="B2677" s="30">
        <v>437692.10856199998</v>
      </c>
      <c r="C2677" s="30">
        <v>5688750.3324180003</v>
      </c>
      <c r="D2677" s="30">
        <v>27</v>
      </c>
      <c r="E2677" s="30" t="s">
        <v>24</v>
      </c>
      <c r="F2677" s="46">
        <v>2020</v>
      </c>
      <c r="G2677" s="54">
        <v>9.0700000000000003E-2</v>
      </c>
      <c r="H2677" s="47">
        <f t="shared" si="259"/>
        <v>2.7803010926963839E-2</v>
      </c>
      <c r="I2677" s="47">
        <v>0</v>
      </c>
      <c r="J2677" s="47">
        <f t="shared" si="260"/>
        <v>0</v>
      </c>
      <c r="K2677" s="47">
        <v>4.2599999999999999E-2</v>
      </c>
      <c r="L2677" s="47">
        <f t="shared" si="261"/>
        <v>1.5692603985897655E-2</v>
      </c>
      <c r="M2677" s="47">
        <f t="shared" si="262"/>
        <v>1.2110406941066184E-2</v>
      </c>
      <c r="N2677" s="47">
        <v>0</v>
      </c>
      <c r="O2677" s="47">
        <f t="shared" si="263"/>
        <v>0</v>
      </c>
      <c r="P2677" s="92"/>
    </row>
    <row r="2678" spans="1:16" x14ac:dyDescent="0.25">
      <c r="A2678" s="29">
        <v>45</v>
      </c>
      <c r="B2678" s="30">
        <v>437811.10856199998</v>
      </c>
      <c r="C2678" s="30">
        <v>5688750.3324180003</v>
      </c>
      <c r="D2678" s="30">
        <v>27</v>
      </c>
      <c r="E2678" s="30" t="s">
        <v>24</v>
      </c>
      <c r="F2678" s="46">
        <v>2020</v>
      </c>
      <c r="G2678" s="47">
        <v>0.1371</v>
      </c>
      <c r="H2678" s="47">
        <f t="shared" si="259"/>
        <v>4.2026381456303663E-2</v>
      </c>
      <c r="I2678" s="47">
        <v>4.53E-2</v>
      </c>
      <c r="J2678" s="47">
        <f t="shared" si="260"/>
        <v>1.6887418305674987E-2</v>
      </c>
      <c r="K2678" s="47">
        <v>8.3799999999999999E-2</v>
      </c>
      <c r="L2678" s="47">
        <f t="shared" si="261"/>
        <v>3.0869488591977079E-2</v>
      </c>
      <c r="M2678" s="47">
        <f t="shared" si="262"/>
        <v>1.1156892864326584E-2</v>
      </c>
      <c r="N2678" s="47">
        <v>0</v>
      </c>
      <c r="O2678" s="47">
        <f t="shared" si="263"/>
        <v>0</v>
      </c>
      <c r="P2678" s="92"/>
    </row>
    <row r="2679" spans="1:16" x14ac:dyDescent="0.25">
      <c r="A2679" s="65">
        <v>46</v>
      </c>
      <c r="B2679" s="66">
        <v>437930.10856199998</v>
      </c>
      <c r="C2679" s="66">
        <v>5688750.3324180003</v>
      </c>
      <c r="D2679" s="66">
        <v>28</v>
      </c>
      <c r="E2679" s="66" t="s">
        <v>24</v>
      </c>
      <c r="F2679" s="66">
        <v>2020</v>
      </c>
      <c r="G2679" s="66" t="s">
        <v>18</v>
      </c>
      <c r="H2679" s="66" t="s">
        <v>18</v>
      </c>
      <c r="I2679" s="66" t="s">
        <v>18</v>
      </c>
      <c r="J2679" s="66" t="s">
        <v>18</v>
      </c>
      <c r="K2679" s="66" t="s">
        <v>18</v>
      </c>
      <c r="L2679" s="66" t="s">
        <v>18</v>
      </c>
      <c r="M2679" s="66" t="s">
        <v>18</v>
      </c>
      <c r="N2679" s="66" t="s">
        <v>18</v>
      </c>
      <c r="O2679" s="66" t="s">
        <v>18</v>
      </c>
      <c r="P2679" s="105" t="s">
        <v>107</v>
      </c>
    </row>
    <row r="2680" spans="1:16" x14ac:dyDescent="0.25">
      <c r="A2680" s="29">
        <v>47</v>
      </c>
      <c r="B2680" s="30">
        <v>438061</v>
      </c>
      <c r="C2680" s="30">
        <v>5688779</v>
      </c>
      <c r="D2680" s="30">
        <v>27</v>
      </c>
      <c r="E2680" s="30" t="s">
        <v>24</v>
      </c>
      <c r="F2680" s="46">
        <v>2020</v>
      </c>
      <c r="G2680" s="47">
        <v>0.19939999999999999</v>
      </c>
      <c r="H2680" s="47">
        <f t="shared" si="259"/>
        <v>6.1123708697206056E-2</v>
      </c>
      <c r="I2680" s="47">
        <v>0</v>
      </c>
      <c r="J2680" s="47">
        <f t="shared" si="260"/>
        <v>0</v>
      </c>
      <c r="K2680" s="47">
        <v>6.5700000000000008E-2</v>
      </c>
      <c r="L2680" s="47">
        <f t="shared" si="261"/>
        <v>2.4201973752898502E-2</v>
      </c>
      <c r="M2680" s="47">
        <f t="shared" si="262"/>
        <v>3.6921734944307553E-2</v>
      </c>
      <c r="N2680" s="47">
        <v>1.2999999999999999E-3</v>
      </c>
      <c r="O2680" s="47">
        <f t="shared" si="263"/>
        <v>5.2067740692959548E-4</v>
      </c>
      <c r="P2680" s="92"/>
    </row>
    <row r="2681" spans="1:16" x14ac:dyDescent="0.25">
      <c r="A2681" s="32">
        <v>48</v>
      </c>
      <c r="B2681" s="33">
        <v>438168.10856199998</v>
      </c>
      <c r="C2681" s="33">
        <v>5688750.3324180003</v>
      </c>
      <c r="D2681" s="48">
        <v>28</v>
      </c>
      <c r="E2681" s="48" t="s">
        <v>24</v>
      </c>
      <c r="F2681" s="48">
        <v>2020</v>
      </c>
      <c r="G2681" s="48" t="s">
        <v>18</v>
      </c>
      <c r="H2681" s="48" t="s">
        <v>18</v>
      </c>
      <c r="I2681" s="48" t="s">
        <v>18</v>
      </c>
      <c r="J2681" s="48" t="s">
        <v>18</v>
      </c>
      <c r="K2681" s="48" t="s">
        <v>18</v>
      </c>
      <c r="L2681" s="48" t="s">
        <v>18</v>
      </c>
      <c r="M2681" s="48" t="s">
        <v>18</v>
      </c>
      <c r="N2681" s="48" t="s">
        <v>18</v>
      </c>
      <c r="O2681" s="48" t="s">
        <v>18</v>
      </c>
      <c r="P2681" s="103" t="s">
        <v>89</v>
      </c>
    </row>
    <row r="2682" spans="1:16" x14ac:dyDescent="0.25">
      <c r="A2682" s="29">
        <v>49</v>
      </c>
      <c r="B2682" s="30">
        <v>437454.10856199998</v>
      </c>
      <c r="C2682" s="30">
        <v>5688869.3324180003</v>
      </c>
      <c r="D2682" s="30">
        <v>28</v>
      </c>
      <c r="E2682" s="30" t="s">
        <v>24</v>
      </c>
      <c r="F2682" s="46">
        <v>2020</v>
      </c>
      <c r="G2682" s="47">
        <v>0.10909999999999999</v>
      </c>
      <c r="H2682" s="47">
        <f t="shared" ref="H2682:H2691" si="264">G2682*0.284877808299308</f>
        <v>3.1080168885454496E-2</v>
      </c>
      <c r="I2682" s="47">
        <v>2E-3</v>
      </c>
      <c r="J2682" s="47">
        <f t="shared" ref="J2682:J2691" si="265">I2682*0.328598875351453</f>
        <v>6.5719775070290597E-4</v>
      </c>
      <c r="K2682" s="47">
        <v>3.3299999999999996E-2</v>
      </c>
      <c r="L2682" s="47">
        <f t="shared" ref="L2682:L2691" si="266">K2682*0.359672673326559</f>
        <v>1.1977100021774413E-2</v>
      </c>
      <c r="M2682" s="47">
        <f t="shared" si="262"/>
        <v>1.9103068863680083E-2</v>
      </c>
      <c r="N2682" s="47">
        <v>0</v>
      </c>
      <c r="O2682" s="47">
        <f t="shared" ref="O2682:O2691" si="267">N2682*0.396097010330437</f>
        <v>0</v>
      </c>
      <c r="P2682" s="92"/>
    </row>
    <row r="2683" spans="1:16" x14ac:dyDescent="0.25">
      <c r="A2683" s="29">
        <v>50</v>
      </c>
      <c r="B2683" s="30">
        <v>437811.10856199998</v>
      </c>
      <c r="C2683" s="30">
        <v>5688869.3324180003</v>
      </c>
      <c r="D2683" s="30">
        <v>28</v>
      </c>
      <c r="E2683" s="30" t="s">
        <v>24</v>
      </c>
      <c r="F2683" s="46">
        <v>2020</v>
      </c>
      <c r="G2683" s="47">
        <v>6.2399999999999997E-2</v>
      </c>
      <c r="H2683" s="47">
        <f t="shared" si="264"/>
        <v>1.7776375237876816E-2</v>
      </c>
      <c r="I2683" s="47">
        <v>3.78E-2</v>
      </c>
      <c r="J2683" s="47">
        <f t="shared" si="265"/>
        <v>1.2421037488284922E-2</v>
      </c>
      <c r="K2683" s="47">
        <v>4.9000000000000007E-3</v>
      </c>
      <c r="L2683" s="47">
        <f t="shared" si="266"/>
        <v>1.7623960993001393E-3</v>
      </c>
      <c r="M2683" s="47">
        <f t="shared" si="262"/>
        <v>1.6013979138576676E-2</v>
      </c>
      <c r="N2683" s="47">
        <v>1.66E-2</v>
      </c>
      <c r="O2683" s="47">
        <f t="shared" si="267"/>
        <v>6.5752103714852538E-3</v>
      </c>
      <c r="P2683" s="92"/>
    </row>
    <row r="2684" spans="1:16" x14ac:dyDescent="0.25">
      <c r="A2684" s="29">
        <v>51</v>
      </c>
      <c r="B2684" s="30">
        <v>437930.10856199998</v>
      </c>
      <c r="C2684" s="30">
        <v>5688869.3324180003</v>
      </c>
      <c r="D2684" s="30">
        <v>28</v>
      </c>
      <c r="E2684" s="30" t="s">
        <v>24</v>
      </c>
      <c r="F2684" s="46">
        <v>2020</v>
      </c>
      <c r="G2684" s="47">
        <v>5.62E-2</v>
      </c>
      <c r="H2684" s="47">
        <f t="shared" si="264"/>
        <v>1.6010132826421108E-2</v>
      </c>
      <c r="I2684" s="47">
        <v>0.1396</v>
      </c>
      <c r="J2684" s="47">
        <f t="shared" si="265"/>
        <v>4.5872402999062839E-2</v>
      </c>
      <c r="K2684" s="47">
        <v>2.6100000000000002E-2</v>
      </c>
      <c r="L2684" s="47">
        <f t="shared" si="266"/>
        <v>9.3874567738231902E-3</v>
      </c>
      <c r="M2684" s="47">
        <f t="shared" si="262"/>
        <v>6.6226760525979183E-3</v>
      </c>
      <c r="N2684" s="47">
        <v>7.6E-3</v>
      </c>
      <c r="O2684" s="47">
        <f t="shared" si="267"/>
        <v>3.0103372785113209E-3</v>
      </c>
      <c r="P2684" s="92"/>
    </row>
    <row r="2685" spans="1:16" x14ac:dyDescent="0.25">
      <c r="A2685" s="29">
        <v>52</v>
      </c>
      <c r="B2685" s="30">
        <v>438049.10856199998</v>
      </c>
      <c r="C2685" s="30">
        <v>5688869.3324180003</v>
      </c>
      <c r="D2685" s="30">
        <v>28</v>
      </c>
      <c r="E2685" s="30" t="s">
        <v>24</v>
      </c>
      <c r="F2685" s="46">
        <v>2020</v>
      </c>
      <c r="G2685" s="47">
        <v>6.1999999999999998E-3</v>
      </c>
      <c r="H2685" s="47">
        <f t="shared" si="264"/>
        <v>1.7662424114557095E-3</v>
      </c>
      <c r="I2685" s="47">
        <v>3.8999999999999998E-3</v>
      </c>
      <c r="J2685" s="47">
        <f t="shared" si="265"/>
        <v>1.2815356138706666E-3</v>
      </c>
      <c r="K2685" s="47">
        <v>2.1000000000000003E-3</v>
      </c>
      <c r="L2685" s="47">
        <f t="shared" si="266"/>
        <v>7.5531261398577396E-4</v>
      </c>
      <c r="M2685" s="47">
        <f t="shared" si="262"/>
        <v>1.0109297974699354E-3</v>
      </c>
      <c r="N2685" s="47">
        <v>3.78E-2</v>
      </c>
      <c r="O2685" s="47">
        <f t="shared" si="267"/>
        <v>1.4972466990490518E-2</v>
      </c>
      <c r="P2685" s="92"/>
    </row>
    <row r="2686" spans="1:16" x14ac:dyDescent="0.25">
      <c r="A2686" s="29">
        <v>53</v>
      </c>
      <c r="B2686" s="30">
        <v>438287.10856199998</v>
      </c>
      <c r="C2686" s="30">
        <v>5688869.3324180003</v>
      </c>
      <c r="D2686" s="30">
        <v>28</v>
      </c>
      <c r="E2686" s="30" t="s">
        <v>24</v>
      </c>
      <c r="F2686" s="46">
        <v>2020</v>
      </c>
      <c r="G2686" s="47">
        <v>2.9999999999999997E-4</v>
      </c>
      <c r="H2686" s="47">
        <f t="shared" si="264"/>
        <v>8.5463342489792391E-5</v>
      </c>
      <c r="I2686" s="47">
        <v>0</v>
      </c>
      <c r="J2686" s="47">
        <f t="shared" si="265"/>
        <v>0</v>
      </c>
      <c r="K2686" s="47">
        <v>0</v>
      </c>
      <c r="L2686" s="47">
        <f t="shared" si="266"/>
        <v>0</v>
      </c>
      <c r="M2686" s="47">
        <f t="shared" si="262"/>
        <v>8.5463342489792391E-5</v>
      </c>
      <c r="N2686" s="47">
        <v>0</v>
      </c>
      <c r="O2686" s="47">
        <f t="shared" si="267"/>
        <v>0</v>
      </c>
      <c r="P2686" s="92"/>
    </row>
    <row r="2687" spans="1:16" x14ac:dyDescent="0.25">
      <c r="A2687" s="29">
        <v>54</v>
      </c>
      <c r="B2687" s="30">
        <v>437454.10856199998</v>
      </c>
      <c r="C2687" s="30">
        <v>5688988.3324180003</v>
      </c>
      <c r="D2687" s="30">
        <v>28</v>
      </c>
      <c r="E2687" s="30" t="s">
        <v>24</v>
      </c>
      <c r="F2687" s="46">
        <v>2020</v>
      </c>
      <c r="G2687" s="47">
        <v>0.1643</v>
      </c>
      <c r="H2687" s="47">
        <f t="shared" si="264"/>
        <v>4.6805423903576303E-2</v>
      </c>
      <c r="I2687" s="47">
        <v>0</v>
      </c>
      <c r="J2687" s="47">
        <f t="shared" si="265"/>
        <v>0</v>
      </c>
      <c r="K2687" s="47">
        <v>4.8299999999999996E-2</v>
      </c>
      <c r="L2687" s="47">
        <f t="shared" si="266"/>
        <v>1.7372190121672799E-2</v>
      </c>
      <c r="M2687" s="47">
        <f t="shared" si="262"/>
        <v>2.9433233781903503E-2</v>
      </c>
      <c r="N2687" s="47">
        <v>2.3E-3</v>
      </c>
      <c r="O2687" s="47">
        <f t="shared" si="267"/>
        <v>9.1102312376000502E-4</v>
      </c>
      <c r="P2687" s="92"/>
    </row>
    <row r="2688" spans="1:16" x14ac:dyDescent="0.25">
      <c r="A2688" s="29">
        <v>55</v>
      </c>
      <c r="B2688" s="30">
        <v>438049.10856199998</v>
      </c>
      <c r="C2688" s="30">
        <v>5688988.3324180003</v>
      </c>
      <c r="D2688" s="30">
        <v>28</v>
      </c>
      <c r="E2688" s="30" t="s">
        <v>24</v>
      </c>
      <c r="F2688" s="46">
        <v>2020</v>
      </c>
      <c r="G2688" s="47">
        <v>1.1800000000000001E-2</v>
      </c>
      <c r="H2688" s="47">
        <f t="shared" si="264"/>
        <v>3.3615581379318345E-3</v>
      </c>
      <c r="I2688" s="47">
        <v>8.9999999999999993E-3</v>
      </c>
      <c r="J2688" s="47">
        <f t="shared" si="265"/>
        <v>2.9573898781630765E-3</v>
      </c>
      <c r="K2688" s="47">
        <v>1.9199999999999998E-2</v>
      </c>
      <c r="L2688" s="47">
        <f t="shared" si="266"/>
        <v>6.9057153278699324E-3</v>
      </c>
      <c r="M2688" s="47">
        <f t="shared" si="262"/>
        <v>-3.5441571899380978E-3</v>
      </c>
      <c r="N2688" s="47">
        <v>6.3E-3</v>
      </c>
      <c r="O2688" s="47">
        <f t="shared" si="267"/>
        <v>2.4954111650817529E-3</v>
      </c>
      <c r="P2688" s="92"/>
    </row>
    <row r="2689" spans="1:19" x14ac:dyDescent="0.25">
      <c r="A2689" s="29">
        <v>56</v>
      </c>
      <c r="B2689" s="30">
        <v>438168.10856199998</v>
      </c>
      <c r="C2689" s="30">
        <v>5688988.3324180003</v>
      </c>
      <c r="D2689" s="30">
        <v>28</v>
      </c>
      <c r="E2689" s="30" t="s">
        <v>24</v>
      </c>
      <c r="F2689" s="46">
        <v>2020</v>
      </c>
      <c r="G2689" s="47">
        <v>3.7100000000000001E-2</v>
      </c>
      <c r="H2689" s="47">
        <f t="shared" si="264"/>
        <v>1.0568966687904326E-2</v>
      </c>
      <c r="I2689" s="47">
        <v>0</v>
      </c>
      <c r="J2689" s="47">
        <f t="shared" si="265"/>
        <v>0</v>
      </c>
      <c r="K2689" s="47">
        <f>0.0512-0.0456</f>
        <v>5.6000000000000008E-3</v>
      </c>
      <c r="L2689" s="47">
        <f t="shared" si="266"/>
        <v>2.0141669706287306E-3</v>
      </c>
      <c r="M2689" s="47">
        <f t="shared" si="262"/>
        <v>8.5547997172755949E-3</v>
      </c>
      <c r="N2689" s="47">
        <f>0+0.0456</f>
        <v>4.5600000000000002E-2</v>
      </c>
      <c r="O2689" s="47">
        <f t="shared" si="267"/>
        <v>1.8062023671067927E-2</v>
      </c>
      <c r="P2689" s="92" t="s">
        <v>165</v>
      </c>
    </row>
    <row r="2690" spans="1:19" x14ac:dyDescent="0.25">
      <c r="A2690" s="40">
        <v>57</v>
      </c>
      <c r="B2690" s="41">
        <v>438146</v>
      </c>
      <c r="C2690" s="41">
        <v>5688977</v>
      </c>
      <c r="D2690" s="41">
        <v>28</v>
      </c>
      <c r="E2690" s="41" t="s">
        <v>24</v>
      </c>
      <c r="F2690" s="50">
        <v>2020</v>
      </c>
      <c r="G2690" s="51">
        <v>0.1033</v>
      </c>
      <c r="H2690" s="51">
        <f t="shared" si="264"/>
        <v>2.9427877597318516E-2</v>
      </c>
      <c r="I2690" s="51">
        <v>0</v>
      </c>
      <c r="J2690" s="51">
        <f t="shared" si="265"/>
        <v>0</v>
      </c>
      <c r="K2690" s="51">
        <v>3.5000000000000001E-3</v>
      </c>
      <c r="L2690" s="51">
        <f t="shared" si="266"/>
        <v>1.2588543566429565E-3</v>
      </c>
      <c r="M2690" s="51">
        <f t="shared" si="262"/>
        <v>2.8169023240675561E-2</v>
      </c>
      <c r="N2690" s="51">
        <v>0</v>
      </c>
      <c r="O2690" s="51">
        <f t="shared" si="267"/>
        <v>0</v>
      </c>
      <c r="P2690" s="101"/>
    </row>
    <row r="2691" spans="1:19" x14ac:dyDescent="0.25">
      <c r="A2691" s="40">
        <v>58</v>
      </c>
      <c r="B2691" s="41">
        <v>438131</v>
      </c>
      <c r="C2691" s="41">
        <v>5688972</v>
      </c>
      <c r="D2691" s="41">
        <v>28</v>
      </c>
      <c r="E2691" s="41" t="s">
        <v>24</v>
      </c>
      <c r="F2691" s="50">
        <v>2020</v>
      </c>
      <c r="G2691" s="51">
        <v>0.26600000000000001</v>
      </c>
      <c r="H2691" s="51">
        <f t="shared" si="264"/>
        <v>7.5777497007615921E-2</v>
      </c>
      <c r="I2691" s="51">
        <v>0</v>
      </c>
      <c r="J2691" s="51">
        <f t="shared" si="265"/>
        <v>0</v>
      </c>
      <c r="K2691" s="51">
        <v>4.0899999999999999E-2</v>
      </c>
      <c r="L2691" s="51">
        <f t="shared" si="266"/>
        <v>1.4710612339056262E-2</v>
      </c>
      <c r="M2691" s="51">
        <f t="shared" si="262"/>
        <v>6.1066884668559661E-2</v>
      </c>
      <c r="N2691" s="51">
        <v>0</v>
      </c>
      <c r="O2691" s="51">
        <f t="shared" si="267"/>
        <v>0</v>
      </c>
      <c r="P2691" s="101"/>
    </row>
    <row r="2692" spans="1:19" x14ac:dyDescent="0.25">
      <c r="A2692" s="40">
        <v>59</v>
      </c>
      <c r="B2692" s="41">
        <v>438089</v>
      </c>
      <c r="C2692" s="41">
        <v>5688713</v>
      </c>
      <c r="D2692" s="41">
        <v>27</v>
      </c>
      <c r="E2692" s="41" t="s">
        <v>24</v>
      </c>
      <c r="F2692" s="50">
        <v>2020</v>
      </c>
      <c r="G2692" s="51">
        <v>0.1454</v>
      </c>
      <c r="H2692" s="51">
        <f t="shared" si="259"/>
        <v>4.457064816737092E-2</v>
      </c>
      <c r="I2692" s="51">
        <v>3.8E-3</v>
      </c>
      <c r="J2692" s="51">
        <f t="shared" si="260"/>
        <v>1.4166046260831115E-3</v>
      </c>
      <c r="K2692" s="51">
        <v>1.03E-2</v>
      </c>
      <c r="L2692" s="51">
        <f t="shared" si="261"/>
        <v>3.7942211515198561E-3</v>
      </c>
      <c r="M2692" s="51">
        <f t="shared" si="262"/>
        <v>4.0776427015851061E-2</v>
      </c>
      <c r="N2692" s="51">
        <v>0</v>
      </c>
      <c r="O2692" s="51">
        <f t="shared" si="263"/>
        <v>0</v>
      </c>
      <c r="P2692" s="101"/>
    </row>
    <row r="2693" spans="1:19" x14ac:dyDescent="0.25">
      <c r="A2693" s="40">
        <v>60</v>
      </c>
      <c r="B2693" s="41">
        <v>438099</v>
      </c>
      <c r="C2693" s="41">
        <v>5688719</v>
      </c>
      <c r="D2693" s="41">
        <v>27</v>
      </c>
      <c r="E2693" s="41" t="s">
        <v>24</v>
      </c>
      <c r="F2693" s="50">
        <v>2020</v>
      </c>
      <c r="G2693" s="51">
        <v>0.1157</v>
      </c>
      <c r="H2693" s="51">
        <f t="shared" si="259"/>
        <v>3.5466464875961591E-2</v>
      </c>
      <c r="I2693" s="51">
        <v>0</v>
      </c>
      <c r="J2693" s="51">
        <f t="shared" si="260"/>
        <v>0</v>
      </c>
      <c r="K2693" s="51">
        <v>1.54E-2</v>
      </c>
      <c r="L2693" s="51">
        <f t="shared" si="261"/>
        <v>5.6729131780005613E-3</v>
      </c>
      <c r="M2693" s="51">
        <f t="shared" si="262"/>
        <v>2.9793551697961031E-2</v>
      </c>
      <c r="N2693" s="51">
        <v>0</v>
      </c>
      <c r="O2693" s="51">
        <f t="shared" si="263"/>
        <v>0</v>
      </c>
      <c r="P2693" s="101"/>
    </row>
    <row r="2694" spans="1:19" x14ac:dyDescent="0.25">
      <c r="A2694" s="42">
        <v>1</v>
      </c>
      <c r="B2694" s="43">
        <v>437930.10856199998</v>
      </c>
      <c r="C2694" s="43">
        <v>5688036.3324180003</v>
      </c>
      <c r="D2694" s="44">
        <v>28</v>
      </c>
      <c r="E2694" s="44" t="s">
        <v>99</v>
      </c>
      <c r="F2694" s="44">
        <v>2020</v>
      </c>
      <c r="G2694" s="44" t="s">
        <v>18</v>
      </c>
      <c r="H2694" s="44" t="s">
        <v>18</v>
      </c>
      <c r="I2694" s="44" t="s">
        <v>18</v>
      </c>
      <c r="J2694" s="44" t="s">
        <v>18</v>
      </c>
      <c r="K2694" s="44" t="s">
        <v>18</v>
      </c>
      <c r="L2694" s="44" t="s">
        <v>18</v>
      </c>
      <c r="M2694" s="44" t="s">
        <v>18</v>
      </c>
      <c r="N2694" s="44" t="s">
        <v>18</v>
      </c>
      <c r="O2694" s="44" t="s">
        <v>18</v>
      </c>
      <c r="P2694" s="102" t="s">
        <v>109</v>
      </c>
      <c r="R2694" s="5">
        <f>AVERAGE(M2694:M2753)</f>
        <v>5.7007965639672186E-3</v>
      </c>
      <c r="S2694" s="5">
        <f>AVERAGE(H2694:H2753)</f>
        <v>7.0393378045199339E-3</v>
      </c>
    </row>
    <row r="2695" spans="1:19" x14ac:dyDescent="0.25">
      <c r="A2695" s="42">
        <v>2</v>
      </c>
      <c r="B2695" s="43">
        <v>437811.10856199998</v>
      </c>
      <c r="C2695" s="43">
        <v>5688155.3324180003</v>
      </c>
      <c r="D2695" s="44">
        <v>28</v>
      </c>
      <c r="E2695" s="44" t="s">
        <v>99</v>
      </c>
      <c r="F2695" s="44">
        <v>2020</v>
      </c>
      <c r="G2695" s="44" t="s">
        <v>18</v>
      </c>
      <c r="H2695" s="44" t="s">
        <v>18</v>
      </c>
      <c r="I2695" s="44" t="s">
        <v>18</v>
      </c>
      <c r="J2695" s="44" t="s">
        <v>18</v>
      </c>
      <c r="K2695" s="44" t="s">
        <v>18</v>
      </c>
      <c r="L2695" s="44" t="s">
        <v>18</v>
      </c>
      <c r="M2695" s="44" t="s">
        <v>18</v>
      </c>
      <c r="N2695" s="44" t="s">
        <v>18</v>
      </c>
      <c r="O2695" s="44" t="s">
        <v>18</v>
      </c>
      <c r="P2695" s="102" t="s">
        <v>109</v>
      </c>
    </row>
    <row r="2696" spans="1:19" x14ac:dyDescent="0.25">
      <c r="A2696" s="29">
        <v>3</v>
      </c>
      <c r="B2696" s="30">
        <v>437930.10856199998</v>
      </c>
      <c r="C2696" s="30">
        <v>5688155.3324180003</v>
      </c>
      <c r="D2696" s="30">
        <v>28</v>
      </c>
      <c r="E2696" s="30" t="s">
        <v>99</v>
      </c>
      <c r="F2696" s="46">
        <v>2020</v>
      </c>
      <c r="G2696" s="47">
        <v>5.0999999999999995E-3</v>
      </c>
      <c r="H2696" s="47">
        <f>G2696*0.315532538300947</f>
        <v>1.6092159453348297E-3</v>
      </c>
      <c r="I2696" s="47">
        <v>4.3200000000000002E-2</v>
      </c>
      <c r="J2696" s="47">
        <f>I2696*0.466885045384181</f>
        <v>2.016943396059662E-2</v>
      </c>
      <c r="K2696" s="47">
        <v>1E-4</v>
      </c>
      <c r="L2696" s="47">
        <f>K2696*0.343450479233227</f>
        <v>3.4345047923322704E-5</v>
      </c>
      <c r="M2696" s="47">
        <f>H2696-L2696</f>
        <v>1.574870897411507E-3</v>
      </c>
      <c r="N2696" s="47">
        <v>8.0000000000000004E-4</v>
      </c>
      <c r="O2696" s="47">
        <f>N2696*0.404923245603112</f>
        <v>3.2393859648248961E-4</v>
      </c>
      <c r="P2696" s="92" t="s">
        <v>166</v>
      </c>
    </row>
    <row r="2697" spans="1:19" x14ac:dyDescent="0.25">
      <c r="A2697" s="42">
        <v>4</v>
      </c>
      <c r="B2697" s="43">
        <v>438049.10856199998</v>
      </c>
      <c r="C2697" s="43">
        <v>5688155.3324180003</v>
      </c>
      <c r="D2697" s="44">
        <v>28</v>
      </c>
      <c r="E2697" s="44" t="s">
        <v>99</v>
      </c>
      <c r="F2697" s="44">
        <v>2020</v>
      </c>
      <c r="G2697" s="44" t="s">
        <v>18</v>
      </c>
      <c r="H2697" s="44" t="s">
        <v>18</v>
      </c>
      <c r="I2697" s="44" t="s">
        <v>18</v>
      </c>
      <c r="J2697" s="44" t="s">
        <v>18</v>
      </c>
      <c r="K2697" s="44" t="s">
        <v>18</v>
      </c>
      <c r="L2697" s="44" t="s">
        <v>18</v>
      </c>
      <c r="M2697" s="44" t="s">
        <v>18</v>
      </c>
      <c r="N2697" s="44" t="s">
        <v>18</v>
      </c>
      <c r="O2697" s="44" t="s">
        <v>18</v>
      </c>
      <c r="P2697" s="102" t="s">
        <v>109</v>
      </c>
    </row>
    <row r="2698" spans="1:19" x14ac:dyDescent="0.25">
      <c r="A2698" s="42">
        <v>5</v>
      </c>
      <c r="B2698" s="43">
        <v>437573.10856199998</v>
      </c>
      <c r="C2698" s="43">
        <v>5688274.3324180003</v>
      </c>
      <c r="D2698" s="44">
        <v>28</v>
      </c>
      <c r="E2698" s="44" t="s">
        <v>99</v>
      </c>
      <c r="F2698" s="44">
        <v>2020</v>
      </c>
      <c r="G2698" s="44" t="s">
        <v>18</v>
      </c>
      <c r="H2698" s="44" t="s">
        <v>18</v>
      </c>
      <c r="I2698" s="44" t="s">
        <v>18</v>
      </c>
      <c r="J2698" s="44" t="s">
        <v>18</v>
      </c>
      <c r="K2698" s="44" t="s">
        <v>18</v>
      </c>
      <c r="L2698" s="44" t="s">
        <v>18</v>
      </c>
      <c r="M2698" s="44" t="s">
        <v>18</v>
      </c>
      <c r="N2698" s="44" t="s">
        <v>18</v>
      </c>
      <c r="O2698" s="44" t="s">
        <v>18</v>
      </c>
      <c r="P2698" s="102" t="s">
        <v>109</v>
      </c>
    </row>
    <row r="2699" spans="1:19" x14ac:dyDescent="0.25">
      <c r="A2699" s="29">
        <v>6</v>
      </c>
      <c r="B2699" s="30">
        <v>437692.10856199998</v>
      </c>
      <c r="C2699" s="30">
        <v>5688274.3324180003</v>
      </c>
      <c r="D2699" s="30">
        <v>27</v>
      </c>
      <c r="E2699" s="30" t="s">
        <v>99</v>
      </c>
      <c r="F2699" s="46">
        <v>2020</v>
      </c>
      <c r="G2699" s="46">
        <v>5.0000000000000001E-3</v>
      </c>
      <c r="H2699" s="47">
        <f t="shared" ref="H2699:H2753" si="268">G2699*0.235123880268401</f>
        <v>1.1756194013420051E-3</v>
      </c>
      <c r="I2699" s="47">
        <v>0</v>
      </c>
      <c r="J2699" s="47">
        <f t="shared" ref="J2699:J2753" si="269">I2699*0.36772339471862</f>
        <v>0</v>
      </c>
      <c r="K2699" s="47">
        <v>0</v>
      </c>
      <c r="L2699" s="47">
        <f t="shared" ref="L2699:L2753" si="270">K2699*0.289085545722714</f>
        <v>0</v>
      </c>
      <c r="M2699" s="47">
        <f>H2699-L2699</f>
        <v>1.1756194013420051E-3</v>
      </c>
      <c r="N2699" s="47">
        <v>0.21940000000000001</v>
      </c>
      <c r="O2699" s="47">
        <f t="shared" ref="O2699:O2753" si="271">N2699*0.484871416871417</f>
        <v>0.10638078886158889</v>
      </c>
      <c r="P2699" s="92"/>
    </row>
    <row r="2700" spans="1:19" x14ac:dyDescent="0.25">
      <c r="A2700" s="65">
        <v>7</v>
      </c>
      <c r="B2700" s="66">
        <v>437811.10856199998</v>
      </c>
      <c r="C2700" s="66">
        <v>5688274.3324180003</v>
      </c>
      <c r="D2700" s="66">
        <v>28</v>
      </c>
      <c r="E2700" s="66" t="s">
        <v>99</v>
      </c>
      <c r="F2700" s="66">
        <v>2020</v>
      </c>
      <c r="G2700" s="66" t="s">
        <v>18</v>
      </c>
      <c r="H2700" s="66" t="s">
        <v>18</v>
      </c>
      <c r="I2700" s="66" t="s">
        <v>18</v>
      </c>
      <c r="J2700" s="66" t="s">
        <v>18</v>
      </c>
      <c r="K2700" s="66" t="s">
        <v>18</v>
      </c>
      <c r="L2700" s="66" t="s">
        <v>18</v>
      </c>
      <c r="M2700" s="66" t="s">
        <v>18</v>
      </c>
      <c r="N2700" s="66" t="s">
        <v>18</v>
      </c>
      <c r="O2700" s="66" t="s">
        <v>18</v>
      </c>
      <c r="P2700" s="105" t="s">
        <v>147</v>
      </c>
    </row>
    <row r="2701" spans="1:19" x14ac:dyDescent="0.25">
      <c r="A2701" s="42">
        <v>8</v>
      </c>
      <c r="B2701" s="43">
        <v>437930.10856199998</v>
      </c>
      <c r="C2701" s="43">
        <v>5688274.3324180003</v>
      </c>
      <c r="D2701" s="44">
        <v>28</v>
      </c>
      <c r="E2701" s="44" t="s">
        <v>99</v>
      </c>
      <c r="F2701" s="44">
        <v>2020</v>
      </c>
      <c r="G2701" s="44" t="s">
        <v>18</v>
      </c>
      <c r="H2701" s="44" t="s">
        <v>18</v>
      </c>
      <c r="I2701" s="44" t="s">
        <v>18</v>
      </c>
      <c r="J2701" s="44" t="s">
        <v>18</v>
      </c>
      <c r="K2701" s="44" t="s">
        <v>18</v>
      </c>
      <c r="L2701" s="44" t="s">
        <v>18</v>
      </c>
      <c r="M2701" s="44" t="s">
        <v>18</v>
      </c>
      <c r="N2701" s="44" t="s">
        <v>18</v>
      </c>
      <c r="O2701" s="44" t="s">
        <v>18</v>
      </c>
      <c r="P2701" s="102" t="s">
        <v>109</v>
      </c>
    </row>
    <row r="2702" spans="1:19" x14ac:dyDescent="0.25">
      <c r="A2702" s="29">
        <v>9</v>
      </c>
      <c r="B2702" s="30">
        <v>438287.10856199998</v>
      </c>
      <c r="C2702" s="30">
        <v>5688274.3324180003</v>
      </c>
      <c r="D2702" s="30">
        <v>28</v>
      </c>
      <c r="E2702" s="30" t="s">
        <v>99</v>
      </c>
      <c r="F2702" s="46">
        <v>2020</v>
      </c>
      <c r="G2702" s="47">
        <v>3.4599999999999999E-2</v>
      </c>
      <c r="H2702" s="47">
        <f>G2702*0.315532538300947</f>
        <v>1.0917425825212766E-2</v>
      </c>
      <c r="I2702" s="47">
        <v>8.0000000000000002E-3</v>
      </c>
      <c r="J2702" s="47">
        <f>I2702*0.466885045384181</f>
        <v>3.735080363073448E-3</v>
      </c>
      <c r="K2702" s="47">
        <v>6.0000000000000001E-3</v>
      </c>
      <c r="L2702" s="47">
        <f>K2702*0.343450479233227</f>
        <v>2.0607028753993621E-3</v>
      </c>
      <c r="M2702" s="47">
        <f>H2702-L2702</f>
        <v>8.8567229498134042E-3</v>
      </c>
      <c r="N2702" s="47">
        <v>4.4000000000000003E-3</v>
      </c>
      <c r="O2702" s="47">
        <f t="shared" ref="O2702:O2703" si="272">N2702*0.404923245603112</f>
        <v>1.7816622806536928E-3</v>
      </c>
      <c r="P2702" s="92"/>
    </row>
    <row r="2703" spans="1:19" x14ac:dyDescent="0.25">
      <c r="A2703" s="29">
        <v>10</v>
      </c>
      <c r="B2703" s="30">
        <v>438406.10856199998</v>
      </c>
      <c r="C2703" s="30">
        <v>5688274.3324180003</v>
      </c>
      <c r="D2703" s="30">
        <v>28</v>
      </c>
      <c r="E2703" s="30" t="s">
        <v>99</v>
      </c>
      <c r="F2703" s="46">
        <v>2020</v>
      </c>
      <c r="G2703" s="47">
        <v>4.48E-2</v>
      </c>
      <c r="H2703" s="47">
        <f>G2703*0.315532538300947</f>
        <v>1.4135857715882426E-2</v>
      </c>
      <c r="I2703" s="47">
        <v>1.9600000000000003E-2</v>
      </c>
      <c r="J2703" s="47">
        <f>I2703*0.466885045384181</f>
        <v>9.1509468895299498E-3</v>
      </c>
      <c r="K2703" s="47">
        <v>2.8999999999999998E-3</v>
      </c>
      <c r="L2703" s="47">
        <f>K2703*0.343450479233227</f>
        <v>9.9600638977635834E-4</v>
      </c>
      <c r="M2703" s="47">
        <f t="shared" ref="M2703:M2753" si="273">H2703-L2703</f>
        <v>1.3139851326106068E-2</v>
      </c>
      <c r="N2703" s="47">
        <v>5.1999999999999998E-3</v>
      </c>
      <c r="O2703" s="47">
        <f t="shared" si="272"/>
        <v>2.1056008771361823E-3</v>
      </c>
      <c r="P2703" s="92"/>
    </row>
    <row r="2704" spans="1:19" x14ac:dyDescent="0.25">
      <c r="A2704" s="42">
        <v>11</v>
      </c>
      <c r="B2704" s="43">
        <v>437454.10856199998</v>
      </c>
      <c r="C2704" s="43">
        <v>5688393.3324180003</v>
      </c>
      <c r="D2704" s="44">
        <v>28</v>
      </c>
      <c r="E2704" s="44" t="s">
        <v>99</v>
      </c>
      <c r="F2704" s="44">
        <v>2020</v>
      </c>
      <c r="G2704" s="44" t="s">
        <v>18</v>
      </c>
      <c r="H2704" s="44" t="s">
        <v>18</v>
      </c>
      <c r="I2704" s="44" t="s">
        <v>18</v>
      </c>
      <c r="J2704" s="44" t="s">
        <v>18</v>
      </c>
      <c r="K2704" s="44" t="s">
        <v>18</v>
      </c>
      <c r="L2704" s="44" t="s">
        <v>18</v>
      </c>
      <c r="M2704" s="44" t="s">
        <v>18</v>
      </c>
      <c r="N2704" s="44" t="s">
        <v>18</v>
      </c>
      <c r="O2704" s="44" t="s">
        <v>18</v>
      </c>
      <c r="P2704" s="102" t="s">
        <v>109</v>
      </c>
    </row>
    <row r="2705" spans="1:16" x14ac:dyDescent="0.25">
      <c r="A2705" s="29">
        <v>12</v>
      </c>
      <c r="B2705" s="30">
        <v>437573.10856199998</v>
      </c>
      <c r="C2705" s="30">
        <v>5688393.3324180003</v>
      </c>
      <c r="D2705" s="30">
        <v>27</v>
      </c>
      <c r="E2705" s="30" t="s">
        <v>99</v>
      </c>
      <c r="F2705" s="46">
        <v>2020</v>
      </c>
      <c r="G2705" s="47">
        <v>1.9300000000000001E-2</v>
      </c>
      <c r="H2705" s="47">
        <f t="shared" si="268"/>
        <v>4.5378908891801394E-3</v>
      </c>
      <c r="I2705" s="47">
        <v>2.0000000000000001E-4</v>
      </c>
      <c r="J2705" s="47">
        <f t="shared" si="269"/>
        <v>7.3544678943723995E-5</v>
      </c>
      <c r="K2705" s="47">
        <v>6.3E-3</v>
      </c>
      <c r="L2705" s="47">
        <f t="shared" si="270"/>
        <v>1.8212389380530983E-3</v>
      </c>
      <c r="M2705" s="47">
        <f t="shared" si="273"/>
        <v>2.7166519511270413E-3</v>
      </c>
      <c r="N2705" s="47">
        <v>1.5E-3</v>
      </c>
      <c r="O2705" s="47">
        <f t="shared" si="271"/>
        <v>7.2730712530712552E-4</v>
      </c>
      <c r="P2705" s="92"/>
    </row>
    <row r="2706" spans="1:16" x14ac:dyDescent="0.25">
      <c r="A2706" s="29">
        <v>13</v>
      </c>
      <c r="B2706" s="30">
        <v>437692.10856199998</v>
      </c>
      <c r="C2706" s="30">
        <v>5688393.3324180003</v>
      </c>
      <c r="D2706" s="30">
        <v>27</v>
      </c>
      <c r="E2706" s="30" t="s">
        <v>99</v>
      </c>
      <c r="F2706" s="46">
        <v>2020</v>
      </c>
      <c r="G2706" s="47">
        <v>3.8600000000000002E-2</v>
      </c>
      <c r="H2706" s="47">
        <f t="shared" si="268"/>
        <v>9.0757817783602788E-3</v>
      </c>
      <c r="I2706" s="47">
        <v>3.5499999999999997E-2</v>
      </c>
      <c r="J2706" s="47">
        <f t="shared" si="269"/>
        <v>1.3054180512511008E-2</v>
      </c>
      <c r="K2706" s="47">
        <v>7.7000000000000002E-3</v>
      </c>
      <c r="L2706" s="47">
        <f t="shared" si="270"/>
        <v>2.2259587020648981E-3</v>
      </c>
      <c r="M2706" s="47">
        <f t="shared" si="273"/>
        <v>6.8498230762953811E-3</v>
      </c>
      <c r="N2706" s="47">
        <v>7.1999999999999995E-2</v>
      </c>
      <c r="O2706" s="47">
        <f t="shared" si="271"/>
        <v>3.4910742014742022E-2</v>
      </c>
      <c r="P2706" s="92"/>
    </row>
    <row r="2707" spans="1:16" x14ac:dyDescent="0.25">
      <c r="A2707" s="32">
        <v>14</v>
      </c>
      <c r="B2707" s="33">
        <v>437811.10856199998</v>
      </c>
      <c r="C2707" s="33">
        <v>5688393.3324180003</v>
      </c>
      <c r="D2707" s="48">
        <v>28</v>
      </c>
      <c r="E2707" s="48" t="s">
        <v>99</v>
      </c>
      <c r="F2707" s="48">
        <v>2020</v>
      </c>
      <c r="G2707" s="48" t="s">
        <v>18</v>
      </c>
      <c r="H2707" s="48" t="s">
        <v>18</v>
      </c>
      <c r="I2707" s="48" t="s">
        <v>18</v>
      </c>
      <c r="J2707" s="48" t="s">
        <v>18</v>
      </c>
      <c r="K2707" s="48" t="s">
        <v>18</v>
      </c>
      <c r="L2707" s="48" t="s">
        <v>18</v>
      </c>
      <c r="M2707" s="48" t="s">
        <v>18</v>
      </c>
      <c r="N2707" s="48" t="s">
        <v>18</v>
      </c>
      <c r="O2707" s="48" t="s">
        <v>18</v>
      </c>
      <c r="P2707" s="103" t="s">
        <v>89</v>
      </c>
    </row>
    <row r="2708" spans="1:16" x14ac:dyDescent="0.25">
      <c r="A2708" s="29">
        <v>15</v>
      </c>
      <c r="B2708" s="30">
        <v>437930.10856199998</v>
      </c>
      <c r="C2708" s="30">
        <v>5688393.3324180003</v>
      </c>
      <c r="D2708" s="30">
        <v>28</v>
      </c>
      <c r="E2708" s="30" t="s">
        <v>99</v>
      </c>
      <c r="F2708" s="46">
        <v>2020</v>
      </c>
      <c r="G2708" s="46">
        <v>1.8100000000000002E-2</v>
      </c>
      <c r="H2708" s="47">
        <f t="shared" ref="H2708:H2712" si="274">G2708*0.315532538300947</f>
        <v>5.7111389432471411E-3</v>
      </c>
      <c r="I2708" s="47">
        <v>2.24E-2</v>
      </c>
      <c r="J2708" s="47">
        <f t="shared" ref="J2708:J2712" si="275">I2708*0.466885045384181</f>
        <v>1.0458225016605654E-2</v>
      </c>
      <c r="K2708" s="47">
        <v>3.3E-3</v>
      </c>
      <c r="L2708" s="47">
        <f t="shared" ref="L2708:L2712" si="276">K2708*0.343450479233227</f>
        <v>1.1333865814696492E-3</v>
      </c>
      <c r="M2708" s="47">
        <f t="shared" si="273"/>
        <v>4.5777523617774917E-3</v>
      </c>
      <c r="N2708" s="47">
        <v>6.3E-2</v>
      </c>
      <c r="O2708" s="47">
        <f t="shared" ref="O2708:O2712" si="277">N2708*0.404923245603112</f>
        <v>2.5510164472996057E-2</v>
      </c>
      <c r="P2708" s="92"/>
    </row>
    <row r="2709" spans="1:16" x14ac:dyDescent="0.25">
      <c r="A2709" s="29">
        <v>16</v>
      </c>
      <c r="B2709" s="30">
        <v>438049.10856199998</v>
      </c>
      <c r="C2709" s="30">
        <v>5688393.3324180003</v>
      </c>
      <c r="D2709" s="30">
        <v>28</v>
      </c>
      <c r="E2709" s="30" t="s">
        <v>99</v>
      </c>
      <c r="F2709" s="46">
        <v>2020</v>
      </c>
      <c r="G2709" s="30" t="s">
        <v>18</v>
      </c>
      <c r="H2709" s="30" t="s">
        <v>18</v>
      </c>
      <c r="I2709" s="30" t="s">
        <v>18</v>
      </c>
      <c r="J2709" s="30" t="s">
        <v>18</v>
      </c>
      <c r="K2709" s="47">
        <v>1.1999999999999999E-3</v>
      </c>
      <c r="L2709" s="47">
        <f t="shared" si="276"/>
        <v>4.1214057507987242E-4</v>
      </c>
      <c r="M2709" s="30" t="s">
        <v>18</v>
      </c>
      <c r="N2709" s="47">
        <v>7.6999999999999999E-2</v>
      </c>
      <c r="O2709" s="47">
        <f t="shared" si="277"/>
        <v>3.1179089911439622E-2</v>
      </c>
      <c r="P2709" s="92" t="s">
        <v>103</v>
      </c>
    </row>
    <row r="2710" spans="1:16" x14ac:dyDescent="0.25">
      <c r="A2710" s="29">
        <v>17</v>
      </c>
      <c r="B2710" s="30">
        <v>438168.10856199998</v>
      </c>
      <c r="C2710" s="30">
        <v>5688393.3324180003</v>
      </c>
      <c r="D2710" s="30">
        <v>28</v>
      </c>
      <c r="E2710" s="30" t="s">
        <v>99</v>
      </c>
      <c r="F2710" s="46">
        <v>2020</v>
      </c>
      <c r="G2710" s="30" t="s">
        <v>18</v>
      </c>
      <c r="H2710" s="30" t="s">
        <v>18</v>
      </c>
      <c r="I2710" s="30" t="s">
        <v>18</v>
      </c>
      <c r="J2710" s="30" t="s">
        <v>18</v>
      </c>
      <c r="K2710" s="47">
        <v>2.5000000000000001E-3</v>
      </c>
      <c r="L2710" s="47">
        <f t="shared" si="276"/>
        <v>8.5862619808306756E-4</v>
      </c>
      <c r="M2710" s="30" t="s">
        <v>18</v>
      </c>
      <c r="N2710" s="47">
        <v>0.1489</v>
      </c>
      <c r="O2710" s="47">
        <f t="shared" si="277"/>
        <v>6.0293071270303381E-2</v>
      </c>
      <c r="P2710" s="92" t="s">
        <v>103</v>
      </c>
    </row>
    <row r="2711" spans="1:16" x14ac:dyDescent="0.25">
      <c r="A2711" s="29">
        <v>18</v>
      </c>
      <c r="B2711" s="30">
        <v>438287.10856199998</v>
      </c>
      <c r="C2711" s="30">
        <v>5688393.3324180003</v>
      </c>
      <c r="D2711" s="30">
        <v>28</v>
      </c>
      <c r="E2711" s="30" t="s">
        <v>99</v>
      </c>
      <c r="F2711" s="46">
        <v>2020</v>
      </c>
      <c r="G2711" s="47">
        <v>3.7200000000000004E-2</v>
      </c>
      <c r="H2711" s="47">
        <f t="shared" si="274"/>
        <v>1.173781042479523E-2</v>
      </c>
      <c r="I2711" s="47">
        <v>3.3E-3</v>
      </c>
      <c r="J2711" s="47">
        <f t="shared" si="275"/>
        <v>1.5407206497677973E-3</v>
      </c>
      <c r="K2711" s="47">
        <v>4.9000000000000007E-3</v>
      </c>
      <c r="L2711" s="47">
        <f t="shared" si="276"/>
        <v>1.6829073482428126E-3</v>
      </c>
      <c r="M2711" s="47">
        <f t="shared" si="273"/>
        <v>1.0054903076552418E-2</v>
      </c>
      <c r="N2711" s="47">
        <v>0</v>
      </c>
      <c r="O2711" s="47">
        <f t="shared" si="277"/>
        <v>0</v>
      </c>
      <c r="P2711" s="92"/>
    </row>
    <row r="2712" spans="1:16" x14ac:dyDescent="0.25">
      <c r="A2712" s="29">
        <v>19</v>
      </c>
      <c r="B2712" s="30">
        <v>438406.10856199998</v>
      </c>
      <c r="C2712" s="30">
        <v>5688393.3324180003</v>
      </c>
      <c r="D2712" s="30">
        <v>28</v>
      </c>
      <c r="E2712" s="30" t="s">
        <v>99</v>
      </c>
      <c r="F2712" s="46">
        <v>2020</v>
      </c>
      <c r="G2712" s="47">
        <v>2.3600000000000003E-2</v>
      </c>
      <c r="H2712" s="47">
        <f t="shared" si="274"/>
        <v>7.4465679039023508E-3</v>
      </c>
      <c r="I2712" s="47">
        <v>5.0000000000000001E-4</v>
      </c>
      <c r="J2712" s="47">
        <f t="shared" si="275"/>
        <v>2.334425226920905E-4</v>
      </c>
      <c r="K2712" s="47">
        <v>3.8999999999999998E-3</v>
      </c>
      <c r="L2712" s="47">
        <f t="shared" si="276"/>
        <v>1.3394568690095854E-3</v>
      </c>
      <c r="M2712" s="47">
        <f t="shared" si="273"/>
        <v>6.1071110348927659E-3</v>
      </c>
      <c r="N2712" s="47">
        <v>5.9999999999999995E-4</v>
      </c>
      <c r="O2712" s="47">
        <f t="shared" si="277"/>
        <v>2.4295394736186717E-4</v>
      </c>
      <c r="P2712" s="92"/>
    </row>
    <row r="2713" spans="1:16" x14ac:dyDescent="0.25">
      <c r="A2713" s="42">
        <v>20</v>
      </c>
      <c r="B2713" s="43">
        <v>437335.10856199998</v>
      </c>
      <c r="C2713" s="43">
        <v>5688512.3324180003</v>
      </c>
      <c r="D2713" s="44">
        <v>28</v>
      </c>
      <c r="E2713" s="44" t="s">
        <v>99</v>
      </c>
      <c r="F2713" s="44">
        <v>2020</v>
      </c>
      <c r="G2713" s="44" t="s">
        <v>18</v>
      </c>
      <c r="H2713" s="44" t="s">
        <v>18</v>
      </c>
      <c r="I2713" s="44" t="s">
        <v>18</v>
      </c>
      <c r="J2713" s="44" t="s">
        <v>18</v>
      </c>
      <c r="K2713" s="44" t="s">
        <v>18</v>
      </c>
      <c r="L2713" s="44" t="s">
        <v>18</v>
      </c>
      <c r="M2713" s="44" t="s">
        <v>18</v>
      </c>
      <c r="N2713" s="44" t="s">
        <v>18</v>
      </c>
      <c r="O2713" s="44" t="s">
        <v>18</v>
      </c>
      <c r="P2713" s="102" t="s">
        <v>109</v>
      </c>
    </row>
    <row r="2714" spans="1:16" x14ac:dyDescent="0.25">
      <c r="A2714" s="29">
        <v>21</v>
      </c>
      <c r="B2714" s="30">
        <v>437454.10856199998</v>
      </c>
      <c r="C2714" s="30">
        <v>5688512.3324180003</v>
      </c>
      <c r="D2714" s="30">
        <v>26</v>
      </c>
      <c r="E2714" s="30" t="s">
        <v>99</v>
      </c>
      <c r="F2714" s="46">
        <v>2020</v>
      </c>
      <c r="G2714" s="47">
        <v>1.6999999999999999E-3</v>
      </c>
      <c r="H2714" s="47">
        <f>G2714*0.228804902962206</f>
        <v>3.8896833503575018E-4</v>
      </c>
      <c r="I2714" s="47">
        <v>6.4000000000000003E-3</v>
      </c>
      <c r="J2714" s="47">
        <f>I2714*0.454072790294627</f>
        <v>2.906065857885613E-3</v>
      </c>
      <c r="K2714" s="47">
        <v>8.9999999999999998E-4</v>
      </c>
      <c r="L2714" s="47">
        <f>K2714*0.271186440677966</f>
        <v>2.440677966101694E-4</v>
      </c>
      <c r="M2714" s="47">
        <f t="shared" si="273"/>
        <v>1.4490053842558078E-4</v>
      </c>
      <c r="N2714" s="47">
        <v>3.2000000000000002E-3</v>
      </c>
      <c r="O2714" s="47">
        <f>N2714*0.531007751937984</f>
        <v>1.6992248062015489E-3</v>
      </c>
      <c r="P2714" s="92"/>
    </row>
    <row r="2715" spans="1:16" x14ac:dyDescent="0.25">
      <c r="A2715" s="29">
        <v>22</v>
      </c>
      <c r="B2715" s="30">
        <v>437573.10856199998</v>
      </c>
      <c r="C2715" s="30">
        <v>5688512.3324180003</v>
      </c>
      <c r="D2715" s="30">
        <v>27</v>
      </c>
      <c r="E2715" s="30" t="s">
        <v>99</v>
      </c>
      <c r="F2715" s="46">
        <v>2020</v>
      </c>
      <c r="G2715" s="71">
        <v>3.9299999999999995E-2</v>
      </c>
      <c r="H2715" s="47">
        <f t="shared" si="268"/>
        <v>9.2403684945481582E-3</v>
      </c>
      <c r="I2715" s="47">
        <v>0.27729999999999999</v>
      </c>
      <c r="J2715" s="47">
        <f t="shared" si="269"/>
        <v>0.10196969735547332</v>
      </c>
      <c r="K2715" s="47">
        <v>3.3999999999999998E-3</v>
      </c>
      <c r="L2715" s="47">
        <f t="shared" si="270"/>
        <v>9.8289085545722756E-4</v>
      </c>
      <c r="M2715" s="47">
        <f t="shared" si="273"/>
        <v>8.2574776390909304E-3</v>
      </c>
      <c r="N2715" s="47">
        <v>8.6699999999999999E-2</v>
      </c>
      <c r="O2715" s="47">
        <f t="shared" si="271"/>
        <v>4.2038351842751856E-2</v>
      </c>
      <c r="P2715" s="92"/>
    </row>
    <row r="2716" spans="1:16" x14ac:dyDescent="0.25">
      <c r="A2716" s="29">
        <v>23</v>
      </c>
      <c r="B2716" s="30">
        <v>437692.10856199998</v>
      </c>
      <c r="C2716" s="30">
        <v>5688512.3324180003</v>
      </c>
      <c r="D2716" s="30">
        <v>27</v>
      </c>
      <c r="E2716" s="30" t="s">
        <v>99</v>
      </c>
      <c r="F2716" s="46">
        <v>2020</v>
      </c>
      <c r="G2716" s="46">
        <v>1.3099999999999999E-2</v>
      </c>
      <c r="H2716" s="47">
        <f t="shared" si="268"/>
        <v>3.0801228315160529E-3</v>
      </c>
      <c r="I2716" s="47">
        <v>2.6600000000000002E-2</v>
      </c>
      <c r="J2716" s="47">
        <f t="shared" si="269"/>
        <v>9.7814422995152923E-3</v>
      </c>
      <c r="K2716" s="47">
        <v>8.9999999999999998E-4</v>
      </c>
      <c r="L2716" s="47">
        <f t="shared" si="270"/>
        <v>2.6017699115044257E-4</v>
      </c>
      <c r="M2716" s="47">
        <f t="shared" si="273"/>
        <v>2.8199458403656103E-3</v>
      </c>
      <c r="N2716" s="47">
        <v>1E-4</v>
      </c>
      <c r="O2716" s="47">
        <f t="shared" si="271"/>
        <v>4.84871416871417E-5</v>
      </c>
      <c r="P2716" s="92"/>
    </row>
    <row r="2717" spans="1:16" x14ac:dyDescent="0.25">
      <c r="A2717" s="29">
        <v>24</v>
      </c>
      <c r="B2717" s="30">
        <v>437811.10856199998</v>
      </c>
      <c r="C2717" s="30">
        <v>5688512.3324180003</v>
      </c>
      <c r="D2717" s="30">
        <v>27</v>
      </c>
      <c r="E2717" s="30" t="s">
        <v>99</v>
      </c>
      <c r="F2717" s="46">
        <v>2020</v>
      </c>
      <c r="G2717" s="47">
        <v>3.1699999999999999E-2</v>
      </c>
      <c r="H2717" s="47">
        <f t="shared" si="268"/>
        <v>7.4534270045083116E-3</v>
      </c>
      <c r="I2717" s="47">
        <v>0.216</v>
      </c>
      <c r="J2717" s="47">
        <f t="shared" si="269"/>
        <v>7.9428253259221912E-2</v>
      </c>
      <c r="K2717" s="47">
        <v>5.0999999999999995E-3</v>
      </c>
      <c r="L2717" s="47">
        <f t="shared" si="270"/>
        <v>1.4743362831858412E-3</v>
      </c>
      <c r="M2717" s="47">
        <f t="shared" si="273"/>
        <v>5.9790907213224699E-3</v>
      </c>
      <c r="N2717" s="47">
        <v>5.0299999999999997E-2</v>
      </c>
      <c r="O2717" s="47">
        <f t="shared" si="271"/>
        <v>2.4389032268632274E-2</v>
      </c>
      <c r="P2717" s="92"/>
    </row>
    <row r="2718" spans="1:16" x14ac:dyDescent="0.25">
      <c r="A2718" s="29">
        <v>25</v>
      </c>
      <c r="B2718" s="46">
        <v>437995</v>
      </c>
      <c r="C2718" s="46">
        <v>5688493</v>
      </c>
      <c r="D2718" s="30">
        <v>28</v>
      </c>
      <c r="E2718" s="30" t="s">
        <v>99</v>
      </c>
      <c r="F2718" s="46">
        <v>2020</v>
      </c>
      <c r="G2718" s="30" t="s">
        <v>18</v>
      </c>
      <c r="H2718" s="30" t="s">
        <v>18</v>
      </c>
      <c r="I2718" s="30" t="s">
        <v>18</v>
      </c>
      <c r="J2718" s="30" t="s">
        <v>18</v>
      </c>
      <c r="K2718" s="47">
        <v>9.4999999999999998E-3</v>
      </c>
      <c r="L2718" s="47">
        <f t="shared" ref="L2718:L2719" si="278">K2718*0.343450479233227</f>
        <v>3.2627795527156566E-3</v>
      </c>
      <c r="M2718" s="30" t="s">
        <v>18</v>
      </c>
      <c r="N2718" s="47">
        <v>0</v>
      </c>
      <c r="O2718" s="47">
        <f t="shared" ref="O2718:O2719" si="279">N2718*0.404923245603112</f>
        <v>0</v>
      </c>
      <c r="P2718" s="92" t="s">
        <v>103</v>
      </c>
    </row>
    <row r="2719" spans="1:16" x14ac:dyDescent="0.25">
      <c r="A2719" s="29">
        <v>26</v>
      </c>
      <c r="B2719" s="46">
        <v>438112</v>
      </c>
      <c r="C2719" s="46">
        <v>5688567</v>
      </c>
      <c r="D2719" s="30">
        <v>28</v>
      </c>
      <c r="E2719" s="30" t="s">
        <v>99</v>
      </c>
      <c r="F2719" s="46">
        <v>2020</v>
      </c>
      <c r="G2719" s="47">
        <v>5.5100000000000003E-2</v>
      </c>
      <c r="H2719" s="47">
        <f t="shared" ref="H2719" si="280">G2719*0.315532538300947</f>
        <v>1.7385842860382181E-2</v>
      </c>
      <c r="I2719" s="47">
        <v>4.8399999999999999E-2</v>
      </c>
      <c r="J2719" s="47">
        <f t="shared" ref="J2719" si="281">I2719*0.466885045384181</f>
        <v>2.2597236196594362E-2</v>
      </c>
      <c r="K2719" s="47">
        <v>1.1999999999999999E-3</v>
      </c>
      <c r="L2719" s="47">
        <f t="shared" si="278"/>
        <v>4.1214057507987242E-4</v>
      </c>
      <c r="M2719" s="47">
        <f t="shared" si="273"/>
        <v>1.697370228530231E-2</v>
      </c>
      <c r="N2719" s="47">
        <v>6.7000000000000002E-3</v>
      </c>
      <c r="O2719" s="47">
        <f t="shared" si="279"/>
        <v>2.7129857455408506E-3</v>
      </c>
      <c r="P2719" s="92"/>
    </row>
    <row r="2720" spans="1:16" x14ac:dyDescent="0.25">
      <c r="A2720" s="32">
        <v>27</v>
      </c>
      <c r="B2720" s="33">
        <v>438168.10856199998</v>
      </c>
      <c r="C2720" s="33">
        <v>5688512.3324180003</v>
      </c>
      <c r="D2720" s="48">
        <v>28</v>
      </c>
      <c r="E2720" s="48" t="s">
        <v>99</v>
      </c>
      <c r="F2720" s="48">
        <v>2020</v>
      </c>
      <c r="G2720" s="48" t="s">
        <v>18</v>
      </c>
      <c r="H2720" s="48" t="s">
        <v>18</v>
      </c>
      <c r="I2720" s="48" t="s">
        <v>18</v>
      </c>
      <c r="J2720" s="48" t="s">
        <v>18</v>
      </c>
      <c r="K2720" s="48" t="s">
        <v>18</v>
      </c>
      <c r="L2720" s="48" t="s">
        <v>18</v>
      </c>
      <c r="M2720" s="48" t="s">
        <v>18</v>
      </c>
      <c r="N2720" s="48" t="s">
        <v>18</v>
      </c>
      <c r="O2720" s="48" t="s">
        <v>18</v>
      </c>
      <c r="P2720" s="103" t="s">
        <v>89</v>
      </c>
    </row>
    <row r="2721" spans="1:16" x14ac:dyDescent="0.25">
      <c r="A2721" s="32">
        <v>28</v>
      </c>
      <c r="B2721" s="33">
        <v>438287.10856199998</v>
      </c>
      <c r="C2721" s="33">
        <v>5688512.3324180003</v>
      </c>
      <c r="D2721" s="48">
        <v>28</v>
      </c>
      <c r="E2721" s="48" t="s">
        <v>99</v>
      </c>
      <c r="F2721" s="48">
        <v>2020</v>
      </c>
      <c r="G2721" s="48" t="s">
        <v>18</v>
      </c>
      <c r="H2721" s="48" t="s">
        <v>18</v>
      </c>
      <c r="I2721" s="48" t="s">
        <v>18</v>
      </c>
      <c r="J2721" s="48" t="s">
        <v>18</v>
      </c>
      <c r="K2721" s="48" t="s">
        <v>18</v>
      </c>
      <c r="L2721" s="48" t="s">
        <v>18</v>
      </c>
      <c r="M2721" s="48" t="s">
        <v>18</v>
      </c>
      <c r="N2721" s="48" t="s">
        <v>18</v>
      </c>
      <c r="O2721" s="48" t="s">
        <v>18</v>
      </c>
      <c r="P2721" s="103" t="s">
        <v>89</v>
      </c>
    </row>
    <row r="2722" spans="1:16" x14ac:dyDescent="0.25">
      <c r="A2722" s="29">
        <v>29</v>
      </c>
      <c r="B2722" s="30">
        <v>438381</v>
      </c>
      <c r="C2722" s="30">
        <v>5688526</v>
      </c>
      <c r="D2722" s="30">
        <v>27</v>
      </c>
      <c r="E2722" s="30" t="s">
        <v>99</v>
      </c>
      <c r="F2722" s="46">
        <v>2020</v>
      </c>
      <c r="G2722" s="47">
        <v>4.48E-2</v>
      </c>
      <c r="H2722" s="47">
        <f t="shared" si="268"/>
        <v>1.0533549836024364E-2</v>
      </c>
      <c r="I2722" s="47">
        <v>3.6499999999999998E-2</v>
      </c>
      <c r="J2722" s="47">
        <f t="shared" si="269"/>
        <v>1.3421903907229629E-2</v>
      </c>
      <c r="K2722" s="47">
        <v>3.3E-3</v>
      </c>
      <c r="L2722" s="47">
        <f t="shared" si="270"/>
        <v>9.5398230088495619E-4</v>
      </c>
      <c r="M2722" s="47">
        <f t="shared" si="273"/>
        <v>9.5795675351394074E-3</v>
      </c>
      <c r="N2722" s="47">
        <v>1.5599999999999999E-2</v>
      </c>
      <c r="O2722" s="47">
        <f t="shared" si="271"/>
        <v>7.5639941031941044E-3</v>
      </c>
      <c r="P2722" s="92"/>
    </row>
    <row r="2723" spans="1:16" x14ac:dyDescent="0.25">
      <c r="A2723" s="29">
        <v>30</v>
      </c>
      <c r="B2723" s="30">
        <v>438525.10856199998</v>
      </c>
      <c r="C2723" s="30">
        <v>5688512.3324180003</v>
      </c>
      <c r="D2723" s="30">
        <v>27</v>
      </c>
      <c r="E2723" s="30" t="s">
        <v>99</v>
      </c>
      <c r="F2723" s="46">
        <v>2020</v>
      </c>
      <c r="G2723" s="47">
        <v>1.0999999999999999E-2</v>
      </c>
      <c r="H2723" s="47">
        <f t="shared" si="268"/>
        <v>2.5863626829524108E-3</v>
      </c>
      <c r="I2723" s="47">
        <v>5.9999999999999995E-4</v>
      </c>
      <c r="J2723" s="47">
        <f t="shared" si="269"/>
        <v>2.2063403683117197E-4</v>
      </c>
      <c r="K2723" s="47">
        <v>1.6999999999999999E-3</v>
      </c>
      <c r="L2723" s="47">
        <f t="shared" si="270"/>
        <v>4.9144542772861378E-4</v>
      </c>
      <c r="M2723" s="47">
        <f t="shared" si="273"/>
        <v>2.0949172552237969E-3</v>
      </c>
      <c r="N2723" s="47">
        <v>0</v>
      </c>
      <c r="O2723" s="47">
        <f t="shared" si="271"/>
        <v>0</v>
      </c>
      <c r="P2723" s="92"/>
    </row>
    <row r="2724" spans="1:16" x14ac:dyDescent="0.25">
      <c r="A2724" s="29">
        <v>31</v>
      </c>
      <c r="B2724" s="30">
        <v>437335.10856199998</v>
      </c>
      <c r="C2724" s="30">
        <v>5688631.3324180003</v>
      </c>
      <c r="D2724" s="30">
        <v>26</v>
      </c>
      <c r="E2724" s="30" t="s">
        <v>99</v>
      </c>
      <c r="F2724" s="46">
        <v>2020</v>
      </c>
      <c r="G2724" s="47">
        <v>0.02</v>
      </c>
      <c r="H2724" s="47">
        <f>G2724*0.228804902962206</f>
        <v>4.5760980592441207E-3</v>
      </c>
      <c r="I2724" s="47">
        <v>2.0000000000000001E-4</v>
      </c>
      <c r="J2724" s="47">
        <f>I2724*0.454072790294627</f>
        <v>9.0814558058925407E-5</v>
      </c>
      <c r="K2724" s="47">
        <v>1.6000000000000001E-3</v>
      </c>
      <c r="L2724" s="47">
        <f>K2724*0.271186440677966</f>
        <v>4.3389830508474561E-4</v>
      </c>
      <c r="M2724" s="47">
        <f t="shared" si="273"/>
        <v>4.1421997541593748E-3</v>
      </c>
      <c r="N2724" s="47">
        <v>1E-4</v>
      </c>
      <c r="O2724" s="47">
        <f>N2724*0.531007751937984</f>
        <v>5.3100775193798404E-5</v>
      </c>
      <c r="P2724" s="92" t="s">
        <v>167</v>
      </c>
    </row>
    <row r="2725" spans="1:16" x14ac:dyDescent="0.25">
      <c r="A2725" s="29">
        <v>32</v>
      </c>
      <c r="B2725" s="30">
        <v>437454.10856199998</v>
      </c>
      <c r="C2725" s="30">
        <v>5688631.3324180003</v>
      </c>
      <c r="D2725" s="30">
        <v>26</v>
      </c>
      <c r="E2725" s="30" t="s">
        <v>99</v>
      </c>
      <c r="F2725" s="46">
        <v>2020</v>
      </c>
      <c r="G2725" s="47">
        <v>2.5000000000000001E-2</v>
      </c>
      <c r="H2725" s="47">
        <f>G2725*0.228804902962206</f>
        <v>5.7201225740551509E-3</v>
      </c>
      <c r="I2725" s="47">
        <v>8.0000000000000004E-4</v>
      </c>
      <c r="J2725" s="47">
        <f>I2725*0.454072790294627</f>
        <v>3.6325823223570163E-4</v>
      </c>
      <c r="K2725" s="47">
        <v>3.5999999999999999E-3</v>
      </c>
      <c r="L2725" s="47">
        <f>K2725*0.271186440677966</f>
        <v>9.7627118644067758E-4</v>
      </c>
      <c r="M2725" s="47">
        <f t="shared" si="273"/>
        <v>4.743851387614473E-3</v>
      </c>
      <c r="N2725" s="47">
        <v>2.0000000000000001E-4</v>
      </c>
      <c r="O2725" s="47">
        <f>N2725*0.531007751937984</f>
        <v>1.0620155038759681E-4</v>
      </c>
      <c r="P2725" s="92"/>
    </row>
    <row r="2726" spans="1:16" x14ac:dyDescent="0.25">
      <c r="A2726" s="29">
        <v>33</v>
      </c>
      <c r="B2726" s="30">
        <v>437573.10856199998</v>
      </c>
      <c r="C2726" s="30">
        <v>5688631.3324180003</v>
      </c>
      <c r="D2726" s="30">
        <v>27</v>
      </c>
      <c r="E2726" s="30" t="s">
        <v>99</v>
      </c>
      <c r="F2726" s="46">
        <v>2020</v>
      </c>
      <c r="G2726" s="47">
        <v>0.1414</v>
      </c>
      <c r="H2726" s="47">
        <f t="shared" si="268"/>
        <v>3.3246516669951903E-2</v>
      </c>
      <c r="I2726" s="47">
        <v>1E-4</v>
      </c>
      <c r="J2726" s="47">
        <f t="shared" si="269"/>
        <v>3.6772339471861997E-5</v>
      </c>
      <c r="K2726" s="47">
        <v>5.1999999999999998E-3</v>
      </c>
      <c r="L2726" s="47">
        <f t="shared" si="270"/>
        <v>1.5032448377581128E-3</v>
      </c>
      <c r="M2726" s="47">
        <f t="shared" si="273"/>
        <v>3.174327183219379E-2</v>
      </c>
      <c r="N2726" s="47">
        <v>1E-4</v>
      </c>
      <c r="O2726" s="47">
        <f t="shared" si="271"/>
        <v>4.84871416871417E-5</v>
      </c>
      <c r="P2726" s="92"/>
    </row>
    <row r="2727" spans="1:16" x14ac:dyDescent="0.25">
      <c r="A2727" s="29">
        <v>34</v>
      </c>
      <c r="B2727" s="30">
        <v>437692.10856199998</v>
      </c>
      <c r="C2727" s="30">
        <v>5688631.3324180003</v>
      </c>
      <c r="D2727" s="30">
        <v>27</v>
      </c>
      <c r="E2727" s="30" t="s">
        <v>99</v>
      </c>
      <c r="F2727" s="46">
        <v>2020</v>
      </c>
      <c r="G2727" s="47">
        <v>2.0399999999999998E-2</v>
      </c>
      <c r="H2727" s="47">
        <f t="shared" si="268"/>
        <v>4.79652715747538E-3</v>
      </c>
      <c r="I2727" s="47">
        <v>1.6999999999999999E-3</v>
      </c>
      <c r="J2727" s="47">
        <f t="shared" si="269"/>
        <v>6.2512977102165395E-4</v>
      </c>
      <c r="K2727" s="47">
        <v>1.1000000000000001E-3</v>
      </c>
      <c r="L2727" s="47">
        <f t="shared" si="270"/>
        <v>3.1799410029498542E-4</v>
      </c>
      <c r="M2727" s="47">
        <f t="shared" si="273"/>
        <v>4.4785330571803948E-3</v>
      </c>
      <c r="N2727" s="47">
        <v>2.1000000000000003E-3</v>
      </c>
      <c r="O2727" s="47">
        <f t="shared" si="271"/>
        <v>1.0182299754299758E-3</v>
      </c>
      <c r="P2727" s="92"/>
    </row>
    <row r="2728" spans="1:16" x14ac:dyDescent="0.25">
      <c r="A2728" s="29">
        <v>35</v>
      </c>
      <c r="B2728" s="30">
        <v>437893</v>
      </c>
      <c r="C2728" s="30">
        <v>5688620</v>
      </c>
      <c r="D2728" s="30">
        <v>27</v>
      </c>
      <c r="E2728" s="30" t="s">
        <v>99</v>
      </c>
      <c r="F2728" s="46">
        <v>2020</v>
      </c>
      <c r="G2728" s="47">
        <v>2.6699999999999998E-2</v>
      </c>
      <c r="H2728" s="47">
        <f t="shared" si="268"/>
        <v>6.2778076031663067E-3</v>
      </c>
      <c r="I2728" s="47">
        <v>1.7299999999999999E-2</v>
      </c>
      <c r="J2728" s="47">
        <f t="shared" si="269"/>
        <v>6.3616147286321258E-3</v>
      </c>
      <c r="K2728" s="47">
        <v>5.3E-3</v>
      </c>
      <c r="L2728" s="47">
        <f t="shared" si="270"/>
        <v>1.5321533923303842E-3</v>
      </c>
      <c r="M2728" s="47">
        <f t="shared" si="273"/>
        <v>4.7456542108359227E-3</v>
      </c>
      <c r="N2728" s="47">
        <v>0</v>
      </c>
      <c r="O2728" s="47">
        <f t="shared" si="271"/>
        <v>0</v>
      </c>
      <c r="P2728" s="92"/>
    </row>
    <row r="2729" spans="1:16" x14ac:dyDescent="0.25">
      <c r="A2729" s="29">
        <v>36</v>
      </c>
      <c r="B2729" s="30">
        <v>437930.10856199998</v>
      </c>
      <c r="C2729" s="30">
        <v>5688631.3324180003</v>
      </c>
      <c r="D2729" s="30">
        <v>27</v>
      </c>
      <c r="E2729" s="30" t="s">
        <v>99</v>
      </c>
      <c r="F2729" s="46">
        <v>2020</v>
      </c>
      <c r="G2729" s="46">
        <v>8.5099999999999995E-2</v>
      </c>
      <c r="H2729" s="47">
        <f t="shared" si="268"/>
        <v>2.0009042210840926E-2</v>
      </c>
      <c r="I2729" s="47">
        <v>0.03</v>
      </c>
      <c r="J2729" s="47">
        <f t="shared" si="269"/>
        <v>1.1031701841558599E-2</v>
      </c>
      <c r="K2729" s="47">
        <v>6.7999999999999996E-3</v>
      </c>
      <c r="L2729" s="47">
        <f t="shared" si="270"/>
        <v>1.9657817109144551E-3</v>
      </c>
      <c r="M2729" s="47">
        <f t="shared" si="273"/>
        <v>1.804326049992647E-2</v>
      </c>
      <c r="N2729" s="47">
        <v>0</v>
      </c>
      <c r="O2729" s="47">
        <f t="shared" si="271"/>
        <v>0</v>
      </c>
      <c r="P2729" s="92"/>
    </row>
    <row r="2730" spans="1:16" x14ac:dyDescent="0.25">
      <c r="A2730" s="32">
        <v>37</v>
      </c>
      <c r="B2730" s="33">
        <v>438049.10856199998</v>
      </c>
      <c r="C2730" s="33">
        <v>5688631.3324180003</v>
      </c>
      <c r="D2730" s="48">
        <v>28</v>
      </c>
      <c r="E2730" s="48" t="s">
        <v>99</v>
      </c>
      <c r="F2730" s="48">
        <v>2020</v>
      </c>
      <c r="G2730" s="48" t="s">
        <v>18</v>
      </c>
      <c r="H2730" s="48" t="s">
        <v>18</v>
      </c>
      <c r="I2730" s="48" t="s">
        <v>18</v>
      </c>
      <c r="J2730" s="48" t="s">
        <v>18</v>
      </c>
      <c r="K2730" s="48" t="s">
        <v>18</v>
      </c>
      <c r="L2730" s="48" t="s">
        <v>18</v>
      </c>
      <c r="M2730" s="48" t="s">
        <v>18</v>
      </c>
      <c r="N2730" s="48" t="s">
        <v>18</v>
      </c>
      <c r="O2730" s="48" t="s">
        <v>18</v>
      </c>
      <c r="P2730" s="103" t="s">
        <v>89</v>
      </c>
    </row>
    <row r="2731" spans="1:16" x14ac:dyDescent="0.25">
      <c r="A2731" s="29">
        <v>38</v>
      </c>
      <c r="B2731" s="30">
        <v>438067</v>
      </c>
      <c r="C2731" s="30">
        <v>5688710</v>
      </c>
      <c r="D2731" s="30">
        <v>27</v>
      </c>
      <c r="E2731" s="30" t="s">
        <v>99</v>
      </c>
      <c r="F2731" s="46">
        <v>2020</v>
      </c>
      <c r="G2731" s="54">
        <v>5.8799999999999998E-2</v>
      </c>
      <c r="H2731" s="47">
        <f t="shared" si="268"/>
        <v>1.3825284159781978E-2</v>
      </c>
      <c r="I2731" s="47">
        <v>5.0000000000000001E-4</v>
      </c>
      <c r="J2731" s="47">
        <f t="shared" si="269"/>
        <v>1.8386169735930998E-4</v>
      </c>
      <c r="K2731" s="47">
        <v>1.2999999999999999E-3</v>
      </c>
      <c r="L2731" s="47">
        <f t="shared" si="270"/>
        <v>3.758112094395282E-4</v>
      </c>
      <c r="M2731" s="47">
        <f t="shared" si="273"/>
        <v>1.3449472950342449E-2</v>
      </c>
      <c r="N2731" s="47">
        <v>0</v>
      </c>
      <c r="O2731" s="47">
        <f t="shared" si="271"/>
        <v>0</v>
      </c>
      <c r="P2731" s="92"/>
    </row>
    <row r="2732" spans="1:16" x14ac:dyDescent="0.25">
      <c r="A2732" s="32">
        <v>39</v>
      </c>
      <c r="B2732" s="33">
        <v>438287.10856199998</v>
      </c>
      <c r="C2732" s="33">
        <v>5688631.3324180003</v>
      </c>
      <c r="D2732" s="48">
        <v>28</v>
      </c>
      <c r="E2732" s="48" t="s">
        <v>99</v>
      </c>
      <c r="F2732" s="48">
        <v>2020</v>
      </c>
      <c r="G2732" s="48" t="s">
        <v>18</v>
      </c>
      <c r="H2732" s="48" t="s">
        <v>18</v>
      </c>
      <c r="I2732" s="48" t="s">
        <v>18</v>
      </c>
      <c r="J2732" s="48" t="s">
        <v>18</v>
      </c>
      <c r="K2732" s="48" t="s">
        <v>18</v>
      </c>
      <c r="L2732" s="48" t="s">
        <v>18</v>
      </c>
      <c r="M2732" s="48" t="s">
        <v>18</v>
      </c>
      <c r="N2732" s="48" t="s">
        <v>18</v>
      </c>
      <c r="O2732" s="48" t="s">
        <v>18</v>
      </c>
      <c r="P2732" s="94" t="s">
        <v>22</v>
      </c>
    </row>
    <row r="2733" spans="1:16" x14ac:dyDescent="0.25">
      <c r="A2733" s="29">
        <v>40</v>
      </c>
      <c r="B2733" s="30">
        <v>438406.10856199998</v>
      </c>
      <c r="C2733" s="30">
        <v>5688631.3324180003</v>
      </c>
      <c r="D2733" s="30">
        <v>27</v>
      </c>
      <c r="E2733" s="30" t="s">
        <v>99</v>
      </c>
      <c r="F2733" s="46">
        <v>2020</v>
      </c>
      <c r="G2733" s="47">
        <v>1.21E-2</v>
      </c>
      <c r="H2733" s="47">
        <f t="shared" si="268"/>
        <v>2.8449989512476519E-3</v>
      </c>
      <c r="I2733" s="47">
        <v>2.2000000000000001E-3</v>
      </c>
      <c r="J2733" s="47">
        <f t="shared" si="269"/>
        <v>8.0899146838096401E-4</v>
      </c>
      <c r="K2733" s="47">
        <v>1.8E-3</v>
      </c>
      <c r="L2733" s="47">
        <f t="shared" si="270"/>
        <v>5.2035398230088515E-4</v>
      </c>
      <c r="M2733" s="47">
        <f t="shared" si="273"/>
        <v>2.3246449689467668E-3</v>
      </c>
      <c r="N2733" s="47">
        <v>0</v>
      </c>
      <c r="O2733" s="47">
        <f t="shared" si="271"/>
        <v>0</v>
      </c>
      <c r="P2733" s="92"/>
    </row>
    <row r="2734" spans="1:16" x14ac:dyDescent="0.25">
      <c r="A2734" s="29">
        <v>41</v>
      </c>
      <c r="B2734" s="30">
        <v>437310</v>
      </c>
      <c r="C2734" s="30">
        <v>5688729</v>
      </c>
      <c r="D2734" s="30">
        <v>26</v>
      </c>
      <c r="E2734" s="30" t="s">
        <v>99</v>
      </c>
      <c r="F2734" s="46">
        <v>2020</v>
      </c>
      <c r="G2734" s="46">
        <v>4.5999999999999999E-2</v>
      </c>
      <c r="H2734" s="47">
        <f>G2734*0.228804902962206</f>
        <v>1.0525025536261477E-2</v>
      </c>
      <c r="I2734" s="47">
        <v>4.65E-2</v>
      </c>
      <c r="J2734" s="47">
        <f>I2734*0.454072790294627</f>
        <v>2.1114384748700154E-2</v>
      </c>
      <c r="K2734" s="47">
        <v>2.92E-2</v>
      </c>
      <c r="L2734" s="47">
        <f>K2734*0.271186440677966</f>
        <v>7.9186440677966076E-3</v>
      </c>
      <c r="M2734" s="47">
        <f t="shared" si="273"/>
        <v>2.606381468464869E-3</v>
      </c>
      <c r="N2734" s="46" t="s">
        <v>18</v>
      </c>
      <c r="O2734" s="46" t="s">
        <v>18</v>
      </c>
      <c r="P2734" s="92" t="s">
        <v>168</v>
      </c>
    </row>
    <row r="2735" spans="1:16" x14ac:dyDescent="0.25">
      <c r="A2735" s="29">
        <v>42</v>
      </c>
      <c r="B2735" s="30">
        <v>437454.10856199998</v>
      </c>
      <c r="C2735" s="30">
        <v>5688750.3324180003</v>
      </c>
      <c r="D2735" s="30">
        <v>26</v>
      </c>
      <c r="E2735" s="30" t="s">
        <v>99</v>
      </c>
      <c r="F2735" s="46">
        <v>2020</v>
      </c>
      <c r="G2735" s="54">
        <v>1.67E-2</v>
      </c>
      <c r="H2735" s="47">
        <f>G2735*0.228804902962206</f>
        <v>3.8210418794688405E-3</v>
      </c>
      <c r="I2735" s="47">
        <v>2.9999999999999997E-4</v>
      </c>
      <c r="J2735" s="47">
        <f>I2735*0.454072790294627</f>
        <v>1.3622183708838809E-4</v>
      </c>
      <c r="K2735" s="47">
        <v>5.0000000000000001E-4</v>
      </c>
      <c r="L2735" s="47">
        <f>K2735*0.271186440677966</f>
        <v>1.3559322033898299E-4</v>
      </c>
      <c r="M2735" s="47">
        <f t="shared" si="273"/>
        <v>3.6854486591298575E-3</v>
      </c>
      <c r="N2735" s="47">
        <v>2.3E-2</v>
      </c>
      <c r="O2735" s="47">
        <f>N2735*0.531007751937984</f>
        <v>1.2213178294573631E-2</v>
      </c>
      <c r="P2735" s="92"/>
    </row>
    <row r="2736" spans="1:16" x14ac:dyDescent="0.25">
      <c r="A2736" s="29">
        <v>43</v>
      </c>
      <c r="B2736" s="30">
        <v>437573.10856199998</v>
      </c>
      <c r="C2736" s="30">
        <v>5688750.3324180003</v>
      </c>
      <c r="D2736" s="30">
        <v>27</v>
      </c>
      <c r="E2736" s="30" t="s">
        <v>99</v>
      </c>
      <c r="F2736" s="46">
        <v>2020</v>
      </c>
      <c r="G2736" s="47">
        <v>2.93E-2</v>
      </c>
      <c r="H2736" s="47">
        <f t="shared" si="268"/>
        <v>6.8891296918641492E-3</v>
      </c>
      <c r="I2736" s="47">
        <v>3.8399999999999997E-2</v>
      </c>
      <c r="J2736" s="47">
        <f t="shared" si="269"/>
        <v>1.4120578357195006E-2</v>
      </c>
      <c r="K2736" s="47">
        <v>4.2000000000000006E-3</v>
      </c>
      <c r="L2736" s="47">
        <f t="shared" si="270"/>
        <v>1.2141592920353989E-3</v>
      </c>
      <c r="M2736" s="47">
        <f t="shared" si="273"/>
        <v>5.6749703998287505E-3</v>
      </c>
      <c r="N2736" s="47">
        <v>2.9999999999999997E-4</v>
      </c>
      <c r="O2736" s="47">
        <f t="shared" si="271"/>
        <v>1.4546142506142507E-4</v>
      </c>
      <c r="P2736" s="92"/>
    </row>
    <row r="2737" spans="1:16" x14ac:dyDescent="0.25">
      <c r="A2737" s="29">
        <v>44</v>
      </c>
      <c r="B2737" s="30">
        <v>437692.10856199998</v>
      </c>
      <c r="C2737" s="30">
        <v>5688750.3324180003</v>
      </c>
      <c r="D2737" s="30">
        <v>27</v>
      </c>
      <c r="E2737" s="30" t="s">
        <v>99</v>
      </c>
      <c r="F2737" s="46">
        <v>2020</v>
      </c>
      <c r="G2737" s="54">
        <v>1.89E-2</v>
      </c>
      <c r="H2737" s="47">
        <f t="shared" si="268"/>
        <v>4.443841337072779E-3</v>
      </c>
      <c r="I2737" s="47">
        <v>1.1999999999999999E-3</v>
      </c>
      <c r="J2737" s="47">
        <f t="shared" si="269"/>
        <v>4.4126807366234394E-4</v>
      </c>
      <c r="K2737" s="47">
        <v>2.3E-3</v>
      </c>
      <c r="L2737" s="47">
        <f t="shared" si="270"/>
        <v>6.648967551622422E-4</v>
      </c>
      <c r="M2737" s="47">
        <f t="shared" si="273"/>
        <v>3.7789445819105369E-3</v>
      </c>
      <c r="N2737" s="47">
        <v>1E-4</v>
      </c>
      <c r="O2737" s="47">
        <f t="shared" si="271"/>
        <v>4.84871416871417E-5</v>
      </c>
      <c r="P2737" s="92"/>
    </row>
    <row r="2738" spans="1:16" x14ac:dyDescent="0.25">
      <c r="A2738" s="29">
        <v>45</v>
      </c>
      <c r="B2738" s="30">
        <v>437811.10856199998</v>
      </c>
      <c r="C2738" s="30">
        <v>5688750.3324180003</v>
      </c>
      <c r="D2738" s="30">
        <v>27</v>
      </c>
      <c r="E2738" s="30" t="s">
        <v>99</v>
      </c>
      <c r="F2738" s="46">
        <v>2020</v>
      </c>
      <c r="G2738" s="47">
        <v>2.4399999999999998E-2</v>
      </c>
      <c r="H2738" s="47">
        <f t="shared" si="268"/>
        <v>5.737022678548984E-3</v>
      </c>
      <c r="I2738" s="47">
        <v>4.4600000000000001E-2</v>
      </c>
      <c r="J2738" s="47">
        <f t="shared" si="269"/>
        <v>1.6400463404450453E-2</v>
      </c>
      <c r="K2738" s="47">
        <v>3.3E-3</v>
      </c>
      <c r="L2738" s="47">
        <f t="shared" si="270"/>
        <v>9.5398230088495619E-4</v>
      </c>
      <c r="M2738" s="47">
        <f t="shared" si="273"/>
        <v>4.7830403776640273E-3</v>
      </c>
      <c r="N2738" s="47">
        <v>4.4999999999999997E-3</v>
      </c>
      <c r="O2738" s="47">
        <f t="shared" si="271"/>
        <v>2.1819213759213764E-3</v>
      </c>
      <c r="P2738" s="92"/>
    </row>
    <row r="2739" spans="1:16" x14ac:dyDescent="0.25">
      <c r="A2739" s="65">
        <v>46</v>
      </c>
      <c r="B2739" s="66">
        <v>437930.10856199998</v>
      </c>
      <c r="C2739" s="66">
        <v>5688750.3324180003</v>
      </c>
      <c r="D2739" s="66">
        <v>28</v>
      </c>
      <c r="E2739" s="66" t="s">
        <v>99</v>
      </c>
      <c r="F2739" s="66">
        <v>2020</v>
      </c>
      <c r="G2739" s="66" t="s">
        <v>18</v>
      </c>
      <c r="H2739" s="66" t="s">
        <v>18</v>
      </c>
      <c r="I2739" s="66" t="s">
        <v>18</v>
      </c>
      <c r="J2739" s="66" t="s">
        <v>18</v>
      </c>
      <c r="K2739" s="66" t="s">
        <v>18</v>
      </c>
      <c r="L2739" s="66" t="s">
        <v>18</v>
      </c>
      <c r="M2739" s="66" t="s">
        <v>18</v>
      </c>
      <c r="N2739" s="66" t="s">
        <v>18</v>
      </c>
      <c r="O2739" s="66" t="s">
        <v>18</v>
      </c>
      <c r="P2739" s="105" t="s">
        <v>107</v>
      </c>
    </row>
    <row r="2740" spans="1:16" x14ac:dyDescent="0.25">
      <c r="A2740" s="29">
        <v>47</v>
      </c>
      <c r="B2740" s="30">
        <v>438061</v>
      </c>
      <c r="C2740" s="30">
        <v>5688779</v>
      </c>
      <c r="D2740" s="30">
        <v>27</v>
      </c>
      <c r="E2740" s="30" t="s">
        <v>99</v>
      </c>
      <c r="F2740" s="46">
        <v>2020</v>
      </c>
      <c r="G2740" s="47">
        <v>1.8800000000000001E-2</v>
      </c>
      <c r="H2740" s="47">
        <f t="shared" si="268"/>
        <v>4.4203289490459393E-3</v>
      </c>
      <c r="I2740" s="47">
        <v>2.5899999999999999E-2</v>
      </c>
      <c r="J2740" s="47">
        <f t="shared" si="269"/>
        <v>9.5240359232122568E-3</v>
      </c>
      <c r="K2740" s="47">
        <v>2.3E-3</v>
      </c>
      <c r="L2740" s="47">
        <f t="shared" si="270"/>
        <v>6.648967551622422E-4</v>
      </c>
      <c r="M2740" s="47">
        <f t="shared" si="273"/>
        <v>3.7554321938836972E-3</v>
      </c>
      <c r="N2740" s="47">
        <v>8.8000000000000005E-3</v>
      </c>
      <c r="O2740" s="47">
        <f t="shared" si="271"/>
        <v>4.2668684684684698E-3</v>
      </c>
      <c r="P2740" s="92"/>
    </row>
    <row r="2741" spans="1:16" x14ac:dyDescent="0.25">
      <c r="A2741" s="32">
        <v>48</v>
      </c>
      <c r="B2741" s="33">
        <v>438168.10856199998</v>
      </c>
      <c r="C2741" s="33">
        <v>5688750.3324180003</v>
      </c>
      <c r="D2741" s="48">
        <v>28</v>
      </c>
      <c r="E2741" s="48" t="s">
        <v>99</v>
      </c>
      <c r="F2741" s="48">
        <v>2020</v>
      </c>
      <c r="G2741" s="48" t="s">
        <v>18</v>
      </c>
      <c r="H2741" s="48" t="s">
        <v>18</v>
      </c>
      <c r="I2741" s="48" t="s">
        <v>18</v>
      </c>
      <c r="J2741" s="48" t="s">
        <v>18</v>
      </c>
      <c r="K2741" s="48" t="s">
        <v>18</v>
      </c>
      <c r="L2741" s="48" t="s">
        <v>18</v>
      </c>
      <c r="M2741" s="48" t="s">
        <v>18</v>
      </c>
      <c r="N2741" s="48" t="s">
        <v>18</v>
      </c>
      <c r="O2741" s="48" t="s">
        <v>18</v>
      </c>
      <c r="P2741" s="103" t="s">
        <v>89</v>
      </c>
    </row>
    <row r="2742" spans="1:16" x14ac:dyDescent="0.25">
      <c r="A2742" s="29">
        <v>49</v>
      </c>
      <c r="B2742" s="30">
        <v>437454.10856199998</v>
      </c>
      <c r="C2742" s="30">
        <v>5688869.3324180003</v>
      </c>
      <c r="D2742" s="30">
        <v>27</v>
      </c>
      <c r="E2742" s="30" t="s">
        <v>99</v>
      </c>
      <c r="F2742" s="46">
        <v>2020</v>
      </c>
      <c r="G2742" s="47">
        <v>2.5700000000000001E-2</v>
      </c>
      <c r="H2742" s="47">
        <f t="shared" si="268"/>
        <v>6.0426837228979057E-3</v>
      </c>
      <c r="I2742" s="47">
        <v>3.8E-3</v>
      </c>
      <c r="J2742" s="47">
        <f t="shared" si="269"/>
        <v>1.3973488999307559E-3</v>
      </c>
      <c r="K2742" s="47">
        <v>2.2000000000000001E-3</v>
      </c>
      <c r="L2742" s="47">
        <f t="shared" si="270"/>
        <v>6.3598820058997083E-4</v>
      </c>
      <c r="M2742" s="47">
        <f t="shared" si="273"/>
        <v>5.4066955223079352E-3</v>
      </c>
      <c r="N2742" s="47">
        <v>0</v>
      </c>
      <c r="O2742" s="47">
        <f t="shared" si="271"/>
        <v>0</v>
      </c>
      <c r="P2742" s="92"/>
    </row>
    <row r="2743" spans="1:16" x14ac:dyDescent="0.25">
      <c r="A2743" s="29">
        <v>50</v>
      </c>
      <c r="B2743" s="30">
        <v>437811.10856199998</v>
      </c>
      <c r="C2743" s="30">
        <v>5688869.3324180003</v>
      </c>
      <c r="D2743" s="30">
        <v>28</v>
      </c>
      <c r="E2743" s="30" t="s">
        <v>99</v>
      </c>
      <c r="F2743" s="46">
        <v>2020</v>
      </c>
      <c r="G2743" s="47">
        <v>2.1100000000000001E-2</v>
      </c>
      <c r="H2743" s="47">
        <f>G2743*0.315532538300947</f>
        <v>6.657736558149982E-3</v>
      </c>
      <c r="I2743" s="47">
        <v>1.4500000000000001E-2</v>
      </c>
      <c r="J2743" s="47">
        <f>I2743*0.466885045384181</f>
        <v>6.7698331580706254E-3</v>
      </c>
      <c r="K2743" s="47">
        <v>3.0999999999999999E-3</v>
      </c>
      <c r="L2743" s="47">
        <f>K2743*0.343450479233227</f>
        <v>1.0646964856230038E-3</v>
      </c>
      <c r="M2743" s="47">
        <f t="shared" si="273"/>
        <v>5.593040072526978E-3</v>
      </c>
      <c r="N2743" s="47">
        <v>2.3E-3</v>
      </c>
      <c r="O2743" s="47">
        <f>N2743*0.404923245603112</f>
        <v>9.3132346488715759E-4</v>
      </c>
      <c r="P2743" s="92"/>
    </row>
    <row r="2744" spans="1:16" x14ac:dyDescent="0.25">
      <c r="A2744" s="29">
        <v>51</v>
      </c>
      <c r="B2744" s="30">
        <v>437930.10856199998</v>
      </c>
      <c r="C2744" s="30">
        <v>5688869.3324180003</v>
      </c>
      <c r="D2744" s="30" t="s">
        <v>169</v>
      </c>
      <c r="E2744" s="30" t="s">
        <v>99</v>
      </c>
      <c r="F2744" s="46">
        <v>2020</v>
      </c>
      <c r="G2744" s="47">
        <v>0</v>
      </c>
      <c r="H2744" s="47">
        <f t="shared" si="268"/>
        <v>0</v>
      </c>
      <c r="I2744" s="47">
        <v>0</v>
      </c>
      <c r="J2744" s="47">
        <f t="shared" si="269"/>
        <v>0</v>
      </c>
      <c r="K2744" s="47">
        <v>5.3E-3</v>
      </c>
      <c r="L2744" s="47">
        <f t="shared" si="270"/>
        <v>1.5321533923303842E-3</v>
      </c>
      <c r="M2744" s="47">
        <f t="shared" si="273"/>
        <v>-1.5321533923303842E-3</v>
      </c>
      <c r="N2744" s="47">
        <v>6.0999999999999995E-3</v>
      </c>
      <c r="O2744" s="47">
        <f t="shared" si="271"/>
        <v>2.9577156429156435E-3</v>
      </c>
      <c r="P2744" s="92"/>
    </row>
    <row r="2745" spans="1:16" x14ac:dyDescent="0.25">
      <c r="A2745" s="29">
        <v>52</v>
      </c>
      <c r="B2745" s="30">
        <v>438049.10856199998</v>
      </c>
      <c r="C2745" s="30">
        <v>5688869.3324180003</v>
      </c>
      <c r="D2745" s="30">
        <v>28</v>
      </c>
      <c r="E2745" s="30" t="s">
        <v>99</v>
      </c>
      <c r="F2745" s="46">
        <v>2020</v>
      </c>
      <c r="G2745" s="47">
        <v>1.1999999999999999E-3</v>
      </c>
      <c r="H2745" s="47">
        <f>G2745*0.315532538300947</f>
        <v>3.7863904596113638E-4</v>
      </c>
      <c r="I2745" s="47">
        <v>7.3000000000000001E-3</v>
      </c>
      <c r="J2745" s="47">
        <f>I2745*0.466885045384181</f>
        <v>3.4082608313045215E-3</v>
      </c>
      <c r="K2745" s="47">
        <v>1.1999999999999999E-3</v>
      </c>
      <c r="L2745" s="47">
        <f>K2745*0.343450479233227</f>
        <v>4.1214057507987242E-4</v>
      </c>
      <c r="M2745" s="47">
        <f t="shared" si="273"/>
        <v>-3.3501529118736039E-5</v>
      </c>
      <c r="N2745" s="47">
        <v>4.1299999999999996E-2</v>
      </c>
      <c r="O2745" s="47">
        <f>N2745*0.404923245603112</f>
        <v>1.6723330043408525E-2</v>
      </c>
      <c r="P2745" s="92"/>
    </row>
    <row r="2746" spans="1:16" x14ac:dyDescent="0.25">
      <c r="A2746" s="29">
        <v>53</v>
      </c>
      <c r="B2746" s="30">
        <v>438287.10856199998</v>
      </c>
      <c r="C2746" s="30">
        <v>5688869.3324180003</v>
      </c>
      <c r="D2746" s="30">
        <v>27</v>
      </c>
      <c r="E2746" s="30" t="s">
        <v>99</v>
      </c>
      <c r="F2746" s="46">
        <v>2020</v>
      </c>
      <c r="G2746" s="47">
        <v>4.0999999999999995E-3</v>
      </c>
      <c r="H2746" s="47">
        <f t="shared" si="268"/>
        <v>9.6400790910044403E-4</v>
      </c>
      <c r="I2746" s="47">
        <v>0</v>
      </c>
      <c r="J2746" s="47">
        <f t="shared" si="269"/>
        <v>0</v>
      </c>
      <c r="K2746" s="47">
        <v>2.9999999999999997E-4</v>
      </c>
      <c r="L2746" s="47">
        <f t="shared" si="270"/>
        <v>8.6725663716814196E-5</v>
      </c>
      <c r="M2746" s="47">
        <f t="shared" si="273"/>
        <v>8.7728224538362982E-4</v>
      </c>
      <c r="N2746" s="47">
        <v>0</v>
      </c>
      <c r="O2746" s="47">
        <f t="shared" si="271"/>
        <v>0</v>
      </c>
      <c r="P2746" s="92"/>
    </row>
    <row r="2747" spans="1:16" x14ac:dyDescent="0.25">
      <c r="A2747" s="29">
        <v>54</v>
      </c>
      <c r="B2747" s="30">
        <v>437454.10856199998</v>
      </c>
      <c r="C2747" s="30">
        <v>5688988.3324180003</v>
      </c>
      <c r="D2747" s="30">
        <v>27</v>
      </c>
      <c r="E2747" s="30" t="s">
        <v>99</v>
      </c>
      <c r="F2747" s="46">
        <v>2020</v>
      </c>
      <c r="G2747" s="47">
        <v>3.3100000000000004E-2</v>
      </c>
      <c r="H2747" s="47">
        <f t="shared" si="268"/>
        <v>7.7826004368840738E-3</v>
      </c>
      <c r="I2747" s="47">
        <v>5.0000000000000001E-4</v>
      </c>
      <c r="J2747" s="47">
        <f t="shared" si="269"/>
        <v>1.8386169735930998E-4</v>
      </c>
      <c r="K2747" s="47">
        <v>3.5000000000000001E-3</v>
      </c>
      <c r="L2747" s="47">
        <f t="shared" si="270"/>
        <v>1.0117994100294989E-3</v>
      </c>
      <c r="M2747" s="47">
        <f t="shared" si="273"/>
        <v>6.7708010268545749E-3</v>
      </c>
      <c r="N2747" s="47">
        <v>1.5E-3</v>
      </c>
      <c r="O2747" s="47">
        <f t="shared" si="271"/>
        <v>7.2730712530712552E-4</v>
      </c>
      <c r="P2747" s="92"/>
    </row>
    <row r="2748" spans="1:16" x14ac:dyDescent="0.25">
      <c r="A2748" s="29">
        <v>55</v>
      </c>
      <c r="B2748" s="30">
        <v>438049.10856199998</v>
      </c>
      <c r="C2748" s="30">
        <v>5688988.3324180003</v>
      </c>
      <c r="D2748" s="30">
        <v>28</v>
      </c>
      <c r="E2748" s="30" t="s">
        <v>99</v>
      </c>
      <c r="F2748" s="46">
        <v>2020</v>
      </c>
      <c r="G2748" s="47">
        <v>9.5999999999999992E-3</v>
      </c>
      <c r="H2748" s="47">
        <f>G2748*0.315532538300947</f>
        <v>3.029112367689091E-3</v>
      </c>
      <c r="I2748" s="47">
        <v>1.5300000000000001E-2</v>
      </c>
      <c r="J2748" s="47">
        <f>I2748*0.466885045384181</f>
        <v>7.1433411943779704E-3</v>
      </c>
      <c r="K2748" s="47">
        <v>8.8000000000000005E-3</v>
      </c>
      <c r="L2748" s="47">
        <f>K2748*0.343450479233227</f>
        <v>3.022364217252398E-3</v>
      </c>
      <c r="M2748" s="47">
        <f t="shared" si="273"/>
        <v>6.7481504366930477E-6</v>
      </c>
      <c r="N2748" s="47">
        <v>2.5700000000000001E-2</v>
      </c>
      <c r="O2748" s="47">
        <f>N2748*0.404923245603112</f>
        <v>1.0406527411999978E-2</v>
      </c>
      <c r="P2748" s="92"/>
    </row>
    <row r="2749" spans="1:16" x14ac:dyDescent="0.25">
      <c r="A2749" s="29">
        <v>56</v>
      </c>
      <c r="B2749" s="30">
        <v>438168.10856199998</v>
      </c>
      <c r="C2749" s="30">
        <v>5688988.3324180003</v>
      </c>
      <c r="D2749" s="30">
        <v>27</v>
      </c>
      <c r="E2749" s="30" t="s">
        <v>99</v>
      </c>
      <c r="F2749" s="46">
        <v>2020</v>
      </c>
      <c r="G2749" s="47">
        <v>9.1999999999999998E-3</v>
      </c>
      <c r="H2749" s="47">
        <f t="shared" si="268"/>
        <v>2.163139698469289E-3</v>
      </c>
      <c r="I2749" s="47">
        <v>4.0000000000000002E-4</v>
      </c>
      <c r="J2749" s="47">
        <f t="shared" si="269"/>
        <v>1.4708935788744799E-4</v>
      </c>
      <c r="K2749" s="47">
        <v>3.8999999999999998E-3</v>
      </c>
      <c r="L2749" s="47">
        <f t="shared" si="270"/>
        <v>1.1274336283185846E-3</v>
      </c>
      <c r="M2749" s="47">
        <f t="shared" si="273"/>
        <v>1.0357060701507044E-3</v>
      </c>
      <c r="N2749" s="47">
        <v>0</v>
      </c>
      <c r="O2749" s="47">
        <f t="shared" si="271"/>
        <v>0</v>
      </c>
      <c r="P2749" s="92"/>
    </row>
    <row r="2750" spans="1:16" x14ac:dyDescent="0.25">
      <c r="A2750" s="40">
        <v>57</v>
      </c>
      <c r="B2750" s="41">
        <v>438146</v>
      </c>
      <c r="C2750" s="41">
        <v>5688977</v>
      </c>
      <c r="D2750" s="41">
        <v>27</v>
      </c>
      <c r="E2750" s="41" t="s">
        <v>99</v>
      </c>
      <c r="F2750" s="50">
        <v>2020</v>
      </c>
      <c r="G2750" s="51">
        <v>1.67E-2</v>
      </c>
      <c r="H2750" s="51">
        <f t="shared" si="268"/>
        <v>3.9265688004822968E-3</v>
      </c>
      <c r="I2750" s="51">
        <v>0</v>
      </c>
      <c r="J2750" s="51">
        <f t="shared" si="269"/>
        <v>0</v>
      </c>
      <c r="K2750" s="51">
        <v>2.1000000000000003E-3</v>
      </c>
      <c r="L2750" s="51">
        <f t="shared" si="270"/>
        <v>6.0707964601769946E-4</v>
      </c>
      <c r="M2750" s="51">
        <f t="shared" si="273"/>
        <v>3.3194891544645975E-3</v>
      </c>
      <c r="N2750" s="51">
        <v>0</v>
      </c>
      <c r="O2750" s="51">
        <f t="shared" si="271"/>
        <v>0</v>
      </c>
      <c r="P2750" s="101"/>
    </row>
    <row r="2751" spans="1:16" x14ac:dyDescent="0.25">
      <c r="A2751" s="40">
        <v>58</v>
      </c>
      <c r="B2751" s="41">
        <v>438131</v>
      </c>
      <c r="C2751" s="41">
        <v>5688972</v>
      </c>
      <c r="D2751" s="41">
        <v>28</v>
      </c>
      <c r="E2751" s="41" t="s">
        <v>99</v>
      </c>
      <c r="F2751" s="50">
        <v>2020</v>
      </c>
      <c r="G2751" s="50" t="s">
        <v>18</v>
      </c>
      <c r="H2751" s="50" t="s">
        <v>18</v>
      </c>
      <c r="I2751" s="50" t="s">
        <v>18</v>
      </c>
      <c r="J2751" s="50" t="s">
        <v>18</v>
      </c>
      <c r="K2751" s="51">
        <v>2.5000000000000001E-3</v>
      </c>
      <c r="L2751" s="51">
        <f>K2751*0.343450479233227</f>
        <v>8.5862619808306756E-4</v>
      </c>
      <c r="M2751" s="50" t="s">
        <v>18</v>
      </c>
      <c r="N2751" s="51">
        <v>0</v>
      </c>
      <c r="O2751" s="51">
        <f>N2751*0.404923245603112</f>
        <v>0</v>
      </c>
      <c r="P2751" s="101" t="s">
        <v>103</v>
      </c>
    </row>
    <row r="2752" spans="1:16" x14ac:dyDescent="0.25">
      <c r="A2752" s="40">
        <v>59</v>
      </c>
      <c r="B2752" s="41">
        <v>438089</v>
      </c>
      <c r="C2752" s="41">
        <v>5688713</v>
      </c>
      <c r="D2752" s="41">
        <v>27</v>
      </c>
      <c r="E2752" s="41" t="s">
        <v>99</v>
      </c>
      <c r="F2752" s="50">
        <v>2020</v>
      </c>
      <c r="G2752" s="51">
        <v>0.05</v>
      </c>
      <c r="H2752" s="51">
        <f t="shared" si="268"/>
        <v>1.1756194013420051E-2</v>
      </c>
      <c r="I2752" s="51">
        <v>1E-4</v>
      </c>
      <c r="J2752" s="51">
        <f t="shared" si="269"/>
        <v>3.6772339471861997E-5</v>
      </c>
      <c r="K2752" s="51">
        <v>3.49E-2</v>
      </c>
      <c r="L2752" s="51">
        <f t="shared" si="270"/>
        <v>1.0089085545722718E-2</v>
      </c>
      <c r="M2752" s="51">
        <f t="shared" si="273"/>
        <v>1.6671084676973327E-3</v>
      </c>
      <c r="N2752" s="51">
        <v>1E-4</v>
      </c>
      <c r="O2752" s="51">
        <f t="shared" si="271"/>
        <v>4.84871416871417E-5</v>
      </c>
      <c r="P2752" s="101"/>
    </row>
    <row r="2753" spans="1:19" x14ac:dyDescent="0.25">
      <c r="A2753" s="40">
        <v>60</v>
      </c>
      <c r="B2753" s="41">
        <v>438099</v>
      </c>
      <c r="C2753" s="41">
        <v>5688719</v>
      </c>
      <c r="D2753" s="41">
        <v>27</v>
      </c>
      <c r="E2753" s="41" t="s">
        <v>99</v>
      </c>
      <c r="F2753" s="50">
        <v>2020</v>
      </c>
      <c r="G2753" s="51">
        <v>7.4999999999999997E-3</v>
      </c>
      <c r="H2753" s="51">
        <f t="shared" si="268"/>
        <v>1.7634291020130074E-3</v>
      </c>
      <c r="I2753" s="51">
        <v>2.7300000000000001E-2</v>
      </c>
      <c r="J2753" s="51">
        <f t="shared" si="269"/>
        <v>1.0038848675818326E-2</v>
      </c>
      <c r="K2753" s="51">
        <v>0</v>
      </c>
      <c r="L2753" s="51">
        <f t="shared" si="270"/>
        <v>0</v>
      </c>
      <c r="M2753" s="51">
        <f t="shared" si="273"/>
        <v>1.7634291020130074E-3</v>
      </c>
      <c r="N2753" s="51">
        <v>0</v>
      </c>
      <c r="O2753" s="51">
        <f t="shared" si="271"/>
        <v>0</v>
      </c>
      <c r="P2753" s="101"/>
    </row>
    <row r="2754" spans="1:19" x14ac:dyDescent="0.25">
      <c r="A2754" s="42">
        <v>1</v>
      </c>
      <c r="B2754" s="43">
        <v>437930.10856199998</v>
      </c>
      <c r="C2754" s="43">
        <v>5688036.3324180003</v>
      </c>
      <c r="D2754" s="44">
        <v>29</v>
      </c>
      <c r="E2754" s="44" t="s">
        <v>36</v>
      </c>
      <c r="F2754" s="44">
        <v>2020</v>
      </c>
      <c r="G2754" s="44" t="s">
        <v>18</v>
      </c>
      <c r="H2754" s="44" t="s">
        <v>18</v>
      </c>
      <c r="I2754" s="44" t="s">
        <v>18</v>
      </c>
      <c r="J2754" s="44" t="s">
        <v>18</v>
      </c>
      <c r="K2754" s="44" t="s">
        <v>18</v>
      </c>
      <c r="L2754" s="44" t="s">
        <v>18</v>
      </c>
      <c r="M2754" s="44" t="s">
        <v>18</v>
      </c>
      <c r="N2754" s="44" t="s">
        <v>18</v>
      </c>
      <c r="O2754" s="44" t="s">
        <v>18</v>
      </c>
      <c r="P2754" s="102" t="s">
        <v>109</v>
      </c>
      <c r="R2754" s="5">
        <f>AVERAGE(M2754:M2813)</f>
        <v>8.4578344452214162E-3</v>
      </c>
      <c r="S2754" s="5">
        <f>AVERAGE(H2754:H2813)</f>
        <v>1.3529058549117418E-2</v>
      </c>
    </row>
    <row r="2755" spans="1:19" x14ac:dyDescent="0.25">
      <c r="A2755" s="42">
        <v>2</v>
      </c>
      <c r="B2755" s="43">
        <v>437811.10856199998</v>
      </c>
      <c r="C2755" s="43">
        <v>5688155.3324180003</v>
      </c>
      <c r="D2755" s="44">
        <v>29</v>
      </c>
      <c r="E2755" s="44" t="s">
        <v>36</v>
      </c>
      <c r="F2755" s="44">
        <v>2020</v>
      </c>
      <c r="G2755" s="44" t="s">
        <v>18</v>
      </c>
      <c r="H2755" s="44" t="s">
        <v>18</v>
      </c>
      <c r="I2755" s="44" t="s">
        <v>18</v>
      </c>
      <c r="J2755" s="44" t="s">
        <v>18</v>
      </c>
      <c r="K2755" s="44" t="s">
        <v>18</v>
      </c>
      <c r="L2755" s="44" t="s">
        <v>18</v>
      </c>
      <c r="M2755" s="44" t="s">
        <v>18</v>
      </c>
      <c r="N2755" s="44" t="s">
        <v>18</v>
      </c>
      <c r="O2755" s="44" t="s">
        <v>18</v>
      </c>
      <c r="P2755" s="102" t="s">
        <v>109</v>
      </c>
    </row>
    <row r="2756" spans="1:19" x14ac:dyDescent="0.25">
      <c r="A2756" s="65">
        <v>3</v>
      </c>
      <c r="B2756" s="66">
        <v>437930.10856199998</v>
      </c>
      <c r="C2756" s="66">
        <v>5688155.3324180003</v>
      </c>
      <c r="D2756" s="66">
        <v>29</v>
      </c>
      <c r="E2756" s="66" t="s">
        <v>36</v>
      </c>
      <c r="F2756" s="66">
        <v>2020</v>
      </c>
      <c r="G2756" s="66" t="s">
        <v>18</v>
      </c>
      <c r="H2756" s="66" t="s">
        <v>18</v>
      </c>
      <c r="I2756" s="66" t="s">
        <v>18</v>
      </c>
      <c r="J2756" s="66" t="s">
        <v>18</v>
      </c>
      <c r="K2756" s="66" t="s">
        <v>18</v>
      </c>
      <c r="L2756" s="66" t="s">
        <v>18</v>
      </c>
      <c r="M2756" s="66" t="s">
        <v>18</v>
      </c>
      <c r="N2756" s="66" t="s">
        <v>18</v>
      </c>
      <c r="O2756" s="66" t="s">
        <v>18</v>
      </c>
      <c r="P2756" s="105" t="s">
        <v>166</v>
      </c>
    </row>
    <row r="2757" spans="1:19" x14ac:dyDescent="0.25">
      <c r="A2757" s="42">
        <v>4</v>
      </c>
      <c r="B2757" s="43">
        <v>438049.10856199998</v>
      </c>
      <c r="C2757" s="43">
        <v>5688155.3324180003</v>
      </c>
      <c r="D2757" s="44">
        <v>29</v>
      </c>
      <c r="E2757" s="44" t="s">
        <v>36</v>
      </c>
      <c r="F2757" s="44">
        <v>2020</v>
      </c>
      <c r="G2757" s="44" t="s">
        <v>18</v>
      </c>
      <c r="H2757" s="44" t="s">
        <v>18</v>
      </c>
      <c r="I2757" s="44" t="s">
        <v>18</v>
      </c>
      <c r="J2757" s="44" t="s">
        <v>18</v>
      </c>
      <c r="K2757" s="44" t="s">
        <v>18</v>
      </c>
      <c r="L2757" s="44" t="s">
        <v>18</v>
      </c>
      <c r="M2757" s="44" t="s">
        <v>18</v>
      </c>
      <c r="N2757" s="44" t="s">
        <v>18</v>
      </c>
      <c r="O2757" s="44" t="s">
        <v>18</v>
      </c>
      <c r="P2757" s="102" t="s">
        <v>109</v>
      </c>
    </row>
    <row r="2758" spans="1:19" x14ac:dyDescent="0.25">
      <c r="A2758" s="42">
        <v>5</v>
      </c>
      <c r="B2758" s="43">
        <v>437573.10856199998</v>
      </c>
      <c r="C2758" s="43">
        <v>5688274.3324180003</v>
      </c>
      <c r="D2758" s="44">
        <v>29</v>
      </c>
      <c r="E2758" s="44" t="s">
        <v>36</v>
      </c>
      <c r="F2758" s="44">
        <v>2020</v>
      </c>
      <c r="G2758" s="44" t="s">
        <v>18</v>
      </c>
      <c r="H2758" s="44" t="s">
        <v>18</v>
      </c>
      <c r="I2758" s="44" t="s">
        <v>18</v>
      </c>
      <c r="J2758" s="44" t="s">
        <v>18</v>
      </c>
      <c r="K2758" s="44" t="s">
        <v>18</v>
      </c>
      <c r="L2758" s="44" t="s">
        <v>18</v>
      </c>
      <c r="M2758" s="44" t="s">
        <v>18</v>
      </c>
      <c r="N2758" s="44" t="s">
        <v>18</v>
      </c>
      <c r="O2758" s="44" t="s">
        <v>18</v>
      </c>
      <c r="P2758" s="102" t="s">
        <v>109</v>
      </c>
    </row>
    <row r="2759" spans="1:19" x14ac:dyDescent="0.25">
      <c r="A2759" s="29">
        <v>6</v>
      </c>
      <c r="B2759" s="30">
        <v>437692.10856199998</v>
      </c>
      <c r="C2759" s="30">
        <v>5688274.3324180003</v>
      </c>
      <c r="D2759" s="30">
        <v>29</v>
      </c>
      <c r="E2759" s="30" t="s">
        <v>36</v>
      </c>
      <c r="F2759" s="46">
        <v>2020</v>
      </c>
      <c r="G2759" s="47">
        <v>1.4E-2</v>
      </c>
      <c r="H2759" s="47">
        <f>G2759*0.240227301475353</f>
        <v>3.3631822206549424E-3</v>
      </c>
      <c r="I2759" s="47">
        <v>0.1149</v>
      </c>
      <c r="J2759" s="47">
        <f>I2759*0.308317013133087</f>
        <v>3.5425624808991696E-2</v>
      </c>
      <c r="K2759" s="47">
        <v>0</v>
      </c>
      <c r="L2759" s="47">
        <f>K2759*0.336409820352932</f>
        <v>0</v>
      </c>
      <c r="M2759" s="47">
        <f>H2759-L2759</f>
        <v>3.3631822206549424E-3</v>
      </c>
      <c r="N2759" s="47">
        <v>7.0300000000000001E-2</v>
      </c>
      <c r="O2759" s="47">
        <f>N2759*0.367245676177799</f>
        <v>2.5817371035299273E-2</v>
      </c>
      <c r="P2759" s="92"/>
    </row>
    <row r="2760" spans="1:19" x14ac:dyDescent="0.25">
      <c r="A2760" s="65">
        <v>7</v>
      </c>
      <c r="B2760" s="66">
        <v>437811.10856199998</v>
      </c>
      <c r="C2760" s="66">
        <v>5688274.3324180003</v>
      </c>
      <c r="D2760" s="66">
        <v>29</v>
      </c>
      <c r="E2760" s="66" t="s">
        <v>36</v>
      </c>
      <c r="F2760" s="66">
        <v>2020</v>
      </c>
      <c r="G2760" s="108" t="s">
        <v>18</v>
      </c>
      <c r="H2760" s="66" t="s">
        <v>18</v>
      </c>
      <c r="I2760" s="66" t="s">
        <v>18</v>
      </c>
      <c r="J2760" s="66" t="s">
        <v>18</v>
      </c>
      <c r="K2760" s="66" t="s">
        <v>18</v>
      </c>
      <c r="L2760" s="66" t="s">
        <v>18</v>
      </c>
      <c r="M2760" s="66" t="s">
        <v>18</v>
      </c>
      <c r="N2760" s="66" t="s">
        <v>18</v>
      </c>
      <c r="O2760" s="66" t="s">
        <v>18</v>
      </c>
      <c r="P2760" s="105" t="s">
        <v>147</v>
      </c>
    </row>
    <row r="2761" spans="1:19" x14ac:dyDescent="0.25">
      <c r="A2761" s="42">
        <v>8</v>
      </c>
      <c r="B2761" s="43">
        <v>437930.10856199998</v>
      </c>
      <c r="C2761" s="43">
        <v>5688274.3324180003</v>
      </c>
      <c r="D2761" s="44">
        <v>29</v>
      </c>
      <c r="E2761" s="44" t="s">
        <v>36</v>
      </c>
      <c r="F2761" s="44">
        <v>2020</v>
      </c>
      <c r="G2761" s="109" t="s">
        <v>18</v>
      </c>
      <c r="H2761" s="44" t="s">
        <v>18</v>
      </c>
      <c r="I2761" s="44" t="s">
        <v>18</v>
      </c>
      <c r="J2761" s="44" t="s">
        <v>18</v>
      </c>
      <c r="K2761" s="44" t="s">
        <v>18</v>
      </c>
      <c r="L2761" s="44" t="s">
        <v>18</v>
      </c>
      <c r="M2761" s="44" t="s">
        <v>18</v>
      </c>
      <c r="N2761" s="44" t="s">
        <v>18</v>
      </c>
      <c r="O2761" s="44" t="s">
        <v>18</v>
      </c>
      <c r="P2761" s="102" t="s">
        <v>109</v>
      </c>
    </row>
    <row r="2762" spans="1:19" x14ac:dyDescent="0.25">
      <c r="A2762" s="29">
        <v>9</v>
      </c>
      <c r="B2762" s="30">
        <v>438287.10856199998</v>
      </c>
      <c r="C2762" s="30">
        <v>5688274.3324180003</v>
      </c>
      <c r="D2762" s="30">
        <v>29</v>
      </c>
      <c r="E2762" s="30" t="s">
        <v>36</v>
      </c>
      <c r="F2762" s="46">
        <v>2020</v>
      </c>
      <c r="G2762" s="47">
        <v>5.5E-2</v>
      </c>
      <c r="H2762" s="47">
        <f t="shared" ref="H2762:H2813" si="282">G2762*0.240227301475353</f>
        <v>1.3212501581144415E-2</v>
      </c>
      <c r="I2762" s="47">
        <v>2.0000000000000001E-4</v>
      </c>
      <c r="J2762" s="47">
        <f t="shared" ref="J2762:J2813" si="283">I2762*0.308317013133087</f>
        <v>6.1663402626617412E-5</v>
      </c>
      <c r="K2762" s="47">
        <v>1.1699999999999999E-2</v>
      </c>
      <c r="L2762" s="47">
        <f t="shared" ref="L2762:L2813" si="284">K2762*0.336409820352932</f>
        <v>3.9359948981293035E-3</v>
      </c>
      <c r="M2762" s="47">
        <f>H2762-L2762</f>
        <v>9.2765066830151118E-3</v>
      </c>
      <c r="N2762" s="47">
        <v>0</v>
      </c>
      <c r="O2762" s="47">
        <f t="shared" ref="O2762:O2813" si="285">N2762*0.367245676177799</f>
        <v>0</v>
      </c>
      <c r="P2762" s="92"/>
    </row>
    <row r="2763" spans="1:19" x14ac:dyDescent="0.25">
      <c r="A2763" s="29">
        <v>10</v>
      </c>
      <c r="B2763" s="30">
        <v>438406.10856199998</v>
      </c>
      <c r="C2763" s="30">
        <v>5688274.3324180003</v>
      </c>
      <c r="D2763" s="30">
        <v>29</v>
      </c>
      <c r="E2763" s="30" t="s">
        <v>36</v>
      </c>
      <c r="F2763" s="46">
        <v>2020</v>
      </c>
      <c r="G2763" s="47">
        <v>5.2999999999999999E-2</v>
      </c>
      <c r="H2763" s="47">
        <f t="shared" si="282"/>
        <v>1.2732046978193709E-2</v>
      </c>
      <c r="I2763" s="47">
        <v>2.9999999999999997E-4</v>
      </c>
      <c r="J2763" s="47">
        <f t="shared" si="283"/>
        <v>9.2495103939926098E-5</v>
      </c>
      <c r="K2763" s="47">
        <v>2.5700000000000001E-2</v>
      </c>
      <c r="L2763" s="47">
        <f t="shared" si="284"/>
        <v>8.6457323830703529E-3</v>
      </c>
      <c r="M2763" s="47">
        <f t="shared" ref="M2763:M2813" si="286">H2763-L2763</f>
        <v>4.0863145951233557E-3</v>
      </c>
      <c r="N2763" s="47">
        <v>5.0000000000000001E-4</v>
      </c>
      <c r="O2763" s="47">
        <f t="shared" si="285"/>
        <v>1.8362283808889951E-4</v>
      </c>
      <c r="P2763" s="92"/>
    </row>
    <row r="2764" spans="1:19" x14ac:dyDescent="0.25">
      <c r="A2764" s="42">
        <v>11</v>
      </c>
      <c r="B2764" s="43">
        <v>437454.10856199998</v>
      </c>
      <c r="C2764" s="43">
        <v>5688393.3324180003</v>
      </c>
      <c r="D2764" s="44">
        <v>29</v>
      </c>
      <c r="E2764" s="44" t="s">
        <v>36</v>
      </c>
      <c r="F2764" s="44">
        <v>2020</v>
      </c>
      <c r="G2764" s="109" t="s">
        <v>18</v>
      </c>
      <c r="H2764" s="44" t="s">
        <v>18</v>
      </c>
      <c r="I2764" s="44" t="s">
        <v>18</v>
      </c>
      <c r="J2764" s="44" t="s">
        <v>18</v>
      </c>
      <c r="K2764" s="44" t="s">
        <v>18</v>
      </c>
      <c r="L2764" s="44" t="s">
        <v>18</v>
      </c>
      <c r="M2764" s="44" t="s">
        <v>18</v>
      </c>
      <c r="N2764" s="44" t="s">
        <v>18</v>
      </c>
      <c r="O2764" s="44" t="s">
        <v>18</v>
      </c>
      <c r="P2764" s="102" t="s">
        <v>109</v>
      </c>
    </row>
    <row r="2765" spans="1:19" x14ac:dyDescent="0.25">
      <c r="A2765" s="29">
        <v>12</v>
      </c>
      <c r="B2765" s="30">
        <v>437573.10856199998</v>
      </c>
      <c r="C2765" s="30">
        <v>5688393.3324180003</v>
      </c>
      <c r="D2765" s="30">
        <v>28</v>
      </c>
      <c r="E2765" s="30" t="s">
        <v>36</v>
      </c>
      <c r="F2765" s="46">
        <v>2020</v>
      </c>
      <c r="G2765" s="47">
        <v>3.3299999999999996E-2</v>
      </c>
      <c r="H2765" s="47">
        <f>G2765*0.238404758411365</f>
        <v>7.9388784550984536E-3</v>
      </c>
      <c r="I2765" s="47">
        <v>3.8399999999999997E-2</v>
      </c>
      <c r="J2765" s="47">
        <f>I2765*0.351541758634568</f>
        <v>1.3499203531567409E-2</v>
      </c>
      <c r="K2765" s="47">
        <v>7.3000000000000001E-3</v>
      </c>
      <c r="L2765" s="47">
        <f>K2765*0.34768631155111</f>
        <v>2.5381100743231033E-3</v>
      </c>
      <c r="M2765" s="47">
        <f t="shared" si="286"/>
        <v>5.4007683807753507E-3</v>
      </c>
      <c r="N2765" s="47">
        <v>7.5299999999999992E-2</v>
      </c>
      <c r="O2765" s="47">
        <f>N2765*0.392125685752891</f>
        <v>2.9527064137192686E-2</v>
      </c>
      <c r="P2765" s="92"/>
    </row>
    <row r="2766" spans="1:19" x14ac:dyDescent="0.25">
      <c r="A2766" s="29">
        <v>13</v>
      </c>
      <c r="B2766" s="30">
        <v>437692.10856199998</v>
      </c>
      <c r="C2766" s="30">
        <v>5688393.3324180003</v>
      </c>
      <c r="D2766" s="30">
        <v>28</v>
      </c>
      <c r="E2766" s="30" t="s">
        <v>36</v>
      </c>
      <c r="F2766" s="46">
        <v>2020</v>
      </c>
      <c r="G2766" s="47">
        <v>8.4400000000000003E-2</v>
      </c>
      <c r="H2766" s="47">
        <f>G2766*0.238404758411365</f>
        <v>2.0121361609919206E-2</v>
      </c>
      <c r="I2766" s="47">
        <v>4.58E-2</v>
      </c>
      <c r="J2766" s="47">
        <f>I2766*0.351541758634568</f>
        <v>1.6100612545463213E-2</v>
      </c>
      <c r="K2766" s="47">
        <v>1.55E-2</v>
      </c>
      <c r="L2766" s="47">
        <f>K2766*0.34768631155111</f>
        <v>5.3891378290422051E-3</v>
      </c>
      <c r="M2766" s="47">
        <f t="shared" si="286"/>
        <v>1.4732223780877001E-2</v>
      </c>
      <c r="N2766" s="47">
        <v>3.39E-2</v>
      </c>
      <c r="O2766" s="47">
        <f>N2766*0.392125685752891</f>
        <v>1.3293060747023003E-2</v>
      </c>
      <c r="P2766" s="92"/>
    </row>
    <row r="2767" spans="1:19" x14ac:dyDescent="0.25">
      <c r="A2767" s="32">
        <v>14</v>
      </c>
      <c r="B2767" s="33">
        <v>437811.10856199998</v>
      </c>
      <c r="C2767" s="33">
        <v>5688393.3324180003</v>
      </c>
      <c r="D2767" s="48">
        <v>29</v>
      </c>
      <c r="E2767" s="48" t="s">
        <v>36</v>
      </c>
      <c r="F2767" s="48">
        <v>2020</v>
      </c>
      <c r="G2767" s="110" t="s">
        <v>18</v>
      </c>
      <c r="H2767" s="48" t="s">
        <v>18</v>
      </c>
      <c r="I2767" s="48" t="s">
        <v>18</v>
      </c>
      <c r="J2767" s="48" t="s">
        <v>18</v>
      </c>
      <c r="K2767" s="48" t="s">
        <v>18</v>
      </c>
      <c r="L2767" s="48" t="s">
        <v>18</v>
      </c>
      <c r="M2767" s="48" t="s">
        <v>18</v>
      </c>
      <c r="N2767" s="48" t="s">
        <v>18</v>
      </c>
      <c r="O2767" s="48" t="s">
        <v>18</v>
      </c>
      <c r="P2767" s="103" t="s">
        <v>89</v>
      </c>
    </row>
    <row r="2768" spans="1:19" x14ac:dyDescent="0.25">
      <c r="A2768" s="29">
        <v>15</v>
      </c>
      <c r="B2768" s="30">
        <v>437930.10856199998</v>
      </c>
      <c r="C2768" s="30">
        <v>5688393.3324180003</v>
      </c>
      <c r="D2768" s="30">
        <v>29</v>
      </c>
      <c r="E2768" s="30" t="s">
        <v>36</v>
      </c>
      <c r="F2768" s="46">
        <v>2020</v>
      </c>
      <c r="G2768" s="47">
        <v>9.5000000000000001E-2</v>
      </c>
      <c r="H2768" s="47">
        <f t="shared" si="282"/>
        <v>2.2821593640158535E-2</v>
      </c>
      <c r="I2768" s="47">
        <v>0.16789999999999999</v>
      </c>
      <c r="J2768" s="47">
        <f t="shared" si="283"/>
        <v>5.1766426505045308E-2</v>
      </c>
      <c r="K2768" s="47">
        <v>2.6199999999999998E-2</v>
      </c>
      <c r="L2768" s="47">
        <f t="shared" si="284"/>
        <v>8.8139372932468166E-3</v>
      </c>
      <c r="M2768" s="47">
        <f t="shared" si="286"/>
        <v>1.4007656346911718E-2</v>
      </c>
      <c r="N2768" s="47">
        <v>5.1999999999999998E-3</v>
      </c>
      <c r="O2768" s="47">
        <f t="shared" si="285"/>
        <v>1.9096775161245548E-3</v>
      </c>
      <c r="P2768" s="92"/>
    </row>
    <row r="2769" spans="1:16" x14ac:dyDescent="0.25">
      <c r="A2769" s="29">
        <v>16</v>
      </c>
      <c r="B2769" s="30">
        <v>438049.10856199998</v>
      </c>
      <c r="C2769" s="30">
        <v>5688393.3324180003</v>
      </c>
      <c r="D2769" s="30">
        <v>29</v>
      </c>
      <c r="E2769" s="30" t="s">
        <v>36</v>
      </c>
      <c r="F2769" s="46">
        <v>2020</v>
      </c>
      <c r="G2769" s="47">
        <v>6.2399999999999997E-2</v>
      </c>
      <c r="H2769" s="47">
        <f t="shared" si="282"/>
        <v>1.4990183612062027E-2</v>
      </c>
      <c r="I2769" s="47">
        <v>6.6500000000000004E-2</v>
      </c>
      <c r="J2769" s="47">
        <f t="shared" si="283"/>
        <v>2.0503081373350288E-2</v>
      </c>
      <c r="K2769" s="47">
        <v>3.5000000000000003E-2</v>
      </c>
      <c r="L2769" s="47">
        <f t="shared" si="284"/>
        <v>1.1774343712352621E-2</v>
      </c>
      <c r="M2769" s="47">
        <f t="shared" si="286"/>
        <v>3.2158398997094058E-3</v>
      </c>
      <c r="N2769" s="47">
        <v>3.9899999999999998E-2</v>
      </c>
      <c r="O2769" s="47">
        <f t="shared" si="285"/>
        <v>1.465310247949418E-2</v>
      </c>
      <c r="P2769" s="92"/>
    </row>
    <row r="2770" spans="1:16" x14ac:dyDescent="0.25">
      <c r="A2770" s="29">
        <v>17</v>
      </c>
      <c r="B2770" s="30">
        <v>438168.10856199998</v>
      </c>
      <c r="C2770" s="30">
        <v>5688393.3324180003</v>
      </c>
      <c r="D2770" s="30">
        <v>29</v>
      </c>
      <c r="E2770" s="30" t="s">
        <v>36</v>
      </c>
      <c r="F2770" s="46">
        <v>2020</v>
      </c>
      <c r="G2770" s="47">
        <v>1.9399999999999997E-2</v>
      </c>
      <c r="H2770" s="47">
        <f t="shared" si="282"/>
        <v>4.660409648621848E-3</v>
      </c>
      <c r="I2770" s="47">
        <v>9.1400000000000009E-2</v>
      </c>
      <c r="J2770" s="47">
        <f t="shared" si="283"/>
        <v>2.8180175000364155E-2</v>
      </c>
      <c r="K2770" s="47">
        <v>9.4000000000000004E-3</v>
      </c>
      <c r="L2770" s="47">
        <f t="shared" si="284"/>
        <v>3.1622523113175607E-3</v>
      </c>
      <c r="M2770" s="47">
        <f t="shared" si="286"/>
        <v>1.4981573373042873E-3</v>
      </c>
      <c r="N2770" s="47">
        <v>7.8299999999999995E-2</v>
      </c>
      <c r="O2770" s="47">
        <f t="shared" si="285"/>
        <v>2.8755336444721662E-2</v>
      </c>
      <c r="P2770" s="92"/>
    </row>
    <row r="2771" spans="1:16" x14ac:dyDescent="0.25">
      <c r="A2771" s="29">
        <v>18</v>
      </c>
      <c r="B2771" s="30">
        <v>438287.10856199998</v>
      </c>
      <c r="C2771" s="30">
        <v>5688393.3324180003</v>
      </c>
      <c r="D2771" s="30">
        <v>29</v>
      </c>
      <c r="E2771" s="30" t="s">
        <v>36</v>
      </c>
      <c r="F2771" s="46">
        <v>2020</v>
      </c>
      <c r="G2771" s="47">
        <v>0</v>
      </c>
      <c r="H2771" s="47">
        <f t="shared" si="282"/>
        <v>0</v>
      </c>
      <c r="I2771" s="47">
        <v>0</v>
      </c>
      <c r="J2771" s="47">
        <f t="shared" si="283"/>
        <v>0</v>
      </c>
      <c r="K2771" s="47">
        <v>5.57E-2</v>
      </c>
      <c r="L2771" s="47">
        <f t="shared" si="284"/>
        <v>1.8738026993658313E-2</v>
      </c>
      <c r="M2771" s="47">
        <f t="shared" si="286"/>
        <v>-1.8738026993658313E-2</v>
      </c>
      <c r="N2771" s="47">
        <v>2.9999999999999997E-4</v>
      </c>
      <c r="O2771" s="47">
        <f t="shared" si="285"/>
        <v>1.101737028533397E-4</v>
      </c>
      <c r="P2771" s="92"/>
    </row>
    <row r="2772" spans="1:16" x14ac:dyDescent="0.25">
      <c r="A2772" s="29">
        <v>19</v>
      </c>
      <c r="B2772" s="30">
        <v>438406.10856199998</v>
      </c>
      <c r="C2772" s="30">
        <v>5688393.3324180003</v>
      </c>
      <c r="D2772" s="30">
        <v>29</v>
      </c>
      <c r="E2772" s="30" t="s">
        <v>36</v>
      </c>
      <c r="F2772" s="46">
        <v>2020</v>
      </c>
      <c r="G2772" s="47">
        <v>6.9500000000000006E-2</v>
      </c>
      <c r="H2772" s="47">
        <f t="shared" si="282"/>
        <v>1.6695797452537037E-2</v>
      </c>
      <c r="I2772" s="47">
        <v>5.9999999999999995E-4</v>
      </c>
      <c r="J2772" s="47">
        <f t="shared" si="283"/>
        <v>1.849902078798522E-4</v>
      </c>
      <c r="K2772" s="47">
        <v>1.23E-2</v>
      </c>
      <c r="L2772" s="47">
        <f t="shared" si="284"/>
        <v>4.1378407903410637E-3</v>
      </c>
      <c r="M2772" s="47">
        <f t="shared" si="286"/>
        <v>1.2557956662195974E-2</v>
      </c>
      <c r="N2772" s="47">
        <v>2.0000000000000001E-4</v>
      </c>
      <c r="O2772" s="47">
        <f t="shared" si="285"/>
        <v>7.3449135235559805E-5</v>
      </c>
      <c r="P2772" s="92"/>
    </row>
    <row r="2773" spans="1:16" x14ac:dyDescent="0.25">
      <c r="A2773" s="42">
        <v>20</v>
      </c>
      <c r="B2773" s="43">
        <v>437335.10856199998</v>
      </c>
      <c r="C2773" s="43">
        <v>5688512.3324180003</v>
      </c>
      <c r="D2773" s="44">
        <v>29</v>
      </c>
      <c r="E2773" s="44" t="s">
        <v>36</v>
      </c>
      <c r="F2773" s="44">
        <v>2020</v>
      </c>
      <c r="G2773" s="109" t="s">
        <v>18</v>
      </c>
      <c r="H2773" s="44" t="s">
        <v>18</v>
      </c>
      <c r="I2773" s="44" t="s">
        <v>18</v>
      </c>
      <c r="J2773" s="44" t="s">
        <v>18</v>
      </c>
      <c r="K2773" s="44" t="s">
        <v>18</v>
      </c>
      <c r="L2773" s="44" t="s">
        <v>18</v>
      </c>
      <c r="M2773" s="44" t="s">
        <v>18</v>
      </c>
      <c r="N2773" s="44" t="s">
        <v>18</v>
      </c>
      <c r="O2773" s="44" t="s">
        <v>18</v>
      </c>
      <c r="P2773" s="102" t="s">
        <v>109</v>
      </c>
    </row>
    <row r="2774" spans="1:16" x14ac:dyDescent="0.25">
      <c r="A2774" s="29">
        <v>21</v>
      </c>
      <c r="B2774" s="30">
        <v>437454.10856199998</v>
      </c>
      <c r="C2774" s="30">
        <v>5688512.3324180003</v>
      </c>
      <c r="D2774" s="30">
        <v>28</v>
      </c>
      <c r="E2774" s="30" t="s">
        <v>36</v>
      </c>
      <c r="F2774" s="46">
        <v>2020</v>
      </c>
      <c r="G2774" s="47">
        <v>7.4999999999999997E-3</v>
      </c>
      <c r="H2774" s="47">
        <f t="shared" ref="H2774:H2776" si="287">G2774*0.238404758411365</f>
        <v>1.7880356880852373E-3</v>
      </c>
      <c r="I2774" s="47">
        <v>2.9999999999999997E-4</v>
      </c>
      <c r="J2774" s="47">
        <f t="shared" ref="J2774:J2776" si="288">I2774*0.351541758634568</f>
        <v>1.0546252759037039E-4</v>
      </c>
      <c r="K2774" s="47">
        <v>1.6000000000000001E-3</v>
      </c>
      <c r="L2774" s="47">
        <f t="shared" ref="L2774:L2776" si="289">K2774*0.34768631155111</f>
        <v>5.56298098481776E-4</v>
      </c>
      <c r="M2774" s="47">
        <f t="shared" si="286"/>
        <v>1.2317375896034612E-3</v>
      </c>
      <c r="N2774" s="47">
        <v>0</v>
      </c>
      <c r="O2774" s="47">
        <f t="shared" ref="O2774:O2776" si="290">N2774*0.392125685752891</f>
        <v>0</v>
      </c>
      <c r="P2774" s="92"/>
    </row>
    <row r="2775" spans="1:16" x14ac:dyDescent="0.25">
      <c r="A2775" s="29">
        <v>22</v>
      </c>
      <c r="B2775" s="30">
        <v>437573.10856199998</v>
      </c>
      <c r="C2775" s="30">
        <v>5688512.3324180003</v>
      </c>
      <c r="D2775" s="30">
        <v>28</v>
      </c>
      <c r="E2775" s="30" t="s">
        <v>36</v>
      </c>
      <c r="F2775" s="46">
        <v>2020</v>
      </c>
      <c r="G2775" s="111">
        <v>0</v>
      </c>
      <c r="H2775" s="47">
        <f t="shared" si="287"/>
        <v>0</v>
      </c>
      <c r="I2775" s="47">
        <v>0</v>
      </c>
      <c r="J2775" s="47">
        <f t="shared" si="288"/>
        <v>0</v>
      </c>
      <c r="K2775" s="47">
        <v>3.3100000000000004E-2</v>
      </c>
      <c r="L2775" s="47">
        <f t="shared" si="289"/>
        <v>1.1508416912341743E-2</v>
      </c>
      <c r="M2775" s="47">
        <f t="shared" si="286"/>
        <v>-1.1508416912341743E-2</v>
      </c>
      <c r="N2775" s="47">
        <v>7.0999999999999995E-3</v>
      </c>
      <c r="O2775" s="47">
        <f t="shared" si="290"/>
        <v>2.7840923688455259E-3</v>
      </c>
      <c r="P2775" s="92"/>
    </row>
    <row r="2776" spans="1:16" x14ac:dyDescent="0.25">
      <c r="A2776" s="29">
        <v>23</v>
      </c>
      <c r="B2776" s="30">
        <v>437692.10856199998</v>
      </c>
      <c r="C2776" s="30">
        <v>5688512.3324180003</v>
      </c>
      <c r="D2776" s="30">
        <v>28</v>
      </c>
      <c r="E2776" s="30" t="s">
        <v>36</v>
      </c>
      <c r="F2776" s="46">
        <v>2020</v>
      </c>
      <c r="G2776" s="47">
        <v>2.4500000000000001E-2</v>
      </c>
      <c r="H2776" s="47">
        <f t="shared" si="287"/>
        <v>5.8409165810784421E-3</v>
      </c>
      <c r="I2776" s="47">
        <v>2.24E-2</v>
      </c>
      <c r="J2776" s="47">
        <f t="shared" si="288"/>
        <v>7.8745353934143222E-3</v>
      </c>
      <c r="K2776" s="47">
        <v>2.07E-2</v>
      </c>
      <c r="L2776" s="47">
        <f t="shared" si="289"/>
        <v>7.1971066491079774E-3</v>
      </c>
      <c r="M2776" s="47">
        <f t="shared" si="286"/>
        <v>-1.3561900680295353E-3</v>
      </c>
      <c r="N2776" s="47">
        <v>2.3E-3</v>
      </c>
      <c r="O2776" s="47">
        <f t="shared" si="290"/>
        <v>9.0188907723164926E-4</v>
      </c>
      <c r="P2776" s="92"/>
    </row>
    <row r="2777" spans="1:16" x14ac:dyDescent="0.25">
      <c r="A2777" s="29">
        <v>24</v>
      </c>
      <c r="B2777" s="30">
        <v>437811.10856199998</v>
      </c>
      <c r="C2777" s="30">
        <v>5688512.3324180003</v>
      </c>
      <c r="D2777" s="30">
        <v>29</v>
      </c>
      <c r="E2777" s="30" t="s">
        <v>36</v>
      </c>
      <c r="F2777" s="46">
        <v>2020</v>
      </c>
      <c r="G2777" s="47">
        <v>5.5299999999999995E-2</v>
      </c>
      <c r="H2777" s="47">
        <f t="shared" si="282"/>
        <v>1.328456977158702E-2</v>
      </c>
      <c r="I2777" s="47">
        <v>7.1499999999999994E-2</v>
      </c>
      <c r="J2777" s="47">
        <f t="shared" si="283"/>
        <v>2.2044666439015721E-2</v>
      </c>
      <c r="K2777" s="47">
        <v>2.1899999999999999E-2</v>
      </c>
      <c r="L2777" s="47">
        <f t="shared" si="284"/>
        <v>7.3673750657292101E-3</v>
      </c>
      <c r="M2777" s="47">
        <f t="shared" si="286"/>
        <v>5.9171947058578095E-3</v>
      </c>
      <c r="N2777" s="47">
        <v>4.0299999999999996E-2</v>
      </c>
      <c r="O2777" s="47">
        <f t="shared" si="285"/>
        <v>1.4800000749965299E-2</v>
      </c>
      <c r="P2777" s="92"/>
    </row>
    <row r="2778" spans="1:16" x14ac:dyDescent="0.25">
      <c r="A2778" s="29">
        <v>25</v>
      </c>
      <c r="B2778" s="46">
        <v>437995</v>
      </c>
      <c r="C2778" s="46">
        <v>5688493</v>
      </c>
      <c r="D2778" s="30">
        <v>29</v>
      </c>
      <c r="E2778" s="30" t="s">
        <v>36</v>
      </c>
      <c r="F2778" s="46">
        <v>2020</v>
      </c>
      <c r="G2778" s="47">
        <v>3.95E-2</v>
      </c>
      <c r="H2778" s="47">
        <f t="shared" si="282"/>
        <v>9.4889784082764442E-3</v>
      </c>
      <c r="I2778" s="47">
        <v>4.0000000000000002E-4</v>
      </c>
      <c r="J2778" s="47">
        <f t="shared" si="283"/>
        <v>1.2332680525323482E-4</v>
      </c>
      <c r="K2778" s="47">
        <v>9.1999999999999998E-3</v>
      </c>
      <c r="L2778" s="47">
        <f t="shared" si="284"/>
        <v>3.0949703472469741E-3</v>
      </c>
      <c r="M2778" s="47">
        <f t="shared" si="286"/>
        <v>6.3940080610294702E-3</v>
      </c>
      <c r="N2778" s="47">
        <v>1.2999999999999999E-3</v>
      </c>
      <c r="O2778" s="47">
        <f t="shared" si="285"/>
        <v>4.774193790311387E-4</v>
      </c>
      <c r="P2778" s="92"/>
    </row>
    <row r="2779" spans="1:16" x14ac:dyDescent="0.25">
      <c r="A2779" s="29">
        <v>26</v>
      </c>
      <c r="B2779" s="46">
        <v>438112</v>
      </c>
      <c r="C2779" s="46">
        <v>5688567</v>
      </c>
      <c r="D2779" s="30">
        <v>29</v>
      </c>
      <c r="E2779" s="30" t="s">
        <v>36</v>
      </c>
      <c r="F2779" s="46">
        <v>2020</v>
      </c>
      <c r="G2779" s="47">
        <v>0.1103</v>
      </c>
      <c r="H2779" s="47">
        <f t="shared" si="282"/>
        <v>2.6497071352731435E-2</v>
      </c>
      <c r="I2779" s="47">
        <v>3.8E-3</v>
      </c>
      <c r="J2779" s="47">
        <f t="shared" si="283"/>
        <v>1.1716046499057307E-3</v>
      </c>
      <c r="K2779" s="47">
        <v>1.1900000000000001E-2</v>
      </c>
      <c r="L2779" s="47">
        <f t="shared" si="284"/>
        <v>4.0032768621998905E-3</v>
      </c>
      <c r="M2779" s="47">
        <f t="shared" si="286"/>
        <v>2.2493794490531543E-2</v>
      </c>
      <c r="N2779" s="47">
        <v>4.4999999999999997E-3</v>
      </c>
      <c r="O2779" s="47">
        <f t="shared" si="285"/>
        <v>1.6526055428000954E-3</v>
      </c>
      <c r="P2779" s="92"/>
    </row>
    <row r="2780" spans="1:16" x14ac:dyDescent="0.25">
      <c r="A2780" s="32">
        <v>27</v>
      </c>
      <c r="B2780" s="33">
        <v>438168.10856199998</v>
      </c>
      <c r="C2780" s="33">
        <v>5688512.3324180003</v>
      </c>
      <c r="D2780" s="48">
        <v>29</v>
      </c>
      <c r="E2780" s="48" t="s">
        <v>36</v>
      </c>
      <c r="F2780" s="48">
        <v>2020</v>
      </c>
      <c r="G2780" s="110" t="s">
        <v>18</v>
      </c>
      <c r="H2780" s="48" t="s">
        <v>18</v>
      </c>
      <c r="I2780" s="48" t="s">
        <v>18</v>
      </c>
      <c r="J2780" s="48" t="s">
        <v>18</v>
      </c>
      <c r="K2780" s="48" t="s">
        <v>18</v>
      </c>
      <c r="L2780" s="48" t="s">
        <v>18</v>
      </c>
      <c r="M2780" s="48" t="s">
        <v>18</v>
      </c>
      <c r="N2780" s="48" t="s">
        <v>18</v>
      </c>
      <c r="O2780" s="48" t="s">
        <v>18</v>
      </c>
      <c r="P2780" s="103" t="s">
        <v>89</v>
      </c>
    </row>
    <row r="2781" spans="1:16" x14ac:dyDescent="0.25">
      <c r="A2781" s="32">
        <v>28</v>
      </c>
      <c r="B2781" s="33">
        <v>438287.10856199998</v>
      </c>
      <c r="C2781" s="33">
        <v>5688512.3324180003</v>
      </c>
      <c r="D2781" s="48">
        <v>29</v>
      </c>
      <c r="E2781" s="48" t="s">
        <v>36</v>
      </c>
      <c r="F2781" s="48">
        <v>2020</v>
      </c>
      <c r="G2781" s="110" t="s">
        <v>18</v>
      </c>
      <c r="H2781" s="48" t="s">
        <v>18</v>
      </c>
      <c r="I2781" s="48" t="s">
        <v>18</v>
      </c>
      <c r="J2781" s="48" t="s">
        <v>18</v>
      </c>
      <c r="K2781" s="48" t="s">
        <v>18</v>
      </c>
      <c r="L2781" s="48" t="s">
        <v>18</v>
      </c>
      <c r="M2781" s="48" t="s">
        <v>18</v>
      </c>
      <c r="N2781" s="48" t="s">
        <v>18</v>
      </c>
      <c r="O2781" s="48" t="s">
        <v>18</v>
      </c>
      <c r="P2781" s="103" t="s">
        <v>89</v>
      </c>
    </row>
    <row r="2782" spans="1:16" x14ac:dyDescent="0.25">
      <c r="A2782" s="29">
        <v>29</v>
      </c>
      <c r="B2782" s="30">
        <v>438381</v>
      </c>
      <c r="C2782" s="30">
        <v>5688526</v>
      </c>
      <c r="D2782" s="30">
        <v>29</v>
      </c>
      <c r="E2782" s="30" t="s">
        <v>36</v>
      </c>
      <c r="F2782" s="46">
        <v>2020</v>
      </c>
      <c r="G2782" s="47">
        <v>6.3500000000000001E-2</v>
      </c>
      <c r="H2782" s="47">
        <f t="shared" si="282"/>
        <v>1.5254433643684916E-2</v>
      </c>
      <c r="I2782" s="47">
        <v>1E-4</v>
      </c>
      <c r="J2782" s="47">
        <f t="shared" si="283"/>
        <v>3.0831701313308706E-5</v>
      </c>
      <c r="K2782" s="47">
        <v>7.0999999999999995E-3</v>
      </c>
      <c r="L2782" s="47">
        <f t="shared" si="284"/>
        <v>2.3885097245058169E-3</v>
      </c>
      <c r="M2782" s="47">
        <f t="shared" si="286"/>
        <v>1.2865923919179099E-2</v>
      </c>
      <c r="N2782" s="47">
        <v>0</v>
      </c>
      <c r="O2782" s="47">
        <f t="shared" si="285"/>
        <v>0</v>
      </c>
      <c r="P2782" s="92"/>
    </row>
    <row r="2783" spans="1:16" x14ac:dyDescent="0.25">
      <c r="A2783" s="29">
        <v>30</v>
      </c>
      <c r="B2783" s="30">
        <v>438525.10856199998</v>
      </c>
      <c r="C2783" s="30">
        <v>5688512.3324180003</v>
      </c>
      <c r="D2783" s="30">
        <v>29</v>
      </c>
      <c r="E2783" s="30" t="s">
        <v>36</v>
      </c>
      <c r="F2783" s="46">
        <v>2020</v>
      </c>
      <c r="G2783" s="47">
        <v>4.5899999999999996E-2</v>
      </c>
      <c r="H2783" s="47">
        <f t="shared" si="282"/>
        <v>1.1026433137718703E-2</v>
      </c>
      <c r="I2783" s="47">
        <v>1.1999999999999999E-3</v>
      </c>
      <c r="J2783" s="47">
        <f t="shared" si="283"/>
        <v>3.6998041575970439E-4</v>
      </c>
      <c r="K2783" s="47">
        <v>9.4000000000000004E-3</v>
      </c>
      <c r="L2783" s="47">
        <f t="shared" si="284"/>
        <v>3.1622523113175607E-3</v>
      </c>
      <c r="M2783" s="47">
        <f t="shared" si="286"/>
        <v>7.8641808264011421E-3</v>
      </c>
      <c r="N2783" s="47">
        <v>0</v>
      </c>
      <c r="O2783" s="47">
        <f t="shared" si="285"/>
        <v>0</v>
      </c>
      <c r="P2783" s="92"/>
    </row>
    <row r="2784" spans="1:16" x14ac:dyDescent="0.25">
      <c r="A2784" s="29">
        <v>31</v>
      </c>
      <c r="B2784" s="30">
        <v>437335.10856199998</v>
      </c>
      <c r="C2784" s="30">
        <v>5688631.3324180003</v>
      </c>
      <c r="D2784" s="30">
        <v>28</v>
      </c>
      <c r="E2784" s="30" t="s">
        <v>36</v>
      </c>
      <c r="F2784" s="46">
        <v>2020</v>
      </c>
      <c r="G2784" s="47">
        <v>0.11799999999999999</v>
      </c>
      <c r="H2784" s="47">
        <f t="shared" ref="H2784:H2787" si="291">G2784*0.238404758411365</f>
        <v>2.8131761492541069E-2</v>
      </c>
      <c r="I2784" s="47">
        <v>1.6000000000000001E-3</v>
      </c>
      <c r="J2784" s="47">
        <f t="shared" ref="J2784:J2787" si="292">I2784*0.351541758634568</f>
        <v>5.6246681381530883E-4</v>
      </c>
      <c r="K2784" s="47">
        <v>3.0999999999999999E-3</v>
      </c>
      <c r="L2784" s="47">
        <f t="shared" ref="L2784:L2787" si="293">K2784*0.34768631155111</f>
        <v>1.0778275658084411E-3</v>
      </c>
      <c r="M2784" s="47">
        <f t="shared" si="286"/>
        <v>2.7053933926732627E-2</v>
      </c>
      <c r="N2784" s="47">
        <v>0</v>
      </c>
      <c r="O2784" s="47">
        <f t="shared" ref="O2784:O2787" si="294">N2784*0.392125685752891</f>
        <v>0</v>
      </c>
      <c r="P2784" s="92"/>
    </row>
    <row r="2785" spans="1:16" x14ac:dyDescent="0.25">
      <c r="A2785" s="29">
        <v>32</v>
      </c>
      <c r="B2785" s="30">
        <v>437454.10856199998</v>
      </c>
      <c r="C2785" s="30">
        <v>5688631.3324180003</v>
      </c>
      <c r="D2785" s="30">
        <v>28</v>
      </c>
      <c r="E2785" s="30" t="s">
        <v>36</v>
      </c>
      <c r="F2785" s="46">
        <v>2020</v>
      </c>
      <c r="G2785" s="47">
        <v>3.8700000000000005E-2</v>
      </c>
      <c r="H2785" s="47">
        <f t="shared" si="291"/>
        <v>9.2262641505198272E-3</v>
      </c>
      <c r="I2785" s="47">
        <v>0</v>
      </c>
      <c r="J2785" s="47">
        <f t="shared" si="292"/>
        <v>0</v>
      </c>
      <c r="K2785" s="47">
        <v>1.1300000000000001E-2</v>
      </c>
      <c r="L2785" s="47">
        <f t="shared" si="293"/>
        <v>3.9288553205275439E-3</v>
      </c>
      <c r="M2785" s="47">
        <f t="shared" si="286"/>
        <v>5.2974088299922832E-3</v>
      </c>
      <c r="N2785" s="47">
        <v>1.6000000000000001E-3</v>
      </c>
      <c r="O2785" s="47">
        <f t="shared" si="294"/>
        <v>6.2740109720462562E-4</v>
      </c>
      <c r="P2785" s="92"/>
    </row>
    <row r="2786" spans="1:16" x14ac:dyDescent="0.25">
      <c r="A2786" s="29">
        <v>33</v>
      </c>
      <c r="B2786" s="30">
        <v>437573.10856199998</v>
      </c>
      <c r="C2786" s="30">
        <v>5688631.3324180003</v>
      </c>
      <c r="D2786" s="30">
        <v>28</v>
      </c>
      <c r="E2786" s="30" t="s">
        <v>36</v>
      </c>
      <c r="F2786" s="46">
        <v>2020</v>
      </c>
      <c r="G2786" s="47">
        <v>3.04E-2</v>
      </c>
      <c r="H2786" s="47">
        <f t="shared" si="291"/>
        <v>7.2475046557054961E-3</v>
      </c>
      <c r="I2786" s="47">
        <v>4.0000000000000002E-4</v>
      </c>
      <c r="J2786" s="47">
        <f t="shared" si="292"/>
        <v>1.4061670345382721E-4</v>
      </c>
      <c r="K2786" s="47">
        <v>4.2000000000000006E-3</v>
      </c>
      <c r="L2786" s="47">
        <f t="shared" si="293"/>
        <v>1.4602825085146623E-3</v>
      </c>
      <c r="M2786" s="47">
        <f t="shared" si="286"/>
        <v>5.787222147190834E-3</v>
      </c>
      <c r="N2786" s="47">
        <v>1E-3</v>
      </c>
      <c r="O2786" s="47">
        <f t="shared" si="294"/>
        <v>3.92125685752891E-4</v>
      </c>
      <c r="P2786" s="92"/>
    </row>
    <row r="2787" spans="1:16" x14ac:dyDescent="0.25">
      <c r="A2787" s="29">
        <v>34</v>
      </c>
      <c r="B2787" s="30">
        <v>437692.10856199998</v>
      </c>
      <c r="C2787" s="30">
        <v>5688631.3324180003</v>
      </c>
      <c r="D2787" s="30">
        <v>28</v>
      </c>
      <c r="E2787" s="30" t="s">
        <v>36</v>
      </c>
      <c r="F2787" s="46">
        <v>2020</v>
      </c>
      <c r="G2787" s="47">
        <v>3.2799999999999996E-2</v>
      </c>
      <c r="H2787" s="47">
        <f t="shared" si="291"/>
        <v>7.8196760758927706E-3</v>
      </c>
      <c r="I2787" s="47">
        <v>1.35E-2</v>
      </c>
      <c r="J2787" s="47">
        <f t="shared" si="292"/>
        <v>4.7458137415666681E-3</v>
      </c>
      <c r="K2787" s="47">
        <v>2.5999999999999999E-3</v>
      </c>
      <c r="L2787" s="47">
        <f t="shared" si="293"/>
        <v>9.0398441003288605E-4</v>
      </c>
      <c r="M2787" s="47">
        <f t="shared" si="286"/>
        <v>6.9156916658598844E-3</v>
      </c>
      <c r="N2787" s="47">
        <v>2.5000000000000001E-3</v>
      </c>
      <c r="O2787" s="47">
        <f t="shared" si="294"/>
        <v>9.8031421438222739E-4</v>
      </c>
      <c r="P2787" s="92"/>
    </row>
    <row r="2788" spans="1:16" x14ac:dyDescent="0.25">
      <c r="A2788" s="29">
        <v>35</v>
      </c>
      <c r="B2788" s="30">
        <v>437893</v>
      </c>
      <c r="C2788" s="30">
        <v>5688620</v>
      </c>
      <c r="D2788" s="30">
        <v>29</v>
      </c>
      <c r="E2788" s="30" t="s">
        <v>36</v>
      </c>
      <c r="F2788" s="46">
        <v>2020</v>
      </c>
      <c r="G2788" s="47">
        <v>2.2800000000000001E-2</v>
      </c>
      <c r="H2788" s="47">
        <f t="shared" si="282"/>
        <v>5.4771824736380486E-3</v>
      </c>
      <c r="I2788" s="47">
        <v>0</v>
      </c>
      <c r="J2788" s="47">
        <f t="shared" si="283"/>
        <v>0</v>
      </c>
      <c r="K2788" s="47">
        <v>0</v>
      </c>
      <c r="L2788" s="47">
        <f t="shared" si="284"/>
        <v>0</v>
      </c>
      <c r="M2788" s="47">
        <f t="shared" si="286"/>
        <v>5.4771824736380486E-3</v>
      </c>
      <c r="N2788" s="47">
        <v>0</v>
      </c>
      <c r="O2788" s="47">
        <f t="shared" si="285"/>
        <v>0</v>
      </c>
      <c r="P2788" s="92"/>
    </row>
    <row r="2789" spans="1:16" x14ac:dyDescent="0.25">
      <c r="A2789" s="29">
        <v>36</v>
      </c>
      <c r="B2789" s="30">
        <v>437930.10856199998</v>
      </c>
      <c r="C2789" s="30">
        <v>5688631.3324180003</v>
      </c>
      <c r="D2789" s="30">
        <v>29</v>
      </c>
      <c r="E2789" s="30" t="s">
        <v>36</v>
      </c>
      <c r="F2789" s="46">
        <v>2020</v>
      </c>
      <c r="G2789" s="47">
        <v>7.4799999999999991E-2</v>
      </c>
      <c r="H2789" s="47">
        <f t="shared" si="282"/>
        <v>1.7969002150356402E-2</v>
      </c>
      <c r="I2789" s="47">
        <v>4.9000000000000007E-3</v>
      </c>
      <c r="J2789" s="47">
        <f t="shared" si="283"/>
        <v>1.5107533643521267E-3</v>
      </c>
      <c r="K2789" s="47">
        <v>5.0200000000000002E-2</v>
      </c>
      <c r="L2789" s="47">
        <f t="shared" si="284"/>
        <v>1.6887772981717186E-2</v>
      </c>
      <c r="M2789" s="47">
        <f t="shared" si="286"/>
        <v>1.0812291686392167E-3</v>
      </c>
      <c r="N2789" s="47">
        <v>0.01</v>
      </c>
      <c r="O2789" s="47">
        <f t="shared" si="285"/>
        <v>3.6724567617779902E-3</v>
      </c>
      <c r="P2789" s="92"/>
    </row>
    <row r="2790" spans="1:16" x14ac:dyDescent="0.25">
      <c r="A2790" s="32">
        <v>37</v>
      </c>
      <c r="B2790" s="33">
        <v>438049.10856199998</v>
      </c>
      <c r="C2790" s="33">
        <v>5688631.3324180003</v>
      </c>
      <c r="D2790" s="48">
        <v>29</v>
      </c>
      <c r="E2790" s="48" t="s">
        <v>36</v>
      </c>
      <c r="F2790" s="48">
        <v>2020</v>
      </c>
      <c r="G2790" s="110" t="s">
        <v>18</v>
      </c>
      <c r="H2790" s="48" t="s">
        <v>18</v>
      </c>
      <c r="I2790" s="48" t="s">
        <v>18</v>
      </c>
      <c r="J2790" s="48" t="s">
        <v>18</v>
      </c>
      <c r="K2790" s="48" t="s">
        <v>18</v>
      </c>
      <c r="L2790" s="48" t="s">
        <v>18</v>
      </c>
      <c r="M2790" s="48" t="s">
        <v>18</v>
      </c>
      <c r="N2790" s="48" t="s">
        <v>18</v>
      </c>
      <c r="O2790" s="48" t="s">
        <v>18</v>
      </c>
      <c r="P2790" s="103" t="s">
        <v>89</v>
      </c>
    </row>
    <row r="2791" spans="1:16" x14ac:dyDescent="0.25">
      <c r="A2791" s="29">
        <v>38</v>
      </c>
      <c r="B2791" s="30">
        <v>438067</v>
      </c>
      <c r="C2791" s="30">
        <v>5688710</v>
      </c>
      <c r="D2791" s="30">
        <v>29</v>
      </c>
      <c r="E2791" s="30" t="s">
        <v>36</v>
      </c>
      <c r="F2791" s="46">
        <v>2020</v>
      </c>
      <c r="G2791" s="54">
        <v>0.10959999999999999</v>
      </c>
      <c r="H2791" s="47">
        <f t="shared" si="282"/>
        <v>2.6328912241698688E-2</v>
      </c>
      <c r="I2791" s="47">
        <v>1.1800000000000001E-2</v>
      </c>
      <c r="J2791" s="47">
        <f t="shared" si="283"/>
        <v>3.6381407549704271E-3</v>
      </c>
      <c r="K2791" s="47">
        <v>3.3999999999999998E-3</v>
      </c>
      <c r="L2791" s="47">
        <f t="shared" si="284"/>
        <v>1.1437933891999686E-3</v>
      </c>
      <c r="M2791" s="47">
        <f t="shared" si="286"/>
        <v>2.518511885249872E-2</v>
      </c>
      <c r="N2791" s="47">
        <v>0</v>
      </c>
      <c r="O2791" s="47">
        <f t="shared" si="285"/>
        <v>0</v>
      </c>
      <c r="P2791" s="92"/>
    </row>
    <row r="2792" spans="1:16" x14ac:dyDescent="0.25">
      <c r="A2792" s="32">
        <v>39</v>
      </c>
      <c r="B2792" s="33">
        <v>438287.10856199998</v>
      </c>
      <c r="C2792" s="33">
        <v>5688631.3324180003</v>
      </c>
      <c r="D2792" s="48">
        <v>29</v>
      </c>
      <c r="E2792" s="48" t="s">
        <v>36</v>
      </c>
      <c r="F2792" s="48">
        <v>2020</v>
      </c>
      <c r="G2792" s="110" t="s">
        <v>18</v>
      </c>
      <c r="H2792" s="48" t="s">
        <v>18</v>
      </c>
      <c r="I2792" s="48" t="s">
        <v>18</v>
      </c>
      <c r="J2792" s="48" t="s">
        <v>18</v>
      </c>
      <c r="K2792" s="48" t="s">
        <v>18</v>
      </c>
      <c r="L2792" s="48" t="s">
        <v>18</v>
      </c>
      <c r="M2792" s="48" t="s">
        <v>18</v>
      </c>
      <c r="N2792" s="48" t="s">
        <v>18</v>
      </c>
      <c r="O2792" s="48" t="s">
        <v>18</v>
      </c>
      <c r="P2792" s="94" t="s">
        <v>22</v>
      </c>
    </row>
    <row r="2793" spans="1:16" x14ac:dyDescent="0.25">
      <c r="A2793" s="29">
        <v>40</v>
      </c>
      <c r="B2793" s="30">
        <v>438406.10856199998</v>
      </c>
      <c r="C2793" s="30">
        <v>5688631.3324180003</v>
      </c>
      <c r="D2793" s="30">
        <v>29</v>
      </c>
      <c r="E2793" s="30" t="s">
        <v>36</v>
      </c>
      <c r="F2793" s="46">
        <v>2020</v>
      </c>
      <c r="G2793" s="72" t="s">
        <v>18</v>
      </c>
      <c r="H2793" s="72" t="s">
        <v>18</v>
      </c>
      <c r="I2793" s="72" t="s">
        <v>18</v>
      </c>
      <c r="J2793" s="72" t="s">
        <v>18</v>
      </c>
      <c r="K2793" s="47">
        <v>2.06E-2</v>
      </c>
      <c r="L2793" s="47">
        <f t="shared" si="284"/>
        <v>6.9300422992703992E-3</v>
      </c>
      <c r="M2793" s="72" t="s">
        <v>18</v>
      </c>
      <c r="N2793" s="47">
        <v>1E-3</v>
      </c>
      <c r="O2793" s="47">
        <f t="shared" si="285"/>
        <v>3.6724567617779901E-4</v>
      </c>
      <c r="P2793" s="92" t="s">
        <v>170</v>
      </c>
    </row>
    <row r="2794" spans="1:16" x14ac:dyDescent="0.25">
      <c r="A2794" s="29">
        <v>41</v>
      </c>
      <c r="B2794" s="30">
        <v>437310</v>
      </c>
      <c r="C2794" s="30">
        <v>5688729</v>
      </c>
      <c r="D2794" s="30">
        <v>28</v>
      </c>
      <c r="E2794" s="30" t="s">
        <v>36</v>
      </c>
      <c r="F2794" s="46">
        <v>2020</v>
      </c>
      <c r="G2794" s="84" t="s">
        <v>18</v>
      </c>
      <c r="H2794" s="84" t="s">
        <v>18</v>
      </c>
      <c r="I2794" s="84" t="s">
        <v>18</v>
      </c>
      <c r="J2794" s="84" t="s">
        <v>18</v>
      </c>
      <c r="K2794" s="47">
        <v>2.1700000000000001E-2</v>
      </c>
      <c r="L2794" s="47">
        <f t="shared" ref="L2794:L2797" si="295">K2794*0.34768631155111</f>
        <v>7.5447929606590877E-3</v>
      </c>
      <c r="M2794" s="84" t="s">
        <v>18</v>
      </c>
      <c r="N2794" s="112">
        <v>5.4200000000000005E-2</v>
      </c>
      <c r="O2794" s="47">
        <f t="shared" ref="O2794:O2797" si="296">N2794*0.392125685752891</f>
        <v>2.1253212167806693E-2</v>
      </c>
      <c r="P2794" s="92" t="s">
        <v>195</v>
      </c>
    </row>
    <row r="2795" spans="1:16" x14ac:dyDescent="0.25">
      <c r="A2795" s="29">
        <v>42</v>
      </c>
      <c r="B2795" s="30">
        <v>437454.10856199998</v>
      </c>
      <c r="C2795" s="30">
        <v>5688750.3324180003</v>
      </c>
      <c r="D2795" s="30">
        <v>28</v>
      </c>
      <c r="E2795" s="30" t="s">
        <v>36</v>
      </c>
      <c r="F2795" s="46">
        <v>2020</v>
      </c>
      <c r="G2795" s="54">
        <v>1.29E-2</v>
      </c>
      <c r="H2795" s="47">
        <f t="shared" ref="H2795:H2797" si="297">G2795*0.238404758411365</f>
        <v>3.0754213835066085E-3</v>
      </c>
      <c r="I2795" s="47">
        <v>4.7999999999999996E-3</v>
      </c>
      <c r="J2795" s="47">
        <f t="shared" ref="J2795:J2797" si="298">I2795*0.351541758634568</f>
        <v>1.6874004414459262E-3</v>
      </c>
      <c r="K2795" s="47">
        <v>8.199999999999999E-3</v>
      </c>
      <c r="L2795" s="47">
        <f t="shared" si="295"/>
        <v>2.8510277547191018E-3</v>
      </c>
      <c r="M2795" s="47">
        <f t="shared" si="286"/>
        <v>2.2439362878750669E-4</v>
      </c>
      <c r="N2795" s="47">
        <v>6.0000000000000001E-3</v>
      </c>
      <c r="O2795" s="47">
        <f t="shared" si="296"/>
        <v>2.352754114517346E-3</v>
      </c>
      <c r="P2795" s="92"/>
    </row>
    <row r="2796" spans="1:16" x14ac:dyDescent="0.25">
      <c r="A2796" s="29">
        <v>43</v>
      </c>
      <c r="B2796" s="30">
        <v>437573.10856199998</v>
      </c>
      <c r="C2796" s="30">
        <v>5688750.3324180003</v>
      </c>
      <c r="D2796" s="30">
        <v>28</v>
      </c>
      <c r="E2796" s="30" t="s">
        <v>36</v>
      </c>
      <c r="F2796" s="46">
        <v>2020</v>
      </c>
      <c r="G2796" s="47">
        <v>9.2200000000000004E-2</v>
      </c>
      <c r="H2796" s="47">
        <f t="shared" si="297"/>
        <v>2.1980918725527852E-2</v>
      </c>
      <c r="I2796" s="47">
        <v>3.5000000000000001E-3</v>
      </c>
      <c r="J2796" s="47">
        <f t="shared" si="298"/>
        <v>1.2303961552209879E-3</v>
      </c>
      <c r="K2796" s="47">
        <v>1.6899999999999998E-2</v>
      </c>
      <c r="L2796" s="47">
        <f t="shared" si="295"/>
        <v>5.8758986652137591E-3</v>
      </c>
      <c r="M2796" s="47">
        <f t="shared" si="286"/>
        <v>1.6105020060314092E-2</v>
      </c>
      <c r="N2796" s="47">
        <v>2.2000000000000001E-3</v>
      </c>
      <c r="O2796" s="47">
        <f t="shared" si="296"/>
        <v>8.6267650865636024E-4</v>
      </c>
      <c r="P2796" s="92"/>
    </row>
    <row r="2797" spans="1:16" x14ac:dyDescent="0.25">
      <c r="A2797" s="29">
        <v>44</v>
      </c>
      <c r="B2797" s="30">
        <v>437692.10856199998</v>
      </c>
      <c r="C2797" s="30">
        <v>5688750.3324180003</v>
      </c>
      <c r="D2797" s="30">
        <v>28</v>
      </c>
      <c r="E2797" s="30" t="s">
        <v>36</v>
      </c>
      <c r="F2797" s="46">
        <v>2020</v>
      </c>
      <c r="G2797" s="54">
        <v>3.5200000000000002E-2</v>
      </c>
      <c r="H2797" s="47">
        <f t="shared" si="297"/>
        <v>8.3918474960800477E-3</v>
      </c>
      <c r="I2797" s="47">
        <v>7.4999999999999997E-3</v>
      </c>
      <c r="J2797" s="47">
        <f t="shared" si="298"/>
        <v>2.6365631897592597E-3</v>
      </c>
      <c r="K2797" s="47">
        <v>6.1999999999999998E-3</v>
      </c>
      <c r="L2797" s="47">
        <f t="shared" si="295"/>
        <v>2.1556551316168821E-3</v>
      </c>
      <c r="M2797" s="47">
        <f t="shared" si="286"/>
        <v>6.236192364463166E-3</v>
      </c>
      <c r="N2797" s="47">
        <v>1E-4</v>
      </c>
      <c r="O2797" s="47">
        <f t="shared" si="296"/>
        <v>3.9212568575289101E-5</v>
      </c>
      <c r="P2797" s="92"/>
    </row>
    <row r="2798" spans="1:16" x14ac:dyDescent="0.25">
      <c r="A2798" s="29">
        <v>45</v>
      </c>
      <c r="B2798" s="30">
        <v>437811.10856199998</v>
      </c>
      <c r="C2798" s="30">
        <v>5688750.3324180003</v>
      </c>
      <c r="D2798" s="30">
        <v>29</v>
      </c>
      <c r="E2798" s="30" t="s">
        <v>36</v>
      </c>
      <c r="F2798" s="46">
        <v>2020</v>
      </c>
      <c r="G2798" s="47">
        <v>6.3899999999999998E-2</v>
      </c>
      <c r="H2798" s="47">
        <f t="shared" si="282"/>
        <v>1.5350524564275056E-2</v>
      </c>
      <c r="I2798" s="47">
        <v>2.3E-2</v>
      </c>
      <c r="J2798" s="47">
        <f t="shared" si="283"/>
        <v>7.0912913020610016E-3</v>
      </c>
      <c r="K2798" s="47">
        <v>5.3E-3</v>
      </c>
      <c r="L2798" s="47">
        <f t="shared" si="284"/>
        <v>1.7829720478705396E-3</v>
      </c>
      <c r="M2798" s="47">
        <f t="shared" si="286"/>
        <v>1.3567552516404516E-2</v>
      </c>
      <c r="N2798" s="47">
        <v>2.64E-2</v>
      </c>
      <c r="O2798" s="47">
        <f t="shared" si="285"/>
        <v>9.6952858510938947E-3</v>
      </c>
      <c r="P2798" s="92"/>
    </row>
    <row r="2799" spans="1:16" x14ac:dyDescent="0.25">
      <c r="A2799" s="65">
        <v>46</v>
      </c>
      <c r="B2799" s="66">
        <v>437930.10856199998</v>
      </c>
      <c r="C2799" s="66">
        <v>5688750.3324180003</v>
      </c>
      <c r="D2799" s="66">
        <v>29</v>
      </c>
      <c r="E2799" s="66" t="s">
        <v>36</v>
      </c>
      <c r="F2799" s="66">
        <v>2020</v>
      </c>
      <c r="G2799" s="108" t="s">
        <v>18</v>
      </c>
      <c r="H2799" s="66" t="s">
        <v>18</v>
      </c>
      <c r="I2799" s="66" t="s">
        <v>18</v>
      </c>
      <c r="J2799" s="66" t="s">
        <v>18</v>
      </c>
      <c r="K2799" s="66" t="s">
        <v>18</v>
      </c>
      <c r="L2799" s="66" t="s">
        <v>18</v>
      </c>
      <c r="M2799" s="66" t="s">
        <v>18</v>
      </c>
      <c r="N2799" s="66" t="s">
        <v>18</v>
      </c>
      <c r="O2799" s="66" t="s">
        <v>18</v>
      </c>
      <c r="P2799" s="105" t="s">
        <v>166</v>
      </c>
    </row>
    <row r="2800" spans="1:16" x14ac:dyDescent="0.25">
      <c r="A2800" s="29">
        <v>47</v>
      </c>
      <c r="B2800" s="30">
        <v>438061</v>
      </c>
      <c r="C2800" s="30">
        <v>5688779</v>
      </c>
      <c r="D2800" s="30">
        <v>29</v>
      </c>
      <c r="E2800" s="30" t="s">
        <v>36</v>
      </c>
      <c r="F2800" s="46">
        <v>2020</v>
      </c>
      <c r="G2800" s="47">
        <v>0.1196</v>
      </c>
      <c r="H2800" s="47">
        <f t="shared" si="282"/>
        <v>2.873118525645222E-2</v>
      </c>
      <c r="I2800" s="47">
        <v>5.1700000000000003E-2</v>
      </c>
      <c r="J2800" s="47">
        <f t="shared" si="283"/>
        <v>1.5939989578980601E-2</v>
      </c>
      <c r="K2800" s="47">
        <v>2.9899999999999999E-2</v>
      </c>
      <c r="L2800" s="47">
        <f t="shared" si="284"/>
        <v>1.0058653628552666E-2</v>
      </c>
      <c r="M2800" s="47">
        <f t="shared" si="286"/>
        <v>1.8672531627899554E-2</v>
      </c>
      <c r="N2800" s="47">
        <v>1.49E-2</v>
      </c>
      <c r="O2800" s="47">
        <f t="shared" si="285"/>
        <v>5.471960575049205E-3</v>
      </c>
      <c r="P2800" s="92"/>
    </row>
    <row r="2801" spans="1:19" x14ac:dyDescent="0.25">
      <c r="A2801" s="32">
        <v>48</v>
      </c>
      <c r="B2801" s="33">
        <v>438168.10856199998</v>
      </c>
      <c r="C2801" s="33">
        <v>5688750.3324180003</v>
      </c>
      <c r="D2801" s="48">
        <v>29</v>
      </c>
      <c r="E2801" s="48" t="s">
        <v>36</v>
      </c>
      <c r="F2801" s="48">
        <v>2020</v>
      </c>
      <c r="G2801" s="110" t="s">
        <v>18</v>
      </c>
      <c r="H2801" s="48" t="s">
        <v>18</v>
      </c>
      <c r="I2801" s="48" t="s">
        <v>18</v>
      </c>
      <c r="J2801" s="48" t="s">
        <v>18</v>
      </c>
      <c r="K2801" s="48" t="s">
        <v>18</v>
      </c>
      <c r="L2801" s="48" t="s">
        <v>18</v>
      </c>
      <c r="M2801" s="48" t="s">
        <v>18</v>
      </c>
      <c r="N2801" s="48" t="s">
        <v>18</v>
      </c>
      <c r="O2801" s="48" t="s">
        <v>18</v>
      </c>
      <c r="P2801" s="103" t="s">
        <v>89</v>
      </c>
    </row>
    <row r="2802" spans="1:19" x14ac:dyDescent="0.25">
      <c r="A2802" s="29">
        <v>49</v>
      </c>
      <c r="B2802" s="30">
        <v>437454.10856199998</v>
      </c>
      <c r="C2802" s="30">
        <v>5688869.3324180003</v>
      </c>
      <c r="D2802" s="30">
        <v>28</v>
      </c>
      <c r="E2802" s="30" t="s">
        <v>36</v>
      </c>
      <c r="F2802" s="46">
        <v>2020</v>
      </c>
      <c r="G2802" s="47">
        <v>4.9000000000000002E-2</v>
      </c>
      <c r="H2802" s="47">
        <f t="shared" ref="H2802:H2803" si="299">G2802*0.238404758411365</f>
        <v>1.1681833162156884E-2</v>
      </c>
      <c r="I2802" s="47">
        <v>2.9999999999999997E-4</v>
      </c>
      <c r="J2802" s="47">
        <f t="shared" ref="J2802:J2803" si="300">I2802*0.351541758634568</f>
        <v>1.0546252759037039E-4</v>
      </c>
      <c r="K2802" s="47">
        <v>2.4500000000000001E-2</v>
      </c>
      <c r="L2802" s="47">
        <f t="shared" ref="L2802:L2803" si="301">K2802*0.34768631155111</f>
        <v>8.5183146330021966E-3</v>
      </c>
      <c r="M2802" s="47">
        <f t="shared" si="286"/>
        <v>3.1635185291546877E-3</v>
      </c>
      <c r="N2802" s="47">
        <v>1E-4</v>
      </c>
      <c r="O2802" s="47">
        <f t="shared" ref="O2802:O2803" si="302">N2802*0.392125685752891</f>
        <v>3.9212568575289101E-5</v>
      </c>
      <c r="P2802" s="92"/>
    </row>
    <row r="2803" spans="1:19" x14ac:dyDescent="0.25">
      <c r="A2803" s="29">
        <v>50</v>
      </c>
      <c r="B2803" s="30">
        <v>437811.10856199998</v>
      </c>
      <c r="C2803" s="30">
        <v>5688869.3324180003</v>
      </c>
      <c r="D2803" s="30">
        <v>28</v>
      </c>
      <c r="E2803" s="30" t="s">
        <v>36</v>
      </c>
      <c r="F2803" s="46">
        <v>2020</v>
      </c>
      <c r="G2803" s="47">
        <v>4.3799999999999999E-2</v>
      </c>
      <c r="H2803" s="47">
        <f t="shared" si="299"/>
        <v>1.0442128418417787E-2</v>
      </c>
      <c r="I2803" s="47">
        <v>8.9999999999999998E-4</v>
      </c>
      <c r="J2803" s="47">
        <f t="shared" si="300"/>
        <v>3.1638758277111116E-4</v>
      </c>
      <c r="K2803" s="47">
        <v>9.4000000000000004E-3</v>
      </c>
      <c r="L2803" s="47">
        <f t="shared" si="301"/>
        <v>3.2682513285804344E-3</v>
      </c>
      <c r="M2803" s="47">
        <f t="shared" si="286"/>
        <v>7.1738770898373523E-3</v>
      </c>
      <c r="N2803" s="47">
        <v>0</v>
      </c>
      <c r="O2803" s="47">
        <f t="shared" si="302"/>
        <v>0</v>
      </c>
      <c r="P2803" s="92"/>
    </row>
    <row r="2804" spans="1:19" x14ac:dyDescent="0.25">
      <c r="A2804" s="29">
        <v>51</v>
      </c>
      <c r="B2804" s="30">
        <v>437930.10856199998</v>
      </c>
      <c r="C2804" s="30">
        <v>5688869.3324180003</v>
      </c>
      <c r="D2804" s="30">
        <v>28</v>
      </c>
      <c r="E2804" s="30" t="s">
        <v>36</v>
      </c>
      <c r="F2804" s="46">
        <v>2020</v>
      </c>
      <c r="G2804" s="72" t="s">
        <v>18</v>
      </c>
      <c r="H2804" s="46" t="s">
        <v>18</v>
      </c>
      <c r="I2804" s="46" t="s">
        <v>18</v>
      </c>
      <c r="J2804" s="46" t="s">
        <v>18</v>
      </c>
      <c r="K2804" s="47" t="s">
        <v>18</v>
      </c>
      <c r="L2804" s="47" t="s">
        <v>18</v>
      </c>
      <c r="M2804" s="46" t="s">
        <v>18</v>
      </c>
      <c r="N2804" s="47" t="s">
        <v>18</v>
      </c>
      <c r="O2804" s="47" t="s">
        <v>18</v>
      </c>
      <c r="P2804" s="92" t="s">
        <v>171</v>
      </c>
    </row>
    <row r="2805" spans="1:19" x14ac:dyDescent="0.25">
      <c r="A2805" s="65">
        <v>52</v>
      </c>
      <c r="B2805" s="66">
        <v>438049.10856199998</v>
      </c>
      <c r="C2805" s="66">
        <v>5688869.3324180003</v>
      </c>
      <c r="D2805" s="66">
        <v>29</v>
      </c>
      <c r="E2805" s="66" t="s">
        <v>36</v>
      </c>
      <c r="F2805" s="66">
        <v>2020</v>
      </c>
      <c r="G2805" s="85" t="s">
        <v>18</v>
      </c>
      <c r="H2805" s="83" t="s">
        <v>18</v>
      </c>
      <c r="I2805" s="83" t="s">
        <v>18</v>
      </c>
      <c r="J2805" s="83" t="s">
        <v>18</v>
      </c>
      <c r="K2805" s="83" t="s">
        <v>18</v>
      </c>
      <c r="L2805" s="83" t="s">
        <v>18</v>
      </c>
      <c r="M2805" s="83" t="s">
        <v>18</v>
      </c>
      <c r="N2805" s="83" t="s">
        <v>18</v>
      </c>
      <c r="O2805" s="83" t="s">
        <v>18</v>
      </c>
      <c r="P2805" s="105" t="s">
        <v>107</v>
      </c>
    </row>
    <row r="2806" spans="1:19" x14ac:dyDescent="0.25">
      <c r="A2806" s="29">
        <v>53</v>
      </c>
      <c r="B2806" s="30">
        <v>438287.10856199998</v>
      </c>
      <c r="C2806" s="30">
        <v>5688869.3324180003</v>
      </c>
      <c r="D2806" s="30">
        <v>29</v>
      </c>
      <c r="E2806" s="30" t="s">
        <v>36</v>
      </c>
      <c r="F2806" s="46">
        <v>2020</v>
      </c>
      <c r="G2806" s="47">
        <v>1.2999999999999999E-2</v>
      </c>
      <c r="H2806" s="47">
        <f t="shared" si="282"/>
        <v>3.122954919179589E-3</v>
      </c>
      <c r="I2806" s="47">
        <v>0</v>
      </c>
      <c r="J2806" s="47">
        <f t="shared" si="283"/>
        <v>0</v>
      </c>
      <c r="K2806" s="47">
        <v>3.3999999999999998E-3</v>
      </c>
      <c r="L2806" s="47">
        <f t="shared" si="284"/>
        <v>1.1437933891999686E-3</v>
      </c>
      <c r="M2806" s="47">
        <f t="shared" si="286"/>
        <v>1.9791615299796202E-3</v>
      </c>
      <c r="N2806" s="47">
        <v>0</v>
      </c>
      <c r="O2806" s="47">
        <f t="shared" si="285"/>
        <v>0</v>
      </c>
      <c r="P2806" s="92"/>
    </row>
    <row r="2807" spans="1:19" x14ac:dyDescent="0.25">
      <c r="A2807" s="29">
        <v>54</v>
      </c>
      <c r="B2807" s="30">
        <v>437454.10856199998</v>
      </c>
      <c r="C2807" s="30">
        <v>5688988.3324180003</v>
      </c>
      <c r="D2807" s="30">
        <v>28</v>
      </c>
      <c r="E2807" s="30" t="s">
        <v>36</v>
      </c>
      <c r="F2807" s="46">
        <v>2020</v>
      </c>
      <c r="G2807" s="47">
        <v>0</v>
      </c>
      <c r="H2807" s="47">
        <f t="shared" ref="H2807:H2811" si="303">G2807*0.238404758411365</f>
        <v>0</v>
      </c>
      <c r="I2807" s="47">
        <v>0</v>
      </c>
      <c r="J2807" s="47">
        <f t="shared" ref="J2807:J2811" si="304">I2807*0.351541758634568</f>
        <v>0</v>
      </c>
      <c r="K2807" s="47">
        <v>1.9E-3</v>
      </c>
      <c r="L2807" s="47">
        <f t="shared" ref="L2807:L2811" si="305">K2807*0.34768631155111</f>
        <v>6.6060399194710904E-4</v>
      </c>
      <c r="M2807" s="47">
        <f t="shared" si="286"/>
        <v>-6.6060399194710904E-4</v>
      </c>
      <c r="N2807" s="47">
        <v>0</v>
      </c>
      <c r="O2807" s="47">
        <f t="shared" ref="O2807:O2811" si="306">N2807*0.392125685752891</f>
        <v>0</v>
      </c>
      <c r="P2807" s="92"/>
    </row>
    <row r="2808" spans="1:19" x14ac:dyDescent="0.25">
      <c r="A2808" s="29">
        <v>55</v>
      </c>
      <c r="B2808" s="30">
        <v>438049.10856199998</v>
      </c>
      <c r="C2808" s="30">
        <v>5688988.3324180003</v>
      </c>
      <c r="D2808" s="30">
        <v>28</v>
      </c>
      <c r="E2808" s="30" t="s">
        <v>36</v>
      </c>
      <c r="F2808" s="46">
        <v>2020</v>
      </c>
      <c r="G2808" s="47">
        <v>6.8199999999999997E-2</v>
      </c>
      <c r="H2808" s="47">
        <f t="shared" si="303"/>
        <v>1.6259204523655091E-2</v>
      </c>
      <c r="I2808" s="47">
        <v>4.0899999999999999E-2</v>
      </c>
      <c r="J2808" s="47">
        <f t="shared" si="304"/>
        <v>1.4378057928153831E-2</v>
      </c>
      <c r="K2808" s="47">
        <v>4.2700000000000002E-2</v>
      </c>
      <c r="L2808" s="47">
        <f t="shared" si="305"/>
        <v>1.4846205503232398E-2</v>
      </c>
      <c r="M2808" s="47">
        <f t="shared" si="286"/>
        <v>1.4129990204226929E-3</v>
      </c>
      <c r="N2808" s="47">
        <v>5.0000000000000001E-3</v>
      </c>
      <c r="O2808" s="47">
        <f t="shared" si="306"/>
        <v>1.9606284287644548E-3</v>
      </c>
      <c r="P2808" s="92"/>
    </row>
    <row r="2809" spans="1:19" x14ac:dyDescent="0.25">
      <c r="A2809" s="29">
        <v>56</v>
      </c>
      <c r="B2809" s="30">
        <v>438168.10856199998</v>
      </c>
      <c r="C2809" s="30">
        <v>5688988.3324180003</v>
      </c>
      <c r="D2809" s="30">
        <v>28</v>
      </c>
      <c r="E2809" s="30" t="s">
        <v>36</v>
      </c>
      <c r="F2809" s="46">
        <v>2020</v>
      </c>
      <c r="G2809" s="47">
        <v>1.95E-2</v>
      </c>
      <c r="H2809" s="47">
        <f t="shared" si="303"/>
        <v>4.6488927890216171E-3</v>
      </c>
      <c r="I2809" s="47">
        <v>9.4799999999999995E-2</v>
      </c>
      <c r="J2809" s="47">
        <f t="shared" si="304"/>
        <v>3.3326158718557042E-2</v>
      </c>
      <c r="K2809" s="47">
        <v>3.7000000000000002E-3</v>
      </c>
      <c r="L2809" s="47">
        <f t="shared" si="305"/>
        <v>1.2864393527391071E-3</v>
      </c>
      <c r="M2809" s="47">
        <f t="shared" si="286"/>
        <v>3.3624534362825097E-3</v>
      </c>
      <c r="N2809" s="47">
        <v>9.9500000000000005E-2</v>
      </c>
      <c r="O2809" s="47">
        <f t="shared" si="306"/>
        <v>3.9016505732412651E-2</v>
      </c>
      <c r="P2809" s="92"/>
    </row>
    <row r="2810" spans="1:19" x14ac:dyDescent="0.25">
      <c r="A2810" s="40">
        <v>57</v>
      </c>
      <c r="B2810" s="41">
        <v>438146</v>
      </c>
      <c r="C2810" s="41">
        <v>5688977</v>
      </c>
      <c r="D2810" s="41">
        <v>28</v>
      </c>
      <c r="E2810" s="41" t="s">
        <v>36</v>
      </c>
      <c r="F2810" s="50">
        <v>2020</v>
      </c>
      <c r="G2810" s="51">
        <v>4.1700000000000001E-2</v>
      </c>
      <c r="H2810" s="51">
        <f t="shared" si="303"/>
        <v>9.9414784257539201E-3</v>
      </c>
      <c r="I2810" s="51">
        <v>0</v>
      </c>
      <c r="J2810" s="51">
        <f t="shared" si="304"/>
        <v>0</v>
      </c>
      <c r="K2810" s="51">
        <v>4.2000000000000006E-3</v>
      </c>
      <c r="L2810" s="51">
        <f t="shared" si="305"/>
        <v>1.4602825085146623E-3</v>
      </c>
      <c r="M2810" s="51">
        <f t="shared" si="286"/>
        <v>8.4811959172392572E-3</v>
      </c>
      <c r="N2810" s="51">
        <v>0</v>
      </c>
      <c r="O2810" s="51">
        <f t="shared" si="306"/>
        <v>0</v>
      </c>
      <c r="P2810" s="101"/>
    </row>
    <row r="2811" spans="1:19" x14ac:dyDescent="0.25">
      <c r="A2811" s="40">
        <v>58</v>
      </c>
      <c r="B2811" s="41">
        <v>438131</v>
      </c>
      <c r="C2811" s="41">
        <v>5688972</v>
      </c>
      <c r="D2811" s="41">
        <v>28</v>
      </c>
      <c r="E2811" s="41" t="s">
        <v>36</v>
      </c>
      <c r="F2811" s="50">
        <v>2020</v>
      </c>
      <c r="G2811" s="51">
        <v>0.18930000000000002</v>
      </c>
      <c r="H2811" s="51">
        <f t="shared" si="303"/>
        <v>4.5130020767271399E-2</v>
      </c>
      <c r="I2811" s="51">
        <v>6.0899999999999996E-2</v>
      </c>
      <c r="J2811" s="51">
        <f t="shared" si="304"/>
        <v>2.1408893100845188E-2</v>
      </c>
      <c r="K2811" s="51">
        <v>2.4E-2</v>
      </c>
      <c r="L2811" s="51">
        <f t="shared" si="305"/>
        <v>8.344471477226641E-3</v>
      </c>
      <c r="M2811" s="51">
        <f t="shared" si="286"/>
        <v>3.678554929004476E-2</v>
      </c>
      <c r="N2811" s="51">
        <v>0.1452</v>
      </c>
      <c r="O2811" s="51">
        <f t="shared" si="306"/>
        <v>5.6936649571319768E-2</v>
      </c>
      <c r="P2811" s="101"/>
    </row>
    <row r="2812" spans="1:19" x14ac:dyDescent="0.25">
      <c r="A2812" s="40">
        <v>59</v>
      </c>
      <c r="B2812" s="41">
        <v>438089</v>
      </c>
      <c r="C2812" s="41">
        <v>5688713</v>
      </c>
      <c r="D2812" s="41">
        <v>29</v>
      </c>
      <c r="E2812" s="41" t="s">
        <v>36</v>
      </c>
      <c r="F2812" s="50">
        <v>2020</v>
      </c>
      <c r="G2812" s="51">
        <v>0.1736</v>
      </c>
      <c r="H2812" s="51">
        <f t="shared" si="282"/>
        <v>4.1703459536121285E-2</v>
      </c>
      <c r="I2812" s="51">
        <v>5.62E-2</v>
      </c>
      <c r="J2812" s="51">
        <f t="shared" si="283"/>
        <v>1.7327416138079491E-2</v>
      </c>
      <c r="K2812" s="51">
        <v>1.9300000000000001E-2</v>
      </c>
      <c r="L2812" s="51">
        <f t="shared" si="284"/>
        <v>6.4927095328115875E-3</v>
      </c>
      <c r="M2812" s="51">
        <f t="shared" si="286"/>
        <v>3.5210750003309699E-2</v>
      </c>
      <c r="N2812" s="51">
        <v>0</v>
      </c>
      <c r="O2812" s="51">
        <f t="shared" si="285"/>
        <v>0</v>
      </c>
      <c r="P2812" s="101"/>
    </row>
    <row r="2813" spans="1:19" x14ac:dyDescent="0.25">
      <c r="A2813" s="40">
        <v>60</v>
      </c>
      <c r="B2813" s="41">
        <v>438099</v>
      </c>
      <c r="C2813" s="41">
        <v>5688719</v>
      </c>
      <c r="D2813" s="41">
        <v>29</v>
      </c>
      <c r="E2813" s="41" t="s">
        <v>36</v>
      </c>
      <c r="F2813" s="50">
        <v>2020</v>
      </c>
      <c r="G2813" s="51">
        <v>7.8200000000000006E-2</v>
      </c>
      <c r="H2813" s="51">
        <f t="shared" si="282"/>
        <v>1.8785774975372607E-2</v>
      </c>
      <c r="I2813" s="51">
        <v>8.0000000000000004E-4</v>
      </c>
      <c r="J2813" s="51">
        <f t="shared" si="283"/>
        <v>2.4665361050646965E-4</v>
      </c>
      <c r="K2813" s="51">
        <v>6.7999999999999996E-3</v>
      </c>
      <c r="L2813" s="51">
        <f t="shared" si="284"/>
        <v>2.2875867783999373E-3</v>
      </c>
      <c r="M2813" s="51">
        <f t="shared" si="286"/>
        <v>1.6498188196972671E-2</v>
      </c>
      <c r="N2813" s="51">
        <v>0</v>
      </c>
      <c r="O2813" s="51">
        <f t="shared" si="285"/>
        <v>0</v>
      </c>
      <c r="P2813" s="101"/>
    </row>
    <row r="2814" spans="1:19" x14ac:dyDescent="0.25">
      <c r="A2814" s="42">
        <v>1</v>
      </c>
      <c r="B2814" s="43">
        <v>437930.10856199998</v>
      </c>
      <c r="C2814" s="43">
        <v>5688036.3324180003</v>
      </c>
      <c r="D2814" s="44">
        <v>7</v>
      </c>
      <c r="E2814" s="44" t="s">
        <v>64</v>
      </c>
      <c r="F2814" s="44">
        <v>2021</v>
      </c>
      <c r="G2814" s="44" t="s">
        <v>18</v>
      </c>
      <c r="H2814" s="44" t="s">
        <v>18</v>
      </c>
      <c r="I2814" s="44" t="s">
        <v>18</v>
      </c>
      <c r="J2814" s="44" t="s">
        <v>18</v>
      </c>
      <c r="K2814" s="44" t="s">
        <v>18</v>
      </c>
      <c r="L2814" s="44" t="s">
        <v>18</v>
      </c>
      <c r="M2814" s="44" t="s">
        <v>18</v>
      </c>
      <c r="N2814" s="44" t="s">
        <v>18</v>
      </c>
      <c r="O2814" s="44" t="s">
        <v>18</v>
      </c>
      <c r="P2814" s="102" t="s">
        <v>109</v>
      </c>
      <c r="R2814" s="5">
        <f>AVERAGE(M2814:M2873)</f>
        <v>1.6607947898188962E-2</v>
      </c>
      <c r="S2814" s="5">
        <f>AVERAGE(H2814:H2873)</f>
        <v>2.4034715137484695E-2</v>
      </c>
    </row>
    <row r="2815" spans="1:19" x14ac:dyDescent="0.25">
      <c r="A2815" s="42">
        <v>2</v>
      </c>
      <c r="B2815" s="43">
        <v>437811.10856199998</v>
      </c>
      <c r="C2815" s="43">
        <v>5688155.3324180003</v>
      </c>
      <c r="D2815" s="44">
        <v>7</v>
      </c>
      <c r="E2815" s="44" t="s">
        <v>64</v>
      </c>
      <c r="F2815" s="44">
        <v>2021</v>
      </c>
      <c r="G2815" s="44" t="s">
        <v>18</v>
      </c>
      <c r="H2815" s="44" t="s">
        <v>18</v>
      </c>
      <c r="I2815" s="44" t="s">
        <v>18</v>
      </c>
      <c r="J2815" s="44" t="s">
        <v>18</v>
      </c>
      <c r="K2815" s="44" t="s">
        <v>18</v>
      </c>
      <c r="L2815" s="44" t="s">
        <v>18</v>
      </c>
      <c r="M2815" s="44" t="s">
        <v>18</v>
      </c>
      <c r="N2815" s="44" t="s">
        <v>18</v>
      </c>
      <c r="O2815" s="44" t="s">
        <v>18</v>
      </c>
      <c r="P2815" s="102" t="s">
        <v>109</v>
      </c>
    </row>
    <row r="2816" spans="1:19" x14ac:dyDescent="0.25">
      <c r="A2816" s="65">
        <v>3</v>
      </c>
      <c r="B2816" s="66">
        <v>437930.10856199998</v>
      </c>
      <c r="C2816" s="66">
        <v>5688155.3324180003</v>
      </c>
      <c r="D2816" s="66">
        <v>7</v>
      </c>
      <c r="E2816" s="66" t="s">
        <v>64</v>
      </c>
      <c r="F2816" s="66">
        <v>2021</v>
      </c>
      <c r="G2816" s="66" t="s">
        <v>18</v>
      </c>
      <c r="H2816" s="66" t="s">
        <v>18</v>
      </c>
      <c r="I2816" s="66" t="s">
        <v>18</v>
      </c>
      <c r="J2816" s="66" t="s">
        <v>18</v>
      </c>
      <c r="K2816" s="66" t="s">
        <v>18</v>
      </c>
      <c r="L2816" s="66" t="s">
        <v>18</v>
      </c>
      <c r="M2816" s="66" t="s">
        <v>18</v>
      </c>
      <c r="N2816" s="66" t="s">
        <v>18</v>
      </c>
      <c r="O2816" s="66" t="s">
        <v>18</v>
      </c>
      <c r="P2816" s="105" t="s">
        <v>166</v>
      </c>
    </row>
    <row r="2817" spans="1:16" x14ac:dyDescent="0.25">
      <c r="A2817" s="42">
        <v>4</v>
      </c>
      <c r="B2817" s="43">
        <v>438049.10856199998</v>
      </c>
      <c r="C2817" s="43">
        <v>5688155.3324180003</v>
      </c>
      <c r="D2817" s="44">
        <v>7</v>
      </c>
      <c r="E2817" s="44" t="s">
        <v>64</v>
      </c>
      <c r="F2817" s="44">
        <v>2021</v>
      </c>
      <c r="G2817" s="44" t="s">
        <v>18</v>
      </c>
      <c r="H2817" s="44" t="s">
        <v>18</v>
      </c>
      <c r="I2817" s="44" t="s">
        <v>18</v>
      </c>
      <c r="J2817" s="44" t="s">
        <v>18</v>
      </c>
      <c r="K2817" s="44" t="s">
        <v>18</v>
      </c>
      <c r="L2817" s="44" t="s">
        <v>18</v>
      </c>
      <c r="M2817" s="44" t="s">
        <v>18</v>
      </c>
      <c r="N2817" s="44" t="s">
        <v>18</v>
      </c>
      <c r="O2817" s="44" t="s">
        <v>18</v>
      </c>
      <c r="P2817" s="102" t="s">
        <v>109</v>
      </c>
    </row>
    <row r="2818" spans="1:16" x14ac:dyDescent="0.25">
      <c r="A2818" s="42">
        <v>5</v>
      </c>
      <c r="B2818" s="43">
        <v>437573.10856199998</v>
      </c>
      <c r="C2818" s="43">
        <v>5688274.3324180003</v>
      </c>
      <c r="D2818" s="44">
        <v>7</v>
      </c>
      <c r="E2818" s="44" t="s">
        <v>64</v>
      </c>
      <c r="F2818" s="44">
        <v>2021</v>
      </c>
      <c r="G2818" s="44" t="s">
        <v>18</v>
      </c>
      <c r="H2818" s="44" t="s">
        <v>18</v>
      </c>
      <c r="I2818" s="44" t="s">
        <v>18</v>
      </c>
      <c r="J2818" s="44" t="s">
        <v>18</v>
      </c>
      <c r="K2818" s="44" t="s">
        <v>18</v>
      </c>
      <c r="L2818" s="44" t="s">
        <v>18</v>
      </c>
      <c r="M2818" s="44" t="s">
        <v>18</v>
      </c>
      <c r="N2818" s="44" t="s">
        <v>18</v>
      </c>
      <c r="O2818" s="44" t="s">
        <v>18</v>
      </c>
      <c r="P2818" s="102" t="s">
        <v>109</v>
      </c>
    </row>
    <row r="2819" spans="1:16" x14ac:dyDescent="0.25">
      <c r="A2819" s="29">
        <v>6</v>
      </c>
      <c r="B2819" s="30">
        <v>437692.10856199998</v>
      </c>
      <c r="C2819" s="30">
        <v>5688274.3324180003</v>
      </c>
      <c r="D2819" s="30">
        <v>7</v>
      </c>
      <c r="E2819" s="30" t="s">
        <v>64</v>
      </c>
      <c r="F2819" s="46">
        <v>2021</v>
      </c>
      <c r="G2819" s="47">
        <v>5.0999999999999995E-3</v>
      </c>
      <c r="H2819" s="47">
        <f>G2819*0.346321543767791</f>
        <v>1.7662398732157341E-3</v>
      </c>
      <c r="I2819" s="47">
        <v>1.52E-2</v>
      </c>
      <c r="J2819" s="47">
        <f>I2819*0.405967017712692</f>
        <v>6.1706986692329187E-3</v>
      </c>
      <c r="K2819" s="47">
        <v>1.1999999999999999E-3</v>
      </c>
      <c r="L2819" s="47">
        <f>K2819*0.417779946742172</f>
        <v>5.0133593609060639E-4</v>
      </c>
      <c r="M2819" s="47">
        <f>H2819-L2819</f>
        <v>1.2649039371251277E-3</v>
      </c>
      <c r="N2819" s="47">
        <v>5.0900000000000001E-2</v>
      </c>
      <c r="O2819" s="47">
        <f>N2819*0.426559831687205</f>
        <v>2.1711895432878735E-2</v>
      </c>
      <c r="P2819" s="92" t="s">
        <v>174</v>
      </c>
    </row>
    <row r="2820" spans="1:16" x14ac:dyDescent="0.25">
      <c r="A2820" s="65">
        <v>7</v>
      </c>
      <c r="B2820" s="66">
        <v>437811.10856199998</v>
      </c>
      <c r="C2820" s="66">
        <v>5688274.3324180003</v>
      </c>
      <c r="D2820" s="66">
        <v>7</v>
      </c>
      <c r="E2820" s="66" t="s">
        <v>64</v>
      </c>
      <c r="F2820" s="66">
        <v>2021</v>
      </c>
      <c r="G2820" s="66" t="s">
        <v>18</v>
      </c>
      <c r="H2820" s="66" t="s">
        <v>18</v>
      </c>
      <c r="I2820" s="66" t="s">
        <v>18</v>
      </c>
      <c r="J2820" s="66" t="s">
        <v>18</v>
      </c>
      <c r="K2820" s="66" t="s">
        <v>18</v>
      </c>
      <c r="L2820" s="66" t="s">
        <v>18</v>
      </c>
      <c r="M2820" s="66" t="s">
        <v>18</v>
      </c>
      <c r="N2820" s="66" t="s">
        <v>18</v>
      </c>
      <c r="O2820" s="66" t="s">
        <v>18</v>
      </c>
      <c r="P2820" s="105" t="s">
        <v>166</v>
      </c>
    </row>
    <row r="2821" spans="1:16" x14ac:dyDescent="0.25">
      <c r="A2821" s="42">
        <v>8</v>
      </c>
      <c r="B2821" s="43">
        <v>437930.10856199998</v>
      </c>
      <c r="C2821" s="43">
        <v>5688274.3324180003</v>
      </c>
      <c r="D2821" s="44">
        <v>7</v>
      </c>
      <c r="E2821" s="44" t="s">
        <v>64</v>
      </c>
      <c r="F2821" s="44">
        <v>2021</v>
      </c>
      <c r="G2821" s="44" t="s">
        <v>18</v>
      </c>
      <c r="H2821" s="44" t="s">
        <v>18</v>
      </c>
      <c r="I2821" s="44" t="s">
        <v>18</v>
      </c>
      <c r="J2821" s="44" t="s">
        <v>18</v>
      </c>
      <c r="K2821" s="44" t="s">
        <v>18</v>
      </c>
      <c r="L2821" s="44" t="s">
        <v>18</v>
      </c>
      <c r="M2821" s="44" t="s">
        <v>18</v>
      </c>
      <c r="N2821" s="44" t="s">
        <v>18</v>
      </c>
      <c r="O2821" s="44" t="s">
        <v>18</v>
      </c>
      <c r="P2821" s="102" t="s">
        <v>109</v>
      </c>
    </row>
    <row r="2822" spans="1:16" x14ac:dyDescent="0.25">
      <c r="A2822" s="29">
        <v>9</v>
      </c>
      <c r="B2822" s="30">
        <v>438287.10856199998</v>
      </c>
      <c r="C2822" s="30">
        <v>5688274.3324180003</v>
      </c>
      <c r="D2822" s="30">
        <v>7</v>
      </c>
      <c r="E2822" s="30" t="s">
        <v>64</v>
      </c>
      <c r="F2822" s="46">
        <v>2021</v>
      </c>
      <c r="G2822" s="47">
        <v>7.3799999999999991E-2</v>
      </c>
      <c r="H2822" s="47">
        <f t="shared" ref="H2822:H2873" si="307">G2822*0.346321543767791</f>
        <v>2.5558529930062975E-2</v>
      </c>
      <c r="I2822" s="47">
        <v>0</v>
      </c>
      <c r="J2822" s="47">
        <f t="shared" ref="J2822:J2823" si="308">I2822*0.405967017712692</f>
        <v>0</v>
      </c>
      <c r="K2822" s="47">
        <v>8.6999999999999994E-3</v>
      </c>
      <c r="L2822" s="47">
        <f t="shared" ref="L2822:L2873" si="309">K2822*0.417779946742172</f>
        <v>3.6346855366568964E-3</v>
      </c>
      <c r="M2822" s="47">
        <f t="shared" ref="M2822:M2873" si="310">H2822-L2822</f>
        <v>2.1923844393406076E-2</v>
      </c>
      <c r="N2822" s="47">
        <v>0</v>
      </c>
      <c r="O2822" s="47">
        <f t="shared" ref="O2822:O2873" si="311">N2822*0.426559831687205</f>
        <v>0</v>
      </c>
      <c r="P2822" s="92" t="s">
        <v>174</v>
      </c>
    </row>
    <row r="2823" spans="1:16" x14ac:dyDescent="0.25">
      <c r="A2823" s="29">
        <v>10</v>
      </c>
      <c r="B2823" s="30">
        <v>438406.10856199998</v>
      </c>
      <c r="C2823" s="30">
        <v>5688274.3324180003</v>
      </c>
      <c r="D2823" s="30">
        <v>7</v>
      </c>
      <c r="E2823" s="30" t="s">
        <v>64</v>
      </c>
      <c r="F2823" s="46">
        <v>2021</v>
      </c>
      <c r="G2823" s="47">
        <v>0.1045</v>
      </c>
      <c r="H2823" s="47">
        <f t="shared" si="307"/>
        <v>3.619060132373416E-2</v>
      </c>
      <c r="I2823" s="47">
        <v>8.5599999999999996E-2</v>
      </c>
      <c r="J2823" s="47">
        <f t="shared" si="308"/>
        <v>3.4750776716206432E-2</v>
      </c>
      <c r="K2823" s="47">
        <v>5.7500000000000002E-2</v>
      </c>
      <c r="L2823" s="47">
        <f t="shared" si="309"/>
        <v>2.4022346937674893E-2</v>
      </c>
      <c r="M2823" s="47">
        <f t="shared" si="310"/>
        <v>1.2168254386059268E-2</v>
      </c>
      <c r="N2823" s="47">
        <v>0</v>
      </c>
      <c r="O2823" s="47">
        <f t="shared" si="311"/>
        <v>0</v>
      </c>
      <c r="P2823" s="92"/>
    </row>
    <row r="2824" spans="1:16" x14ac:dyDescent="0.25">
      <c r="A2824" s="42">
        <v>11</v>
      </c>
      <c r="B2824" s="43">
        <v>437454.10856199998</v>
      </c>
      <c r="C2824" s="43">
        <v>5688393.3324180003</v>
      </c>
      <c r="D2824" s="44">
        <v>7</v>
      </c>
      <c r="E2824" s="44" t="s">
        <v>64</v>
      </c>
      <c r="F2824" s="44">
        <v>2021</v>
      </c>
      <c r="G2824" s="44" t="s">
        <v>18</v>
      </c>
      <c r="H2824" s="44" t="s">
        <v>18</v>
      </c>
      <c r="I2824" s="44" t="s">
        <v>18</v>
      </c>
      <c r="J2824" s="44" t="s">
        <v>18</v>
      </c>
      <c r="K2824" s="44" t="s">
        <v>18</v>
      </c>
      <c r="L2824" s="44" t="s">
        <v>18</v>
      </c>
      <c r="M2824" s="44" t="s">
        <v>18</v>
      </c>
      <c r="N2824" s="44" t="s">
        <v>18</v>
      </c>
      <c r="O2824" s="44" t="s">
        <v>18</v>
      </c>
      <c r="P2824" s="102" t="s">
        <v>109</v>
      </c>
    </row>
    <row r="2825" spans="1:16" x14ac:dyDescent="0.25">
      <c r="A2825" s="29">
        <v>12</v>
      </c>
      <c r="B2825" s="30">
        <v>437573.10856199998</v>
      </c>
      <c r="C2825" s="30">
        <v>5688393.3324180003</v>
      </c>
      <c r="D2825" s="30">
        <v>7</v>
      </c>
      <c r="E2825" s="30" t="s">
        <v>64</v>
      </c>
      <c r="F2825" s="46">
        <v>2021</v>
      </c>
      <c r="G2825" s="47">
        <v>8.0200000000000007E-2</v>
      </c>
      <c r="H2825" s="47">
        <f t="shared" si="307"/>
        <v>2.777498781017684E-2</v>
      </c>
      <c r="I2825" s="47">
        <v>7.8799999999999995E-2</v>
      </c>
      <c r="J2825" s="47">
        <f t="shared" ref="J2825:J2826" si="312">I2825*0.405967017712692</f>
        <v>3.199020099576013E-2</v>
      </c>
      <c r="K2825" s="47">
        <v>4.7000000000000002E-3</v>
      </c>
      <c r="L2825" s="47">
        <f t="shared" si="309"/>
        <v>1.9635657496882087E-3</v>
      </c>
      <c r="M2825" s="47">
        <f t="shared" si="310"/>
        <v>2.5811422060488632E-2</v>
      </c>
      <c r="N2825" s="47">
        <v>8.6499999999999994E-2</v>
      </c>
      <c r="O2825" s="47">
        <f t="shared" si="311"/>
        <v>3.6897425440943231E-2</v>
      </c>
      <c r="P2825" s="92"/>
    </row>
    <row r="2826" spans="1:16" x14ac:dyDescent="0.25">
      <c r="A2826" s="29">
        <v>13</v>
      </c>
      <c r="B2826" s="30">
        <v>437692.10856199998</v>
      </c>
      <c r="C2826" s="30">
        <v>5688393.3324180003</v>
      </c>
      <c r="D2826" s="30">
        <v>7</v>
      </c>
      <c r="E2826" s="30" t="s">
        <v>64</v>
      </c>
      <c r="F2826" s="46">
        <v>2021</v>
      </c>
      <c r="G2826" s="47">
        <v>0.1348</v>
      </c>
      <c r="H2826" s="47">
        <f t="shared" si="307"/>
        <v>4.6684144099898225E-2</v>
      </c>
      <c r="I2826" s="47">
        <v>8.14E-2</v>
      </c>
      <c r="J2826" s="47">
        <f t="shared" si="312"/>
        <v>3.3045715241813128E-2</v>
      </c>
      <c r="K2826" s="47">
        <v>6.5500000000000003E-2</v>
      </c>
      <c r="L2826" s="47">
        <f t="shared" si="309"/>
        <v>2.7364586511612266E-2</v>
      </c>
      <c r="M2826" s="47">
        <f t="shared" si="310"/>
        <v>1.9319557588285959E-2</v>
      </c>
      <c r="N2826" s="47">
        <v>2.1100000000000001E-2</v>
      </c>
      <c r="O2826" s="47">
        <f t="shared" si="311"/>
        <v>9.0004124486000262E-3</v>
      </c>
      <c r="P2826" s="92"/>
    </row>
    <row r="2827" spans="1:16" x14ac:dyDescent="0.25">
      <c r="A2827" s="32">
        <v>14</v>
      </c>
      <c r="B2827" s="33">
        <v>437811.10856199998</v>
      </c>
      <c r="C2827" s="33">
        <v>5688393.3324180003</v>
      </c>
      <c r="D2827" s="48">
        <v>7</v>
      </c>
      <c r="E2827" s="48" t="s">
        <v>64</v>
      </c>
      <c r="F2827" s="48">
        <v>2021</v>
      </c>
      <c r="G2827" s="48" t="s">
        <v>18</v>
      </c>
      <c r="H2827" s="48" t="s">
        <v>18</v>
      </c>
      <c r="I2827" s="48" t="s">
        <v>18</v>
      </c>
      <c r="J2827" s="48" t="s">
        <v>18</v>
      </c>
      <c r="K2827" s="48" t="s">
        <v>18</v>
      </c>
      <c r="L2827" s="48" t="s">
        <v>18</v>
      </c>
      <c r="M2827" s="48" t="s">
        <v>18</v>
      </c>
      <c r="N2827" s="48" t="s">
        <v>18</v>
      </c>
      <c r="O2827" s="48" t="s">
        <v>18</v>
      </c>
      <c r="P2827" s="103" t="s">
        <v>89</v>
      </c>
    </row>
    <row r="2828" spans="1:16" x14ac:dyDescent="0.25">
      <c r="A2828" s="29">
        <v>15</v>
      </c>
      <c r="B2828" s="30">
        <v>437930.10856199998</v>
      </c>
      <c r="C2828" s="30">
        <v>5688393.3324180003</v>
      </c>
      <c r="D2828" s="30">
        <v>7</v>
      </c>
      <c r="E2828" s="30" t="s">
        <v>64</v>
      </c>
      <c r="F2828" s="46">
        <v>2021</v>
      </c>
      <c r="G2828" s="47">
        <v>4.7899999999999998E-2</v>
      </c>
      <c r="H2828" s="47">
        <f t="shared" si="307"/>
        <v>1.6588801946477189E-2</v>
      </c>
      <c r="I2828" s="47">
        <v>0.2135</v>
      </c>
      <c r="J2828" s="47">
        <f t="shared" ref="J2828:J2832" si="313">I2828*0.405967017712692</f>
        <v>8.6673958281659746E-2</v>
      </c>
      <c r="K2828" s="47">
        <v>1.49E-2</v>
      </c>
      <c r="L2828" s="47">
        <f t="shared" si="309"/>
        <v>6.224921206458363E-3</v>
      </c>
      <c r="M2828" s="47">
        <f t="shared" si="310"/>
        <v>1.0363880740018826E-2</v>
      </c>
      <c r="N2828" s="47">
        <v>0.22340000000000002</v>
      </c>
      <c r="O2828" s="47">
        <f t="shared" si="311"/>
        <v>9.5293466398921611E-2</v>
      </c>
      <c r="P2828" s="92"/>
    </row>
    <row r="2829" spans="1:16" x14ac:dyDescent="0.25">
      <c r="A2829" s="29">
        <v>16</v>
      </c>
      <c r="B2829" s="30">
        <v>438049.10856199998</v>
      </c>
      <c r="C2829" s="30">
        <v>5688393.3324180003</v>
      </c>
      <c r="D2829" s="30">
        <v>7</v>
      </c>
      <c r="E2829" s="30" t="s">
        <v>64</v>
      </c>
      <c r="F2829" s="46">
        <v>2021</v>
      </c>
      <c r="G2829" s="47">
        <v>2.87E-2</v>
      </c>
      <c r="H2829" s="47">
        <f t="shared" si="307"/>
        <v>9.9394283061356014E-3</v>
      </c>
      <c r="I2829" s="47">
        <v>3.3600000000000005E-2</v>
      </c>
      <c r="J2829" s="47">
        <f t="shared" si="313"/>
        <v>1.3640491795146453E-2</v>
      </c>
      <c r="K2829" s="47">
        <v>1.7899999999999999E-2</v>
      </c>
      <c r="L2829" s="47">
        <f t="shared" si="309"/>
        <v>7.4782610466848781E-3</v>
      </c>
      <c r="M2829" s="47">
        <f t="shared" si="310"/>
        <v>2.4611672594507233E-3</v>
      </c>
      <c r="N2829" s="47">
        <v>4.0799999999999996E-2</v>
      </c>
      <c r="O2829" s="47">
        <f t="shared" si="311"/>
        <v>1.7403641132837964E-2</v>
      </c>
      <c r="P2829" s="92"/>
    </row>
    <row r="2830" spans="1:16" x14ac:dyDescent="0.25">
      <c r="A2830" s="29">
        <v>17</v>
      </c>
      <c r="B2830" s="30">
        <v>438168.10856199998</v>
      </c>
      <c r="C2830" s="30">
        <v>5688393.3324180003</v>
      </c>
      <c r="D2830" s="30">
        <v>7</v>
      </c>
      <c r="E2830" s="30" t="s">
        <v>64</v>
      </c>
      <c r="F2830" s="46">
        <v>2021</v>
      </c>
      <c r="G2830" s="47">
        <v>3.4599999999999999E-2</v>
      </c>
      <c r="H2830" s="47">
        <f t="shared" si="307"/>
        <v>1.1982725414365569E-2</v>
      </c>
      <c r="I2830" s="47">
        <v>7.5499999999999998E-2</v>
      </c>
      <c r="J2830" s="47">
        <f t="shared" si="313"/>
        <v>3.0650509837308246E-2</v>
      </c>
      <c r="K2830" s="47">
        <v>1.8200000000000001E-2</v>
      </c>
      <c r="L2830" s="47">
        <f t="shared" si="309"/>
        <v>7.6035950307075306E-3</v>
      </c>
      <c r="M2830" s="47">
        <f t="shared" si="310"/>
        <v>4.3791303836580387E-3</v>
      </c>
      <c r="N2830" s="47">
        <v>0.17760000000000001</v>
      </c>
      <c r="O2830" s="47">
        <f t="shared" si="311"/>
        <v>7.5757026107647618E-2</v>
      </c>
      <c r="P2830" s="92"/>
    </row>
    <row r="2831" spans="1:16" x14ac:dyDescent="0.25">
      <c r="A2831" s="29">
        <v>18</v>
      </c>
      <c r="B2831" s="30">
        <v>438287.10856199998</v>
      </c>
      <c r="C2831" s="30">
        <v>5688393.3324180003</v>
      </c>
      <c r="D2831" s="30">
        <v>7</v>
      </c>
      <c r="E2831" s="30" t="s">
        <v>64</v>
      </c>
      <c r="F2831" s="46">
        <v>2021</v>
      </c>
      <c r="G2831" s="47">
        <v>5.0000000000000001E-4</v>
      </c>
      <c r="H2831" s="47">
        <f t="shared" si="307"/>
        <v>1.7316077188389551E-4</v>
      </c>
      <c r="I2831" s="47">
        <v>6.9400000000000003E-2</v>
      </c>
      <c r="J2831" s="47">
        <f t="shared" si="313"/>
        <v>2.8174111029260825E-2</v>
      </c>
      <c r="K2831" s="47">
        <v>1.1900000000000001E-2</v>
      </c>
      <c r="L2831" s="47">
        <f t="shared" si="309"/>
        <v>4.971581366231847E-3</v>
      </c>
      <c r="M2831" s="47">
        <f>H2831-L2831</f>
        <v>-4.7984205943479514E-3</v>
      </c>
      <c r="N2831" s="47">
        <v>0</v>
      </c>
      <c r="O2831" s="47">
        <f t="shared" si="311"/>
        <v>0</v>
      </c>
      <c r="P2831" s="92"/>
    </row>
    <row r="2832" spans="1:16" x14ac:dyDescent="0.25">
      <c r="A2832" s="29">
        <v>19</v>
      </c>
      <c r="B2832" s="30">
        <v>438406.10856199998</v>
      </c>
      <c r="C2832" s="30">
        <v>5688393.3324180003</v>
      </c>
      <c r="D2832" s="30">
        <v>7</v>
      </c>
      <c r="E2832" s="30" t="s">
        <v>64</v>
      </c>
      <c r="F2832" s="46">
        <v>2021</v>
      </c>
      <c r="G2832" s="47">
        <v>5.8099999999999999E-2</v>
      </c>
      <c r="H2832" s="47">
        <f t="shared" si="307"/>
        <v>2.0121281692908659E-2</v>
      </c>
      <c r="I2832" s="47">
        <v>0</v>
      </c>
      <c r="J2832" s="47">
        <f t="shared" si="313"/>
        <v>0</v>
      </c>
      <c r="K2832" s="47">
        <v>1.34E-2</v>
      </c>
      <c r="L2832" s="47">
        <f t="shared" si="309"/>
        <v>5.598251286345105E-3</v>
      </c>
      <c r="M2832" s="47">
        <f t="shared" si="310"/>
        <v>1.4523030406563553E-2</v>
      </c>
      <c r="N2832" s="47">
        <v>3.3E-3</v>
      </c>
      <c r="O2832" s="47">
        <f t="shared" si="311"/>
        <v>1.4076474445677766E-3</v>
      </c>
      <c r="P2832" s="92"/>
    </row>
    <row r="2833" spans="1:16" x14ac:dyDescent="0.25">
      <c r="A2833" s="42">
        <v>20</v>
      </c>
      <c r="B2833" s="43">
        <v>437335.10856199998</v>
      </c>
      <c r="C2833" s="43">
        <v>5688512.3324180003</v>
      </c>
      <c r="D2833" s="44">
        <v>7</v>
      </c>
      <c r="E2833" s="44" t="s">
        <v>64</v>
      </c>
      <c r="F2833" s="44">
        <v>2021</v>
      </c>
      <c r="G2833" s="44" t="s">
        <v>18</v>
      </c>
      <c r="H2833" s="44" t="s">
        <v>18</v>
      </c>
      <c r="I2833" s="44" t="s">
        <v>18</v>
      </c>
      <c r="J2833" s="44" t="s">
        <v>18</v>
      </c>
      <c r="K2833" s="44" t="s">
        <v>18</v>
      </c>
      <c r="L2833" s="44" t="s">
        <v>18</v>
      </c>
      <c r="M2833" s="44" t="s">
        <v>18</v>
      </c>
      <c r="N2833" s="44" t="s">
        <v>18</v>
      </c>
      <c r="O2833" s="44" t="s">
        <v>18</v>
      </c>
      <c r="P2833" s="102" t="s">
        <v>109</v>
      </c>
    </row>
    <row r="2834" spans="1:16" x14ac:dyDescent="0.25">
      <c r="A2834" s="29">
        <v>21</v>
      </c>
      <c r="B2834" s="30">
        <v>437454.10856199998</v>
      </c>
      <c r="C2834" s="30">
        <v>5688512.3324180003</v>
      </c>
      <c r="D2834" s="30">
        <v>7</v>
      </c>
      <c r="E2834" s="30" t="s">
        <v>64</v>
      </c>
      <c r="F2834" s="46">
        <v>2021</v>
      </c>
      <c r="G2834" s="47">
        <v>3.44E-2</v>
      </c>
      <c r="H2834" s="47">
        <f t="shared" si="307"/>
        <v>1.1913461105612011E-2</v>
      </c>
      <c r="I2834" s="47">
        <v>1.1900000000000001E-2</v>
      </c>
      <c r="J2834" s="47">
        <f t="shared" ref="J2834:J2839" si="314">I2834*0.405967017712692</f>
        <v>4.8310075107810355E-3</v>
      </c>
      <c r="K2834" s="47">
        <v>1.44E-2</v>
      </c>
      <c r="L2834" s="47">
        <f t="shared" si="309"/>
        <v>6.0160312330872767E-3</v>
      </c>
      <c r="M2834" s="47">
        <f t="shared" si="310"/>
        <v>5.8974298725247339E-3</v>
      </c>
      <c r="N2834" s="47">
        <v>7.7000000000000002E-3</v>
      </c>
      <c r="O2834" s="47">
        <f t="shared" si="311"/>
        <v>3.2845107039914789E-3</v>
      </c>
      <c r="P2834" s="92"/>
    </row>
    <row r="2835" spans="1:16" x14ac:dyDescent="0.25">
      <c r="A2835" s="29">
        <v>22</v>
      </c>
      <c r="B2835" s="30">
        <v>437573.10856199998</v>
      </c>
      <c r="C2835" s="30">
        <v>5688512.3324180003</v>
      </c>
      <c r="D2835" s="30">
        <v>7</v>
      </c>
      <c r="E2835" s="30" t="s">
        <v>64</v>
      </c>
      <c r="F2835" s="46">
        <v>2021</v>
      </c>
      <c r="G2835" s="111">
        <v>0.06</v>
      </c>
      <c r="H2835" s="47">
        <f t="shared" si="307"/>
        <v>2.077929262606746E-2</v>
      </c>
      <c r="I2835" s="47">
        <v>0.46650000000000003</v>
      </c>
      <c r="J2835" s="47">
        <f t="shared" si="314"/>
        <v>0.18938361376297083</v>
      </c>
      <c r="K2835" s="47">
        <v>3.85E-2</v>
      </c>
      <c r="L2835" s="47">
        <f t="shared" si="309"/>
        <v>1.6084527949573622E-2</v>
      </c>
      <c r="M2835" s="47">
        <f t="shared" si="310"/>
        <v>4.6947646764938372E-3</v>
      </c>
      <c r="N2835" s="47">
        <v>0.14149999999999999</v>
      </c>
      <c r="O2835" s="47">
        <f t="shared" si="311"/>
        <v>6.0358216183739502E-2</v>
      </c>
      <c r="P2835" s="92"/>
    </row>
    <row r="2836" spans="1:16" x14ac:dyDescent="0.25">
      <c r="A2836" s="29">
        <v>23</v>
      </c>
      <c r="B2836" s="30">
        <v>437692.10856199998</v>
      </c>
      <c r="C2836" s="30">
        <v>5688512.3324180003</v>
      </c>
      <c r="D2836" s="30">
        <v>7</v>
      </c>
      <c r="E2836" s="30" t="s">
        <v>64</v>
      </c>
      <c r="F2836" s="46">
        <v>2021</v>
      </c>
      <c r="G2836" s="47">
        <v>9.1400000000000009E-2</v>
      </c>
      <c r="H2836" s="47">
        <f t="shared" si="307"/>
        <v>3.1653789100376098E-2</v>
      </c>
      <c r="I2836" s="47">
        <v>3.4099999999999998E-2</v>
      </c>
      <c r="J2836" s="47">
        <f t="shared" si="314"/>
        <v>1.3843475304002796E-2</v>
      </c>
      <c r="K2836" s="47">
        <v>6.0899999999999996E-2</v>
      </c>
      <c r="L2836" s="47">
        <f t="shared" si="309"/>
        <v>2.5442798756598273E-2</v>
      </c>
      <c r="M2836" s="47">
        <f t="shared" si="310"/>
        <v>6.2109903437778252E-3</v>
      </c>
      <c r="N2836" s="47">
        <v>5.1499999999999997E-2</v>
      </c>
      <c r="O2836" s="47">
        <f t="shared" si="311"/>
        <v>2.1967831331891056E-2</v>
      </c>
      <c r="P2836" s="92"/>
    </row>
    <row r="2837" spans="1:16" x14ac:dyDescent="0.25">
      <c r="A2837" s="29">
        <v>24</v>
      </c>
      <c r="B2837" s="30">
        <v>437811.10856199998</v>
      </c>
      <c r="C2837" s="30">
        <v>5688512.3324180003</v>
      </c>
      <c r="D2837" s="30">
        <v>7</v>
      </c>
      <c r="E2837" s="30" t="s">
        <v>64</v>
      </c>
      <c r="F2837" s="46">
        <v>2021</v>
      </c>
      <c r="G2837" s="47">
        <v>0.2079</v>
      </c>
      <c r="H2837" s="47">
        <f t="shared" si="307"/>
        <v>7.2000248949323747E-2</v>
      </c>
      <c r="I2837" s="47">
        <v>2.92E-2</v>
      </c>
      <c r="J2837" s="47">
        <f t="shared" si="314"/>
        <v>1.1854236917210607E-2</v>
      </c>
      <c r="K2837" s="47">
        <v>5.3600000000000002E-2</v>
      </c>
      <c r="L2837" s="47">
        <f t="shared" si="309"/>
        <v>2.239300514538042E-2</v>
      </c>
      <c r="M2837" s="47">
        <f t="shared" si="310"/>
        <v>4.9607243803943324E-2</v>
      </c>
      <c r="N2837" s="47">
        <v>9.8000000000000014E-3</v>
      </c>
      <c r="O2837" s="47">
        <f t="shared" si="311"/>
        <v>4.1802863505346101E-3</v>
      </c>
      <c r="P2837" s="92"/>
    </row>
    <row r="2838" spans="1:16" x14ac:dyDescent="0.25">
      <c r="A2838" s="29">
        <v>25</v>
      </c>
      <c r="B2838" s="46">
        <v>437995</v>
      </c>
      <c r="C2838" s="46">
        <v>5688493</v>
      </c>
      <c r="D2838" s="30">
        <v>7</v>
      </c>
      <c r="E2838" s="30" t="s">
        <v>64</v>
      </c>
      <c r="F2838" s="46">
        <v>2021</v>
      </c>
      <c r="G2838" s="47">
        <v>2.8500000000000001E-2</v>
      </c>
      <c r="H2838" s="47">
        <f t="shared" si="307"/>
        <v>9.8701639973820445E-3</v>
      </c>
      <c r="I2838" s="47">
        <v>4.4499999999999998E-2</v>
      </c>
      <c r="J2838" s="47">
        <f t="shared" si="314"/>
        <v>1.8065532288214795E-2</v>
      </c>
      <c r="K2838" s="47">
        <v>1.34E-2</v>
      </c>
      <c r="L2838" s="47">
        <f t="shared" si="309"/>
        <v>5.598251286345105E-3</v>
      </c>
      <c r="M2838" s="47">
        <f t="shared" si="310"/>
        <v>4.2719127110369395E-3</v>
      </c>
      <c r="N2838" s="47">
        <v>6.7000000000000002E-3</v>
      </c>
      <c r="O2838" s="47">
        <f t="shared" si="311"/>
        <v>2.8579508723042737E-3</v>
      </c>
      <c r="P2838" s="92"/>
    </row>
    <row r="2839" spans="1:16" x14ac:dyDescent="0.25">
      <c r="A2839" s="29">
        <v>26</v>
      </c>
      <c r="B2839" s="46">
        <v>438112</v>
      </c>
      <c r="C2839" s="46">
        <v>5688567</v>
      </c>
      <c r="D2839" s="30">
        <v>7</v>
      </c>
      <c r="E2839" s="30" t="s">
        <v>64</v>
      </c>
      <c r="F2839" s="46">
        <v>2021</v>
      </c>
      <c r="G2839" s="47">
        <v>6.3799999999999996E-2</v>
      </c>
      <c r="H2839" s="47">
        <f t="shared" si="307"/>
        <v>2.2095314492385065E-2</v>
      </c>
      <c r="I2839" s="47">
        <v>6.9000000000000008E-3</v>
      </c>
      <c r="J2839" s="47">
        <f t="shared" si="314"/>
        <v>2.8011724222175749E-3</v>
      </c>
      <c r="K2839" s="47">
        <v>1.9699999999999999E-2</v>
      </c>
      <c r="L2839" s="47">
        <f t="shared" si="309"/>
        <v>8.2302649508207877E-3</v>
      </c>
      <c r="M2839" s="47">
        <f t="shared" si="310"/>
        <v>1.3865049541564277E-2</v>
      </c>
      <c r="N2839" s="47">
        <v>8.0000000000000004E-4</v>
      </c>
      <c r="O2839" s="47">
        <f t="shared" si="311"/>
        <v>3.4124786534976405E-4</v>
      </c>
      <c r="P2839" s="92"/>
    </row>
    <row r="2840" spans="1:16" x14ac:dyDescent="0.25">
      <c r="A2840" s="32">
        <v>27</v>
      </c>
      <c r="B2840" s="33">
        <v>438168.10856199998</v>
      </c>
      <c r="C2840" s="33">
        <v>5688512.3324180003</v>
      </c>
      <c r="D2840" s="48">
        <v>7</v>
      </c>
      <c r="E2840" s="48" t="s">
        <v>64</v>
      </c>
      <c r="F2840" s="48">
        <v>2021</v>
      </c>
      <c r="G2840" s="48" t="s">
        <v>18</v>
      </c>
      <c r="H2840" s="48" t="s">
        <v>18</v>
      </c>
      <c r="I2840" s="48" t="s">
        <v>18</v>
      </c>
      <c r="J2840" s="48" t="s">
        <v>18</v>
      </c>
      <c r="K2840" s="48" t="s">
        <v>18</v>
      </c>
      <c r="L2840" s="48" t="s">
        <v>18</v>
      </c>
      <c r="M2840" s="48" t="s">
        <v>18</v>
      </c>
      <c r="N2840" s="48" t="s">
        <v>18</v>
      </c>
      <c r="O2840" s="48" t="s">
        <v>18</v>
      </c>
      <c r="P2840" s="103" t="s">
        <v>89</v>
      </c>
    </row>
    <row r="2841" spans="1:16" x14ac:dyDescent="0.25">
      <c r="A2841" s="32">
        <v>28</v>
      </c>
      <c r="B2841" s="33">
        <v>438287.10856199998</v>
      </c>
      <c r="C2841" s="33">
        <v>5688512.3324180003</v>
      </c>
      <c r="D2841" s="48">
        <v>7</v>
      </c>
      <c r="E2841" s="48" t="s">
        <v>64</v>
      </c>
      <c r="F2841" s="48">
        <v>2021</v>
      </c>
      <c r="G2841" s="48" t="s">
        <v>18</v>
      </c>
      <c r="H2841" s="48" t="s">
        <v>18</v>
      </c>
      <c r="I2841" s="48" t="s">
        <v>18</v>
      </c>
      <c r="J2841" s="48" t="s">
        <v>18</v>
      </c>
      <c r="K2841" s="48" t="s">
        <v>18</v>
      </c>
      <c r="L2841" s="48" t="s">
        <v>18</v>
      </c>
      <c r="M2841" s="48" t="s">
        <v>18</v>
      </c>
      <c r="N2841" s="48" t="s">
        <v>18</v>
      </c>
      <c r="O2841" s="48" t="s">
        <v>18</v>
      </c>
      <c r="P2841" s="103" t="s">
        <v>89</v>
      </c>
    </row>
    <row r="2842" spans="1:16" x14ac:dyDescent="0.25">
      <c r="A2842" s="29">
        <v>29</v>
      </c>
      <c r="B2842" s="30">
        <v>438381</v>
      </c>
      <c r="C2842" s="30">
        <v>5688526</v>
      </c>
      <c r="D2842" s="30">
        <v>6</v>
      </c>
      <c r="E2842" s="30" t="s">
        <v>64</v>
      </c>
      <c r="F2842" s="46">
        <v>2021</v>
      </c>
      <c r="G2842" s="47">
        <v>4.3900000000000002E-2</v>
      </c>
      <c r="H2842" s="47">
        <f t="shared" si="307"/>
        <v>1.5203515771406025E-2</v>
      </c>
      <c r="I2842" s="47">
        <v>0</v>
      </c>
      <c r="J2842" s="47">
        <f t="shared" ref="J2842:J2849" si="315">I2842*0.405967017712692</f>
        <v>0</v>
      </c>
      <c r="K2842" s="47">
        <v>6.7000000000000002E-3</v>
      </c>
      <c r="L2842" s="47">
        <f t="shared" si="309"/>
        <v>2.7991256431725525E-3</v>
      </c>
      <c r="M2842" s="47">
        <f t="shared" si="310"/>
        <v>1.2404390128233472E-2</v>
      </c>
      <c r="N2842" s="47">
        <v>0</v>
      </c>
      <c r="O2842" s="47">
        <f t="shared" si="311"/>
        <v>0</v>
      </c>
      <c r="P2842" s="92"/>
    </row>
    <row r="2843" spans="1:16" x14ac:dyDescent="0.25">
      <c r="A2843" s="29">
        <v>30</v>
      </c>
      <c r="B2843" s="30">
        <v>438525.10856199998</v>
      </c>
      <c r="C2843" s="30">
        <v>5688512.3324180003</v>
      </c>
      <c r="D2843" s="30">
        <v>6</v>
      </c>
      <c r="E2843" s="30" t="s">
        <v>64</v>
      </c>
      <c r="F2843" s="46">
        <v>2021</v>
      </c>
      <c r="G2843" s="47">
        <v>6.2100000000000002E-2</v>
      </c>
      <c r="H2843" s="47">
        <f t="shared" si="307"/>
        <v>2.1506567867979821E-2</v>
      </c>
      <c r="I2843" s="47">
        <v>0</v>
      </c>
      <c r="J2843" s="47">
        <f t="shared" si="315"/>
        <v>0</v>
      </c>
      <c r="K2843" s="47">
        <v>1.7500000000000002E-2</v>
      </c>
      <c r="L2843" s="47">
        <f t="shared" si="309"/>
        <v>7.3111490679880105E-3</v>
      </c>
      <c r="M2843" s="47">
        <f t="shared" si="310"/>
        <v>1.419541879999181E-2</v>
      </c>
      <c r="N2843" s="47">
        <v>0</v>
      </c>
      <c r="O2843" s="47">
        <f t="shared" si="311"/>
        <v>0</v>
      </c>
      <c r="P2843" s="92"/>
    </row>
    <row r="2844" spans="1:16" x14ac:dyDescent="0.25">
      <c r="A2844" s="29">
        <v>31</v>
      </c>
      <c r="B2844" s="30">
        <v>437335.10856199998</v>
      </c>
      <c r="C2844" s="30">
        <v>5688631.3324180003</v>
      </c>
      <c r="D2844" s="30">
        <v>7</v>
      </c>
      <c r="E2844" s="30" t="s">
        <v>64</v>
      </c>
      <c r="F2844" s="46">
        <v>2021</v>
      </c>
      <c r="G2844" s="47">
        <v>4.2000000000000003E-2</v>
      </c>
      <c r="H2844" s="47">
        <f t="shared" si="307"/>
        <v>1.4545504838247222E-2</v>
      </c>
      <c r="I2844" s="47">
        <v>0</v>
      </c>
      <c r="J2844" s="47">
        <f t="shared" si="315"/>
        <v>0</v>
      </c>
      <c r="K2844" s="47">
        <v>4.5999999999999999E-3</v>
      </c>
      <c r="L2844" s="47">
        <f t="shared" si="309"/>
        <v>1.9217877550139911E-3</v>
      </c>
      <c r="M2844" s="47">
        <f t="shared" si="310"/>
        <v>1.2623717083233231E-2</v>
      </c>
      <c r="N2844" s="47">
        <v>0</v>
      </c>
      <c r="O2844" s="47">
        <f t="shared" si="311"/>
        <v>0</v>
      </c>
      <c r="P2844" s="92"/>
    </row>
    <row r="2845" spans="1:16" x14ac:dyDescent="0.25">
      <c r="A2845" s="29">
        <v>32</v>
      </c>
      <c r="B2845" s="30">
        <v>437454.10856199998</v>
      </c>
      <c r="C2845" s="30">
        <v>5688631.3324180003</v>
      </c>
      <c r="D2845" s="30">
        <v>7</v>
      </c>
      <c r="E2845" s="30" t="s">
        <v>64</v>
      </c>
      <c r="F2845" s="46">
        <v>2021</v>
      </c>
      <c r="G2845" s="47">
        <v>8.1700000000000009E-2</v>
      </c>
      <c r="H2845" s="47">
        <f t="shared" si="307"/>
        <v>2.8294470125828527E-2</v>
      </c>
      <c r="I2845" s="47">
        <v>0</v>
      </c>
      <c r="J2845" s="47">
        <f t="shared" si="315"/>
        <v>0</v>
      </c>
      <c r="K2845" s="47">
        <v>2.1700000000000001E-2</v>
      </c>
      <c r="L2845" s="47">
        <f t="shared" si="309"/>
        <v>9.0658248443051329E-3</v>
      </c>
      <c r="M2845" s="47">
        <f t="shared" si="310"/>
        <v>1.9228645281523394E-2</v>
      </c>
      <c r="N2845" s="47">
        <v>5.3E-3</v>
      </c>
      <c r="O2845" s="47">
        <f t="shared" si="311"/>
        <v>2.2607671079421868E-3</v>
      </c>
      <c r="P2845" s="92"/>
    </row>
    <row r="2846" spans="1:16" x14ac:dyDescent="0.25">
      <c r="A2846" s="29">
        <v>33</v>
      </c>
      <c r="B2846" s="30">
        <v>437573.10856199998</v>
      </c>
      <c r="C2846" s="30">
        <v>5688631.3324180003</v>
      </c>
      <c r="D2846" s="30">
        <v>7</v>
      </c>
      <c r="E2846" s="30" t="s">
        <v>64</v>
      </c>
      <c r="F2846" s="46">
        <v>2021</v>
      </c>
      <c r="G2846" s="47">
        <v>3.5900000000000001E-2</v>
      </c>
      <c r="H2846" s="47">
        <f t="shared" si="307"/>
        <v>1.2432943421263698E-2</v>
      </c>
      <c r="I2846" s="47">
        <v>0</v>
      </c>
      <c r="J2846" s="47">
        <f t="shared" si="315"/>
        <v>0</v>
      </c>
      <c r="K2846" s="47">
        <v>1.1599999999999999E-2</v>
      </c>
      <c r="L2846" s="47">
        <f t="shared" si="309"/>
        <v>4.8462473822091946E-3</v>
      </c>
      <c r="M2846" s="47">
        <f t="shared" si="310"/>
        <v>7.5866960390545031E-3</v>
      </c>
      <c r="N2846" s="47">
        <v>0</v>
      </c>
      <c r="O2846" s="47">
        <f t="shared" si="311"/>
        <v>0</v>
      </c>
      <c r="P2846" s="92"/>
    </row>
    <row r="2847" spans="1:16" x14ac:dyDescent="0.25">
      <c r="A2847" s="29">
        <v>34</v>
      </c>
      <c r="B2847" s="30">
        <v>437692.10856199998</v>
      </c>
      <c r="C2847" s="30">
        <v>5688631.3324180003</v>
      </c>
      <c r="D2847" s="30">
        <v>7</v>
      </c>
      <c r="E2847" s="30" t="s">
        <v>64</v>
      </c>
      <c r="F2847" s="46">
        <v>2021</v>
      </c>
      <c r="G2847" s="47">
        <v>7.4499999999999997E-2</v>
      </c>
      <c r="H2847" s="47">
        <f t="shared" si="307"/>
        <v>2.5800955010700431E-2</v>
      </c>
      <c r="I2847" s="47">
        <v>0</v>
      </c>
      <c r="J2847" s="47">
        <f t="shared" si="315"/>
        <v>0</v>
      </c>
      <c r="K2847" s="47">
        <v>1.35E-2</v>
      </c>
      <c r="L2847" s="47">
        <f t="shared" si="309"/>
        <v>5.6400292810193219E-3</v>
      </c>
      <c r="M2847" s="47">
        <f t="shared" si="310"/>
        <v>2.016092572968111E-2</v>
      </c>
      <c r="N2847" s="47">
        <v>0</v>
      </c>
      <c r="O2847" s="47">
        <f t="shared" si="311"/>
        <v>0</v>
      </c>
      <c r="P2847" s="92"/>
    </row>
    <row r="2848" spans="1:16" x14ac:dyDescent="0.25">
      <c r="A2848" s="29">
        <v>35</v>
      </c>
      <c r="B2848" s="30">
        <v>437893</v>
      </c>
      <c r="C2848" s="30">
        <v>5688620</v>
      </c>
      <c r="D2848" s="30">
        <v>7</v>
      </c>
      <c r="E2848" s="30" t="s">
        <v>64</v>
      </c>
      <c r="F2848" s="46">
        <v>2021</v>
      </c>
      <c r="G2848" s="47">
        <v>0.18590000000000001</v>
      </c>
      <c r="H2848" s="47">
        <f t="shared" si="307"/>
        <v>6.4381174986432352E-2</v>
      </c>
      <c r="I2848" s="47">
        <v>0</v>
      </c>
      <c r="J2848" s="47">
        <f t="shared" si="315"/>
        <v>0</v>
      </c>
      <c r="K2848" s="47">
        <v>2.1899999999999999E-2</v>
      </c>
      <c r="L2848" s="47">
        <f t="shared" si="309"/>
        <v>9.1493808336535667E-3</v>
      </c>
      <c r="M2848" s="47">
        <f t="shared" si="310"/>
        <v>5.5231794152778783E-2</v>
      </c>
      <c r="N2848" s="47">
        <v>0</v>
      </c>
      <c r="O2848" s="47">
        <f t="shared" si="311"/>
        <v>0</v>
      </c>
      <c r="P2848" s="92"/>
    </row>
    <row r="2849" spans="1:16" x14ac:dyDescent="0.25">
      <c r="A2849" s="29">
        <v>36</v>
      </c>
      <c r="B2849" s="30">
        <v>437930.10856199998</v>
      </c>
      <c r="C2849" s="30">
        <v>5688631.3324180003</v>
      </c>
      <c r="D2849" s="30">
        <v>7</v>
      </c>
      <c r="E2849" s="30" t="s">
        <v>64</v>
      </c>
      <c r="F2849" s="46">
        <v>2021</v>
      </c>
      <c r="G2849" s="47">
        <v>0.187</v>
      </c>
      <c r="H2849" s="47">
        <f t="shared" si="307"/>
        <v>6.4762128684576925E-2</v>
      </c>
      <c r="I2849" s="47">
        <v>0</v>
      </c>
      <c r="J2849" s="47">
        <f t="shared" si="315"/>
        <v>0</v>
      </c>
      <c r="K2849" s="47">
        <v>1.12E-2</v>
      </c>
      <c r="L2849" s="47">
        <f t="shared" si="309"/>
        <v>4.679135403512326E-3</v>
      </c>
      <c r="M2849" s="47">
        <f t="shared" si="310"/>
        <v>6.0082993281064596E-2</v>
      </c>
      <c r="N2849" s="47">
        <v>0</v>
      </c>
      <c r="O2849" s="47">
        <f t="shared" si="311"/>
        <v>0</v>
      </c>
      <c r="P2849" s="92"/>
    </row>
    <row r="2850" spans="1:16" x14ac:dyDescent="0.25">
      <c r="A2850" s="32">
        <v>37</v>
      </c>
      <c r="B2850" s="33">
        <v>438049.10856199998</v>
      </c>
      <c r="C2850" s="33">
        <v>5688631.3324180003</v>
      </c>
      <c r="D2850" s="48">
        <v>7</v>
      </c>
      <c r="E2850" s="48" t="s">
        <v>64</v>
      </c>
      <c r="F2850" s="48">
        <v>2021</v>
      </c>
      <c r="G2850" s="48" t="s">
        <v>18</v>
      </c>
      <c r="H2850" s="48" t="s">
        <v>18</v>
      </c>
      <c r="I2850" s="48" t="s">
        <v>18</v>
      </c>
      <c r="J2850" s="48" t="s">
        <v>18</v>
      </c>
      <c r="K2850" s="48" t="s">
        <v>18</v>
      </c>
      <c r="L2850" s="48" t="s">
        <v>18</v>
      </c>
      <c r="M2850" s="48" t="s">
        <v>18</v>
      </c>
      <c r="N2850" s="48" t="s">
        <v>18</v>
      </c>
      <c r="O2850" s="48" t="s">
        <v>18</v>
      </c>
      <c r="P2850" s="103" t="s">
        <v>89</v>
      </c>
    </row>
    <row r="2851" spans="1:16" x14ac:dyDescent="0.25">
      <c r="A2851" s="29">
        <v>38</v>
      </c>
      <c r="B2851" s="30">
        <v>438067</v>
      </c>
      <c r="C2851" s="30">
        <v>5688710</v>
      </c>
      <c r="D2851" s="30">
        <v>7</v>
      </c>
      <c r="E2851" s="30" t="s">
        <v>64</v>
      </c>
      <c r="F2851" s="46">
        <v>2021</v>
      </c>
      <c r="G2851" s="54">
        <v>3.4200000000000001E-2</v>
      </c>
      <c r="H2851" s="47">
        <f t="shared" si="307"/>
        <v>1.1844196796858452E-2</v>
      </c>
      <c r="I2851" s="47">
        <v>0</v>
      </c>
      <c r="J2851" s="47">
        <f>I2851*0.405967017712692</f>
        <v>0</v>
      </c>
      <c r="K2851" s="47">
        <v>1.1800000000000001E-2</v>
      </c>
      <c r="L2851" s="47">
        <f t="shared" si="309"/>
        <v>4.9298033715576301E-3</v>
      </c>
      <c r="M2851" s="47">
        <f t="shared" si="310"/>
        <v>6.9143934253008219E-3</v>
      </c>
      <c r="N2851" s="47">
        <v>0</v>
      </c>
      <c r="O2851" s="47">
        <f t="shared" si="311"/>
        <v>0</v>
      </c>
      <c r="P2851" s="92"/>
    </row>
    <row r="2852" spans="1:16" x14ac:dyDescent="0.25">
      <c r="A2852" s="32">
        <v>39</v>
      </c>
      <c r="B2852" s="33">
        <v>438287.10856199998</v>
      </c>
      <c r="C2852" s="33">
        <v>5688631.3324180003</v>
      </c>
      <c r="D2852" s="48">
        <v>7</v>
      </c>
      <c r="E2852" s="48" t="s">
        <v>64</v>
      </c>
      <c r="F2852" s="48">
        <v>2021</v>
      </c>
      <c r="G2852" s="48" t="s">
        <v>18</v>
      </c>
      <c r="H2852" s="48" t="s">
        <v>18</v>
      </c>
      <c r="I2852" s="48" t="s">
        <v>18</v>
      </c>
      <c r="J2852" s="48" t="s">
        <v>18</v>
      </c>
      <c r="K2852" s="48" t="s">
        <v>18</v>
      </c>
      <c r="L2852" s="48" t="s">
        <v>18</v>
      </c>
      <c r="M2852" s="48" t="s">
        <v>18</v>
      </c>
      <c r="N2852" s="48" t="s">
        <v>18</v>
      </c>
      <c r="O2852" s="48" t="s">
        <v>18</v>
      </c>
      <c r="P2852" s="94" t="s">
        <v>22</v>
      </c>
    </row>
    <row r="2853" spans="1:16" x14ac:dyDescent="0.25">
      <c r="A2853" s="29">
        <v>40</v>
      </c>
      <c r="B2853" s="30">
        <v>438406.10856199998</v>
      </c>
      <c r="C2853" s="30">
        <v>5688631.3324180003</v>
      </c>
      <c r="D2853" s="30">
        <v>6</v>
      </c>
      <c r="E2853" s="30" t="s">
        <v>64</v>
      </c>
      <c r="F2853" s="46">
        <v>2021</v>
      </c>
      <c r="G2853" s="47">
        <v>7.7299999999999994E-2</v>
      </c>
      <c r="H2853" s="47">
        <f t="shared" si="307"/>
        <v>2.6770655333250244E-2</v>
      </c>
      <c r="I2853" s="47">
        <v>0</v>
      </c>
      <c r="J2853" s="47">
        <f t="shared" ref="J2853:J2858" si="316">I2853*0.405967017712692</f>
        <v>0</v>
      </c>
      <c r="K2853" s="47">
        <v>0</v>
      </c>
      <c r="L2853" s="47">
        <f t="shared" si="309"/>
        <v>0</v>
      </c>
      <c r="M2853" s="47">
        <f t="shared" si="310"/>
        <v>2.6770655333250244E-2</v>
      </c>
      <c r="N2853" s="47">
        <v>0</v>
      </c>
      <c r="O2853" s="47">
        <f t="shared" si="311"/>
        <v>0</v>
      </c>
      <c r="P2853" s="92" t="s">
        <v>174</v>
      </c>
    </row>
    <row r="2854" spans="1:16" x14ac:dyDescent="0.25">
      <c r="A2854" s="29">
        <v>41</v>
      </c>
      <c r="B2854" s="30">
        <v>437310</v>
      </c>
      <c r="C2854" s="30">
        <v>5688729</v>
      </c>
      <c r="D2854" s="30">
        <v>7</v>
      </c>
      <c r="E2854" s="30" t="s">
        <v>64</v>
      </c>
      <c r="F2854" s="46">
        <v>2021</v>
      </c>
      <c r="G2854" s="47">
        <v>4.9399999999999999E-2</v>
      </c>
      <c r="H2854" s="47">
        <f t="shared" si="307"/>
        <v>1.7108284262128876E-2</v>
      </c>
      <c r="I2854" s="47">
        <v>0</v>
      </c>
      <c r="J2854" s="47">
        <f t="shared" si="316"/>
        <v>0</v>
      </c>
      <c r="K2854" s="47">
        <v>1.1800000000000001E-2</v>
      </c>
      <c r="L2854" s="47">
        <f t="shared" si="309"/>
        <v>4.9298033715576301E-3</v>
      </c>
      <c r="M2854" s="47">
        <f t="shared" si="310"/>
        <v>1.2178480890571245E-2</v>
      </c>
      <c r="N2854" s="47">
        <v>0</v>
      </c>
      <c r="O2854" s="47">
        <f t="shared" si="311"/>
        <v>0</v>
      </c>
      <c r="P2854" s="92"/>
    </row>
    <row r="2855" spans="1:16" x14ac:dyDescent="0.25">
      <c r="A2855" s="29">
        <v>42</v>
      </c>
      <c r="B2855" s="30">
        <v>437454.10856199998</v>
      </c>
      <c r="C2855" s="30">
        <v>5688750.3324180003</v>
      </c>
      <c r="D2855" s="30">
        <v>7</v>
      </c>
      <c r="E2855" s="30" t="s">
        <v>64</v>
      </c>
      <c r="F2855" s="46">
        <v>2021</v>
      </c>
      <c r="G2855" s="54">
        <v>3.2199999999999999E-2</v>
      </c>
      <c r="H2855" s="47">
        <f t="shared" si="307"/>
        <v>1.1151553709322871E-2</v>
      </c>
      <c r="I2855" s="47">
        <v>2.7600000000000003E-2</v>
      </c>
      <c r="J2855" s="47">
        <f t="shared" si="316"/>
        <v>1.12046896888703E-2</v>
      </c>
      <c r="K2855" s="47">
        <v>2.3600000000000003E-2</v>
      </c>
      <c r="L2855" s="47">
        <f t="shared" si="309"/>
        <v>9.8596067431152602E-3</v>
      </c>
      <c r="M2855" s="47">
        <f t="shared" si="310"/>
        <v>1.2919469662076109E-3</v>
      </c>
      <c r="N2855" s="47">
        <v>1.06E-2</v>
      </c>
      <c r="O2855" s="47">
        <f t="shared" si="311"/>
        <v>4.5215342158843735E-3</v>
      </c>
      <c r="P2855" s="92"/>
    </row>
    <row r="2856" spans="1:16" x14ac:dyDescent="0.25">
      <c r="A2856" s="29">
        <v>43</v>
      </c>
      <c r="B2856" s="30">
        <v>437573.10856199998</v>
      </c>
      <c r="C2856" s="30">
        <v>5688750.3324180003</v>
      </c>
      <c r="D2856" s="30">
        <v>7</v>
      </c>
      <c r="E2856" s="30" t="s">
        <v>64</v>
      </c>
      <c r="F2856" s="46">
        <v>2021</v>
      </c>
      <c r="G2856" s="47">
        <v>6.3899999999999998E-2</v>
      </c>
      <c r="H2856" s="47">
        <f t="shared" si="307"/>
        <v>2.2129946646761847E-2</v>
      </c>
      <c r="I2856" s="47">
        <v>0</v>
      </c>
      <c r="J2856" s="47">
        <f t="shared" si="316"/>
        <v>0</v>
      </c>
      <c r="K2856" s="47">
        <v>1.1800000000000001E-2</v>
      </c>
      <c r="L2856" s="47">
        <f t="shared" si="309"/>
        <v>4.9298033715576301E-3</v>
      </c>
      <c r="M2856" s="47">
        <f t="shared" si="310"/>
        <v>1.7200143275204215E-2</v>
      </c>
      <c r="N2856" s="47">
        <v>0</v>
      </c>
      <c r="O2856" s="47">
        <f t="shared" si="311"/>
        <v>0</v>
      </c>
      <c r="P2856" s="92"/>
    </row>
    <row r="2857" spans="1:16" x14ac:dyDescent="0.25">
      <c r="A2857" s="29">
        <v>44</v>
      </c>
      <c r="B2857" s="30">
        <v>437692.10856199998</v>
      </c>
      <c r="C2857" s="30">
        <v>5688750.3324180003</v>
      </c>
      <c r="D2857" s="30">
        <v>7</v>
      </c>
      <c r="E2857" s="30" t="s">
        <v>64</v>
      </c>
      <c r="F2857" s="46">
        <v>2021</v>
      </c>
      <c r="G2857" s="54">
        <v>3.9100000000000003E-2</v>
      </c>
      <c r="H2857" s="47">
        <f t="shared" si="307"/>
        <v>1.3541172361320629E-2</v>
      </c>
      <c r="I2857" s="47">
        <v>0</v>
      </c>
      <c r="J2857" s="47">
        <f t="shared" si="316"/>
        <v>0</v>
      </c>
      <c r="K2857" s="47">
        <v>1.5300000000000001E-2</v>
      </c>
      <c r="L2857" s="47">
        <f t="shared" si="309"/>
        <v>6.3920331851552324E-3</v>
      </c>
      <c r="M2857" s="47">
        <f t="shared" si="310"/>
        <v>7.1491391761653962E-3</v>
      </c>
      <c r="N2857" s="47">
        <v>0</v>
      </c>
      <c r="O2857" s="47">
        <f t="shared" si="311"/>
        <v>0</v>
      </c>
      <c r="P2857" s="92"/>
    </row>
    <row r="2858" spans="1:16" x14ac:dyDescent="0.25">
      <c r="A2858" s="29">
        <v>45</v>
      </c>
      <c r="B2858" s="30">
        <v>437811.10856199998</v>
      </c>
      <c r="C2858" s="30">
        <v>5688750.3324180003</v>
      </c>
      <c r="D2858" s="30">
        <v>7</v>
      </c>
      <c r="E2858" s="30" t="s">
        <v>64</v>
      </c>
      <c r="F2858" s="46">
        <v>2021</v>
      </c>
      <c r="G2858" s="47">
        <v>5.0200000000000002E-2</v>
      </c>
      <c r="H2858" s="47">
        <f t="shared" si="307"/>
        <v>1.738534149714311E-2</v>
      </c>
      <c r="I2858" s="47">
        <v>0</v>
      </c>
      <c r="J2858" s="47">
        <f t="shared" si="316"/>
        <v>0</v>
      </c>
      <c r="K2858" s="47">
        <v>3.8799999999999994E-2</v>
      </c>
      <c r="L2858" s="47">
        <f t="shared" si="309"/>
        <v>1.6209861933596272E-2</v>
      </c>
      <c r="M2858" s="47">
        <f t="shared" si="310"/>
        <v>1.1754795635468378E-3</v>
      </c>
      <c r="N2858" s="47">
        <v>0.03</v>
      </c>
      <c r="O2858" s="47">
        <f t="shared" si="311"/>
        <v>1.279679495061615E-2</v>
      </c>
      <c r="P2858" s="92"/>
    </row>
    <row r="2859" spans="1:16" x14ac:dyDescent="0.25">
      <c r="A2859" s="65">
        <v>46</v>
      </c>
      <c r="B2859" s="66">
        <v>437930.10856199998</v>
      </c>
      <c r="C2859" s="66">
        <v>5688750.3324180003</v>
      </c>
      <c r="D2859" s="66">
        <v>7</v>
      </c>
      <c r="E2859" s="66" t="s">
        <v>64</v>
      </c>
      <c r="F2859" s="66">
        <v>2021</v>
      </c>
      <c r="G2859" s="66" t="s">
        <v>18</v>
      </c>
      <c r="H2859" s="66" t="s">
        <v>18</v>
      </c>
      <c r="I2859" s="66" t="s">
        <v>18</v>
      </c>
      <c r="J2859" s="66" t="s">
        <v>18</v>
      </c>
      <c r="K2859" s="66" t="s">
        <v>18</v>
      </c>
      <c r="L2859" s="66" t="s">
        <v>18</v>
      </c>
      <c r="M2859" s="66" t="s">
        <v>18</v>
      </c>
      <c r="N2859" s="66" t="s">
        <v>18</v>
      </c>
      <c r="O2859" s="66" t="s">
        <v>18</v>
      </c>
      <c r="P2859" s="105" t="s">
        <v>166</v>
      </c>
    </row>
    <row r="2860" spans="1:16" x14ac:dyDescent="0.25">
      <c r="A2860" s="29">
        <v>47</v>
      </c>
      <c r="B2860" s="30">
        <v>438061</v>
      </c>
      <c r="C2860" s="30">
        <v>5688779</v>
      </c>
      <c r="D2860" s="30">
        <v>7</v>
      </c>
      <c r="E2860" s="30" t="s">
        <v>64</v>
      </c>
      <c r="F2860" s="46">
        <v>2021</v>
      </c>
      <c r="G2860" s="47">
        <v>6.2899999999999998E-2</v>
      </c>
      <c r="H2860" s="47">
        <f t="shared" si="307"/>
        <v>2.1783625102994055E-2</v>
      </c>
      <c r="I2860" s="47">
        <v>0</v>
      </c>
      <c r="J2860" s="47">
        <f>I2860*0.405967017712692</f>
        <v>0</v>
      </c>
      <c r="K2860" s="47">
        <v>2.3300000000000001E-2</v>
      </c>
      <c r="L2860" s="47">
        <f t="shared" si="309"/>
        <v>9.7342727590926086E-3</v>
      </c>
      <c r="M2860" s="47">
        <f t="shared" si="310"/>
        <v>1.2049352343901447E-2</v>
      </c>
      <c r="N2860" s="47">
        <v>5.3E-3</v>
      </c>
      <c r="O2860" s="47">
        <f t="shared" si="311"/>
        <v>2.2607671079421868E-3</v>
      </c>
      <c r="P2860" s="92"/>
    </row>
    <row r="2861" spans="1:16" x14ac:dyDescent="0.25">
      <c r="A2861" s="32">
        <v>48</v>
      </c>
      <c r="B2861" s="33">
        <v>438168.10856199998</v>
      </c>
      <c r="C2861" s="33">
        <v>5688750.3324180003</v>
      </c>
      <c r="D2861" s="48">
        <v>7</v>
      </c>
      <c r="E2861" s="48" t="s">
        <v>64</v>
      </c>
      <c r="F2861" s="48">
        <v>2021</v>
      </c>
      <c r="G2861" s="48" t="s">
        <v>18</v>
      </c>
      <c r="H2861" s="48" t="s">
        <v>18</v>
      </c>
      <c r="I2861" s="48" t="s">
        <v>18</v>
      </c>
      <c r="J2861" s="48" t="s">
        <v>18</v>
      </c>
      <c r="K2861" s="48" t="s">
        <v>18</v>
      </c>
      <c r="L2861" s="48" t="s">
        <v>18</v>
      </c>
      <c r="M2861" s="48" t="s">
        <v>18</v>
      </c>
      <c r="N2861" s="48" t="s">
        <v>18</v>
      </c>
      <c r="O2861" s="48" t="s">
        <v>18</v>
      </c>
      <c r="P2861" s="103" t="s">
        <v>89</v>
      </c>
    </row>
    <row r="2862" spans="1:16" x14ac:dyDescent="0.25">
      <c r="A2862" s="29">
        <v>49</v>
      </c>
      <c r="B2862" s="30">
        <v>437454.10856199998</v>
      </c>
      <c r="C2862" s="30">
        <v>5688869.3324180003</v>
      </c>
      <c r="D2862" s="30">
        <v>6</v>
      </c>
      <c r="E2862" s="30" t="s">
        <v>64</v>
      </c>
      <c r="F2862" s="46">
        <v>2021</v>
      </c>
      <c r="G2862" s="47">
        <v>8.5199999999999998E-2</v>
      </c>
      <c r="H2862" s="47">
        <f t="shared" si="307"/>
        <v>2.9506595529015793E-2</v>
      </c>
      <c r="I2862" s="47">
        <v>0</v>
      </c>
      <c r="J2862" s="47">
        <f t="shared" ref="J2862:J2864" si="317">I2862*0.405967017712692</f>
        <v>0</v>
      </c>
      <c r="K2862" s="47">
        <v>1.1800000000000001E-2</v>
      </c>
      <c r="L2862" s="47">
        <f t="shared" si="309"/>
        <v>4.9298033715576301E-3</v>
      </c>
      <c r="M2862" s="47">
        <f t="shared" si="310"/>
        <v>2.4576792157458165E-2</v>
      </c>
      <c r="N2862" s="47">
        <v>0</v>
      </c>
      <c r="O2862" s="47">
        <f t="shared" si="311"/>
        <v>0</v>
      </c>
      <c r="P2862" s="92" t="s">
        <v>174</v>
      </c>
    </row>
    <row r="2863" spans="1:16" x14ac:dyDescent="0.25">
      <c r="A2863" s="29">
        <v>50</v>
      </c>
      <c r="B2863" s="30">
        <v>437811.10856199998</v>
      </c>
      <c r="C2863" s="30">
        <v>5688869.3324180003</v>
      </c>
      <c r="D2863" s="30">
        <v>7</v>
      </c>
      <c r="E2863" s="30" t="s">
        <v>64</v>
      </c>
      <c r="F2863" s="46">
        <v>2021</v>
      </c>
      <c r="G2863" s="47">
        <v>0.12640000000000001</v>
      </c>
      <c r="H2863" s="47">
        <f t="shared" si="307"/>
        <v>4.3775043132248788E-2</v>
      </c>
      <c r="I2863" s="47">
        <v>0</v>
      </c>
      <c r="J2863" s="47">
        <f t="shared" si="317"/>
        <v>0</v>
      </c>
      <c r="K2863" s="47">
        <v>1.11E-2</v>
      </c>
      <c r="L2863" s="47">
        <f t="shared" si="309"/>
        <v>4.6373574088381091E-3</v>
      </c>
      <c r="M2863" s="47">
        <f t="shared" si="310"/>
        <v>3.9137685723410677E-2</v>
      </c>
      <c r="N2863" s="47">
        <v>0</v>
      </c>
      <c r="O2863" s="47">
        <f t="shared" si="311"/>
        <v>0</v>
      </c>
      <c r="P2863" s="92"/>
    </row>
    <row r="2864" spans="1:16" x14ac:dyDescent="0.25">
      <c r="A2864" s="29">
        <v>51</v>
      </c>
      <c r="B2864" s="30">
        <v>437930.10856199998</v>
      </c>
      <c r="C2864" s="30">
        <v>5688869.3324180003</v>
      </c>
      <c r="D2864" s="30">
        <v>7</v>
      </c>
      <c r="E2864" s="30" t="s">
        <v>64</v>
      </c>
      <c r="F2864" s="46">
        <v>2021</v>
      </c>
      <c r="G2864" s="47">
        <v>4.6200000000000005E-2</v>
      </c>
      <c r="H2864" s="47">
        <f t="shared" si="307"/>
        <v>1.6000055322071945E-2</v>
      </c>
      <c r="I2864" s="47">
        <v>0.11159999999999999</v>
      </c>
      <c r="J2864" s="47">
        <f t="shared" si="317"/>
        <v>4.5305919176736424E-2</v>
      </c>
      <c r="K2864" s="47">
        <v>2.35E-2</v>
      </c>
      <c r="L2864" s="47">
        <f t="shared" si="309"/>
        <v>9.8178287484410424E-3</v>
      </c>
      <c r="M2864" s="47">
        <f t="shared" si="310"/>
        <v>6.1822265736309022E-3</v>
      </c>
      <c r="N2864" s="47">
        <v>0</v>
      </c>
      <c r="O2864" s="47">
        <f t="shared" si="311"/>
        <v>0</v>
      </c>
      <c r="P2864" s="92"/>
    </row>
    <row r="2865" spans="1:19" x14ac:dyDescent="0.25">
      <c r="A2865" s="65">
        <v>52</v>
      </c>
      <c r="B2865" s="66">
        <v>438049.10856199998</v>
      </c>
      <c r="C2865" s="66">
        <v>5688869.3324180003</v>
      </c>
      <c r="D2865" s="66">
        <v>7</v>
      </c>
      <c r="E2865" s="66" t="s">
        <v>64</v>
      </c>
      <c r="F2865" s="66">
        <v>2021</v>
      </c>
      <c r="G2865" s="66" t="s">
        <v>18</v>
      </c>
      <c r="H2865" s="66" t="s">
        <v>18</v>
      </c>
      <c r="I2865" s="66" t="s">
        <v>18</v>
      </c>
      <c r="J2865" s="66" t="s">
        <v>18</v>
      </c>
      <c r="K2865" s="66" t="s">
        <v>18</v>
      </c>
      <c r="L2865" s="66" t="s">
        <v>18</v>
      </c>
      <c r="M2865" s="66" t="s">
        <v>18</v>
      </c>
      <c r="N2865" s="66" t="s">
        <v>18</v>
      </c>
      <c r="O2865" s="66" t="s">
        <v>18</v>
      </c>
      <c r="P2865" s="105" t="s">
        <v>166</v>
      </c>
    </row>
    <row r="2866" spans="1:19" x14ac:dyDescent="0.25">
      <c r="A2866" s="29">
        <v>53</v>
      </c>
      <c r="B2866" s="30">
        <v>438287.10856199998</v>
      </c>
      <c r="C2866" s="30">
        <v>5688869.3324180003</v>
      </c>
      <c r="D2866" s="30">
        <v>7</v>
      </c>
      <c r="E2866" s="30" t="s">
        <v>64</v>
      </c>
      <c r="F2866" s="46">
        <v>2021</v>
      </c>
      <c r="G2866" s="47">
        <v>5.2999999999999999E-2</v>
      </c>
      <c r="H2866" s="47">
        <f t="shared" si="307"/>
        <v>1.8355041819692924E-2</v>
      </c>
      <c r="I2866" s="47">
        <v>0</v>
      </c>
      <c r="J2866" s="47">
        <f t="shared" ref="J2866:J2873" si="318">I2866*0.405967017712692</f>
        <v>0</v>
      </c>
      <c r="K2866" s="47">
        <v>9.1000000000000004E-3</v>
      </c>
      <c r="L2866" s="47">
        <f t="shared" si="309"/>
        <v>3.8017975153537653E-3</v>
      </c>
      <c r="M2866" s="47">
        <f t="shared" si="310"/>
        <v>1.4553244304339158E-2</v>
      </c>
      <c r="N2866" s="47">
        <v>1.5E-3</v>
      </c>
      <c r="O2866" s="47">
        <f t="shared" si="311"/>
        <v>6.3983974753080756E-4</v>
      </c>
      <c r="P2866" s="92" t="s">
        <v>174</v>
      </c>
    </row>
    <row r="2867" spans="1:19" x14ac:dyDescent="0.25">
      <c r="A2867" s="29">
        <v>54</v>
      </c>
      <c r="B2867" s="30">
        <v>437454.10856199998</v>
      </c>
      <c r="C2867" s="30">
        <v>5688988.3324180003</v>
      </c>
      <c r="D2867" s="30">
        <v>7</v>
      </c>
      <c r="E2867" s="30" t="s">
        <v>64</v>
      </c>
      <c r="F2867" s="46">
        <v>2021</v>
      </c>
      <c r="G2867" s="47">
        <v>3.6700000000000003E-2</v>
      </c>
      <c r="H2867" s="47">
        <f t="shared" si="307"/>
        <v>1.271000065627793E-2</v>
      </c>
      <c r="I2867" s="47">
        <v>3.5999999999999999E-3</v>
      </c>
      <c r="J2867" s="47">
        <f t="shared" si="318"/>
        <v>1.4614812637656911E-3</v>
      </c>
      <c r="K2867" s="47">
        <v>1.1900000000000001E-2</v>
      </c>
      <c r="L2867" s="47">
        <f t="shared" si="309"/>
        <v>4.971581366231847E-3</v>
      </c>
      <c r="M2867" s="47">
        <f t="shared" si="310"/>
        <v>7.7384192900460834E-3</v>
      </c>
      <c r="N2867" s="47">
        <v>0</v>
      </c>
      <c r="O2867" s="47">
        <f t="shared" si="311"/>
        <v>0</v>
      </c>
      <c r="P2867" s="92" t="s">
        <v>174</v>
      </c>
    </row>
    <row r="2868" spans="1:19" x14ac:dyDescent="0.25">
      <c r="A2868" s="29">
        <v>55</v>
      </c>
      <c r="B2868" s="30">
        <v>438049.10856199998</v>
      </c>
      <c r="C2868" s="30">
        <v>5688988.3324180003</v>
      </c>
      <c r="D2868" s="30">
        <v>6</v>
      </c>
      <c r="E2868" s="30" t="s">
        <v>64</v>
      </c>
      <c r="F2868" s="46">
        <v>2021</v>
      </c>
      <c r="G2868" s="47">
        <v>1.7000000000000001E-2</v>
      </c>
      <c r="H2868" s="47">
        <f t="shared" si="307"/>
        <v>5.8874662440524476E-3</v>
      </c>
      <c r="I2868" s="47">
        <v>0</v>
      </c>
      <c r="J2868" s="47">
        <f t="shared" si="318"/>
        <v>0</v>
      </c>
      <c r="K2868" s="47">
        <v>8.9999999999999998E-4</v>
      </c>
      <c r="L2868" s="47">
        <f t="shared" si="309"/>
        <v>3.7600195206795479E-4</v>
      </c>
      <c r="M2868" s="47">
        <f t="shared" si="310"/>
        <v>5.5114642919844928E-3</v>
      </c>
      <c r="N2868" s="47">
        <v>0</v>
      </c>
      <c r="O2868" s="47">
        <f t="shared" si="311"/>
        <v>0</v>
      </c>
      <c r="P2868" s="92" t="s">
        <v>174</v>
      </c>
    </row>
    <row r="2869" spans="1:19" x14ac:dyDescent="0.25">
      <c r="A2869" s="29">
        <v>56</v>
      </c>
      <c r="B2869" s="30">
        <v>438168.10856199998</v>
      </c>
      <c r="C2869" s="30">
        <v>5688988.3324180003</v>
      </c>
      <c r="D2869" s="30">
        <v>6</v>
      </c>
      <c r="E2869" s="30" t="s">
        <v>64</v>
      </c>
      <c r="F2869" s="46">
        <v>2021</v>
      </c>
      <c r="G2869" s="47">
        <v>6.4599999999999991E-2</v>
      </c>
      <c r="H2869" s="47">
        <f t="shared" si="307"/>
        <v>2.2372371727399296E-2</v>
      </c>
      <c r="I2869" s="47">
        <v>0</v>
      </c>
      <c r="J2869" s="47">
        <f t="shared" si="318"/>
        <v>0</v>
      </c>
      <c r="K2869" s="47">
        <v>2.8999999999999998E-3</v>
      </c>
      <c r="L2869" s="47">
        <f t="shared" si="309"/>
        <v>1.2115618455522986E-3</v>
      </c>
      <c r="M2869" s="47">
        <f t="shared" si="310"/>
        <v>2.1160809881846997E-2</v>
      </c>
      <c r="N2869" s="47">
        <v>0</v>
      </c>
      <c r="O2869" s="47">
        <f t="shared" si="311"/>
        <v>0</v>
      </c>
      <c r="P2869" s="92"/>
    </row>
    <row r="2870" spans="1:19" x14ac:dyDescent="0.25">
      <c r="A2870" s="40">
        <v>57</v>
      </c>
      <c r="B2870" s="41">
        <v>438146</v>
      </c>
      <c r="C2870" s="41">
        <v>5688977</v>
      </c>
      <c r="D2870" s="41">
        <v>6</v>
      </c>
      <c r="E2870" s="41" t="s">
        <v>64</v>
      </c>
      <c r="F2870" s="50">
        <v>2021</v>
      </c>
      <c r="G2870" s="51">
        <v>7.0699999999999999E-2</v>
      </c>
      <c r="H2870" s="51">
        <f t="shared" si="307"/>
        <v>2.4484933144382826E-2</v>
      </c>
      <c r="I2870" s="51">
        <v>0</v>
      </c>
      <c r="J2870" s="51">
        <f t="shared" si="318"/>
        <v>0</v>
      </c>
      <c r="K2870" s="51">
        <v>4.9000000000000007E-3</v>
      </c>
      <c r="L2870" s="51">
        <f t="shared" si="309"/>
        <v>2.0471217390366429E-3</v>
      </c>
      <c r="M2870" s="51">
        <f t="shared" si="310"/>
        <v>2.2437811405346182E-2</v>
      </c>
      <c r="N2870" s="51">
        <v>0</v>
      </c>
      <c r="O2870" s="51">
        <f t="shared" si="311"/>
        <v>0</v>
      </c>
      <c r="P2870" s="101"/>
    </row>
    <row r="2871" spans="1:19" x14ac:dyDescent="0.25">
      <c r="A2871" s="40">
        <v>58</v>
      </c>
      <c r="B2871" s="41">
        <v>438131</v>
      </c>
      <c r="C2871" s="41">
        <v>5688972</v>
      </c>
      <c r="D2871" s="41">
        <v>6</v>
      </c>
      <c r="E2871" s="41" t="s">
        <v>64</v>
      </c>
      <c r="F2871" s="50">
        <v>2021</v>
      </c>
      <c r="G2871" s="51">
        <v>0.17019999999999999</v>
      </c>
      <c r="H2871" s="51">
        <f t="shared" si="307"/>
        <v>5.8943926749278029E-2</v>
      </c>
      <c r="I2871" s="51">
        <v>0</v>
      </c>
      <c r="J2871" s="51">
        <f t="shared" si="318"/>
        <v>0</v>
      </c>
      <c r="K2871" s="51">
        <v>5.7000000000000002E-3</v>
      </c>
      <c r="L2871" s="51">
        <f t="shared" si="309"/>
        <v>2.3813456964303804E-3</v>
      </c>
      <c r="M2871" s="51">
        <f t="shared" si="310"/>
        <v>5.6562581052847651E-2</v>
      </c>
      <c r="N2871" s="51">
        <v>0</v>
      </c>
      <c r="O2871" s="51">
        <f t="shared" si="311"/>
        <v>0</v>
      </c>
      <c r="P2871" s="101"/>
    </row>
    <row r="2872" spans="1:19" x14ac:dyDescent="0.25">
      <c r="A2872" s="40">
        <v>59</v>
      </c>
      <c r="B2872" s="41">
        <v>438089</v>
      </c>
      <c r="C2872" s="41">
        <v>5688713</v>
      </c>
      <c r="D2872" s="41">
        <v>7</v>
      </c>
      <c r="E2872" s="41" t="s">
        <v>64</v>
      </c>
      <c r="F2872" s="50">
        <v>2021</v>
      </c>
      <c r="G2872" s="51">
        <v>5.4399999999999997E-2</v>
      </c>
      <c r="H2872" s="51">
        <f t="shared" si="307"/>
        <v>1.8839891980967829E-2</v>
      </c>
      <c r="I2872" s="51">
        <v>0</v>
      </c>
      <c r="J2872" s="51">
        <f t="shared" si="318"/>
        <v>0</v>
      </c>
      <c r="K2872" s="51">
        <v>7.3000000000000001E-3</v>
      </c>
      <c r="L2872" s="51">
        <f t="shared" si="309"/>
        <v>3.0497936112178557E-3</v>
      </c>
      <c r="M2872" s="51">
        <f t="shared" si="310"/>
        <v>1.5790098369749973E-2</v>
      </c>
      <c r="N2872" s="51">
        <v>0</v>
      </c>
      <c r="O2872" s="51">
        <f t="shared" si="311"/>
        <v>0</v>
      </c>
      <c r="P2872" s="101"/>
    </row>
    <row r="2873" spans="1:19" x14ac:dyDescent="0.25">
      <c r="A2873" s="40">
        <v>60</v>
      </c>
      <c r="B2873" s="41">
        <v>438099</v>
      </c>
      <c r="C2873" s="41">
        <v>5688719</v>
      </c>
      <c r="D2873" s="41">
        <v>7</v>
      </c>
      <c r="E2873" s="41" t="s">
        <v>64</v>
      </c>
      <c r="F2873" s="50">
        <v>2021</v>
      </c>
      <c r="G2873" s="51">
        <v>8.3400000000000002E-2</v>
      </c>
      <c r="H2873" s="51">
        <f t="shared" si="307"/>
        <v>2.8883216750233771E-2</v>
      </c>
      <c r="I2873" s="51">
        <v>0</v>
      </c>
      <c r="J2873" s="51">
        <f t="shared" si="318"/>
        <v>0</v>
      </c>
      <c r="K2873" s="51">
        <v>1.5800000000000002E-2</v>
      </c>
      <c r="L2873" s="51">
        <f t="shared" si="309"/>
        <v>6.6009231585263187E-3</v>
      </c>
      <c r="M2873" s="51">
        <f t="shared" si="310"/>
        <v>2.2282293591707452E-2</v>
      </c>
      <c r="N2873" s="51">
        <v>0</v>
      </c>
      <c r="O2873" s="51">
        <f t="shared" si="311"/>
        <v>0</v>
      </c>
      <c r="P2873" s="101"/>
    </row>
    <row r="2874" spans="1:19" x14ac:dyDescent="0.25">
      <c r="A2874" s="42">
        <v>1</v>
      </c>
      <c r="B2874" s="43">
        <v>437930.10856199998</v>
      </c>
      <c r="C2874" s="43">
        <v>5688036.3324180003</v>
      </c>
      <c r="D2874" s="44">
        <v>28</v>
      </c>
      <c r="E2874" s="44" t="s">
        <v>24</v>
      </c>
      <c r="F2874" s="44">
        <v>2021</v>
      </c>
      <c r="G2874" s="44" t="s">
        <v>18</v>
      </c>
      <c r="H2874" s="44" t="s">
        <v>18</v>
      </c>
      <c r="I2874" s="44" t="s">
        <v>18</v>
      </c>
      <c r="J2874" s="44" t="s">
        <v>18</v>
      </c>
      <c r="K2874" s="44" t="s">
        <v>18</v>
      </c>
      <c r="L2874" s="44" t="s">
        <v>18</v>
      </c>
      <c r="M2874" s="44" t="s">
        <v>18</v>
      </c>
      <c r="N2874" s="44" t="s">
        <v>18</v>
      </c>
      <c r="O2874" s="44" t="s">
        <v>18</v>
      </c>
      <c r="P2874" s="102" t="s">
        <v>109</v>
      </c>
      <c r="R2874" s="5">
        <f>AVERAGE(M2874:M2933)</f>
        <v>7.1716381230311176E-3</v>
      </c>
      <c r="S2874" s="5">
        <f>AVERAGE(H2874:H2933)</f>
        <v>1.6646499156933833E-2</v>
      </c>
    </row>
    <row r="2875" spans="1:19" x14ac:dyDescent="0.25">
      <c r="A2875" s="42">
        <v>2</v>
      </c>
      <c r="B2875" s="43">
        <v>437811.10856199998</v>
      </c>
      <c r="C2875" s="43">
        <v>5688155.3324180003</v>
      </c>
      <c r="D2875" s="44">
        <v>28</v>
      </c>
      <c r="E2875" s="44" t="s">
        <v>24</v>
      </c>
      <c r="F2875" s="44">
        <v>2021</v>
      </c>
      <c r="G2875" s="44" t="s">
        <v>18</v>
      </c>
      <c r="H2875" s="44" t="s">
        <v>18</v>
      </c>
      <c r="I2875" s="44" t="s">
        <v>18</v>
      </c>
      <c r="J2875" s="44" t="s">
        <v>18</v>
      </c>
      <c r="K2875" s="44" t="s">
        <v>18</v>
      </c>
      <c r="L2875" s="44" t="s">
        <v>18</v>
      </c>
      <c r="M2875" s="44" t="s">
        <v>18</v>
      </c>
      <c r="N2875" s="44" t="s">
        <v>18</v>
      </c>
      <c r="O2875" s="44" t="s">
        <v>18</v>
      </c>
      <c r="P2875" s="102" t="s">
        <v>109</v>
      </c>
    </row>
    <row r="2876" spans="1:19" x14ac:dyDescent="0.25">
      <c r="A2876" s="65">
        <v>3</v>
      </c>
      <c r="B2876" s="66">
        <v>437930.10856199998</v>
      </c>
      <c r="C2876" s="66">
        <v>5688155.3324180003</v>
      </c>
      <c r="D2876" s="66">
        <v>28</v>
      </c>
      <c r="E2876" s="66" t="s">
        <v>24</v>
      </c>
      <c r="F2876" s="66">
        <v>2021</v>
      </c>
      <c r="G2876" s="66" t="s">
        <v>18</v>
      </c>
      <c r="H2876" s="66" t="s">
        <v>18</v>
      </c>
      <c r="I2876" s="66" t="s">
        <v>18</v>
      </c>
      <c r="J2876" s="66" t="s">
        <v>18</v>
      </c>
      <c r="K2876" s="66" t="s">
        <v>18</v>
      </c>
      <c r="L2876" s="66" t="s">
        <v>18</v>
      </c>
      <c r="M2876" s="66" t="s">
        <v>18</v>
      </c>
      <c r="N2876" s="66" t="s">
        <v>18</v>
      </c>
      <c r="O2876" s="66" t="s">
        <v>18</v>
      </c>
      <c r="P2876" s="105" t="s">
        <v>166</v>
      </c>
    </row>
    <row r="2877" spans="1:19" x14ac:dyDescent="0.25">
      <c r="A2877" s="42">
        <v>4</v>
      </c>
      <c r="B2877" s="43">
        <v>438049.10856199998</v>
      </c>
      <c r="C2877" s="43">
        <v>5688155.3324180003</v>
      </c>
      <c r="D2877" s="44">
        <v>28</v>
      </c>
      <c r="E2877" s="44" t="s">
        <v>24</v>
      </c>
      <c r="F2877" s="44">
        <v>2021</v>
      </c>
      <c r="G2877" s="44" t="s">
        <v>18</v>
      </c>
      <c r="H2877" s="44" t="s">
        <v>18</v>
      </c>
      <c r="I2877" s="44" t="s">
        <v>18</v>
      </c>
      <c r="J2877" s="44" t="s">
        <v>18</v>
      </c>
      <c r="K2877" s="44" t="s">
        <v>18</v>
      </c>
      <c r="L2877" s="44" t="s">
        <v>18</v>
      </c>
      <c r="M2877" s="44" t="s">
        <v>18</v>
      </c>
      <c r="N2877" s="44" t="s">
        <v>18</v>
      </c>
      <c r="O2877" s="44" t="s">
        <v>18</v>
      </c>
      <c r="P2877" s="102" t="s">
        <v>109</v>
      </c>
    </row>
    <row r="2878" spans="1:19" x14ac:dyDescent="0.25">
      <c r="A2878" s="42">
        <v>5</v>
      </c>
      <c r="B2878" s="43">
        <v>437573.10856199998</v>
      </c>
      <c r="C2878" s="43">
        <v>5688274.3324180003</v>
      </c>
      <c r="D2878" s="44">
        <v>28</v>
      </c>
      <c r="E2878" s="44" t="s">
        <v>24</v>
      </c>
      <c r="F2878" s="44">
        <v>2021</v>
      </c>
      <c r="G2878" s="44" t="s">
        <v>18</v>
      </c>
      <c r="H2878" s="44" t="s">
        <v>18</v>
      </c>
      <c r="I2878" s="44" t="s">
        <v>18</v>
      </c>
      <c r="J2878" s="44" t="s">
        <v>18</v>
      </c>
      <c r="K2878" s="44" t="s">
        <v>18</v>
      </c>
      <c r="L2878" s="44" t="s">
        <v>18</v>
      </c>
      <c r="M2878" s="44" t="s">
        <v>18</v>
      </c>
      <c r="N2878" s="44" t="s">
        <v>18</v>
      </c>
      <c r="O2878" s="44" t="s">
        <v>18</v>
      </c>
      <c r="P2878" s="102" t="s">
        <v>109</v>
      </c>
    </row>
    <row r="2879" spans="1:19" x14ac:dyDescent="0.25">
      <c r="A2879" s="89">
        <v>6</v>
      </c>
      <c r="B2879" s="90">
        <v>437692.10856199998</v>
      </c>
      <c r="C2879" s="90">
        <v>5688274.3324180003</v>
      </c>
      <c r="D2879" s="90">
        <v>28</v>
      </c>
      <c r="E2879" s="90" t="s">
        <v>24</v>
      </c>
      <c r="F2879" s="90">
        <v>2021</v>
      </c>
      <c r="G2879" s="90" t="s">
        <v>18</v>
      </c>
      <c r="H2879" s="90" t="s">
        <v>18</v>
      </c>
      <c r="I2879" s="90" t="s">
        <v>18</v>
      </c>
      <c r="J2879" s="90" t="s">
        <v>18</v>
      </c>
      <c r="K2879" s="90" t="s">
        <v>18</v>
      </c>
      <c r="L2879" s="90" t="s">
        <v>18</v>
      </c>
      <c r="M2879" s="90" t="s">
        <v>18</v>
      </c>
      <c r="N2879" s="90" t="s">
        <v>18</v>
      </c>
      <c r="O2879" s="90" t="s">
        <v>18</v>
      </c>
      <c r="P2879" s="113" t="s">
        <v>174</v>
      </c>
    </row>
    <row r="2880" spans="1:19" x14ac:dyDescent="0.25">
      <c r="A2880" s="65">
        <v>7</v>
      </c>
      <c r="B2880" s="66">
        <v>437811.10856199998</v>
      </c>
      <c r="C2880" s="66">
        <v>5688274.3324180003</v>
      </c>
      <c r="D2880" s="66">
        <v>28</v>
      </c>
      <c r="E2880" s="66" t="s">
        <v>24</v>
      </c>
      <c r="F2880" s="66">
        <v>2021</v>
      </c>
      <c r="G2880" s="66" t="s">
        <v>18</v>
      </c>
      <c r="H2880" s="66" t="s">
        <v>18</v>
      </c>
      <c r="I2880" s="66" t="s">
        <v>18</v>
      </c>
      <c r="J2880" s="66" t="s">
        <v>18</v>
      </c>
      <c r="K2880" s="66" t="s">
        <v>18</v>
      </c>
      <c r="L2880" s="66" t="s">
        <v>18</v>
      </c>
      <c r="M2880" s="66" t="s">
        <v>18</v>
      </c>
      <c r="N2880" s="66" t="s">
        <v>18</v>
      </c>
      <c r="O2880" s="66" t="s">
        <v>18</v>
      </c>
      <c r="P2880" s="105" t="s">
        <v>166</v>
      </c>
    </row>
    <row r="2881" spans="1:16" x14ac:dyDescent="0.25">
      <c r="A2881" s="42">
        <v>8</v>
      </c>
      <c r="B2881" s="43">
        <v>437930.10856199998</v>
      </c>
      <c r="C2881" s="43">
        <v>5688274.3324180003</v>
      </c>
      <c r="D2881" s="44">
        <v>28</v>
      </c>
      <c r="E2881" s="44" t="s">
        <v>24</v>
      </c>
      <c r="F2881" s="44">
        <v>2021</v>
      </c>
      <c r="G2881" s="44" t="s">
        <v>18</v>
      </c>
      <c r="H2881" s="44" t="s">
        <v>18</v>
      </c>
      <c r="I2881" s="44" t="s">
        <v>18</v>
      </c>
      <c r="J2881" s="44" t="s">
        <v>18</v>
      </c>
      <c r="K2881" s="44" t="s">
        <v>18</v>
      </c>
      <c r="L2881" s="44" t="s">
        <v>18</v>
      </c>
      <c r="M2881" s="44" t="s">
        <v>18</v>
      </c>
      <c r="N2881" s="44" t="s">
        <v>18</v>
      </c>
      <c r="O2881" s="44" t="s">
        <v>18</v>
      </c>
      <c r="P2881" s="102" t="s">
        <v>109</v>
      </c>
    </row>
    <row r="2882" spans="1:16" x14ac:dyDescent="0.25">
      <c r="A2882" s="89">
        <v>9</v>
      </c>
      <c r="B2882" s="90">
        <v>438287.10856199998</v>
      </c>
      <c r="C2882" s="90">
        <v>5688274.3324180003</v>
      </c>
      <c r="D2882" s="90">
        <v>28</v>
      </c>
      <c r="E2882" s="90" t="s">
        <v>24</v>
      </c>
      <c r="F2882" s="90">
        <v>2021</v>
      </c>
      <c r="G2882" s="90" t="s">
        <v>18</v>
      </c>
      <c r="H2882" s="90" t="s">
        <v>18</v>
      </c>
      <c r="I2882" s="90" t="s">
        <v>18</v>
      </c>
      <c r="J2882" s="90" t="s">
        <v>18</v>
      </c>
      <c r="K2882" s="90" t="s">
        <v>18</v>
      </c>
      <c r="L2882" s="90" t="s">
        <v>18</v>
      </c>
      <c r="M2882" s="90" t="s">
        <v>18</v>
      </c>
      <c r="N2882" s="90" t="s">
        <v>18</v>
      </c>
      <c r="O2882" s="90" t="s">
        <v>18</v>
      </c>
      <c r="P2882" s="113" t="s">
        <v>174</v>
      </c>
    </row>
    <row r="2883" spans="1:16" x14ac:dyDescent="0.25">
      <c r="A2883" s="29">
        <v>10</v>
      </c>
      <c r="B2883" s="30">
        <v>438406.10856199998</v>
      </c>
      <c r="C2883" s="30">
        <v>5688274.3324180003</v>
      </c>
      <c r="D2883" s="30">
        <v>28</v>
      </c>
      <c r="E2883" s="30" t="s">
        <v>24</v>
      </c>
      <c r="F2883" s="46">
        <v>2021</v>
      </c>
      <c r="G2883" s="47">
        <v>0.1113</v>
      </c>
      <c r="H2883" s="47">
        <f t="shared" ref="H2883:H2933" si="319">G2883*0.32101669683395</f>
        <v>3.5729158357618633E-2</v>
      </c>
      <c r="I2883" s="47">
        <v>0</v>
      </c>
      <c r="J2883" s="47">
        <f t="shared" ref="J2883:J2933" si="320">I2883*0.413786729451547</f>
        <v>0</v>
      </c>
      <c r="K2883" s="47">
        <v>4.6399999999999997E-2</v>
      </c>
      <c r="L2883" s="47">
        <f t="shared" ref="L2883:L2933" si="321">K2883*0.40543800929573</f>
        <v>1.8812323631321869E-2</v>
      </c>
      <c r="M2883" s="47">
        <f t="shared" ref="M2883:M2933" si="322">H2883-L2883</f>
        <v>1.6916834726296764E-2</v>
      </c>
      <c r="N2883" s="47">
        <v>2.2000000000000001E-3</v>
      </c>
      <c r="O2883" s="47">
        <f t="shared" ref="O2883:O2933" si="323">N2883*0.463386575073985</f>
        <v>1.0194504651627671E-3</v>
      </c>
      <c r="P2883" s="92"/>
    </row>
    <row r="2884" spans="1:16" x14ac:dyDescent="0.25">
      <c r="A2884" s="42">
        <v>11</v>
      </c>
      <c r="B2884" s="43">
        <v>437454.10856199998</v>
      </c>
      <c r="C2884" s="43">
        <v>5688393.3324180003</v>
      </c>
      <c r="D2884" s="44">
        <v>28</v>
      </c>
      <c r="E2884" s="44" t="s">
        <v>24</v>
      </c>
      <c r="F2884" s="44">
        <v>2021</v>
      </c>
      <c r="G2884" s="44" t="s">
        <v>18</v>
      </c>
      <c r="H2884" s="44" t="s">
        <v>18</v>
      </c>
      <c r="I2884" s="44" t="s">
        <v>18</v>
      </c>
      <c r="J2884" s="44" t="s">
        <v>18</v>
      </c>
      <c r="K2884" s="44" t="s">
        <v>18</v>
      </c>
      <c r="L2884" s="44" t="s">
        <v>18</v>
      </c>
      <c r="M2884" s="44" t="s">
        <v>18</v>
      </c>
      <c r="N2884" s="44" t="s">
        <v>18</v>
      </c>
      <c r="O2884" s="44" t="s">
        <v>18</v>
      </c>
      <c r="P2884" s="102" t="s">
        <v>109</v>
      </c>
    </row>
    <row r="2885" spans="1:16" x14ac:dyDescent="0.25">
      <c r="A2885" s="29">
        <v>12</v>
      </c>
      <c r="B2885" s="30">
        <v>437573.10856199998</v>
      </c>
      <c r="C2885" s="30">
        <v>5688393.3324180003</v>
      </c>
      <c r="D2885" s="30">
        <v>28</v>
      </c>
      <c r="E2885" s="30" t="s">
        <v>24</v>
      </c>
      <c r="F2885" s="46">
        <v>2021</v>
      </c>
      <c r="G2885" s="47">
        <v>9.8000000000000014E-3</v>
      </c>
      <c r="H2885" s="47">
        <f t="shared" si="319"/>
        <v>3.1459636289727106E-3</v>
      </c>
      <c r="I2885" s="47">
        <v>0</v>
      </c>
      <c r="J2885" s="47">
        <f t="shared" si="320"/>
        <v>0</v>
      </c>
      <c r="K2885" s="47">
        <v>1.6800000000000002E-2</v>
      </c>
      <c r="L2885" s="47">
        <f t="shared" si="321"/>
        <v>6.8113585561682651E-3</v>
      </c>
      <c r="M2885" s="47">
        <f t="shared" si="322"/>
        <v>-3.6653949271955545E-3</v>
      </c>
      <c r="N2885" s="47">
        <v>1.2999999999999999E-2</v>
      </c>
      <c r="O2885" s="47">
        <f t="shared" si="323"/>
        <v>6.0240254759618053E-3</v>
      </c>
      <c r="P2885" s="92"/>
    </row>
    <row r="2886" spans="1:16" x14ac:dyDescent="0.25">
      <c r="A2886" s="29">
        <v>13</v>
      </c>
      <c r="B2886" s="30">
        <v>437692.10856199998</v>
      </c>
      <c r="C2886" s="30">
        <v>5688393.3324180003</v>
      </c>
      <c r="D2886" s="30">
        <v>28</v>
      </c>
      <c r="E2886" s="30" t="s">
        <v>24</v>
      </c>
      <c r="F2886" s="46">
        <v>2021</v>
      </c>
      <c r="G2886" s="47">
        <v>0.1321</v>
      </c>
      <c r="H2886" s="47">
        <f t="shared" si="319"/>
        <v>4.2406305651764793E-2</v>
      </c>
      <c r="I2886" s="47">
        <v>7.2700000000000001E-2</v>
      </c>
      <c r="J2886" s="47">
        <f t="shared" si="320"/>
        <v>3.0082295231127466E-2</v>
      </c>
      <c r="K2886" s="47">
        <v>3.2899999999999999E-2</v>
      </c>
      <c r="L2886" s="47">
        <f t="shared" si="321"/>
        <v>1.3338910505829516E-2</v>
      </c>
      <c r="M2886" s="47">
        <f t="shared" si="322"/>
        <v>2.9067395145935277E-2</v>
      </c>
      <c r="N2886" s="47">
        <v>5.6299999999999996E-2</v>
      </c>
      <c r="O2886" s="47">
        <f t="shared" si="323"/>
        <v>2.6088664176665353E-2</v>
      </c>
      <c r="P2886" s="92"/>
    </row>
    <row r="2887" spans="1:16" x14ac:dyDescent="0.25">
      <c r="A2887" s="32">
        <v>14</v>
      </c>
      <c r="B2887" s="33">
        <v>437811.10856199998</v>
      </c>
      <c r="C2887" s="33">
        <v>5688393.3324180003</v>
      </c>
      <c r="D2887" s="48">
        <v>28</v>
      </c>
      <c r="E2887" s="48" t="s">
        <v>24</v>
      </c>
      <c r="F2887" s="48">
        <v>2021</v>
      </c>
      <c r="G2887" s="48" t="s">
        <v>18</v>
      </c>
      <c r="H2887" s="48" t="s">
        <v>18</v>
      </c>
      <c r="I2887" s="48" t="s">
        <v>18</v>
      </c>
      <c r="J2887" s="48" t="s">
        <v>18</v>
      </c>
      <c r="K2887" s="48" t="s">
        <v>18</v>
      </c>
      <c r="L2887" s="48" t="s">
        <v>18</v>
      </c>
      <c r="M2887" s="48" t="s">
        <v>18</v>
      </c>
      <c r="N2887" s="48" t="s">
        <v>18</v>
      </c>
      <c r="O2887" s="48" t="s">
        <v>18</v>
      </c>
      <c r="P2887" s="103" t="s">
        <v>89</v>
      </c>
    </row>
    <row r="2888" spans="1:16" x14ac:dyDescent="0.25">
      <c r="A2888" s="29">
        <v>15</v>
      </c>
      <c r="B2888" s="30">
        <v>437930.10856199998</v>
      </c>
      <c r="C2888" s="30">
        <v>5688393.3324180003</v>
      </c>
      <c r="D2888" s="30">
        <v>28</v>
      </c>
      <c r="E2888" s="30" t="s">
        <v>24</v>
      </c>
      <c r="F2888" s="46">
        <v>2021</v>
      </c>
      <c r="G2888" s="47">
        <v>3.73E-2</v>
      </c>
      <c r="H2888" s="47">
        <f t="shared" si="319"/>
        <v>1.1973922791906335E-2</v>
      </c>
      <c r="I2888" s="47">
        <v>4.7899999999999998E-2</v>
      </c>
      <c r="J2888" s="47">
        <f t="shared" si="320"/>
        <v>1.9820384340729101E-2</v>
      </c>
      <c r="K2888" s="47">
        <v>2.4300000000000002E-2</v>
      </c>
      <c r="L2888" s="47">
        <f t="shared" si="321"/>
        <v>9.8521436258862394E-3</v>
      </c>
      <c r="M2888" s="47">
        <f t="shared" si="322"/>
        <v>2.121779166020096E-3</v>
      </c>
      <c r="N2888" s="47">
        <v>7.9700000000000007E-2</v>
      </c>
      <c r="O2888" s="47">
        <f t="shared" si="323"/>
        <v>3.693191003339661E-2</v>
      </c>
      <c r="P2888" s="92"/>
    </row>
    <row r="2889" spans="1:16" x14ac:dyDescent="0.25">
      <c r="A2889" s="29">
        <v>16</v>
      </c>
      <c r="B2889" s="30">
        <v>438049.10856199998</v>
      </c>
      <c r="C2889" s="30">
        <v>5688393.3324180003</v>
      </c>
      <c r="D2889" s="30">
        <v>28</v>
      </c>
      <c r="E2889" s="30" t="s">
        <v>24</v>
      </c>
      <c r="F2889" s="46">
        <v>2021</v>
      </c>
      <c r="G2889" s="47">
        <v>4.7600000000000003E-2</v>
      </c>
      <c r="H2889" s="47">
        <f t="shared" si="319"/>
        <v>1.5280394769296022E-2</v>
      </c>
      <c r="I2889" s="47">
        <v>3.9899999999999998E-2</v>
      </c>
      <c r="J2889" s="47">
        <f t="shared" si="320"/>
        <v>1.6510090505116724E-2</v>
      </c>
      <c r="K2889" s="47">
        <v>2.9700000000000001E-2</v>
      </c>
      <c r="L2889" s="47">
        <f t="shared" si="321"/>
        <v>1.2041508876083181E-2</v>
      </c>
      <c r="M2889" s="47">
        <f t="shared" si="322"/>
        <v>3.2388858932128409E-3</v>
      </c>
      <c r="N2889" s="47">
        <v>1.9300000000000001E-2</v>
      </c>
      <c r="O2889" s="47">
        <f t="shared" si="323"/>
        <v>8.9433608989279104E-3</v>
      </c>
      <c r="P2889" s="92"/>
    </row>
    <row r="2890" spans="1:16" x14ac:dyDescent="0.25">
      <c r="A2890" s="29">
        <v>17</v>
      </c>
      <c r="B2890" s="30">
        <v>438168.10856199998</v>
      </c>
      <c r="C2890" s="30">
        <v>5688393.3324180003</v>
      </c>
      <c r="D2890" s="30">
        <v>28</v>
      </c>
      <c r="E2890" s="30" t="s">
        <v>24</v>
      </c>
      <c r="F2890" s="46">
        <v>2021</v>
      </c>
      <c r="G2890" s="47">
        <v>1.61E-2</v>
      </c>
      <c r="H2890" s="47">
        <f t="shared" si="319"/>
        <v>5.1683688190265952E-3</v>
      </c>
      <c r="I2890" s="47">
        <v>0.10640000000000001</v>
      </c>
      <c r="J2890" s="47">
        <f t="shared" si="320"/>
        <v>4.4026908013644603E-2</v>
      </c>
      <c r="K2890" s="47">
        <v>1.0999999999999999E-2</v>
      </c>
      <c r="L2890" s="47">
        <f t="shared" si="321"/>
        <v>4.4598181022530298E-3</v>
      </c>
      <c r="M2890" s="47">
        <f t="shared" si="322"/>
        <v>7.0855071677356548E-4</v>
      </c>
      <c r="N2890" s="47">
        <v>4.0100000000000004E-2</v>
      </c>
      <c r="O2890" s="47">
        <f t="shared" si="323"/>
        <v>1.8581801660466801E-2</v>
      </c>
      <c r="P2890" s="92"/>
    </row>
    <row r="2891" spans="1:16" x14ac:dyDescent="0.25">
      <c r="A2891" s="29">
        <v>18</v>
      </c>
      <c r="B2891" s="30">
        <v>438287.10856199998</v>
      </c>
      <c r="C2891" s="30">
        <v>5688393.3324180003</v>
      </c>
      <c r="D2891" s="30">
        <v>28</v>
      </c>
      <c r="E2891" s="30" t="s">
        <v>24</v>
      </c>
      <c r="F2891" s="46">
        <v>2021</v>
      </c>
      <c r="G2891" s="47">
        <v>2.5999999999999999E-3</v>
      </c>
      <c r="H2891" s="47">
        <f t="shared" si="319"/>
        <v>8.3464341176827002E-4</v>
      </c>
      <c r="I2891" s="47">
        <v>0</v>
      </c>
      <c r="J2891" s="47">
        <f t="shared" si="320"/>
        <v>0</v>
      </c>
      <c r="K2891" s="47">
        <v>2.18E-2</v>
      </c>
      <c r="L2891" s="47">
        <f t="shared" si="321"/>
        <v>8.8385486026469132E-3</v>
      </c>
      <c r="M2891" s="47">
        <f t="shared" si="322"/>
        <v>-8.0039051908786431E-3</v>
      </c>
      <c r="N2891" s="47">
        <v>0</v>
      </c>
      <c r="O2891" s="47">
        <f t="shared" si="323"/>
        <v>0</v>
      </c>
      <c r="P2891" s="92"/>
    </row>
    <row r="2892" spans="1:16" x14ac:dyDescent="0.25">
      <c r="A2892" s="29">
        <v>19</v>
      </c>
      <c r="B2892" s="30">
        <v>438406.10856199998</v>
      </c>
      <c r="C2892" s="30">
        <v>5688393.3324180003</v>
      </c>
      <c r="D2892" s="30">
        <v>28</v>
      </c>
      <c r="E2892" s="30" t="s">
        <v>24</v>
      </c>
      <c r="F2892" s="46">
        <v>2021</v>
      </c>
      <c r="G2892" s="47">
        <v>2.6199999999999998E-2</v>
      </c>
      <c r="H2892" s="47">
        <f t="shared" si="319"/>
        <v>8.4106374570494889E-3</v>
      </c>
      <c r="I2892" s="47">
        <v>0</v>
      </c>
      <c r="J2892" s="47">
        <f t="shared" si="320"/>
        <v>0</v>
      </c>
      <c r="K2892" s="47">
        <v>1.35E-2</v>
      </c>
      <c r="L2892" s="47">
        <f t="shared" si="321"/>
        <v>5.4734131254923551E-3</v>
      </c>
      <c r="M2892" s="47">
        <f t="shared" si="322"/>
        <v>2.9372243315571337E-3</v>
      </c>
      <c r="N2892" s="47">
        <v>0</v>
      </c>
      <c r="O2892" s="47">
        <f t="shared" si="323"/>
        <v>0</v>
      </c>
      <c r="P2892" s="92"/>
    </row>
    <row r="2893" spans="1:16" x14ac:dyDescent="0.25">
      <c r="A2893" s="42">
        <v>20</v>
      </c>
      <c r="B2893" s="43">
        <v>437335.10856199998</v>
      </c>
      <c r="C2893" s="43">
        <v>5688512.3324180003</v>
      </c>
      <c r="D2893" s="44">
        <v>28</v>
      </c>
      <c r="E2893" s="44" t="s">
        <v>24</v>
      </c>
      <c r="F2893" s="44">
        <v>2021</v>
      </c>
      <c r="G2893" s="44" t="s">
        <v>18</v>
      </c>
      <c r="H2893" s="44" t="s">
        <v>18</v>
      </c>
      <c r="I2893" s="44" t="s">
        <v>18</v>
      </c>
      <c r="J2893" s="44" t="s">
        <v>18</v>
      </c>
      <c r="K2893" s="44" t="s">
        <v>18</v>
      </c>
      <c r="L2893" s="44" t="s">
        <v>18</v>
      </c>
      <c r="M2893" s="44" t="s">
        <v>18</v>
      </c>
      <c r="N2893" s="44" t="s">
        <v>18</v>
      </c>
      <c r="O2893" s="44" t="s">
        <v>18</v>
      </c>
      <c r="P2893" s="102" t="s">
        <v>109</v>
      </c>
    </row>
    <row r="2894" spans="1:16" x14ac:dyDescent="0.25">
      <c r="A2894" s="29">
        <v>21</v>
      </c>
      <c r="B2894" s="30">
        <v>437454.10856199998</v>
      </c>
      <c r="C2894" s="30">
        <v>5688512.3324180003</v>
      </c>
      <c r="D2894" s="30">
        <v>28</v>
      </c>
      <c r="E2894" s="30" t="s">
        <v>24</v>
      </c>
      <c r="F2894" s="46">
        <v>2021</v>
      </c>
      <c r="G2894" s="47">
        <v>3.2100000000000004E-2</v>
      </c>
      <c r="H2894" s="47">
        <f t="shared" si="319"/>
        <v>1.0304635968369797E-2</v>
      </c>
      <c r="I2894" s="47">
        <v>0</v>
      </c>
      <c r="J2894" s="47">
        <f t="shared" si="320"/>
        <v>0</v>
      </c>
      <c r="K2894" s="47">
        <v>9.1000000000000004E-3</v>
      </c>
      <c r="L2894" s="47">
        <f t="shared" si="321"/>
        <v>3.6894858845911431E-3</v>
      </c>
      <c r="M2894" s="47">
        <f t="shared" si="322"/>
        <v>6.6151500837786543E-3</v>
      </c>
      <c r="N2894" s="47">
        <v>0</v>
      </c>
      <c r="O2894" s="47">
        <f t="shared" si="323"/>
        <v>0</v>
      </c>
      <c r="P2894" s="92"/>
    </row>
    <row r="2895" spans="1:16" x14ac:dyDescent="0.25">
      <c r="A2895" s="29">
        <v>22</v>
      </c>
      <c r="B2895" s="30">
        <v>437573.10856199998</v>
      </c>
      <c r="C2895" s="30">
        <v>5688512.3324180003</v>
      </c>
      <c r="D2895" s="30">
        <v>28</v>
      </c>
      <c r="E2895" s="30" t="s">
        <v>24</v>
      </c>
      <c r="F2895" s="46">
        <v>2021</v>
      </c>
      <c r="G2895" s="111">
        <v>3.6799999999999999E-2</v>
      </c>
      <c r="H2895" s="47">
        <f t="shared" si="319"/>
        <v>1.1813414443489359E-2</v>
      </c>
      <c r="I2895" s="47">
        <v>0.1479</v>
      </c>
      <c r="J2895" s="47">
        <f t="shared" si="320"/>
        <v>6.1199057285883804E-2</v>
      </c>
      <c r="K2895" s="47">
        <v>3.7399999999999996E-2</v>
      </c>
      <c r="L2895" s="47">
        <f t="shared" si="321"/>
        <v>1.5163381547660299E-2</v>
      </c>
      <c r="M2895" s="47">
        <f t="shared" si="322"/>
        <v>-3.3499671041709398E-3</v>
      </c>
      <c r="N2895" s="47">
        <v>7.6200000000000004E-2</v>
      </c>
      <c r="O2895" s="47">
        <f t="shared" si="323"/>
        <v>3.5310057020637657E-2</v>
      </c>
      <c r="P2895" s="92"/>
    </row>
    <row r="2896" spans="1:16" x14ac:dyDescent="0.25">
      <c r="A2896" s="29">
        <v>23</v>
      </c>
      <c r="B2896" s="30">
        <v>437692.10856199998</v>
      </c>
      <c r="C2896" s="30">
        <v>5688512.3324180003</v>
      </c>
      <c r="D2896" s="30">
        <v>28</v>
      </c>
      <c r="E2896" s="30" t="s">
        <v>24</v>
      </c>
      <c r="F2896" s="46">
        <v>2021</v>
      </c>
      <c r="G2896" s="47">
        <v>0.14759999999999998</v>
      </c>
      <c r="H2896" s="47">
        <f t="shared" si="319"/>
        <v>4.7382064452691018E-2</v>
      </c>
      <c r="I2896" s="47">
        <v>2.3199999999999998E-2</v>
      </c>
      <c r="J2896" s="47">
        <f t="shared" si="320"/>
        <v>9.5998521232758902E-3</v>
      </c>
      <c r="K2896" s="47">
        <v>9.4000000000000004E-3</v>
      </c>
      <c r="L2896" s="47">
        <f t="shared" si="321"/>
        <v>3.8111172873798618E-3</v>
      </c>
      <c r="M2896" s="47">
        <f t="shared" si="322"/>
        <v>4.3570947165311159E-2</v>
      </c>
      <c r="N2896" s="47">
        <v>3.3500000000000002E-2</v>
      </c>
      <c r="O2896" s="47">
        <f t="shared" si="323"/>
        <v>1.5523450264978499E-2</v>
      </c>
      <c r="P2896" s="92"/>
    </row>
    <row r="2897" spans="1:16" x14ac:dyDescent="0.25">
      <c r="A2897" s="29">
        <v>24</v>
      </c>
      <c r="B2897" s="30">
        <v>437811.10856199998</v>
      </c>
      <c r="C2897" s="30">
        <v>5688512.3324180003</v>
      </c>
      <c r="D2897" s="30">
        <v>28</v>
      </c>
      <c r="E2897" s="30" t="s">
        <v>24</v>
      </c>
      <c r="F2897" s="46">
        <v>2021</v>
      </c>
      <c r="G2897" s="47">
        <v>9.7900000000000001E-2</v>
      </c>
      <c r="H2897" s="47">
        <f t="shared" si="319"/>
        <v>3.1427534620043704E-2</v>
      </c>
      <c r="I2897" s="47">
        <v>5.0999999999999997E-2</v>
      </c>
      <c r="J2897" s="47">
        <f t="shared" si="320"/>
        <v>2.1103123202028895E-2</v>
      </c>
      <c r="K2897" s="47">
        <v>8.2099999999999992E-2</v>
      </c>
      <c r="L2897" s="47">
        <f t="shared" si="321"/>
        <v>3.3286460563179431E-2</v>
      </c>
      <c r="M2897" s="47">
        <f t="shared" si="322"/>
        <v>-1.8589259431357266E-3</v>
      </c>
      <c r="N2897" s="47">
        <v>3.8E-3</v>
      </c>
      <c r="O2897" s="47">
        <f t="shared" si="323"/>
        <v>1.760868985281143E-3</v>
      </c>
      <c r="P2897" s="92"/>
    </row>
    <row r="2898" spans="1:16" x14ac:dyDescent="0.25">
      <c r="A2898" s="29">
        <v>25</v>
      </c>
      <c r="B2898" s="46">
        <v>437995</v>
      </c>
      <c r="C2898" s="46">
        <v>5688493</v>
      </c>
      <c r="D2898" s="30">
        <v>28</v>
      </c>
      <c r="E2898" s="30" t="s">
        <v>24</v>
      </c>
      <c r="F2898" s="46">
        <v>2021</v>
      </c>
      <c r="G2898" s="47">
        <v>7.6100000000000001E-2</v>
      </c>
      <c r="H2898" s="47">
        <f t="shared" si="319"/>
        <v>2.4429370629063595E-2</v>
      </c>
      <c r="I2898" s="47">
        <v>3.0499999999999999E-2</v>
      </c>
      <c r="J2898" s="47">
        <f t="shared" si="320"/>
        <v>1.2620495248272183E-2</v>
      </c>
      <c r="K2898" s="47">
        <v>3.5700000000000003E-2</v>
      </c>
      <c r="L2898" s="47">
        <f t="shared" si="321"/>
        <v>1.4474136931857562E-2</v>
      </c>
      <c r="M2898" s="47">
        <f t="shared" si="322"/>
        <v>9.9552336972060333E-3</v>
      </c>
      <c r="N2898" s="47">
        <v>3.85E-2</v>
      </c>
      <c r="O2898" s="47">
        <f t="shared" si="323"/>
        <v>1.7840383140348422E-2</v>
      </c>
      <c r="P2898" s="92"/>
    </row>
    <row r="2899" spans="1:16" x14ac:dyDescent="0.25">
      <c r="A2899" s="29">
        <v>26</v>
      </c>
      <c r="B2899" s="46">
        <v>438112</v>
      </c>
      <c r="C2899" s="46">
        <v>5688567</v>
      </c>
      <c r="D2899" s="30">
        <v>28</v>
      </c>
      <c r="E2899" s="30" t="s">
        <v>24</v>
      </c>
      <c r="F2899" s="46">
        <v>2021</v>
      </c>
      <c r="G2899" s="47">
        <v>0.1022</v>
      </c>
      <c r="H2899" s="47">
        <f t="shared" si="319"/>
        <v>3.2807906416429694E-2</v>
      </c>
      <c r="I2899" s="47">
        <v>2.4199999999999999E-2</v>
      </c>
      <c r="J2899" s="47">
        <f t="shared" si="320"/>
        <v>1.0013638852727437E-2</v>
      </c>
      <c r="K2899" s="47">
        <v>8.2799999999999999E-2</v>
      </c>
      <c r="L2899" s="47">
        <f t="shared" si="321"/>
        <v>3.3570267169686439E-2</v>
      </c>
      <c r="M2899" s="47">
        <f t="shared" si="322"/>
        <v>-7.6236075325674529E-4</v>
      </c>
      <c r="N2899" s="47">
        <v>8.0999999999999996E-3</v>
      </c>
      <c r="O2899" s="47">
        <f t="shared" si="323"/>
        <v>3.7534312580992783E-3</v>
      </c>
      <c r="P2899" s="92"/>
    </row>
    <row r="2900" spans="1:16" x14ac:dyDescent="0.25">
      <c r="A2900" s="32">
        <v>27</v>
      </c>
      <c r="B2900" s="33">
        <v>438168.10856199998</v>
      </c>
      <c r="C2900" s="33">
        <v>5688512.3324180003</v>
      </c>
      <c r="D2900" s="48">
        <v>28</v>
      </c>
      <c r="E2900" s="48" t="s">
        <v>24</v>
      </c>
      <c r="F2900" s="48">
        <v>2021</v>
      </c>
      <c r="G2900" s="48" t="s">
        <v>18</v>
      </c>
      <c r="H2900" s="48" t="s">
        <v>18</v>
      </c>
      <c r="I2900" s="48" t="s">
        <v>18</v>
      </c>
      <c r="J2900" s="48" t="s">
        <v>18</v>
      </c>
      <c r="K2900" s="48" t="s">
        <v>18</v>
      </c>
      <c r="L2900" s="48" t="s">
        <v>18</v>
      </c>
      <c r="M2900" s="48" t="s">
        <v>18</v>
      </c>
      <c r="N2900" s="48" t="s">
        <v>18</v>
      </c>
      <c r="O2900" s="48" t="s">
        <v>18</v>
      </c>
      <c r="P2900" s="103" t="s">
        <v>89</v>
      </c>
    </row>
    <row r="2901" spans="1:16" x14ac:dyDescent="0.25">
      <c r="A2901" s="32">
        <v>28</v>
      </c>
      <c r="B2901" s="33">
        <v>438287.10856199998</v>
      </c>
      <c r="C2901" s="33">
        <v>5688512.3324180003</v>
      </c>
      <c r="D2901" s="48">
        <v>28</v>
      </c>
      <c r="E2901" s="48" t="s">
        <v>24</v>
      </c>
      <c r="F2901" s="48">
        <v>2021</v>
      </c>
      <c r="G2901" s="48" t="s">
        <v>18</v>
      </c>
      <c r="H2901" s="48" t="s">
        <v>18</v>
      </c>
      <c r="I2901" s="48" t="s">
        <v>18</v>
      </c>
      <c r="J2901" s="48" t="s">
        <v>18</v>
      </c>
      <c r="K2901" s="48" t="s">
        <v>18</v>
      </c>
      <c r="L2901" s="48" t="s">
        <v>18</v>
      </c>
      <c r="M2901" s="48" t="s">
        <v>18</v>
      </c>
      <c r="N2901" s="48" t="s">
        <v>18</v>
      </c>
      <c r="O2901" s="48" t="s">
        <v>18</v>
      </c>
      <c r="P2901" s="103" t="s">
        <v>89</v>
      </c>
    </row>
    <row r="2902" spans="1:16" x14ac:dyDescent="0.25">
      <c r="A2902" s="29">
        <v>29</v>
      </c>
      <c r="B2902" s="30">
        <v>438381</v>
      </c>
      <c r="C2902" s="30">
        <v>5688526</v>
      </c>
      <c r="D2902" s="30">
        <v>28</v>
      </c>
      <c r="E2902" s="30" t="s">
        <v>24</v>
      </c>
      <c r="F2902" s="46">
        <v>2021</v>
      </c>
      <c r="G2902" s="47">
        <v>6.6599999999999993E-2</v>
      </c>
      <c r="H2902" s="47">
        <f t="shared" si="319"/>
        <v>2.1379712009141068E-2</v>
      </c>
      <c r="I2902" s="47">
        <v>0</v>
      </c>
      <c r="J2902" s="47">
        <f t="shared" si="320"/>
        <v>0</v>
      </c>
      <c r="K2902" s="47">
        <v>1.44E-2</v>
      </c>
      <c r="L2902" s="47">
        <f t="shared" si="321"/>
        <v>5.8383073338585112E-3</v>
      </c>
      <c r="M2902" s="47">
        <f t="shared" si="322"/>
        <v>1.5541404675282557E-2</v>
      </c>
      <c r="N2902" s="47">
        <v>0</v>
      </c>
      <c r="O2902" s="47">
        <f t="shared" si="323"/>
        <v>0</v>
      </c>
      <c r="P2902" s="92"/>
    </row>
    <row r="2903" spans="1:16" x14ac:dyDescent="0.25">
      <c r="A2903" s="29">
        <v>30</v>
      </c>
      <c r="B2903" s="30">
        <v>438525.10856199998</v>
      </c>
      <c r="C2903" s="30">
        <v>5688512.3324180003</v>
      </c>
      <c r="D2903" s="30">
        <v>28</v>
      </c>
      <c r="E2903" s="30" t="s">
        <v>24</v>
      </c>
      <c r="F2903" s="46">
        <v>2021</v>
      </c>
      <c r="G2903" s="47">
        <v>1.95E-2</v>
      </c>
      <c r="H2903" s="47">
        <f t="shared" si="319"/>
        <v>6.2598255882620251E-3</v>
      </c>
      <c r="I2903" s="47">
        <v>0</v>
      </c>
      <c r="J2903" s="47">
        <f t="shared" si="320"/>
        <v>0</v>
      </c>
      <c r="K2903" s="47">
        <v>7.7999999999999996E-3</v>
      </c>
      <c r="L2903" s="47">
        <f t="shared" si="321"/>
        <v>3.1624164725066939E-3</v>
      </c>
      <c r="M2903" s="47">
        <f t="shared" si="322"/>
        <v>3.0974091157553313E-3</v>
      </c>
      <c r="N2903" s="47">
        <v>0</v>
      </c>
      <c r="O2903" s="47">
        <f t="shared" si="323"/>
        <v>0</v>
      </c>
      <c r="P2903" s="92"/>
    </row>
    <row r="2904" spans="1:16" x14ac:dyDescent="0.25">
      <c r="A2904" s="29">
        <v>31</v>
      </c>
      <c r="B2904" s="30">
        <v>437335.10856199998</v>
      </c>
      <c r="C2904" s="30">
        <v>5688631.3324180003</v>
      </c>
      <c r="D2904" s="30">
        <v>28</v>
      </c>
      <c r="E2904" s="30" t="s">
        <v>24</v>
      </c>
      <c r="F2904" s="46">
        <v>2021</v>
      </c>
      <c r="G2904" s="47">
        <v>4.41E-2</v>
      </c>
      <c r="H2904" s="47">
        <f t="shared" si="319"/>
        <v>1.4156836330377195E-2</v>
      </c>
      <c r="I2904" s="47">
        <v>0</v>
      </c>
      <c r="J2904" s="47">
        <f t="shared" si="320"/>
        <v>0</v>
      </c>
      <c r="K2904" s="47">
        <v>2.9899999999999999E-2</v>
      </c>
      <c r="L2904" s="47">
        <f t="shared" si="321"/>
        <v>1.2122596477942326E-2</v>
      </c>
      <c r="M2904" s="47">
        <f t="shared" si="322"/>
        <v>2.0342398524348694E-3</v>
      </c>
      <c r="N2904" s="47">
        <v>0</v>
      </c>
      <c r="O2904" s="47">
        <f t="shared" si="323"/>
        <v>0</v>
      </c>
      <c r="P2904" s="92"/>
    </row>
    <row r="2905" spans="1:16" x14ac:dyDescent="0.25">
      <c r="A2905" s="29">
        <v>32</v>
      </c>
      <c r="B2905" s="30">
        <v>437454.10856199998</v>
      </c>
      <c r="C2905" s="30">
        <v>5688631.3324180003</v>
      </c>
      <c r="D2905" s="30">
        <v>28</v>
      </c>
      <c r="E2905" s="30" t="s">
        <v>24</v>
      </c>
      <c r="F2905" s="46">
        <v>2021</v>
      </c>
      <c r="G2905" s="47">
        <v>5.2399999999999995E-2</v>
      </c>
      <c r="H2905" s="47">
        <f t="shared" si="319"/>
        <v>1.6821274914098978E-2</v>
      </c>
      <c r="I2905" s="47">
        <v>2.3E-3</v>
      </c>
      <c r="J2905" s="47">
        <f t="shared" si="320"/>
        <v>9.5170947773855804E-4</v>
      </c>
      <c r="K2905" s="47">
        <v>1.9899999999999998E-2</v>
      </c>
      <c r="L2905" s="47">
        <f t="shared" si="321"/>
        <v>8.0682163849850261E-3</v>
      </c>
      <c r="M2905" s="47">
        <f t="shared" si="322"/>
        <v>8.7530585291139516E-3</v>
      </c>
      <c r="N2905" s="47">
        <v>0</v>
      </c>
      <c r="O2905" s="47">
        <f t="shared" si="323"/>
        <v>0</v>
      </c>
      <c r="P2905" s="92"/>
    </row>
    <row r="2906" spans="1:16" x14ac:dyDescent="0.25">
      <c r="A2906" s="29">
        <v>33</v>
      </c>
      <c r="B2906" s="30">
        <v>437573.10856199998</v>
      </c>
      <c r="C2906" s="30">
        <v>5688631.3324180003</v>
      </c>
      <c r="D2906" s="30">
        <v>28</v>
      </c>
      <c r="E2906" s="30" t="s">
        <v>24</v>
      </c>
      <c r="F2906" s="46">
        <v>2021</v>
      </c>
      <c r="G2906" s="47">
        <v>3.6799999999999999E-2</v>
      </c>
      <c r="H2906" s="47">
        <f t="shared" si="319"/>
        <v>1.1813414443489359E-2</v>
      </c>
      <c r="I2906" s="47">
        <v>0</v>
      </c>
      <c r="J2906" s="47">
        <f t="shared" si="320"/>
        <v>0</v>
      </c>
      <c r="K2906" s="47">
        <v>9.4999999999999998E-3</v>
      </c>
      <c r="L2906" s="47">
        <f t="shared" si="321"/>
        <v>3.8516610883094346E-3</v>
      </c>
      <c r="M2906" s="47">
        <f t="shared" si="322"/>
        <v>7.9617533551799256E-3</v>
      </c>
      <c r="N2906" s="47">
        <v>0</v>
      </c>
      <c r="O2906" s="47">
        <f t="shared" si="323"/>
        <v>0</v>
      </c>
      <c r="P2906" s="92"/>
    </row>
    <row r="2907" spans="1:16" x14ac:dyDescent="0.25">
      <c r="A2907" s="29">
        <v>34</v>
      </c>
      <c r="B2907" s="30">
        <v>437692.10856199998</v>
      </c>
      <c r="C2907" s="30">
        <v>5688631.3324180003</v>
      </c>
      <c r="D2907" s="30">
        <v>28</v>
      </c>
      <c r="E2907" s="30" t="s">
        <v>24</v>
      </c>
      <c r="F2907" s="46">
        <v>2021</v>
      </c>
      <c r="G2907" s="47">
        <v>2.4899999999999999E-2</v>
      </c>
      <c r="H2907" s="47">
        <f t="shared" si="319"/>
        <v>7.9933157511653547E-3</v>
      </c>
      <c r="I2907" s="47">
        <v>2.7000000000000001E-3</v>
      </c>
      <c r="J2907" s="47">
        <f t="shared" si="320"/>
        <v>1.1172241695191769E-3</v>
      </c>
      <c r="K2907" s="47">
        <v>1.23E-2</v>
      </c>
      <c r="L2907" s="47">
        <f t="shared" si="321"/>
        <v>4.9868875143374786E-3</v>
      </c>
      <c r="M2907" s="47">
        <f t="shared" si="322"/>
        <v>3.0064282368278761E-3</v>
      </c>
      <c r="N2907" s="47">
        <v>8.0999999999999996E-3</v>
      </c>
      <c r="O2907" s="47">
        <f t="shared" si="323"/>
        <v>3.7534312580992783E-3</v>
      </c>
      <c r="P2907" s="92"/>
    </row>
    <row r="2908" spans="1:16" x14ac:dyDescent="0.25">
      <c r="A2908" s="29">
        <v>35</v>
      </c>
      <c r="B2908" s="30">
        <v>437893</v>
      </c>
      <c r="C2908" s="30">
        <v>5688620</v>
      </c>
      <c r="D2908" s="30">
        <v>28</v>
      </c>
      <c r="E2908" s="30" t="s">
        <v>24</v>
      </c>
      <c r="F2908" s="46">
        <v>2021</v>
      </c>
      <c r="G2908" s="47">
        <v>3.49E-2</v>
      </c>
      <c r="H2908" s="47">
        <f t="shared" si="319"/>
        <v>1.1203482719504856E-2</v>
      </c>
      <c r="I2908" s="47">
        <v>0</v>
      </c>
      <c r="J2908" s="47">
        <f t="shared" si="320"/>
        <v>0</v>
      </c>
      <c r="K2908" s="47">
        <v>4.4000000000000003E-3</v>
      </c>
      <c r="L2908" s="47">
        <f t="shared" si="321"/>
        <v>1.783927240901212E-3</v>
      </c>
      <c r="M2908" s="47">
        <f t="shared" si="322"/>
        <v>9.4195554786036442E-3</v>
      </c>
      <c r="N2908" s="47">
        <v>0</v>
      </c>
      <c r="O2908" s="47">
        <f t="shared" si="323"/>
        <v>0</v>
      </c>
      <c r="P2908" s="92"/>
    </row>
    <row r="2909" spans="1:16" x14ac:dyDescent="0.25">
      <c r="A2909" s="29">
        <v>36</v>
      </c>
      <c r="B2909" s="30">
        <v>437930.10856199998</v>
      </c>
      <c r="C2909" s="30">
        <v>5688631.3324180003</v>
      </c>
      <c r="D2909" s="30">
        <v>28</v>
      </c>
      <c r="E2909" s="30" t="s">
        <v>24</v>
      </c>
      <c r="F2909" s="46">
        <v>2021</v>
      </c>
      <c r="G2909" s="47">
        <v>7.1900000000000006E-2</v>
      </c>
      <c r="H2909" s="47">
        <f t="shared" si="319"/>
        <v>2.3081100502361007E-2</v>
      </c>
      <c r="I2909" s="47">
        <v>8.6800000000000002E-2</v>
      </c>
      <c r="J2909" s="47">
        <f t="shared" si="320"/>
        <v>3.5916688116394278E-2</v>
      </c>
      <c r="K2909" s="47">
        <v>1.5300000000000001E-2</v>
      </c>
      <c r="L2909" s="47">
        <f t="shared" si="321"/>
        <v>6.203201542224669E-3</v>
      </c>
      <c r="M2909" s="47">
        <f t="shared" si="322"/>
        <v>1.6877898960136337E-2</v>
      </c>
      <c r="N2909" s="47">
        <v>0.1134</v>
      </c>
      <c r="O2909" s="47">
        <f t="shared" si="323"/>
        <v>5.25480376133899E-2</v>
      </c>
      <c r="P2909" s="92"/>
    </row>
    <row r="2910" spans="1:16" x14ac:dyDescent="0.25">
      <c r="A2910" s="32">
        <v>37</v>
      </c>
      <c r="B2910" s="33">
        <v>438049.10856199998</v>
      </c>
      <c r="C2910" s="33">
        <v>5688631.3324180003</v>
      </c>
      <c r="D2910" s="48">
        <v>28</v>
      </c>
      <c r="E2910" s="48" t="s">
        <v>24</v>
      </c>
      <c r="F2910" s="48">
        <v>2021</v>
      </c>
      <c r="G2910" s="48" t="s">
        <v>18</v>
      </c>
      <c r="H2910" s="48" t="s">
        <v>18</v>
      </c>
      <c r="I2910" s="48" t="s">
        <v>18</v>
      </c>
      <c r="J2910" s="48" t="s">
        <v>18</v>
      </c>
      <c r="K2910" s="48" t="s">
        <v>18</v>
      </c>
      <c r="L2910" s="48" t="s">
        <v>18</v>
      </c>
      <c r="M2910" s="48" t="s">
        <v>18</v>
      </c>
      <c r="N2910" s="48" t="s">
        <v>18</v>
      </c>
      <c r="O2910" s="48" t="s">
        <v>18</v>
      </c>
      <c r="P2910" s="103" t="s">
        <v>89</v>
      </c>
    </row>
    <row r="2911" spans="1:16" x14ac:dyDescent="0.25">
      <c r="A2911" s="29">
        <v>38</v>
      </c>
      <c r="B2911" s="30">
        <v>438067</v>
      </c>
      <c r="C2911" s="30">
        <v>5688710</v>
      </c>
      <c r="D2911" s="30">
        <v>27</v>
      </c>
      <c r="E2911" s="30" t="s">
        <v>24</v>
      </c>
      <c r="F2911" s="46">
        <v>2021</v>
      </c>
      <c r="G2911" s="54">
        <v>4.5100000000000001E-2</v>
      </c>
      <c r="H2911" s="47">
        <f t="shared" si="319"/>
        <v>1.4477853027211145E-2</v>
      </c>
      <c r="I2911" s="47">
        <v>4.3E-3</v>
      </c>
      <c r="J2911" s="47">
        <f t="shared" si="320"/>
        <v>1.7792829366416521E-3</v>
      </c>
      <c r="K2911" s="47">
        <v>1.7899999999999999E-2</v>
      </c>
      <c r="L2911" s="47">
        <f t="shared" si="321"/>
        <v>7.2573403663935667E-3</v>
      </c>
      <c r="M2911" s="47">
        <f t="shared" si="322"/>
        <v>7.2205126608175787E-3</v>
      </c>
      <c r="N2911" s="47">
        <v>0</v>
      </c>
      <c r="O2911" s="47">
        <f t="shared" si="323"/>
        <v>0</v>
      </c>
      <c r="P2911" s="92"/>
    </row>
    <row r="2912" spans="1:16" x14ac:dyDescent="0.25">
      <c r="A2912" s="32">
        <v>39</v>
      </c>
      <c r="B2912" s="33">
        <v>438287.10856199998</v>
      </c>
      <c r="C2912" s="33">
        <v>5688631.3324180003</v>
      </c>
      <c r="D2912" s="48">
        <v>28</v>
      </c>
      <c r="E2912" s="48" t="s">
        <v>24</v>
      </c>
      <c r="F2912" s="48">
        <v>2021</v>
      </c>
      <c r="G2912" s="48" t="s">
        <v>18</v>
      </c>
      <c r="H2912" s="48" t="s">
        <v>18</v>
      </c>
      <c r="I2912" s="48" t="s">
        <v>18</v>
      </c>
      <c r="J2912" s="48" t="s">
        <v>18</v>
      </c>
      <c r="K2912" s="48" t="s">
        <v>18</v>
      </c>
      <c r="L2912" s="48" t="s">
        <v>18</v>
      </c>
      <c r="M2912" s="48" t="s">
        <v>18</v>
      </c>
      <c r="N2912" s="48" t="s">
        <v>18</v>
      </c>
      <c r="O2912" s="48" t="s">
        <v>18</v>
      </c>
      <c r="P2912" s="94" t="s">
        <v>22</v>
      </c>
    </row>
    <row r="2913" spans="1:16" x14ac:dyDescent="0.25">
      <c r="A2913" s="89">
        <v>40</v>
      </c>
      <c r="B2913" s="90">
        <v>438406.10856199998</v>
      </c>
      <c r="C2913" s="90">
        <v>5688631.3324180003</v>
      </c>
      <c r="D2913" s="90">
        <v>28</v>
      </c>
      <c r="E2913" s="90" t="s">
        <v>24</v>
      </c>
      <c r="F2913" s="90">
        <v>2021</v>
      </c>
      <c r="G2913" s="90" t="s">
        <v>18</v>
      </c>
      <c r="H2913" s="90" t="s">
        <v>18</v>
      </c>
      <c r="I2913" s="90" t="s">
        <v>18</v>
      </c>
      <c r="J2913" s="90" t="s">
        <v>18</v>
      </c>
      <c r="K2913" s="90" t="s">
        <v>18</v>
      </c>
      <c r="L2913" s="90" t="s">
        <v>18</v>
      </c>
      <c r="M2913" s="90" t="s">
        <v>18</v>
      </c>
      <c r="N2913" s="90" t="s">
        <v>18</v>
      </c>
      <c r="O2913" s="90" t="s">
        <v>18</v>
      </c>
      <c r="P2913" s="113" t="s">
        <v>174</v>
      </c>
    </row>
    <row r="2914" spans="1:16" x14ac:dyDescent="0.25">
      <c r="A2914" s="29">
        <v>41</v>
      </c>
      <c r="B2914" s="30">
        <v>437310</v>
      </c>
      <c r="C2914" s="30">
        <v>5688729</v>
      </c>
      <c r="D2914" s="30">
        <v>28</v>
      </c>
      <c r="E2914" s="30" t="s">
        <v>24</v>
      </c>
      <c r="F2914" s="46">
        <v>2021</v>
      </c>
      <c r="G2914" s="47">
        <v>4.1500000000000002E-2</v>
      </c>
      <c r="H2914" s="47">
        <f t="shared" si="319"/>
        <v>1.3322192918608927E-2</v>
      </c>
      <c r="I2914" s="47">
        <v>2.3E-3</v>
      </c>
      <c r="J2914" s="47">
        <f t="shared" si="320"/>
        <v>9.5170947773855804E-4</v>
      </c>
      <c r="K2914" s="47">
        <v>3.8100000000000002E-2</v>
      </c>
      <c r="L2914" s="47">
        <f t="shared" si="321"/>
        <v>1.5447188154167313E-2</v>
      </c>
      <c r="M2914" s="47">
        <f t="shared" si="322"/>
        <v>-2.1249952355583863E-3</v>
      </c>
      <c r="N2914" s="47">
        <v>0</v>
      </c>
      <c r="O2914" s="47">
        <f t="shared" si="323"/>
        <v>0</v>
      </c>
      <c r="P2914" s="92"/>
    </row>
    <row r="2915" spans="1:16" x14ac:dyDescent="0.25">
      <c r="A2915" s="29">
        <v>42</v>
      </c>
      <c r="B2915" s="30">
        <v>437454.10856199998</v>
      </c>
      <c r="C2915" s="30">
        <v>5688750.3324180003</v>
      </c>
      <c r="D2915" s="30">
        <v>28</v>
      </c>
      <c r="E2915" s="30" t="s">
        <v>24</v>
      </c>
      <c r="F2915" s="46">
        <v>2021</v>
      </c>
      <c r="G2915" s="54">
        <v>3.2899999999999999E-2</v>
      </c>
      <c r="H2915" s="47">
        <f t="shared" si="319"/>
        <v>1.0561449325836955E-2</v>
      </c>
      <c r="I2915" s="47">
        <v>5.5799999999999995E-2</v>
      </c>
      <c r="J2915" s="47">
        <f t="shared" si="320"/>
        <v>2.3089299503396318E-2</v>
      </c>
      <c r="K2915" s="47">
        <v>3.8E-3</v>
      </c>
      <c r="L2915" s="47">
        <f t="shared" si="321"/>
        <v>1.540664435323774E-3</v>
      </c>
      <c r="M2915" s="47">
        <f t="shared" si="322"/>
        <v>9.020784890513181E-3</v>
      </c>
      <c r="N2915" s="47">
        <v>1.0699999999999999E-2</v>
      </c>
      <c r="O2915" s="47">
        <f t="shared" si="323"/>
        <v>4.9582363532916394E-3</v>
      </c>
      <c r="P2915" s="92"/>
    </row>
    <row r="2916" spans="1:16" x14ac:dyDescent="0.25">
      <c r="A2916" s="29">
        <v>43</v>
      </c>
      <c r="B2916" s="30">
        <v>437573.10856199998</v>
      </c>
      <c r="C2916" s="30">
        <v>5688750.3324180003</v>
      </c>
      <c r="D2916" s="30">
        <v>28</v>
      </c>
      <c r="E2916" s="30" t="s">
        <v>24</v>
      </c>
      <c r="F2916" s="46">
        <v>2021</v>
      </c>
      <c r="G2916" s="47">
        <v>3.39E-2</v>
      </c>
      <c r="H2916" s="47">
        <f t="shared" si="319"/>
        <v>1.0882466022670905E-2</v>
      </c>
      <c r="I2916" s="47">
        <v>1.2999999999999999E-3</v>
      </c>
      <c r="J2916" s="47">
        <f t="shared" si="320"/>
        <v>5.3792274828701105E-4</v>
      </c>
      <c r="K2916" s="47">
        <v>1.49E-2</v>
      </c>
      <c r="L2916" s="47">
        <f t="shared" si="321"/>
        <v>6.0410263385063771E-3</v>
      </c>
      <c r="M2916" s="47">
        <f t="shared" si="322"/>
        <v>4.8414396841645283E-3</v>
      </c>
      <c r="N2916" s="47">
        <v>1.8E-3</v>
      </c>
      <c r="O2916" s="47">
        <f t="shared" si="323"/>
        <v>8.3409583513317299E-4</v>
      </c>
      <c r="P2916" s="92"/>
    </row>
    <row r="2917" spans="1:16" x14ac:dyDescent="0.25">
      <c r="A2917" s="29">
        <v>44</v>
      </c>
      <c r="B2917" s="30">
        <v>437692.10856199998</v>
      </c>
      <c r="C2917" s="30">
        <v>5688750.3324180003</v>
      </c>
      <c r="D2917" s="30">
        <v>27</v>
      </c>
      <c r="E2917" s="30" t="s">
        <v>24</v>
      </c>
      <c r="F2917" s="46">
        <v>2021</v>
      </c>
      <c r="G2917" s="54">
        <v>2.7899999999999998E-2</v>
      </c>
      <c r="H2917" s="47">
        <f t="shared" si="319"/>
        <v>8.9563658416672038E-3</v>
      </c>
      <c r="I2917" s="47">
        <v>0</v>
      </c>
      <c r="J2917" s="47">
        <f t="shared" si="320"/>
        <v>0</v>
      </c>
      <c r="K2917" s="47">
        <v>1.09E-2</v>
      </c>
      <c r="L2917" s="47">
        <f t="shared" si="321"/>
        <v>4.4192743013234566E-3</v>
      </c>
      <c r="M2917" s="47">
        <f t="shared" si="322"/>
        <v>4.5370915403437472E-3</v>
      </c>
      <c r="N2917" s="47">
        <v>2.2000000000000001E-3</v>
      </c>
      <c r="O2917" s="47">
        <f t="shared" si="323"/>
        <v>1.0194504651627671E-3</v>
      </c>
      <c r="P2917" s="92"/>
    </row>
    <row r="2918" spans="1:16" x14ac:dyDescent="0.25">
      <c r="A2918" s="29">
        <v>45</v>
      </c>
      <c r="B2918" s="30">
        <v>437811.10856199998</v>
      </c>
      <c r="C2918" s="30">
        <v>5688750.3324180003</v>
      </c>
      <c r="D2918" s="30">
        <v>27</v>
      </c>
      <c r="E2918" s="30" t="s">
        <v>24</v>
      </c>
      <c r="F2918" s="46">
        <v>2021</v>
      </c>
      <c r="G2918" s="47">
        <v>2.69E-2</v>
      </c>
      <c r="H2918" s="47">
        <f t="shared" si="319"/>
        <v>8.6353491448332553E-3</v>
      </c>
      <c r="I2918" s="47">
        <v>4.3499999999999997E-2</v>
      </c>
      <c r="J2918" s="47">
        <f t="shared" si="320"/>
        <v>1.7999722731142292E-2</v>
      </c>
      <c r="K2918" s="47">
        <v>5.8900000000000001E-2</v>
      </c>
      <c r="L2918" s="47">
        <f t="shared" si="321"/>
        <v>2.3880298747518496E-2</v>
      </c>
      <c r="M2918" s="47">
        <f t="shared" si="322"/>
        <v>-1.5244949602685241E-2</v>
      </c>
      <c r="N2918" s="47">
        <v>2.2100000000000002E-2</v>
      </c>
      <c r="O2918" s="47">
        <f t="shared" si="323"/>
        <v>1.0240843309135069E-2</v>
      </c>
      <c r="P2918" s="92"/>
    </row>
    <row r="2919" spans="1:16" x14ac:dyDescent="0.25">
      <c r="A2919" s="65">
        <v>46</v>
      </c>
      <c r="B2919" s="66">
        <v>437930.10856199998</v>
      </c>
      <c r="C2919" s="66">
        <v>5688750.3324180003</v>
      </c>
      <c r="D2919" s="66">
        <v>28</v>
      </c>
      <c r="E2919" s="66" t="s">
        <v>24</v>
      </c>
      <c r="F2919" s="66">
        <v>2021</v>
      </c>
      <c r="G2919" s="66" t="s">
        <v>18</v>
      </c>
      <c r="H2919" s="66" t="s">
        <v>18</v>
      </c>
      <c r="I2919" s="66" t="s">
        <v>18</v>
      </c>
      <c r="J2919" s="66" t="s">
        <v>18</v>
      </c>
      <c r="K2919" s="66" t="s">
        <v>18</v>
      </c>
      <c r="L2919" s="66" t="s">
        <v>18</v>
      </c>
      <c r="M2919" s="66" t="s">
        <v>18</v>
      </c>
      <c r="N2919" s="66" t="s">
        <v>18</v>
      </c>
      <c r="O2919" s="66" t="s">
        <v>18</v>
      </c>
      <c r="P2919" s="105" t="s">
        <v>166</v>
      </c>
    </row>
    <row r="2920" spans="1:16" x14ac:dyDescent="0.25">
      <c r="A2920" s="29">
        <v>47</v>
      </c>
      <c r="B2920" s="30">
        <v>438061</v>
      </c>
      <c r="C2920" s="30">
        <v>5688779</v>
      </c>
      <c r="D2920" s="30">
        <v>27</v>
      </c>
      <c r="E2920" s="30" t="s">
        <v>24</v>
      </c>
      <c r="F2920" s="46">
        <v>2021</v>
      </c>
      <c r="G2920" s="47">
        <v>4.5399999999999996E-2</v>
      </c>
      <c r="H2920" s="47">
        <f t="shared" si="319"/>
        <v>1.4574158036261329E-2</v>
      </c>
      <c r="I2920" s="47">
        <v>0</v>
      </c>
      <c r="J2920" s="47">
        <f t="shared" si="320"/>
        <v>0</v>
      </c>
      <c r="K2920" s="47">
        <v>1.52E-2</v>
      </c>
      <c r="L2920" s="47">
        <f t="shared" si="321"/>
        <v>6.1626577412950958E-3</v>
      </c>
      <c r="M2920" s="47">
        <f t="shared" si="322"/>
        <v>8.4115002949662343E-3</v>
      </c>
      <c r="N2920" s="47">
        <v>0</v>
      </c>
      <c r="O2920" s="47">
        <f t="shared" si="323"/>
        <v>0</v>
      </c>
      <c r="P2920" s="92"/>
    </row>
    <row r="2921" spans="1:16" x14ac:dyDescent="0.25">
      <c r="A2921" s="32">
        <v>48</v>
      </c>
      <c r="B2921" s="33">
        <v>438168.10856199998</v>
      </c>
      <c r="C2921" s="33">
        <v>5688750.3324180003</v>
      </c>
      <c r="D2921" s="48">
        <v>28</v>
      </c>
      <c r="E2921" s="48" t="s">
        <v>24</v>
      </c>
      <c r="F2921" s="48">
        <v>2021</v>
      </c>
      <c r="G2921" s="48" t="s">
        <v>18</v>
      </c>
      <c r="H2921" s="48" t="s">
        <v>18</v>
      </c>
      <c r="I2921" s="48" t="s">
        <v>18</v>
      </c>
      <c r="J2921" s="48" t="s">
        <v>18</v>
      </c>
      <c r="K2921" s="48" t="s">
        <v>18</v>
      </c>
      <c r="L2921" s="48" t="s">
        <v>18</v>
      </c>
      <c r="M2921" s="48" t="s">
        <v>18</v>
      </c>
      <c r="N2921" s="48" t="s">
        <v>18</v>
      </c>
      <c r="O2921" s="48" t="s">
        <v>18</v>
      </c>
      <c r="P2921" s="103" t="s">
        <v>89</v>
      </c>
    </row>
    <row r="2922" spans="1:16" x14ac:dyDescent="0.25">
      <c r="A2922" s="89">
        <v>49</v>
      </c>
      <c r="B2922" s="90">
        <v>437454.10856199998</v>
      </c>
      <c r="C2922" s="90">
        <v>5688869.3324180003</v>
      </c>
      <c r="D2922" s="90">
        <v>28</v>
      </c>
      <c r="E2922" s="90" t="s">
        <v>24</v>
      </c>
      <c r="F2922" s="90">
        <v>2021</v>
      </c>
      <c r="G2922" s="90" t="s">
        <v>18</v>
      </c>
      <c r="H2922" s="90" t="s">
        <v>18</v>
      </c>
      <c r="I2922" s="90" t="s">
        <v>18</v>
      </c>
      <c r="J2922" s="90" t="s">
        <v>18</v>
      </c>
      <c r="K2922" s="90" t="s">
        <v>18</v>
      </c>
      <c r="L2922" s="90" t="s">
        <v>18</v>
      </c>
      <c r="M2922" s="90" t="s">
        <v>18</v>
      </c>
      <c r="N2922" s="90" t="s">
        <v>18</v>
      </c>
      <c r="O2922" s="90" t="s">
        <v>18</v>
      </c>
      <c r="P2922" s="113" t="s">
        <v>174</v>
      </c>
    </row>
    <row r="2923" spans="1:16" x14ac:dyDescent="0.25">
      <c r="A2923" s="29">
        <v>50</v>
      </c>
      <c r="B2923" s="30">
        <v>437811.10856199998</v>
      </c>
      <c r="C2923" s="30">
        <v>5688869.3324180003</v>
      </c>
      <c r="D2923" s="30">
        <v>27</v>
      </c>
      <c r="E2923" s="30" t="s">
        <v>24</v>
      </c>
      <c r="F2923" s="46">
        <v>2021</v>
      </c>
      <c r="G2923" s="47">
        <v>5.5500000000000001E-2</v>
      </c>
      <c r="H2923" s="47">
        <f t="shared" si="319"/>
        <v>1.7816426674284225E-2</v>
      </c>
      <c r="I2923" s="47">
        <v>4.4999999999999997E-3</v>
      </c>
      <c r="J2923" s="47">
        <f t="shared" si="320"/>
        <v>1.8620402825319613E-3</v>
      </c>
      <c r="K2923" s="47">
        <v>0.04</v>
      </c>
      <c r="L2923" s="47">
        <f t="shared" si="321"/>
        <v>1.6217520371829199E-2</v>
      </c>
      <c r="M2923" s="47">
        <f t="shared" si="322"/>
        <v>1.5989063024550269E-3</v>
      </c>
      <c r="N2923" s="47">
        <v>3.0000000000000001E-3</v>
      </c>
      <c r="O2923" s="47">
        <f t="shared" si="323"/>
        <v>1.3901597252219552E-3</v>
      </c>
      <c r="P2923" s="92"/>
    </row>
    <row r="2924" spans="1:16" x14ac:dyDescent="0.25">
      <c r="A2924" s="29">
        <v>51</v>
      </c>
      <c r="B2924" s="30">
        <v>437930.10856199998</v>
      </c>
      <c r="C2924" s="30">
        <v>5688869.3324180003</v>
      </c>
      <c r="D2924" s="30">
        <v>27</v>
      </c>
      <c r="E2924" s="30" t="s">
        <v>24</v>
      </c>
      <c r="F2924" s="46">
        <v>2021</v>
      </c>
      <c r="G2924" s="47">
        <v>9.98E-2</v>
      </c>
      <c r="H2924" s="47">
        <f t="shared" si="319"/>
        <v>3.2037466344028209E-2</v>
      </c>
      <c r="I2924" s="47">
        <v>0</v>
      </c>
      <c r="J2924" s="47">
        <f t="shared" si="320"/>
        <v>0</v>
      </c>
      <c r="K2924" s="47">
        <v>2.5499999999999998E-2</v>
      </c>
      <c r="L2924" s="47">
        <f t="shared" si="321"/>
        <v>1.0338669237041114E-2</v>
      </c>
      <c r="M2924" s="47">
        <f t="shared" si="322"/>
        <v>2.1698797106987095E-2</v>
      </c>
      <c r="N2924" s="47">
        <v>5.1999999999999998E-3</v>
      </c>
      <c r="O2924" s="47">
        <f t="shared" si="323"/>
        <v>2.4096101903847218E-3</v>
      </c>
      <c r="P2924" s="92"/>
    </row>
    <row r="2925" spans="1:16" x14ac:dyDescent="0.25">
      <c r="A2925" s="65">
        <v>52</v>
      </c>
      <c r="B2925" s="66">
        <v>438049.10856199998</v>
      </c>
      <c r="C2925" s="66">
        <v>5688869.3324180003</v>
      </c>
      <c r="D2925" s="66">
        <v>28</v>
      </c>
      <c r="E2925" s="66" t="s">
        <v>24</v>
      </c>
      <c r="F2925" s="66">
        <v>2021</v>
      </c>
      <c r="G2925" s="66" t="s">
        <v>18</v>
      </c>
      <c r="H2925" s="66" t="s">
        <v>18</v>
      </c>
      <c r="I2925" s="66" t="s">
        <v>18</v>
      </c>
      <c r="J2925" s="66" t="s">
        <v>18</v>
      </c>
      <c r="K2925" s="66" t="s">
        <v>18</v>
      </c>
      <c r="L2925" s="66" t="s">
        <v>18</v>
      </c>
      <c r="M2925" s="66" t="s">
        <v>18</v>
      </c>
      <c r="N2925" s="66" t="s">
        <v>18</v>
      </c>
      <c r="O2925" s="66" t="s">
        <v>18</v>
      </c>
      <c r="P2925" s="105" t="s">
        <v>166</v>
      </c>
    </row>
    <row r="2926" spans="1:16" x14ac:dyDescent="0.25">
      <c r="A2926" s="89">
        <v>53</v>
      </c>
      <c r="B2926" s="90">
        <v>438287.10856199998</v>
      </c>
      <c r="C2926" s="90">
        <v>5688869.3324180003</v>
      </c>
      <c r="D2926" s="90">
        <v>28</v>
      </c>
      <c r="E2926" s="90" t="s">
        <v>24</v>
      </c>
      <c r="F2926" s="90">
        <v>2021</v>
      </c>
      <c r="G2926" s="90" t="s">
        <v>18</v>
      </c>
      <c r="H2926" s="90" t="s">
        <v>18</v>
      </c>
      <c r="I2926" s="90" t="s">
        <v>18</v>
      </c>
      <c r="J2926" s="90" t="s">
        <v>18</v>
      </c>
      <c r="K2926" s="90" t="s">
        <v>18</v>
      </c>
      <c r="L2926" s="90" t="s">
        <v>18</v>
      </c>
      <c r="M2926" s="90" t="s">
        <v>18</v>
      </c>
      <c r="N2926" s="90" t="s">
        <v>18</v>
      </c>
      <c r="O2926" s="90" t="s">
        <v>18</v>
      </c>
      <c r="P2926" s="113" t="s">
        <v>174</v>
      </c>
    </row>
    <row r="2927" spans="1:16" x14ac:dyDescent="0.25">
      <c r="A2927" s="89">
        <v>54</v>
      </c>
      <c r="B2927" s="90">
        <v>437454.10856199998</v>
      </c>
      <c r="C2927" s="90">
        <v>5688988.3324180003</v>
      </c>
      <c r="D2927" s="90">
        <v>28</v>
      </c>
      <c r="E2927" s="90" t="s">
        <v>24</v>
      </c>
      <c r="F2927" s="90">
        <v>2021</v>
      </c>
      <c r="G2927" s="90" t="s">
        <v>18</v>
      </c>
      <c r="H2927" s="90" t="s">
        <v>18</v>
      </c>
      <c r="I2927" s="90" t="s">
        <v>18</v>
      </c>
      <c r="J2927" s="90" t="s">
        <v>18</v>
      </c>
      <c r="K2927" s="90" t="s">
        <v>18</v>
      </c>
      <c r="L2927" s="90" t="s">
        <v>18</v>
      </c>
      <c r="M2927" s="90" t="s">
        <v>18</v>
      </c>
      <c r="N2927" s="90" t="s">
        <v>18</v>
      </c>
      <c r="O2927" s="90" t="s">
        <v>18</v>
      </c>
      <c r="P2927" s="113" t="s">
        <v>174</v>
      </c>
    </row>
    <row r="2928" spans="1:16" x14ac:dyDescent="0.25">
      <c r="A2928" s="89">
        <v>55</v>
      </c>
      <c r="B2928" s="90">
        <v>438049.10856199998</v>
      </c>
      <c r="C2928" s="90">
        <v>5688988.3324180003</v>
      </c>
      <c r="D2928" s="90">
        <v>28</v>
      </c>
      <c r="E2928" s="90" t="s">
        <v>24</v>
      </c>
      <c r="F2928" s="90">
        <v>2021</v>
      </c>
      <c r="G2928" s="90" t="s">
        <v>18</v>
      </c>
      <c r="H2928" s="90" t="s">
        <v>18</v>
      </c>
      <c r="I2928" s="90" t="s">
        <v>18</v>
      </c>
      <c r="J2928" s="90" t="s">
        <v>18</v>
      </c>
      <c r="K2928" s="90" t="s">
        <v>18</v>
      </c>
      <c r="L2928" s="90" t="s">
        <v>18</v>
      </c>
      <c r="M2928" s="90" t="s">
        <v>18</v>
      </c>
      <c r="N2928" s="90" t="s">
        <v>18</v>
      </c>
      <c r="O2928" s="90" t="s">
        <v>18</v>
      </c>
      <c r="P2928" s="113" t="s">
        <v>174</v>
      </c>
    </row>
    <row r="2929" spans="1:19" x14ac:dyDescent="0.25">
      <c r="A2929" s="29">
        <v>56</v>
      </c>
      <c r="B2929" s="30">
        <v>438168.10856199998</v>
      </c>
      <c r="C2929" s="30">
        <v>5688988.3324180003</v>
      </c>
      <c r="D2929" s="30">
        <v>28</v>
      </c>
      <c r="E2929" s="30" t="s">
        <v>24</v>
      </c>
      <c r="F2929" s="46">
        <v>2021</v>
      </c>
      <c r="G2929" s="47">
        <v>2.8999999999999998E-3</v>
      </c>
      <c r="H2929" s="47">
        <f t="shared" si="319"/>
        <v>9.3094842081845497E-4</v>
      </c>
      <c r="I2929" s="47">
        <v>0</v>
      </c>
      <c r="J2929" s="47">
        <f t="shared" si="320"/>
        <v>0</v>
      </c>
      <c r="K2929" s="47">
        <v>2.2000000000000001E-3</v>
      </c>
      <c r="L2929" s="47">
        <f t="shared" si="321"/>
        <v>8.91963620450606E-4</v>
      </c>
      <c r="M2929" s="47">
        <f t="shared" si="322"/>
        <v>3.8984800367848974E-5</v>
      </c>
      <c r="N2929" s="47">
        <v>0</v>
      </c>
      <c r="O2929" s="47">
        <f t="shared" si="323"/>
        <v>0</v>
      </c>
      <c r="P2929" s="92"/>
    </row>
    <row r="2930" spans="1:19" x14ac:dyDescent="0.25">
      <c r="A2930" s="40">
        <v>57</v>
      </c>
      <c r="B2930" s="41">
        <v>438146</v>
      </c>
      <c r="C2930" s="41">
        <v>5688977</v>
      </c>
      <c r="D2930" s="41">
        <v>28</v>
      </c>
      <c r="E2930" s="41" t="s">
        <v>24</v>
      </c>
      <c r="F2930" s="50">
        <v>2021</v>
      </c>
      <c r="G2930" s="51">
        <v>2.81E-2</v>
      </c>
      <c r="H2930" s="51">
        <f t="shared" si="319"/>
        <v>9.0205691810339959E-3</v>
      </c>
      <c r="I2930" s="51">
        <v>0</v>
      </c>
      <c r="J2930" s="51">
        <f t="shared" si="320"/>
        <v>0</v>
      </c>
      <c r="K2930" s="51">
        <v>3.0000000000000001E-3</v>
      </c>
      <c r="L2930" s="51">
        <f t="shared" si="321"/>
        <v>1.21631402788719E-3</v>
      </c>
      <c r="M2930" s="51">
        <f t="shared" si="322"/>
        <v>7.8042551531468055E-3</v>
      </c>
      <c r="N2930" s="51">
        <v>0</v>
      </c>
      <c r="O2930" s="51">
        <f t="shared" si="323"/>
        <v>0</v>
      </c>
      <c r="P2930" s="101"/>
    </row>
    <row r="2931" spans="1:19" x14ac:dyDescent="0.25">
      <c r="A2931" s="40">
        <v>58</v>
      </c>
      <c r="B2931" s="41">
        <v>438131</v>
      </c>
      <c r="C2931" s="41">
        <v>5688972</v>
      </c>
      <c r="D2931" s="41">
        <v>28</v>
      </c>
      <c r="E2931" s="41" t="s">
        <v>24</v>
      </c>
      <c r="F2931" s="50">
        <v>2021</v>
      </c>
      <c r="G2931" s="51">
        <v>0.1119</v>
      </c>
      <c r="H2931" s="51">
        <f t="shared" si="319"/>
        <v>3.5921768375719004E-2</v>
      </c>
      <c r="I2931" s="51">
        <v>0</v>
      </c>
      <c r="J2931" s="51">
        <f t="shared" si="320"/>
        <v>0</v>
      </c>
      <c r="K2931" s="51">
        <v>1.4800000000000001E-2</v>
      </c>
      <c r="L2931" s="51">
        <f t="shared" si="321"/>
        <v>6.0004825375768039E-3</v>
      </c>
      <c r="M2931" s="51">
        <f t="shared" si="322"/>
        <v>2.99212858381422E-2</v>
      </c>
      <c r="N2931" s="51">
        <v>0</v>
      </c>
      <c r="O2931" s="51">
        <f t="shared" si="323"/>
        <v>0</v>
      </c>
      <c r="P2931" s="101"/>
    </row>
    <row r="2932" spans="1:19" x14ac:dyDescent="0.25">
      <c r="A2932" s="40">
        <v>59</v>
      </c>
      <c r="B2932" s="41">
        <v>438089</v>
      </c>
      <c r="C2932" s="41">
        <v>5688713</v>
      </c>
      <c r="D2932" s="41">
        <v>28</v>
      </c>
      <c r="E2932" s="41" t="s">
        <v>24</v>
      </c>
      <c r="F2932" s="50">
        <v>2021</v>
      </c>
      <c r="G2932" s="51">
        <v>5.74E-2</v>
      </c>
      <c r="H2932" s="51">
        <f t="shared" si="319"/>
        <v>1.8426358398268731E-2</v>
      </c>
      <c r="I2932" s="51">
        <v>0</v>
      </c>
      <c r="J2932" s="51">
        <f t="shared" si="320"/>
        <v>0</v>
      </c>
      <c r="K2932" s="51">
        <v>7.0999999999999995E-3</v>
      </c>
      <c r="L2932" s="51">
        <f t="shared" si="321"/>
        <v>2.8786098659996828E-3</v>
      </c>
      <c r="M2932" s="51">
        <f t="shared" si="322"/>
        <v>1.5547748532269048E-2</v>
      </c>
      <c r="N2932" s="51">
        <v>0</v>
      </c>
      <c r="O2932" s="51">
        <f t="shared" si="323"/>
        <v>0</v>
      </c>
      <c r="P2932" s="101"/>
    </row>
    <row r="2933" spans="1:19" x14ac:dyDescent="0.25">
      <c r="A2933" s="40">
        <v>60</v>
      </c>
      <c r="B2933" s="41">
        <v>438099</v>
      </c>
      <c r="C2933" s="41">
        <v>5688719</v>
      </c>
      <c r="D2933" s="41">
        <v>28</v>
      </c>
      <c r="E2933" s="41" t="s">
        <v>24</v>
      </c>
      <c r="F2933" s="50">
        <v>2021</v>
      </c>
      <c r="G2933" s="51">
        <v>3.0800000000000001E-2</v>
      </c>
      <c r="H2933" s="51">
        <f t="shared" si="319"/>
        <v>9.8873142624856612E-3</v>
      </c>
      <c r="I2933" s="51">
        <v>0</v>
      </c>
      <c r="J2933" s="51">
        <f t="shared" si="320"/>
        <v>0</v>
      </c>
      <c r="K2933" s="51">
        <v>2.2600000000000002E-2</v>
      </c>
      <c r="L2933" s="51">
        <f t="shared" si="321"/>
        <v>9.1628990100834987E-3</v>
      </c>
      <c r="M2933" s="51">
        <f t="shared" si="322"/>
        <v>7.2441525240216249E-4</v>
      </c>
      <c r="N2933" s="51">
        <v>0</v>
      </c>
      <c r="O2933" s="51">
        <f t="shared" si="323"/>
        <v>0</v>
      </c>
      <c r="P2933" s="101"/>
    </row>
    <row r="2934" spans="1:19" x14ac:dyDescent="0.25">
      <c r="A2934" s="42">
        <v>1</v>
      </c>
      <c r="B2934" s="43">
        <v>437930.10856199998</v>
      </c>
      <c r="C2934" s="43">
        <v>5688036.3324180003</v>
      </c>
      <c r="D2934" s="44">
        <v>28</v>
      </c>
      <c r="E2934" s="44" t="s">
        <v>99</v>
      </c>
      <c r="F2934" s="44">
        <v>2021</v>
      </c>
      <c r="G2934" s="44" t="s">
        <v>18</v>
      </c>
      <c r="H2934" s="44" t="s">
        <v>18</v>
      </c>
      <c r="I2934" s="44" t="s">
        <v>18</v>
      </c>
      <c r="J2934" s="44" t="s">
        <v>18</v>
      </c>
      <c r="K2934" s="44" t="s">
        <v>18</v>
      </c>
      <c r="L2934" s="44" t="s">
        <v>18</v>
      </c>
      <c r="M2934" s="44" t="s">
        <v>18</v>
      </c>
      <c r="N2934" s="44" t="s">
        <v>18</v>
      </c>
      <c r="O2934" s="44" t="s">
        <v>18</v>
      </c>
      <c r="P2934" s="102" t="s">
        <v>109</v>
      </c>
      <c r="R2934" s="5">
        <f>AVERAGE(M2934:M2993)</f>
        <v>1.7126308002243761E-2</v>
      </c>
      <c r="S2934" s="5">
        <f>AVERAGE(H2934:H2993)</f>
        <v>2.1461335155141498E-2</v>
      </c>
    </row>
    <row r="2935" spans="1:19" x14ac:dyDescent="0.25">
      <c r="A2935" s="42">
        <v>2</v>
      </c>
      <c r="B2935" s="43">
        <v>437811.10856199998</v>
      </c>
      <c r="C2935" s="43">
        <v>5688155.3324180003</v>
      </c>
      <c r="D2935" s="44">
        <v>28</v>
      </c>
      <c r="E2935" s="44" t="s">
        <v>99</v>
      </c>
      <c r="F2935" s="44">
        <v>2021</v>
      </c>
      <c r="G2935" s="44" t="s">
        <v>18</v>
      </c>
      <c r="H2935" s="44" t="s">
        <v>18</v>
      </c>
      <c r="I2935" s="44" t="s">
        <v>18</v>
      </c>
      <c r="J2935" s="44" t="s">
        <v>18</v>
      </c>
      <c r="K2935" s="44" t="s">
        <v>18</v>
      </c>
      <c r="L2935" s="44" t="s">
        <v>18</v>
      </c>
      <c r="M2935" s="44" t="s">
        <v>18</v>
      </c>
      <c r="N2935" s="44" t="s">
        <v>18</v>
      </c>
      <c r="O2935" s="44" t="s">
        <v>18</v>
      </c>
      <c r="P2935" s="102" t="s">
        <v>109</v>
      </c>
    </row>
    <row r="2936" spans="1:19" x14ac:dyDescent="0.25">
      <c r="A2936" s="65">
        <v>3</v>
      </c>
      <c r="B2936" s="66">
        <v>437930.10856199998</v>
      </c>
      <c r="C2936" s="66">
        <v>5688155.3324180003</v>
      </c>
      <c r="D2936" s="66">
        <v>28</v>
      </c>
      <c r="E2936" s="66" t="s">
        <v>99</v>
      </c>
      <c r="F2936" s="66">
        <v>2021</v>
      </c>
      <c r="G2936" s="66" t="s">
        <v>18</v>
      </c>
      <c r="H2936" s="66" t="s">
        <v>18</v>
      </c>
      <c r="I2936" s="66" t="s">
        <v>18</v>
      </c>
      <c r="J2936" s="66" t="s">
        <v>18</v>
      </c>
      <c r="K2936" s="66" t="s">
        <v>18</v>
      </c>
      <c r="L2936" s="66" t="s">
        <v>18</v>
      </c>
      <c r="M2936" s="66" t="s">
        <v>18</v>
      </c>
      <c r="N2936" s="66" t="s">
        <v>18</v>
      </c>
      <c r="O2936" s="66" t="s">
        <v>18</v>
      </c>
      <c r="P2936" s="105" t="s">
        <v>166</v>
      </c>
    </row>
    <row r="2937" spans="1:19" x14ac:dyDescent="0.25">
      <c r="A2937" s="42">
        <v>4</v>
      </c>
      <c r="B2937" s="43">
        <v>438049.10856199998</v>
      </c>
      <c r="C2937" s="43">
        <v>5688155.3324180003</v>
      </c>
      <c r="D2937" s="44">
        <v>28</v>
      </c>
      <c r="E2937" s="44" t="s">
        <v>99</v>
      </c>
      <c r="F2937" s="44">
        <v>2021</v>
      </c>
      <c r="G2937" s="44" t="s">
        <v>18</v>
      </c>
      <c r="H2937" s="44" t="s">
        <v>18</v>
      </c>
      <c r="I2937" s="44" t="s">
        <v>18</v>
      </c>
      <c r="J2937" s="44" t="s">
        <v>18</v>
      </c>
      <c r="K2937" s="44" t="s">
        <v>18</v>
      </c>
      <c r="L2937" s="44" t="s">
        <v>18</v>
      </c>
      <c r="M2937" s="44" t="s">
        <v>18</v>
      </c>
      <c r="N2937" s="44" t="s">
        <v>18</v>
      </c>
      <c r="O2937" s="44" t="s">
        <v>18</v>
      </c>
      <c r="P2937" s="102" t="s">
        <v>109</v>
      </c>
    </row>
    <row r="2938" spans="1:19" x14ac:dyDescent="0.25">
      <c r="A2938" s="42">
        <v>5</v>
      </c>
      <c r="B2938" s="43">
        <v>437573.10856199998</v>
      </c>
      <c r="C2938" s="43">
        <v>5688274.3324180003</v>
      </c>
      <c r="D2938" s="44">
        <v>28</v>
      </c>
      <c r="E2938" s="44" t="s">
        <v>99</v>
      </c>
      <c r="F2938" s="44">
        <v>2021</v>
      </c>
      <c r="G2938" s="44" t="s">
        <v>18</v>
      </c>
      <c r="H2938" s="44" t="s">
        <v>18</v>
      </c>
      <c r="I2938" s="44" t="s">
        <v>18</v>
      </c>
      <c r="J2938" s="44" t="s">
        <v>18</v>
      </c>
      <c r="K2938" s="44" t="s">
        <v>18</v>
      </c>
      <c r="L2938" s="44" t="s">
        <v>18</v>
      </c>
      <c r="M2938" s="44" t="s">
        <v>18</v>
      </c>
      <c r="N2938" s="44" t="s">
        <v>18</v>
      </c>
      <c r="O2938" s="44" t="s">
        <v>18</v>
      </c>
      <c r="P2938" s="102" t="s">
        <v>109</v>
      </c>
    </row>
    <row r="2939" spans="1:19" x14ac:dyDescent="0.25">
      <c r="A2939" s="89">
        <v>6</v>
      </c>
      <c r="B2939" s="90">
        <v>437692.10856199998</v>
      </c>
      <c r="C2939" s="90">
        <v>5688274.3324180003</v>
      </c>
      <c r="D2939" s="90">
        <v>28</v>
      </c>
      <c r="E2939" s="90" t="s">
        <v>99</v>
      </c>
      <c r="F2939" s="90">
        <v>2021</v>
      </c>
      <c r="G2939" s="90" t="s">
        <v>18</v>
      </c>
      <c r="H2939" s="90" t="s">
        <v>18</v>
      </c>
      <c r="I2939" s="90" t="s">
        <v>18</v>
      </c>
      <c r="J2939" s="90" t="s">
        <v>18</v>
      </c>
      <c r="K2939" s="90" t="s">
        <v>18</v>
      </c>
      <c r="L2939" s="90" t="s">
        <v>18</v>
      </c>
      <c r="M2939" s="90" t="s">
        <v>18</v>
      </c>
      <c r="N2939" s="90" t="s">
        <v>18</v>
      </c>
      <c r="O2939" s="90" t="s">
        <v>18</v>
      </c>
      <c r="P2939" s="113" t="s">
        <v>174</v>
      </c>
    </row>
    <row r="2940" spans="1:19" x14ac:dyDescent="0.25">
      <c r="A2940" s="65">
        <v>7</v>
      </c>
      <c r="B2940" s="66">
        <v>437811.10856199998</v>
      </c>
      <c r="C2940" s="66">
        <v>5688274.3324180003</v>
      </c>
      <c r="D2940" s="66">
        <v>28</v>
      </c>
      <c r="E2940" s="66" t="s">
        <v>99</v>
      </c>
      <c r="F2940" s="66">
        <v>2021</v>
      </c>
      <c r="G2940" s="66" t="s">
        <v>18</v>
      </c>
      <c r="H2940" s="66" t="s">
        <v>18</v>
      </c>
      <c r="I2940" s="66" t="s">
        <v>18</v>
      </c>
      <c r="J2940" s="66" t="s">
        <v>18</v>
      </c>
      <c r="K2940" s="66" t="s">
        <v>18</v>
      </c>
      <c r="L2940" s="66" t="s">
        <v>18</v>
      </c>
      <c r="M2940" s="66" t="s">
        <v>18</v>
      </c>
      <c r="N2940" s="66" t="s">
        <v>18</v>
      </c>
      <c r="O2940" s="66" t="s">
        <v>18</v>
      </c>
      <c r="P2940" s="105" t="s">
        <v>166</v>
      </c>
    </row>
    <row r="2941" spans="1:19" x14ac:dyDescent="0.25">
      <c r="A2941" s="42">
        <v>8</v>
      </c>
      <c r="B2941" s="43">
        <v>437930.10856199998</v>
      </c>
      <c r="C2941" s="43">
        <v>5688274.3324180003</v>
      </c>
      <c r="D2941" s="44">
        <v>28</v>
      </c>
      <c r="E2941" s="44" t="s">
        <v>99</v>
      </c>
      <c r="F2941" s="44">
        <v>2021</v>
      </c>
      <c r="G2941" s="44" t="s">
        <v>18</v>
      </c>
      <c r="H2941" s="44" t="s">
        <v>18</v>
      </c>
      <c r="I2941" s="44" t="s">
        <v>18</v>
      </c>
      <c r="J2941" s="44" t="s">
        <v>18</v>
      </c>
      <c r="K2941" s="44" t="s">
        <v>18</v>
      </c>
      <c r="L2941" s="44" t="s">
        <v>18</v>
      </c>
      <c r="M2941" s="44" t="s">
        <v>18</v>
      </c>
      <c r="N2941" s="44" t="s">
        <v>18</v>
      </c>
      <c r="O2941" s="44" t="s">
        <v>18</v>
      </c>
      <c r="P2941" s="102" t="s">
        <v>109</v>
      </c>
    </row>
    <row r="2942" spans="1:19" x14ac:dyDescent="0.25">
      <c r="A2942" s="89">
        <v>9</v>
      </c>
      <c r="B2942" s="90">
        <v>438287.10856199998</v>
      </c>
      <c r="C2942" s="90">
        <v>5688274.3324180003</v>
      </c>
      <c r="D2942" s="90">
        <v>28</v>
      </c>
      <c r="E2942" s="90" t="s">
        <v>99</v>
      </c>
      <c r="F2942" s="90">
        <v>2021</v>
      </c>
      <c r="G2942" s="90" t="s">
        <v>18</v>
      </c>
      <c r="H2942" s="90" t="s">
        <v>18</v>
      </c>
      <c r="I2942" s="90" t="s">
        <v>18</v>
      </c>
      <c r="J2942" s="90" t="s">
        <v>18</v>
      </c>
      <c r="K2942" s="90" t="s">
        <v>18</v>
      </c>
      <c r="L2942" s="90" t="s">
        <v>18</v>
      </c>
      <c r="M2942" s="90" t="s">
        <v>18</v>
      </c>
      <c r="N2942" s="90" t="s">
        <v>18</v>
      </c>
      <c r="O2942" s="90" t="s">
        <v>18</v>
      </c>
      <c r="P2942" s="113" t="s">
        <v>174</v>
      </c>
    </row>
    <row r="2943" spans="1:19" x14ac:dyDescent="0.25">
      <c r="A2943" s="29">
        <v>10</v>
      </c>
      <c r="B2943" s="30">
        <v>438406.10856199998</v>
      </c>
      <c r="C2943" s="30">
        <v>5688274.3324180003</v>
      </c>
      <c r="D2943" s="30">
        <v>28</v>
      </c>
      <c r="E2943" s="30" t="s">
        <v>99</v>
      </c>
      <c r="F2943" s="46">
        <v>2021</v>
      </c>
      <c r="G2943" s="47">
        <v>0.11309999999999999</v>
      </c>
      <c r="H2943" s="47">
        <f>G2943*0.296672306943408</f>
        <v>3.3553637915299445E-2</v>
      </c>
      <c r="I2943" s="47">
        <v>0</v>
      </c>
      <c r="J2943" s="47">
        <f>I2943*0.438235294117647</f>
        <v>0</v>
      </c>
      <c r="K2943" s="47">
        <v>1.4E-3</v>
      </c>
      <c r="L2943" s="47">
        <f>K2943*0.329984544049459</f>
        <v>4.6197836166924256E-4</v>
      </c>
      <c r="M2943" s="47">
        <f t="shared" ref="M2943:M2993" si="324">H2943-L2943</f>
        <v>3.30916595536302E-2</v>
      </c>
      <c r="N2943" s="47">
        <v>0</v>
      </c>
      <c r="O2943" s="47">
        <f>N2943*0.514285714285714</f>
        <v>0</v>
      </c>
      <c r="P2943" s="92"/>
    </row>
    <row r="2944" spans="1:19" x14ac:dyDescent="0.25">
      <c r="A2944" s="42">
        <v>11</v>
      </c>
      <c r="B2944" s="43">
        <v>437454.10856199998</v>
      </c>
      <c r="C2944" s="43">
        <v>5688393.3324180003</v>
      </c>
      <c r="D2944" s="44">
        <v>28</v>
      </c>
      <c r="E2944" s="44" t="s">
        <v>99</v>
      </c>
      <c r="F2944" s="44">
        <v>2021</v>
      </c>
      <c r="G2944" s="44" t="s">
        <v>18</v>
      </c>
      <c r="H2944" s="44" t="s">
        <v>18</v>
      </c>
      <c r="I2944" s="44" t="s">
        <v>18</v>
      </c>
      <c r="J2944" s="44" t="s">
        <v>18</v>
      </c>
      <c r="K2944" s="44" t="s">
        <v>18</v>
      </c>
      <c r="L2944" s="44" t="s">
        <v>18</v>
      </c>
      <c r="M2944" s="44" t="s">
        <v>18</v>
      </c>
      <c r="N2944" s="44" t="s">
        <v>18</v>
      </c>
      <c r="O2944" s="44" t="s">
        <v>18</v>
      </c>
      <c r="P2944" s="102" t="s">
        <v>109</v>
      </c>
    </row>
    <row r="2945" spans="1:16" x14ac:dyDescent="0.25">
      <c r="A2945" s="29">
        <v>12</v>
      </c>
      <c r="B2945" s="30">
        <v>437573.10856199998</v>
      </c>
      <c r="C2945" s="30">
        <v>5688393.3324180003</v>
      </c>
      <c r="D2945" s="30">
        <v>27</v>
      </c>
      <c r="E2945" s="30" t="s">
        <v>99</v>
      </c>
      <c r="F2945" s="46">
        <v>2021</v>
      </c>
      <c r="G2945" s="47">
        <v>9.4399999999999998E-2</v>
      </c>
      <c r="H2945" s="47">
        <f>G2945*0.231454175908149</f>
        <v>2.1849274205729265E-2</v>
      </c>
      <c r="I2945" s="47">
        <v>4.19E-2</v>
      </c>
      <c r="J2945" s="47">
        <f>I2945*0.312368411515441</f>
        <v>1.3088236442496976E-2</v>
      </c>
      <c r="K2945" s="47">
        <v>1.83E-2</v>
      </c>
      <c r="L2945" s="47">
        <f>K2945*0.28512222642119</f>
        <v>5.2177367435077768E-3</v>
      </c>
      <c r="M2945" s="47">
        <f t="shared" si="324"/>
        <v>1.6631537462221489E-2</v>
      </c>
      <c r="N2945" s="47">
        <v>0</v>
      </c>
      <c r="O2945" s="47">
        <f>N2945*0.341322797618728</f>
        <v>0</v>
      </c>
      <c r="P2945" s="92"/>
    </row>
    <row r="2946" spans="1:16" x14ac:dyDescent="0.25">
      <c r="A2946" s="29">
        <v>13</v>
      </c>
      <c r="B2946" s="30">
        <v>437692.10856199998</v>
      </c>
      <c r="C2946" s="30">
        <v>5688393.3324180003</v>
      </c>
      <c r="D2946" s="30">
        <v>27</v>
      </c>
      <c r="E2946" s="30" t="s">
        <v>99</v>
      </c>
      <c r="F2946" s="46">
        <v>2021</v>
      </c>
      <c r="G2946" s="47">
        <v>0.16309999999999999</v>
      </c>
      <c r="H2946" s="47">
        <f>G2946*0.231454175908149</f>
        <v>3.7750176090619106E-2</v>
      </c>
      <c r="I2946" s="47">
        <v>0</v>
      </c>
      <c r="J2946" s="47">
        <f>I2946*0.312368411515441</f>
        <v>0</v>
      </c>
      <c r="K2946" s="47">
        <v>2.9100000000000001E-2</v>
      </c>
      <c r="L2946" s="47">
        <f>K2946*0.28512222642119</f>
        <v>8.2970567888566299E-3</v>
      </c>
      <c r="M2946" s="47">
        <f t="shared" si="324"/>
        <v>2.9453119301762476E-2</v>
      </c>
      <c r="N2946" s="47">
        <v>0</v>
      </c>
      <c r="O2946" s="47">
        <f>N2946*0.341322797618728</f>
        <v>0</v>
      </c>
      <c r="P2946" s="92"/>
    </row>
    <row r="2947" spans="1:16" x14ac:dyDescent="0.25">
      <c r="A2947" s="32">
        <v>14</v>
      </c>
      <c r="B2947" s="33">
        <v>437811.10856199998</v>
      </c>
      <c r="C2947" s="33">
        <v>5688393.3324180003</v>
      </c>
      <c r="D2947" s="48">
        <v>28</v>
      </c>
      <c r="E2947" s="48" t="s">
        <v>99</v>
      </c>
      <c r="F2947" s="48">
        <v>2021</v>
      </c>
      <c r="G2947" s="48" t="s">
        <v>18</v>
      </c>
      <c r="H2947" s="48" t="s">
        <v>18</v>
      </c>
      <c r="I2947" s="48" t="s">
        <v>18</v>
      </c>
      <c r="J2947" s="48" t="s">
        <v>18</v>
      </c>
      <c r="K2947" s="48" t="s">
        <v>18</v>
      </c>
      <c r="L2947" s="48" t="s">
        <v>18</v>
      </c>
      <c r="M2947" s="48" t="s">
        <v>18</v>
      </c>
      <c r="N2947" s="48" t="s">
        <v>18</v>
      </c>
      <c r="O2947" s="48" t="s">
        <v>18</v>
      </c>
      <c r="P2947" s="103" t="s">
        <v>89</v>
      </c>
    </row>
    <row r="2948" spans="1:16" x14ac:dyDescent="0.25">
      <c r="A2948" s="29">
        <v>15</v>
      </c>
      <c r="B2948" s="30">
        <v>437930.10856199998</v>
      </c>
      <c r="C2948" s="30">
        <v>5688393.3324180003</v>
      </c>
      <c r="D2948" s="30">
        <v>28</v>
      </c>
      <c r="E2948" s="30" t="s">
        <v>99</v>
      </c>
      <c r="F2948" s="46">
        <v>2021</v>
      </c>
      <c r="G2948" s="47">
        <v>6.1799999999999994E-2</v>
      </c>
      <c r="H2948" s="47">
        <f>G2948*0.296672306943408</f>
        <v>1.8334348569102613E-2</v>
      </c>
      <c r="I2948" s="47">
        <v>3.3299999999999996E-2</v>
      </c>
      <c r="J2948" s="47">
        <f>I2948*0.438235294117647</f>
        <v>1.4593235294117643E-2</v>
      </c>
      <c r="K2948" s="47">
        <v>3.2199999999999999E-2</v>
      </c>
      <c r="L2948" s="47">
        <f>K2948*0.329984544049459</f>
        <v>1.062550231839258E-2</v>
      </c>
      <c r="M2948" s="47">
        <f t="shared" si="324"/>
        <v>7.7088462507100327E-3</v>
      </c>
      <c r="N2948" s="47">
        <v>3.0999999999999999E-3</v>
      </c>
      <c r="O2948" s="47">
        <f>N2948*0.514285714285714</f>
        <v>1.5942857142857134E-3</v>
      </c>
      <c r="P2948" s="92"/>
    </row>
    <row r="2949" spans="1:16" x14ac:dyDescent="0.25">
      <c r="A2949" s="29">
        <v>16</v>
      </c>
      <c r="B2949" s="30">
        <v>438049.10856199998</v>
      </c>
      <c r="C2949" s="30">
        <v>5688393.3324180003</v>
      </c>
      <c r="D2949" s="30">
        <v>28</v>
      </c>
      <c r="E2949" s="30" t="s">
        <v>99</v>
      </c>
      <c r="F2949" s="46">
        <v>2021</v>
      </c>
      <c r="G2949" s="47">
        <v>0.14580000000000001</v>
      </c>
      <c r="H2949" s="47">
        <f>G2949*0.296672306943408</f>
        <v>4.3254822352348891E-2</v>
      </c>
      <c r="I2949" s="47">
        <v>0</v>
      </c>
      <c r="J2949" s="47">
        <f>I2949*0.438235294117647</f>
        <v>0</v>
      </c>
      <c r="K2949" s="47">
        <v>3.5799999999999998E-2</v>
      </c>
      <c r="L2949" s="47">
        <f>K2949*0.329984544049459</f>
        <v>1.1813446676970631E-2</v>
      </c>
      <c r="M2949" s="47">
        <f>H2949-L2949</f>
        <v>3.1441375675378261E-2</v>
      </c>
      <c r="N2949" s="47">
        <v>0</v>
      </c>
      <c r="O2949" s="47">
        <f>N2949*0.514285714285714</f>
        <v>0</v>
      </c>
      <c r="P2949" s="92"/>
    </row>
    <row r="2950" spans="1:16" x14ac:dyDescent="0.25">
      <c r="A2950" s="29">
        <v>17</v>
      </c>
      <c r="B2950" s="30">
        <v>438168.10856199998</v>
      </c>
      <c r="C2950" s="30">
        <v>5688393.3324180003</v>
      </c>
      <c r="D2950" s="30">
        <v>28</v>
      </c>
      <c r="E2950" s="30" t="s">
        <v>99</v>
      </c>
      <c r="F2950" s="46">
        <v>2021</v>
      </c>
      <c r="G2950" s="47">
        <v>9.06E-2</v>
      </c>
      <c r="H2950" s="47">
        <f>G2950*0.296672306943408</f>
        <v>2.6878511009072768E-2</v>
      </c>
      <c r="I2950" s="47">
        <v>0</v>
      </c>
      <c r="J2950" s="47">
        <f>I2950*0.438235294117647</f>
        <v>0</v>
      </c>
      <c r="K2950" s="47">
        <v>1.55E-2</v>
      </c>
      <c r="L2950" s="47">
        <f>K2950*0.329984544049459</f>
        <v>5.1147604327666145E-3</v>
      </c>
      <c r="M2950" s="47">
        <f t="shared" si="324"/>
        <v>2.1763750576306154E-2</v>
      </c>
      <c r="N2950" s="47">
        <v>0</v>
      </c>
      <c r="O2950" s="47">
        <f>N2950*0.514285714285714</f>
        <v>0</v>
      </c>
      <c r="P2950" s="92"/>
    </row>
    <row r="2951" spans="1:16" x14ac:dyDescent="0.25">
      <c r="A2951" s="29">
        <v>18</v>
      </c>
      <c r="B2951" s="30">
        <v>438287.10856199998</v>
      </c>
      <c r="C2951" s="30">
        <v>5688393.3324180003</v>
      </c>
      <c r="D2951" s="30">
        <v>28</v>
      </c>
      <c r="E2951" s="30" t="s">
        <v>99</v>
      </c>
      <c r="F2951" s="46">
        <v>2021</v>
      </c>
      <c r="G2951" s="47">
        <v>6.8099999999999994E-2</v>
      </c>
      <c r="H2951" s="47">
        <f>G2951*0.296672306943408</f>
        <v>2.0203384102846084E-2</v>
      </c>
      <c r="I2951" s="47">
        <v>0</v>
      </c>
      <c r="J2951" s="47">
        <f>I2951*0.438235294117647</f>
        <v>0</v>
      </c>
      <c r="K2951" s="47">
        <v>1.5699999999999999E-2</v>
      </c>
      <c r="L2951" s="47">
        <f>K2951*0.329984544049459</f>
        <v>5.1807573415765052E-3</v>
      </c>
      <c r="M2951" s="47">
        <f t="shared" si="324"/>
        <v>1.5022626761269579E-2</v>
      </c>
      <c r="N2951" s="47">
        <v>5.9999999999999995E-4</v>
      </c>
      <c r="O2951" s="47">
        <f>N2951*0.514285714285714</f>
        <v>3.085714285714284E-4</v>
      </c>
      <c r="P2951" s="92"/>
    </row>
    <row r="2952" spans="1:16" x14ac:dyDescent="0.25">
      <c r="A2952" s="29">
        <v>19</v>
      </c>
      <c r="B2952" s="30">
        <v>438406.10856199998</v>
      </c>
      <c r="C2952" s="30">
        <v>5688393.3324180003</v>
      </c>
      <c r="D2952" s="30">
        <v>28</v>
      </c>
      <c r="E2952" s="30" t="s">
        <v>99</v>
      </c>
      <c r="F2952" s="46">
        <v>2021</v>
      </c>
      <c r="G2952" s="47">
        <v>3.78E-2</v>
      </c>
      <c r="H2952" s="47">
        <f>G2952*0.296672306943408</f>
        <v>1.1214213202460823E-2</v>
      </c>
      <c r="I2952" s="47">
        <v>3.2000000000000002E-3</v>
      </c>
      <c r="J2952" s="47">
        <f>I2952*0.438235294117647</f>
        <v>1.4023529411764705E-3</v>
      </c>
      <c r="K2952" s="47">
        <v>4.9000000000000007E-3</v>
      </c>
      <c r="L2952" s="47">
        <f>K2952*0.329984544049459</f>
        <v>1.6169242658423493E-3</v>
      </c>
      <c r="M2952" s="47">
        <f t="shared" si="324"/>
        <v>9.5972889366184744E-3</v>
      </c>
      <c r="N2952" s="47">
        <v>0</v>
      </c>
      <c r="O2952" s="47">
        <f>N2952*0.514285714285714</f>
        <v>0</v>
      </c>
      <c r="P2952" s="92"/>
    </row>
    <row r="2953" spans="1:16" x14ac:dyDescent="0.25">
      <c r="A2953" s="42">
        <v>20</v>
      </c>
      <c r="B2953" s="43">
        <v>437335.10856199998</v>
      </c>
      <c r="C2953" s="43">
        <v>5688512.3324180003</v>
      </c>
      <c r="D2953" s="44">
        <v>28</v>
      </c>
      <c r="E2953" s="44" t="s">
        <v>99</v>
      </c>
      <c r="F2953" s="44">
        <v>2021</v>
      </c>
      <c r="G2953" s="44" t="s">
        <v>18</v>
      </c>
      <c r="H2953" s="44" t="s">
        <v>18</v>
      </c>
      <c r="I2953" s="44" t="s">
        <v>18</v>
      </c>
      <c r="J2953" s="44" t="s">
        <v>18</v>
      </c>
      <c r="K2953" s="44" t="s">
        <v>18</v>
      </c>
      <c r="L2953" s="44" t="s">
        <v>18</v>
      </c>
      <c r="M2953" s="44" t="s">
        <v>18</v>
      </c>
      <c r="N2953" s="44" t="s">
        <v>18</v>
      </c>
      <c r="O2953" s="44" t="s">
        <v>18</v>
      </c>
      <c r="P2953" s="102" t="s">
        <v>109</v>
      </c>
    </row>
    <row r="2954" spans="1:16" x14ac:dyDescent="0.25">
      <c r="A2954" s="29">
        <v>21</v>
      </c>
      <c r="B2954" s="30">
        <v>437454.10856199998</v>
      </c>
      <c r="C2954" s="30">
        <v>5688512.3324180003</v>
      </c>
      <c r="D2954" s="30">
        <v>26</v>
      </c>
      <c r="E2954" s="30" t="s">
        <v>99</v>
      </c>
      <c r="F2954" s="46">
        <v>2021</v>
      </c>
      <c r="G2954" s="47">
        <v>8.8999999999999999E-3</v>
      </c>
      <c r="H2954" s="47">
        <f>G2954*0.257164297098286</f>
        <v>2.2887622441747453E-3</v>
      </c>
      <c r="I2954" s="47">
        <v>0</v>
      </c>
      <c r="J2954" s="47">
        <f>I2954*0.382716049382716</f>
        <v>0</v>
      </c>
      <c r="K2954" s="47">
        <v>3.2000000000000002E-3</v>
      </c>
      <c r="L2954" s="47">
        <f>K2954*0.262599469496021</f>
        <v>8.4031830238726719E-4</v>
      </c>
      <c r="M2954" s="47">
        <f t="shared" si="324"/>
        <v>1.4484439417874781E-3</v>
      </c>
      <c r="N2954" s="47">
        <v>0</v>
      </c>
      <c r="O2954" s="47">
        <f>N2954*0.513888888888889</f>
        <v>0</v>
      </c>
      <c r="P2954" s="92"/>
    </row>
    <row r="2955" spans="1:16" x14ac:dyDescent="0.25">
      <c r="A2955" s="29">
        <v>22</v>
      </c>
      <c r="B2955" s="30">
        <v>437573.10856199998</v>
      </c>
      <c r="C2955" s="30">
        <v>5688512.3324180003</v>
      </c>
      <c r="D2955" s="30">
        <v>27</v>
      </c>
      <c r="E2955" s="30" t="s">
        <v>99</v>
      </c>
      <c r="F2955" s="46">
        <v>2021</v>
      </c>
      <c r="G2955" s="46" t="s">
        <v>18</v>
      </c>
      <c r="H2955" s="46" t="s">
        <v>18</v>
      </c>
      <c r="I2955" s="46" t="s">
        <v>18</v>
      </c>
      <c r="J2955" s="46" t="s">
        <v>18</v>
      </c>
      <c r="K2955" s="47">
        <v>5.5500000000000001E-2</v>
      </c>
      <c r="L2955" s="47">
        <f>K2955*0.28512222642119</f>
        <v>1.5824283566376045E-2</v>
      </c>
      <c r="M2955" s="46" t="s">
        <v>18</v>
      </c>
      <c r="N2955" s="47">
        <v>3.15E-2</v>
      </c>
      <c r="O2955" s="47">
        <f>N2955*0.341322797618728</f>
        <v>1.0751668124989932E-2</v>
      </c>
      <c r="P2955" s="92" t="s">
        <v>177</v>
      </c>
    </row>
    <row r="2956" spans="1:16" x14ac:dyDescent="0.25">
      <c r="A2956" s="29">
        <v>23</v>
      </c>
      <c r="B2956" s="30">
        <v>437692.10856199998</v>
      </c>
      <c r="C2956" s="30">
        <v>5688512.3324180003</v>
      </c>
      <c r="D2956" s="30">
        <v>27</v>
      </c>
      <c r="E2956" s="30" t="s">
        <v>99</v>
      </c>
      <c r="F2956" s="46">
        <v>2021</v>
      </c>
      <c r="G2956" s="47">
        <v>0.1913</v>
      </c>
      <c r="H2956" s="47">
        <f t="shared" ref="H2956:H2959" si="325">G2956*0.231454175908149</f>
        <v>4.4277183851228905E-2</v>
      </c>
      <c r="I2956" s="47">
        <v>1.06E-2</v>
      </c>
      <c r="J2956" s="47">
        <f>I2956*0.312368411515441</f>
        <v>3.3111051620636745E-3</v>
      </c>
      <c r="K2956" s="47">
        <v>4.5399999999999996E-2</v>
      </c>
      <c r="L2956" s="47">
        <f>K2956*0.28512222642119</f>
        <v>1.2944549079522026E-2</v>
      </c>
      <c r="M2956" s="47">
        <f t="shared" si="324"/>
        <v>3.1332634771706877E-2</v>
      </c>
      <c r="N2956" s="47">
        <v>7.7000000000000002E-3</v>
      </c>
      <c r="O2956" s="47">
        <f>N2956*0.341322797618728</f>
        <v>2.628185541664206E-3</v>
      </c>
      <c r="P2956" s="92"/>
    </row>
    <row r="2957" spans="1:16" x14ac:dyDescent="0.25">
      <c r="A2957" s="29">
        <v>24</v>
      </c>
      <c r="B2957" s="30">
        <v>437811.10856199998</v>
      </c>
      <c r="C2957" s="30">
        <v>5688512.3324180003</v>
      </c>
      <c r="D2957" s="30">
        <v>27</v>
      </c>
      <c r="E2957" s="30" t="s">
        <v>99</v>
      </c>
      <c r="F2957" s="46">
        <v>2021</v>
      </c>
      <c r="G2957" s="47">
        <v>0.1022</v>
      </c>
      <c r="H2957" s="47">
        <f t="shared" si="325"/>
        <v>2.3654616777812828E-2</v>
      </c>
      <c r="I2957" s="47">
        <v>0</v>
      </c>
      <c r="J2957" s="47">
        <f>I2957*0.312368411515441</f>
        <v>0</v>
      </c>
      <c r="K2957" s="47">
        <v>3.8800000000000001E-2</v>
      </c>
      <c r="L2957" s="47">
        <f>K2957*0.28512222642119</f>
        <v>1.1062742385142172E-2</v>
      </c>
      <c r="M2957" s="47">
        <f t="shared" si="324"/>
        <v>1.2591874392670656E-2</v>
      </c>
      <c r="N2957" s="47">
        <v>2.3699999999999999E-2</v>
      </c>
      <c r="O2957" s="47">
        <f>N2957*0.341322797618728</f>
        <v>8.0893503035638532E-3</v>
      </c>
      <c r="P2957" s="92"/>
    </row>
    <row r="2958" spans="1:16" x14ac:dyDescent="0.25">
      <c r="A2958" s="29">
        <v>25</v>
      </c>
      <c r="B2958" s="46">
        <v>437995</v>
      </c>
      <c r="C2958" s="46">
        <v>5688493</v>
      </c>
      <c r="D2958" s="30">
        <v>27</v>
      </c>
      <c r="E2958" s="30" t="s">
        <v>99</v>
      </c>
      <c r="F2958" s="46">
        <v>2021</v>
      </c>
      <c r="G2958" s="47">
        <v>0.1108</v>
      </c>
      <c r="H2958" s="47">
        <f t="shared" si="325"/>
        <v>2.5645122690622909E-2</v>
      </c>
      <c r="I2958" s="47">
        <v>9.1399999999999995E-2</v>
      </c>
      <c r="J2958" s="47">
        <f>I2958*0.312368411515441</f>
        <v>2.8550472812511305E-2</v>
      </c>
      <c r="K2958" s="47">
        <v>3.0699999999999998E-2</v>
      </c>
      <c r="L2958" s="47">
        <f>K2958*0.28512222642119</f>
        <v>8.7532523511305322E-3</v>
      </c>
      <c r="M2958" s="47">
        <f t="shared" si="324"/>
        <v>1.6891870339492375E-2</v>
      </c>
      <c r="N2958" s="47">
        <v>0</v>
      </c>
      <c r="O2958" s="47">
        <f>N2958*0.341322797618728</f>
        <v>0</v>
      </c>
      <c r="P2958" s="92"/>
    </row>
    <row r="2959" spans="1:16" x14ac:dyDescent="0.25">
      <c r="A2959" s="29">
        <v>26</v>
      </c>
      <c r="B2959" s="46">
        <v>438112</v>
      </c>
      <c r="C2959" s="46">
        <v>5688567</v>
      </c>
      <c r="D2959" s="30">
        <v>27</v>
      </c>
      <c r="E2959" s="30" t="s">
        <v>99</v>
      </c>
      <c r="F2959" s="46">
        <v>2021</v>
      </c>
      <c r="G2959" s="47">
        <v>0.12840000000000001</v>
      </c>
      <c r="H2959" s="47">
        <f t="shared" si="325"/>
        <v>2.9718716186606337E-2</v>
      </c>
      <c r="I2959" s="47">
        <v>0</v>
      </c>
      <c r="J2959" s="47">
        <f>I2959*0.312368411515441</f>
        <v>0</v>
      </c>
      <c r="K2959" s="47">
        <v>1.09E-2</v>
      </c>
      <c r="L2959" s="47">
        <f>K2959*0.28512222642119</f>
        <v>3.107832267990971E-3</v>
      </c>
      <c r="M2959" s="47">
        <f t="shared" si="324"/>
        <v>2.6610883918615366E-2</v>
      </c>
      <c r="N2959" s="47">
        <v>7.0999999999999995E-3</v>
      </c>
      <c r="O2959" s="47">
        <f>N2959*0.341322797618728</f>
        <v>2.4233918630929686E-3</v>
      </c>
      <c r="P2959" s="92"/>
    </row>
    <row r="2960" spans="1:16" x14ac:dyDescent="0.25">
      <c r="A2960" s="32">
        <v>27</v>
      </c>
      <c r="B2960" s="33">
        <v>438168.10856199998</v>
      </c>
      <c r="C2960" s="33">
        <v>5688512.3324180003</v>
      </c>
      <c r="D2960" s="48">
        <v>28</v>
      </c>
      <c r="E2960" s="48" t="s">
        <v>99</v>
      </c>
      <c r="F2960" s="48">
        <v>2021</v>
      </c>
      <c r="G2960" s="48" t="s">
        <v>18</v>
      </c>
      <c r="H2960" s="48" t="s">
        <v>18</v>
      </c>
      <c r="I2960" s="48" t="s">
        <v>18</v>
      </c>
      <c r="J2960" s="48" t="s">
        <v>18</v>
      </c>
      <c r="K2960" s="48" t="s">
        <v>18</v>
      </c>
      <c r="L2960" s="48" t="s">
        <v>18</v>
      </c>
      <c r="M2960" s="48" t="s">
        <v>18</v>
      </c>
      <c r="N2960" s="48" t="s">
        <v>18</v>
      </c>
      <c r="O2960" s="48" t="s">
        <v>18</v>
      </c>
      <c r="P2960" s="103" t="s">
        <v>89</v>
      </c>
    </row>
    <row r="2961" spans="1:16" x14ac:dyDescent="0.25">
      <c r="A2961" s="32">
        <v>28</v>
      </c>
      <c r="B2961" s="33">
        <v>438287.10856199998</v>
      </c>
      <c r="C2961" s="33">
        <v>5688512.3324180003</v>
      </c>
      <c r="D2961" s="48">
        <v>28</v>
      </c>
      <c r="E2961" s="48" t="s">
        <v>99</v>
      </c>
      <c r="F2961" s="48">
        <v>2021</v>
      </c>
      <c r="G2961" s="48" t="s">
        <v>18</v>
      </c>
      <c r="H2961" s="48" t="s">
        <v>18</v>
      </c>
      <c r="I2961" s="48" t="s">
        <v>18</v>
      </c>
      <c r="J2961" s="48" t="s">
        <v>18</v>
      </c>
      <c r="K2961" s="48" t="s">
        <v>18</v>
      </c>
      <c r="L2961" s="48" t="s">
        <v>18</v>
      </c>
      <c r="M2961" s="48" t="s">
        <v>18</v>
      </c>
      <c r="N2961" s="48" t="s">
        <v>18</v>
      </c>
      <c r="O2961" s="48" t="s">
        <v>18</v>
      </c>
      <c r="P2961" s="103" t="s">
        <v>89</v>
      </c>
    </row>
    <row r="2962" spans="1:16" x14ac:dyDescent="0.25">
      <c r="A2962" s="29">
        <v>29</v>
      </c>
      <c r="B2962" s="30">
        <v>438381</v>
      </c>
      <c r="C2962" s="30">
        <v>5688526</v>
      </c>
      <c r="D2962" s="30">
        <v>28</v>
      </c>
      <c r="E2962" s="30" t="s">
        <v>99</v>
      </c>
      <c r="F2962" s="46">
        <v>2021</v>
      </c>
      <c r="G2962" s="47">
        <v>4.7E-2</v>
      </c>
      <c r="H2962" s="47">
        <f>G2962*0.296672306943408</f>
        <v>1.3943598426340176E-2</v>
      </c>
      <c r="I2962" s="47">
        <v>0</v>
      </c>
      <c r="J2962" s="47">
        <f>I2962*0.438235294117647</f>
        <v>0</v>
      </c>
      <c r="K2962" s="47">
        <v>7.0999999999999995E-3</v>
      </c>
      <c r="L2962" s="47">
        <f>K2962*0.329984544049459</f>
        <v>2.3428902627511588E-3</v>
      </c>
      <c r="M2962" s="47">
        <f t="shared" si="324"/>
        <v>1.1600708163589019E-2</v>
      </c>
      <c r="N2962" s="47">
        <v>0</v>
      </c>
      <c r="O2962" s="47">
        <f>N2962*0.514285714285714</f>
        <v>0</v>
      </c>
      <c r="P2962" s="92"/>
    </row>
    <row r="2963" spans="1:16" x14ac:dyDescent="0.25">
      <c r="A2963" s="29">
        <v>30</v>
      </c>
      <c r="B2963" s="30">
        <v>438525.10856199998</v>
      </c>
      <c r="C2963" s="30">
        <v>5688512.3324180003</v>
      </c>
      <c r="D2963" s="30">
        <v>28</v>
      </c>
      <c r="E2963" s="30" t="s">
        <v>99</v>
      </c>
      <c r="F2963" s="46">
        <v>2021</v>
      </c>
      <c r="G2963" s="47">
        <v>2.4300000000000002E-2</v>
      </c>
      <c r="H2963" s="47">
        <f>G2963*0.296672306943408</f>
        <v>7.2091370587248158E-3</v>
      </c>
      <c r="I2963" s="47">
        <v>0</v>
      </c>
      <c r="J2963" s="47">
        <f>I2963*0.438235294117647</f>
        <v>0</v>
      </c>
      <c r="K2963" s="47">
        <v>3.3E-3</v>
      </c>
      <c r="L2963" s="47">
        <f>K2963*0.329984544049459</f>
        <v>1.0889489953632145E-3</v>
      </c>
      <c r="M2963" s="47">
        <f t="shared" si="324"/>
        <v>6.1201880633616011E-3</v>
      </c>
      <c r="N2963" s="47">
        <v>0</v>
      </c>
      <c r="O2963" s="47">
        <f>N2963*0.514285714285714</f>
        <v>0</v>
      </c>
      <c r="P2963" s="92"/>
    </row>
    <row r="2964" spans="1:16" x14ac:dyDescent="0.25">
      <c r="A2964" s="29">
        <v>31</v>
      </c>
      <c r="B2964" s="30">
        <v>437335.10856199998</v>
      </c>
      <c r="C2964" s="30">
        <v>5688631.3324180003</v>
      </c>
      <c r="D2964" s="30">
        <v>26</v>
      </c>
      <c r="E2964" s="30" t="s">
        <v>99</v>
      </c>
      <c r="F2964" s="46">
        <v>2021</v>
      </c>
      <c r="G2964" s="47">
        <v>6.2299999999999994E-2</v>
      </c>
      <c r="H2964" s="47">
        <f>G2964*0.257164297098286</f>
        <v>1.6021335709223216E-2</v>
      </c>
      <c r="I2964" s="47">
        <v>0</v>
      </c>
      <c r="J2964" s="47">
        <f>I2964*0.382716049382716</f>
        <v>0</v>
      </c>
      <c r="K2964" s="47">
        <v>8.8999999999999999E-3</v>
      </c>
      <c r="L2964" s="47">
        <f>K2964*0.262599469496021</f>
        <v>2.3371352785145866E-3</v>
      </c>
      <c r="M2964" s="47">
        <f t="shared" si="324"/>
        <v>1.3684200430708629E-2</v>
      </c>
      <c r="N2964" s="47">
        <v>0</v>
      </c>
      <c r="O2964" s="47">
        <f>N2964*0.513888888888889</f>
        <v>0</v>
      </c>
      <c r="P2964" s="92"/>
    </row>
    <row r="2965" spans="1:16" x14ac:dyDescent="0.25">
      <c r="A2965" s="29">
        <v>32</v>
      </c>
      <c r="B2965" s="30">
        <v>437454.10856199998</v>
      </c>
      <c r="C2965" s="30">
        <v>5688631.3324180003</v>
      </c>
      <c r="D2965" s="30">
        <v>26</v>
      </c>
      <c r="E2965" s="30" t="s">
        <v>99</v>
      </c>
      <c r="F2965" s="46">
        <v>2021</v>
      </c>
      <c r="G2965" s="47">
        <v>4.3099999999999999E-2</v>
      </c>
      <c r="H2965" s="47">
        <f>G2965*0.257164297098286</f>
        <v>1.1083781204936126E-2</v>
      </c>
      <c r="I2965" s="47">
        <v>0</v>
      </c>
      <c r="J2965" s="47">
        <f>I2965*0.382716049382716</f>
        <v>0</v>
      </c>
      <c r="K2965" s="47">
        <v>2.5999999999999999E-3</v>
      </c>
      <c r="L2965" s="47">
        <f>K2965*0.262599469496021</f>
        <v>6.8275862068965451E-4</v>
      </c>
      <c r="M2965" s="47">
        <f t="shared" si="324"/>
        <v>1.0401022584246472E-2</v>
      </c>
      <c r="N2965" s="47">
        <v>0</v>
      </c>
      <c r="O2965" s="47">
        <f>N2965*0.513888888888889</f>
        <v>0</v>
      </c>
      <c r="P2965" s="92"/>
    </row>
    <row r="2966" spans="1:16" x14ac:dyDescent="0.25">
      <c r="A2966" s="29">
        <v>33</v>
      </c>
      <c r="B2966" s="30">
        <v>437573.10856199998</v>
      </c>
      <c r="C2966" s="30">
        <v>5688631.3324180003</v>
      </c>
      <c r="D2966" s="30">
        <v>27</v>
      </c>
      <c r="E2966" s="30" t="s">
        <v>99</v>
      </c>
      <c r="F2966" s="46">
        <v>2021</v>
      </c>
      <c r="G2966" s="47">
        <v>7.9299999999999995E-2</v>
      </c>
      <c r="H2966" s="47">
        <f t="shared" ref="H2966:H2969" si="326">G2966*0.231454175908149</f>
        <v>1.8354316149516214E-2</v>
      </c>
      <c r="I2966" s="47">
        <v>3.5700000000000003E-2</v>
      </c>
      <c r="J2966" s="47">
        <f>I2966*0.312368411515441</f>
        <v>1.1151552291101244E-2</v>
      </c>
      <c r="K2966" s="47">
        <v>4.1299999999999996E-2</v>
      </c>
      <c r="L2966" s="47">
        <f>K2966*0.28512222642119</f>
        <v>1.1775547951195146E-2</v>
      </c>
      <c r="M2966" s="47">
        <f t="shared" si="324"/>
        <v>6.5787681983210684E-3</v>
      </c>
      <c r="N2966" s="47">
        <v>0</v>
      </c>
      <c r="O2966" s="47">
        <f>N2966*0.341322797618728</f>
        <v>0</v>
      </c>
      <c r="P2966" s="92"/>
    </row>
    <row r="2967" spans="1:16" x14ac:dyDescent="0.25">
      <c r="A2967" s="29">
        <v>34</v>
      </c>
      <c r="B2967" s="30">
        <v>437692.10856199998</v>
      </c>
      <c r="C2967" s="30">
        <v>5688631.3324180003</v>
      </c>
      <c r="D2967" s="30">
        <v>27</v>
      </c>
      <c r="E2967" s="30" t="s">
        <v>99</v>
      </c>
      <c r="F2967" s="46">
        <v>2021</v>
      </c>
      <c r="G2967" s="111">
        <v>7.0900000000000005E-2</v>
      </c>
      <c r="H2967" s="47">
        <f t="shared" si="326"/>
        <v>1.6410101071887766E-2</v>
      </c>
      <c r="I2967" s="47">
        <v>0</v>
      </c>
      <c r="J2967" s="47">
        <f>I2967*0.312368411515441</f>
        <v>0</v>
      </c>
      <c r="K2967" s="47">
        <v>6.6E-3</v>
      </c>
      <c r="L2967" s="47">
        <f>K2967*0.28512222642119</f>
        <v>1.8818066943798539E-3</v>
      </c>
      <c r="M2967" s="47">
        <f t="shared" si="324"/>
        <v>1.4528294377507913E-2</v>
      </c>
      <c r="N2967" s="47">
        <v>0</v>
      </c>
      <c r="O2967" s="47">
        <f>N2967*0.341322797618728</f>
        <v>0</v>
      </c>
      <c r="P2967" s="92"/>
    </row>
    <row r="2968" spans="1:16" x14ac:dyDescent="0.25">
      <c r="A2968" s="29">
        <v>35</v>
      </c>
      <c r="B2968" s="30">
        <v>437893</v>
      </c>
      <c r="C2968" s="30">
        <v>5688620</v>
      </c>
      <c r="D2968" s="30">
        <v>27</v>
      </c>
      <c r="E2968" s="30" t="s">
        <v>99</v>
      </c>
      <c r="F2968" s="46">
        <v>2021</v>
      </c>
      <c r="G2968" s="47">
        <v>0.16269999999999998</v>
      </c>
      <c r="H2968" s="47">
        <f t="shared" si="326"/>
        <v>3.765759442025584E-2</v>
      </c>
      <c r="I2968" s="47">
        <v>1.01E-2</v>
      </c>
      <c r="J2968" s="47">
        <f>I2968*0.312368411515441</f>
        <v>3.154920956305954E-3</v>
      </c>
      <c r="K2968" s="47">
        <v>9.1000000000000004E-3</v>
      </c>
      <c r="L2968" s="47">
        <f>K2968*0.28512222642119</f>
        <v>2.594612260432829E-3</v>
      </c>
      <c r="M2968" s="47">
        <f t="shared" si="324"/>
        <v>3.5062982159823008E-2</v>
      </c>
      <c r="N2968" s="5">
        <v>6.4999999999999997E-3</v>
      </c>
      <c r="O2968" s="47">
        <f>N2968*0.341322797618728</f>
        <v>2.2185981845217321E-3</v>
      </c>
      <c r="P2968" s="92"/>
    </row>
    <row r="2969" spans="1:16" x14ac:dyDescent="0.25">
      <c r="A2969" s="29">
        <v>36</v>
      </c>
      <c r="B2969" s="30">
        <v>437930.10856199998</v>
      </c>
      <c r="C2969" s="30">
        <v>5688631.3324180003</v>
      </c>
      <c r="D2969" s="30">
        <v>27</v>
      </c>
      <c r="E2969" s="30" t="s">
        <v>99</v>
      </c>
      <c r="F2969" s="46">
        <v>2021</v>
      </c>
      <c r="G2969" s="47">
        <v>7.5600000000000001E-2</v>
      </c>
      <c r="H2969" s="47">
        <f t="shared" si="326"/>
        <v>1.7497935698656066E-2</v>
      </c>
      <c r="I2969" s="47">
        <v>0.16830000000000001</v>
      </c>
      <c r="J2969" s="47">
        <f>I2969*0.312368411515441</f>
        <v>5.2571603658048721E-2</v>
      </c>
      <c r="K2969" s="47">
        <v>4.0599999999999997E-2</v>
      </c>
      <c r="L2969" s="47">
        <f>K2969*0.28512222642119</f>
        <v>1.1575962392700314E-2</v>
      </c>
      <c r="M2969" s="47">
        <f t="shared" si="324"/>
        <v>5.9219733059557526E-3</v>
      </c>
      <c r="N2969" s="47">
        <v>0.218</v>
      </c>
      <c r="O2969" s="47">
        <f>N2969*0.341322797618728</f>
        <v>7.4408369880882716E-2</v>
      </c>
      <c r="P2969" s="92"/>
    </row>
    <row r="2970" spans="1:16" x14ac:dyDescent="0.25">
      <c r="A2970" s="32">
        <v>37</v>
      </c>
      <c r="B2970" s="33">
        <v>438049.10856199998</v>
      </c>
      <c r="C2970" s="33">
        <v>5688631.3324180003</v>
      </c>
      <c r="D2970" s="48">
        <v>28</v>
      </c>
      <c r="E2970" s="48" t="s">
        <v>99</v>
      </c>
      <c r="F2970" s="48">
        <v>2021</v>
      </c>
      <c r="G2970" s="48" t="s">
        <v>18</v>
      </c>
      <c r="H2970" s="48" t="s">
        <v>18</v>
      </c>
      <c r="I2970" s="48" t="s">
        <v>18</v>
      </c>
      <c r="J2970" s="48" t="s">
        <v>18</v>
      </c>
      <c r="K2970" s="48" t="s">
        <v>18</v>
      </c>
      <c r="L2970" s="48" t="s">
        <v>18</v>
      </c>
      <c r="M2970" s="48" t="s">
        <v>18</v>
      </c>
      <c r="N2970" s="48" t="s">
        <v>18</v>
      </c>
      <c r="O2970" s="48" t="s">
        <v>18</v>
      </c>
      <c r="P2970" s="103" t="s">
        <v>89</v>
      </c>
    </row>
    <row r="2971" spans="1:16" x14ac:dyDescent="0.25">
      <c r="A2971" s="29">
        <v>38</v>
      </c>
      <c r="B2971" s="30">
        <v>438067</v>
      </c>
      <c r="C2971" s="30">
        <v>5688710</v>
      </c>
      <c r="D2971" s="30">
        <v>27</v>
      </c>
      <c r="E2971" s="30" t="s">
        <v>99</v>
      </c>
      <c r="F2971" s="46">
        <v>2021</v>
      </c>
      <c r="G2971" s="54">
        <v>0.12129999999999999</v>
      </c>
      <c r="H2971" s="47">
        <f>G2971*0.231454175908149</f>
        <v>2.8075391537658471E-2</v>
      </c>
      <c r="I2971" s="47">
        <v>0</v>
      </c>
      <c r="J2971" s="47">
        <f>I2971*0.312368411515441</f>
        <v>0</v>
      </c>
      <c r="K2971" s="47">
        <v>2.7000000000000001E-3</v>
      </c>
      <c r="L2971" s="47">
        <f>K2971*0.28512222642119</f>
        <v>7.6983001133721306E-4</v>
      </c>
      <c r="M2971" s="47">
        <f t="shared" si="324"/>
        <v>2.730556152632126E-2</v>
      </c>
      <c r="N2971" s="47">
        <v>0</v>
      </c>
      <c r="O2971" s="47">
        <f>N2971*0.341322797618728</f>
        <v>0</v>
      </c>
      <c r="P2971" s="92"/>
    </row>
    <row r="2972" spans="1:16" x14ac:dyDescent="0.25">
      <c r="A2972" s="32">
        <v>39</v>
      </c>
      <c r="B2972" s="33">
        <v>438287.10856199998</v>
      </c>
      <c r="C2972" s="33">
        <v>5688631.3324180003</v>
      </c>
      <c r="D2972" s="48">
        <v>28</v>
      </c>
      <c r="E2972" s="48" t="s">
        <v>99</v>
      </c>
      <c r="F2972" s="48">
        <v>2021</v>
      </c>
      <c r="G2972" s="48" t="s">
        <v>18</v>
      </c>
      <c r="H2972" s="48" t="s">
        <v>18</v>
      </c>
      <c r="I2972" s="48" t="s">
        <v>18</v>
      </c>
      <c r="J2972" s="48" t="s">
        <v>18</v>
      </c>
      <c r="K2972" s="48" t="s">
        <v>18</v>
      </c>
      <c r="L2972" s="48" t="s">
        <v>18</v>
      </c>
      <c r="M2972" s="48" t="s">
        <v>18</v>
      </c>
      <c r="N2972" s="48" t="s">
        <v>18</v>
      </c>
      <c r="O2972" s="48" t="s">
        <v>18</v>
      </c>
      <c r="P2972" s="94" t="s">
        <v>22</v>
      </c>
    </row>
    <row r="2973" spans="1:16" x14ac:dyDescent="0.25">
      <c r="A2973" s="89">
        <v>40</v>
      </c>
      <c r="B2973" s="90">
        <v>438406.10856199998</v>
      </c>
      <c r="C2973" s="90">
        <v>5688631.3324180003</v>
      </c>
      <c r="D2973" s="90">
        <v>28</v>
      </c>
      <c r="E2973" s="90" t="s">
        <v>99</v>
      </c>
      <c r="F2973" s="90">
        <v>2021</v>
      </c>
      <c r="G2973" s="90" t="s">
        <v>18</v>
      </c>
      <c r="H2973" s="90" t="s">
        <v>18</v>
      </c>
      <c r="I2973" s="90" t="s">
        <v>18</v>
      </c>
      <c r="J2973" s="90" t="s">
        <v>18</v>
      </c>
      <c r="K2973" s="90" t="s">
        <v>18</v>
      </c>
      <c r="L2973" s="90" t="s">
        <v>18</v>
      </c>
      <c r="M2973" s="90" t="s">
        <v>18</v>
      </c>
      <c r="N2973" s="90" t="s">
        <v>18</v>
      </c>
      <c r="O2973" s="90" t="s">
        <v>18</v>
      </c>
      <c r="P2973" s="113" t="s">
        <v>174</v>
      </c>
    </row>
    <row r="2974" spans="1:16" x14ac:dyDescent="0.25">
      <c r="A2974" s="29">
        <v>41</v>
      </c>
      <c r="B2974" s="30">
        <v>437310</v>
      </c>
      <c r="C2974" s="30">
        <v>5688729</v>
      </c>
      <c r="D2974" s="30">
        <v>26</v>
      </c>
      <c r="E2974" s="30" t="s">
        <v>99</v>
      </c>
      <c r="F2974" s="46">
        <v>2021</v>
      </c>
      <c r="G2974" s="47">
        <v>7.3900000000000007E-2</v>
      </c>
      <c r="H2974" s="47">
        <f>G2974*0.257164297098286</f>
        <v>1.9004441555563335E-2</v>
      </c>
      <c r="I2974" s="47">
        <v>4.2000000000000006E-3</v>
      </c>
      <c r="J2974" s="47">
        <f>I2974*0.382716049382716</f>
        <v>1.6074074074074072E-3</v>
      </c>
      <c r="K2974" s="47">
        <v>1.5599999999999999E-2</v>
      </c>
      <c r="L2974" s="47">
        <f>K2974*0.262599469496021</f>
        <v>4.0965517241379271E-3</v>
      </c>
      <c r="M2974" s="47">
        <f t="shared" si="324"/>
        <v>1.4907889831425408E-2</v>
      </c>
      <c r="N2974" s="47">
        <v>0</v>
      </c>
      <c r="O2974" s="47">
        <f>N2974*0.513888888888889</f>
        <v>0</v>
      </c>
      <c r="P2974" s="92"/>
    </row>
    <row r="2975" spans="1:16" x14ac:dyDescent="0.25">
      <c r="A2975" s="29">
        <v>42</v>
      </c>
      <c r="B2975" s="30">
        <v>437454.10856199998</v>
      </c>
      <c r="C2975" s="30">
        <v>5688750.3324180003</v>
      </c>
      <c r="D2975" s="30">
        <v>26</v>
      </c>
      <c r="E2975" s="30" t="s">
        <v>99</v>
      </c>
      <c r="F2975" s="46">
        <v>2021</v>
      </c>
      <c r="G2975" s="54">
        <v>4.5700000000000005E-2</v>
      </c>
      <c r="H2975" s="47">
        <f>G2975*0.257164297098286</f>
        <v>1.1752408377391671E-2</v>
      </c>
      <c r="I2975" s="47">
        <v>3.8E-3</v>
      </c>
      <c r="J2975" s="47">
        <f>I2975*0.382716049382716</f>
        <v>1.4543209876543208E-3</v>
      </c>
      <c r="K2975" s="47">
        <v>8.0000000000000002E-3</v>
      </c>
      <c r="L2975" s="47">
        <f>K2975*0.262599469496021</f>
        <v>2.1007957559681678E-3</v>
      </c>
      <c r="M2975" s="47">
        <f t="shared" si="324"/>
        <v>9.6516126214235033E-3</v>
      </c>
      <c r="N2975" s="47">
        <v>7.3000000000000001E-3</v>
      </c>
      <c r="O2975" s="47">
        <f>N2975*0.513888888888889</f>
        <v>3.7513888888888892E-3</v>
      </c>
      <c r="P2975" s="92"/>
    </row>
    <row r="2976" spans="1:16" x14ac:dyDescent="0.25">
      <c r="A2976" s="29">
        <v>43</v>
      </c>
      <c r="B2976" s="30">
        <v>437573.10856199998</v>
      </c>
      <c r="C2976" s="30">
        <v>5688750.3324180003</v>
      </c>
      <c r="D2976" s="30">
        <v>27</v>
      </c>
      <c r="E2976" s="30" t="s">
        <v>99</v>
      </c>
      <c r="F2976" s="46">
        <v>2021</v>
      </c>
      <c r="G2976" s="47">
        <v>4.3900000000000002E-2</v>
      </c>
      <c r="H2976" s="47">
        <f t="shared" ref="H2976:H2977" si="327">G2976*0.231454175908149</f>
        <v>1.0160838322367742E-2</v>
      </c>
      <c r="I2976" s="47">
        <v>4.3E-3</v>
      </c>
      <c r="J2976" s="47">
        <f>I2976*0.312368411515441</f>
        <v>1.3431841695163962E-3</v>
      </c>
      <c r="K2976" s="47">
        <v>7.7999999999999996E-3</v>
      </c>
      <c r="L2976" s="47">
        <f>K2976*0.28512222642119</f>
        <v>2.2239533660852817E-3</v>
      </c>
      <c r="M2976" s="47">
        <f t="shared" si="324"/>
        <v>7.9368849562824612E-3</v>
      </c>
      <c r="N2976" s="47">
        <v>0</v>
      </c>
      <c r="O2976" s="47">
        <f>N2976*0.341322797618728</f>
        <v>0</v>
      </c>
      <c r="P2976" s="92"/>
    </row>
    <row r="2977" spans="1:16" x14ac:dyDescent="0.25">
      <c r="A2977" s="29">
        <v>44</v>
      </c>
      <c r="B2977" s="30">
        <v>437692.10856199998</v>
      </c>
      <c r="C2977" s="30">
        <v>5688750.3324180003</v>
      </c>
      <c r="D2977" s="30">
        <v>27</v>
      </c>
      <c r="E2977" s="30" t="s">
        <v>99</v>
      </c>
      <c r="F2977" s="46">
        <v>2021</v>
      </c>
      <c r="G2977" s="54">
        <v>3.5700000000000003E-2</v>
      </c>
      <c r="H2977" s="47">
        <f t="shared" si="327"/>
        <v>8.2629140799209203E-3</v>
      </c>
      <c r="I2977" s="47">
        <v>1.6199999999999999E-2</v>
      </c>
      <c r="J2977" s="47">
        <f>I2977*0.312368411515441</f>
        <v>5.0603682665501439E-3</v>
      </c>
      <c r="K2977" s="47">
        <v>8.0999999999999996E-3</v>
      </c>
      <c r="L2977" s="47">
        <f>K2977*0.28512222642119</f>
        <v>2.309490034011639E-3</v>
      </c>
      <c r="M2977" s="47">
        <f t="shared" si="324"/>
        <v>5.9534240459092813E-3</v>
      </c>
      <c r="N2977" s="47">
        <v>3.3999999999999998E-3</v>
      </c>
      <c r="O2977" s="47">
        <f>N2977*0.341322797618728</f>
        <v>1.1604975119036752E-3</v>
      </c>
      <c r="P2977" s="92"/>
    </row>
    <row r="2978" spans="1:16" x14ac:dyDescent="0.25">
      <c r="A2978" s="29">
        <v>45</v>
      </c>
      <c r="B2978" s="30">
        <v>437811.10856199998</v>
      </c>
      <c r="C2978" s="30">
        <v>5688750.3324180003</v>
      </c>
      <c r="D2978" s="30">
        <v>27</v>
      </c>
      <c r="E2978" s="30" t="s">
        <v>99</v>
      </c>
      <c r="F2978" s="46">
        <v>2021</v>
      </c>
      <c r="G2978" s="46" t="s">
        <v>18</v>
      </c>
      <c r="H2978" s="46" t="s">
        <v>18</v>
      </c>
      <c r="I2978" s="46" t="s">
        <v>18</v>
      </c>
      <c r="J2978" s="46" t="s">
        <v>18</v>
      </c>
      <c r="K2978" s="47">
        <v>3.0800000000000001E-2</v>
      </c>
      <c r="L2978" s="47">
        <f>K2978*0.28512222642119</f>
        <v>8.7817645737726518E-3</v>
      </c>
      <c r="M2978" s="46" t="s">
        <v>18</v>
      </c>
      <c r="N2978" s="47">
        <v>6.0000000000000001E-3</v>
      </c>
      <c r="O2978" s="47">
        <f>N2978*0.341322797618728</f>
        <v>2.0479367857123682E-3</v>
      </c>
      <c r="P2978" s="92" t="s">
        <v>103</v>
      </c>
    </row>
    <row r="2979" spans="1:16" x14ac:dyDescent="0.25">
      <c r="A2979" s="65">
        <v>46</v>
      </c>
      <c r="B2979" s="66">
        <v>437930.10856199998</v>
      </c>
      <c r="C2979" s="66">
        <v>5688750.3324180003</v>
      </c>
      <c r="D2979" s="66">
        <v>28</v>
      </c>
      <c r="E2979" s="66" t="s">
        <v>99</v>
      </c>
      <c r="F2979" s="66">
        <v>2021</v>
      </c>
      <c r="G2979" s="66" t="s">
        <v>18</v>
      </c>
      <c r="H2979" s="66" t="s">
        <v>18</v>
      </c>
      <c r="I2979" s="66" t="s">
        <v>18</v>
      </c>
      <c r="J2979" s="66" t="s">
        <v>18</v>
      </c>
      <c r="K2979" s="66" t="s">
        <v>18</v>
      </c>
      <c r="L2979" s="66" t="s">
        <v>18</v>
      </c>
      <c r="M2979" s="66" t="s">
        <v>18</v>
      </c>
      <c r="N2979" s="66" t="s">
        <v>18</v>
      </c>
      <c r="O2979" s="66" t="s">
        <v>18</v>
      </c>
      <c r="P2979" s="105" t="s">
        <v>166</v>
      </c>
    </row>
    <row r="2980" spans="1:16" x14ac:dyDescent="0.25">
      <c r="A2980" s="29">
        <v>47</v>
      </c>
      <c r="B2980" s="30">
        <v>438061</v>
      </c>
      <c r="C2980" s="30">
        <v>5688779</v>
      </c>
      <c r="D2980" s="30">
        <v>28</v>
      </c>
      <c r="E2980" s="30" t="s">
        <v>99</v>
      </c>
      <c r="F2980" s="46">
        <v>2021</v>
      </c>
      <c r="G2980" s="47">
        <v>7.0999999999999994E-2</v>
      </c>
      <c r="H2980" s="47">
        <f>G2980*0.296672306943408</f>
        <v>2.1063733792981966E-2</v>
      </c>
      <c r="I2980" s="47">
        <v>0</v>
      </c>
      <c r="J2980" s="47">
        <f>I2980*0.438235294117647</f>
        <v>0</v>
      </c>
      <c r="K2980" s="47">
        <v>1.4800000000000001E-2</v>
      </c>
      <c r="L2980" s="47">
        <f>K2980*0.329984544049459</f>
        <v>4.8837712519319929E-3</v>
      </c>
      <c r="M2980" s="47">
        <f t="shared" si="324"/>
        <v>1.6179962541049975E-2</v>
      </c>
      <c r="N2980" s="47">
        <v>0</v>
      </c>
      <c r="O2980" s="47">
        <f>N2980*0.514285714285714</f>
        <v>0</v>
      </c>
      <c r="P2980" s="92"/>
    </row>
    <row r="2981" spans="1:16" x14ac:dyDescent="0.25">
      <c r="A2981" s="32">
        <v>48</v>
      </c>
      <c r="B2981" s="33">
        <v>438168.10856199998</v>
      </c>
      <c r="C2981" s="33">
        <v>5688750.3324180003</v>
      </c>
      <c r="D2981" s="48">
        <v>28</v>
      </c>
      <c r="E2981" s="48" t="s">
        <v>99</v>
      </c>
      <c r="F2981" s="48">
        <v>2021</v>
      </c>
      <c r="G2981" s="48" t="s">
        <v>18</v>
      </c>
      <c r="H2981" s="48" t="s">
        <v>18</v>
      </c>
      <c r="I2981" s="48" t="s">
        <v>18</v>
      </c>
      <c r="J2981" s="48" t="s">
        <v>18</v>
      </c>
      <c r="K2981" s="48" t="s">
        <v>18</v>
      </c>
      <c r="L2981" s="48" t="s">
        <v>18</v>
      </c>
      <c r="M2981" s="48" t="s">
        <v>18</v>
      </c>
      <c r="N2981" s="48" t="s">
        <v>18</v>
      </c>
      <c r="O2981" s="48" t="s">
        <v>18</v>
      </c>
      <c r="P2981" s="103" t="s">
        <v>89</v>
      </c>
    </row>
    <row r="2982" spans="1:16" x14ac:dyDescent="0.25">
      <c r="A2982" s="89">
        <v>49</v>
      </c>
      <c r="B2982" s="90">
        <v>437454.10856199998</v>
      </c>
      <c r="C2982" s="90">
        <v>5688869.3324180003</v>
      </c>
      <c r="D2982" s="90">
        <v>28</v>
      </c>
      <c r="E2982" s="90" t="s">
        <v>99</v>
      </c>
      <c r="F2982" s="90">
        <v>2021</v>
      </c>
      <c r="G2982" s="90" t="s">
        <v>18</v>
      </c>
      <c r="H2982" s="90" t="s">
        <v>18</v>
      </c>
      <c r="I2982" s="90" t="s">
        <v>18</v>
      </c>
      <c r="J2982" s="90" t="s">
        <v>18</v>
      </c>
      <c r="K2982" s="90" t="s">
        <v>18</v>
      </c>
      <c r="L2982" s="90" t="s">
        <v>18</v>
      </c>
      <c r="M2982" s="90" t="s">
        <v>18</v>
      </c>
      <c r="N2982" s="90" t="s">
        <v>18</v>
      </c>
      <c r="O2982" s="90" t="s">
        <v>18</v>
      </c>
      <c r="P2982" s="113" t="s">
        <v>174</v>
      </c>
    </row>
    <row r="2983" spans="1:16" x14ac:dyDescent="0.25">
      <c r="A2983" s="29">
        <v>50</v>
      </c>
      <c r="B2983" s="30">
        <v>437811.10856199998</v>
      </c>
      <c r="C2983" s="30">
        <v>5688869.3324180003</v>
      </c>
      <c r="D2983" s="30">
        <v>27</v>
      </c>
      <c r="E2983" s="30" t="s">
        <v>99</v>
      </c>
      <c r="F2983" s="46">
        <v>2021</v>
      </c>
      <c r="G2983" s="46">
        <v>7.1300000000000002E-2</v>
      </c>
      <c r="H2983" s="47">
        <f t="shared" ref="H2983:H2984" si="328">G2983*0.231454175908149</f>
        <v>1.6502682742251026E-2</v>
      </c>
      <c r="I2983" s="5">
        <v>6.9999999999999999E-4</v>
      </c>
      <c r="J2983" s="47">
        <f>I2983*0.312368411515441</f>
        <v>2.1865788806080868E-4</v>
      </c>
      <c r="K2983" s="47">
        <v>8.3999999999999995E-3</v>
      </c>
      <c r="L2983" s="47">
        <f>K2983*0.28512222642119</f>
        <v>2.3950267019379958E-3</v>
      </c>
      <c r="M2983" s="47">
        <f t="shared" si="324"/>
        <v>1.410765604031303E-2</v>
      </c>
      <c r="N2983" s="47">
        <v>3.8999999999999998E-3</v>
      </c>
      <c r="O2983" s="47">
        <f>N2983*0.341322797618728</f>
        <v>1.3311589107130393E-3</v>
      </c>
      <c r="P2983" s="92"/>
    </row>
    <row r="2984" spans="1:16" x14ac:dyDescent="0.25">
      <c r="A2984" s="29">
        <v>51</v>
      </c>
      <c r="B2984" s="30">
        <v>437930.10856199998</v>
      </c>
      <c r="C2984" s="30">
        <v>5688869.3324180003</v>
      </c>
      <c r="D2984" s="30">
        <v>27</v>
      </c>
      <c r="E2984" s="30" t="s">
        <v>99</v>
      </c>
      <c r="F2984" s="46">
        <v>2021</v>
      </c>
      <c r="G2984" s="47">
        <v>5.91E-2</v>
      </c>
      <c r="H2984" s="47">
        <f t="shared" si="328"/>
        <v>1.3678941796171606E-2</v>
      </c>
      <c r="I2984" s="47">
        <v>3.1899999999999998E-2</v>
      </c>
      <c r="J2984" s="47">
        <f>I2984*0.312368411515441</f>
        <v>9.964552327342566E-3</v>
      </c>
      <c r="K2984" s="47">
        <v>1.55E-2</v>
      </c>
      <c r="L2984" s="47">
        <f>K2984*0.28512222642119</f>
        <v>4.4193945095284447E-3</v>
      </c>
      <c r="M2984" s="47">
        <f t="shared" si="324"/>
        <v>9.2595472866431605E-3</v>
      </c>
      <c r="N2984" s="47">
        <v>3.0999999999999999E-3</v>
      </c>
      <c r="O2984" s="47">
        <f>N2984*0.341322797618728</f>
        <v>1.0581006726180569E-3</v>
      </c>
      <c r="P2984" s="92"/>
    </row>
    <row r="2985" spans="1:16" x14ac:dyDescent="0.25">
      <c r="A2985" s="65">
        <v>52</v>
      </c>
      <c r="B2985" s="66">
        <v>438049.10856199998</v>
      </c>
      <c r="C2985" s="66">
        <v>5688869.3324180003</v>
      </c>
      <c r="D2985" s="66">
        <v>28</v>
      </c>
      <c r="E2985" s="66" t="s">
        <v>99</v>
      </c>
      <c r="F2985" s="66">
        <v>2021</v>
      </c>
      <c r="G2985" s="66" t="s">
        <v>18</v>
      </c>
      <c r="H2985" s="66" t="s">
        <v>18</v>
      </c>
      <c r="I2985" s="66" t="s">
        <v>18</v>
      </c>
      <c r="J2985" s="66" t="s">
        <v>18</v>
      </c>
      <c r="K2985" s="66" t="s">
        <v>18</v>
      </c>
      <c r="L2985" s="66" t="s">
        <v>18</v>
      </c>
      <c r="M2985" s="66" t="s">
        <v>18</v>
      </c>
      <c r="N2985" s="66" t="s">
        <v>18</v>
      </c>
      <c r="O2985" s="66" t="s">
        <v>18</v>
      </c>
      <c r="P2985" s="105" t="s">
        <v>166</v>
      </c>
    </row>
    <row r="2986" spans="1:16" x14ac:dyDescent="0.25">
      <c r="A2986" s="89">
        <v>53</v>
      </c>
      <c r="B2986" s="90">
        <v>438287.10856199998</v>
      </c>
      <c r="C2986" s="90">
        <v>5688869.3324180003</v>
      </c>
      <c r="D2986" s="90">
        <v>28</v>
      </c>
      <c r="E2986" s="90" t="s">
        <v>99</v>
      </c>
      <c r="F2986" s="90">
        <v>2021</v>
      </c>
      <c r="G2986" s="90" t="s">
        <v>18</v>
      </c>
      <c r="H2986" s="90" t="s">
        <v>18</v>
      </c>
      <c r="I2986" s="90" t="s">
        <v>18</v>
      </c>
      <c r="J2986" s="90" t="s">
        <v>18</v>
      </c>
      <c r="K2986" s="90" t="s">
        <v>18</v>
      </c>
      <c r="L2986" s="90" t="s">
        <v>18</v>
      </c>
      <c r="M2986" s="90" t="s">
        <v>18</v>
      </c>
      <c r="N2986" s="90" t="s">
        <v>18</v>
      </c>
      <c r="O2986" s="90" t="s">
        <v>18</v>
      </c>
      <c r="P2986" s="113" t="s">
        <v>174</v>
      </c>
    </row>
    <row r="2987" spans="1:16" x14ac:dyDescent="0.25">
      <c r="A2987" s="89">
        <v>54</v>
      </c>
      <c r="B2987" s="90">
        <v>437454.10856199998</v>
      </c>
      <c r="C2987" s="90">
        <v>5688988.3324180003</v>
      </c>
      <c r="D2987" s="90">
        <v>28</v>
      </c>
      <c r="E2987" s="90" t="s">
        <v>99</v>
      </c>
      <c r="F2987" s="90">
        <v>2021</v>
      </c>
      <c r="G2987" s="90" t="s">
        <v>18</v>
      </c>
      <c r="H2987" s="90" t="s">
        <v>18</v>
      </c>
      <c r="I2987" s="90" t="s">
        <v>18</v>
      </c>
      <c r="J2987" s="90" t="s">
        <v>18</v>
      </c>
      <c r="K2987" s="90" t="s">
        <v>18</v>
      </c>
      <c r="L2987" s="90" t="s">
        <v>18</v>
      </c>
      <c r="M2987" s="90" t="s">
        <v>18</v>
      </c>
      <c r="N2987" s="90" t="s">
        <v>18</v>
      </c>
      <c r="O2987" s="90" t="s">
        <v>18</v>
      </c>
      <c r="P2987" s="113" t="s">
        <v>174</v>
      </c>
    </row>
    <row r="2988" spans="1:16" x14ac:dyDescent="0.25">
      <c r="A2988" s="89">
        <v>55</v>
      </c>
      <c r="B2988" s="90">
        <v>438049.10856199998</v>
      </c>
      <c r="C2988" s="90">
        <v>5688988.3324180003</v>
      </c>
      <c r="D2988" s="90">
        <v>28</v>
      </c>
      <c r="E2988" s="90" t="s">
        <v>99</v>
      </c>
      <c r="F2988" s="90">
        <v>2021</v>
      </c>
      <c r="G2988" s="90" t="s">
        <v>18</v>
      </c>
      <c r="H2988" s="90" t="s">
        <v>18</v>
      </c>
      <c r="I2988" s="90" t="s">
        <v>18</v>
      </c>
      <c r="J2988" s="90" t="s">
        <v>18</v>
      </c>
      <c r="K2988" s="90" t="s">
        <v>18</v>
      </c>
      <c r="L2988" s="90" t="s">
        <v>18</v>
      </c>
      <c r="M2988" s="90" t="s">
        <v>18</v>
      </c>
      <c r="N2988" s="90" t="s">
        <v>18</v>
      </c>
      <c r="O2988" s="90" t="s">
        <v>18</v>
      </c>
      <c r="P2988" s="113" t="s">
        <v>174</v>
      </c>
    </row>
    <row r="2989" spans="1:16" x14ac:dyDescent="0.25">
      <c r="A2989" s="29">
        <v>56</v>
      </c>
      <c r="B2989" s="30">
        <v>438168.10856199998</v>
      </c>
      <c r="C2989" s="30">
        <v>5688988.3324180003</v>
      </c>
      <c r="D2989" s="30">
        <v>27</v>
      </c>
      <c r="E2989" s="30" t="s">
        <v>99</v>
      </c>
      <c r="F2989" s="46">
        <v>2021</v>
      </c>
      <c r="G2989" s="47">
        <v>2.0500000000000001E-2</v>
      </c>
      <c r="H2989" s="47">
        <f>G2989*0.231454175908149</f>
        <v>4.7448106061170553E-3</v>
      </c>
      <c r="I2989" s="47">
        <v>0</v>
      </c>
      <c r="J2989" s="47">
        <f>I2989*0.312368411515441</f>
        <v>0</v>
      </c>
      <c r="K2989" s="47">
        <v>2.3999999999999998E-3</v>
      </c>
      <c r="L2989" s="47">
        <f>K2989*0.28512222642119</f>
        <v>6.8429334341085595E-4</v>
      </c>
      <c r="M2989" s="47">
        <f t="shared" si="324"/>
        <v>4.0605172627061993E-3</v>
      </c>
      <c r="N2989" s="47">
        <v>1E-3</v>
      </c>
      <c r="O2989" s="47">
        <f>N2989*0.341322797618728</f>
        <v>3.4132279761872803E-4</v>
      </c>
      <c r="P2989" s="92"/>
    </row>
    <row r="2990" spans="1:16" x14ac:dyDescent="0.25">
      <c r="A2990" s="40">
        <v>57</v>
      </c>
      <c r="B2990" s="41">
        <v>438146</v>
      </c>
      <c r="C2990" s="41">
        <v>5688977</v>
      </c>
      <c r="D2990" s="41">
        <v>27</v>
      </c>
      <c r="E2990" s="41" t="s">
        <v>99</v>
      </c>
      <c r="F2990" s="50">
        <v>2021</v>
      </c>
      <c r="G2990" s="51">
        <v>9.2200000000000004E-2</v>
      </c>
      <c r="H2990" s="51">
        <f t="shared" ref="H2990:H2993" si="329">G2990*0.231454175908149</f>
        <v>2.1340075018731339E-2</v>
      </c>
      <c r="I2990" s="51">
        <f>0.0395+0.0087</f>
        <v>4.82E-2</v>
      </c>
      <c r="J2990" s="51">
        <f>I2990*0.312368411515441</f>
        <v>1.5056157435044255E-2</v>
      </c>
      <c r="K2990" s="51">
        <v>2.8E-3</v>
      </c>
      <c r="L2990" s="51">
        <f>K2990*0.28512222642119</f>
        <v>7.9834223397933196E-4</v>
      </c>
      <c r="M2990" s="51">
        <f t="shared" si="324"/>
        <v>2.0541732784752006E-2</v>
      </c>
      <c r="N2990" s="51">
        <v>0</v>
      </c>
      <c r="O2990" s="51">
        <f>N2990*0.341322797618728</f>
        <v>0</v>
      </c>
      <c r="P2990" s="101"/>
    </row>
    <row r="2991" spans="1:16" x14ac:dyDescent="0.25">
      <c r="A2991" s="40">
        <v>58</v>
      </c>
      <c r="B2991" s="41">
        <v>438131</v>
      </c>
      <c r="C2991" s="41">
        <v>5688972</v>
      </c>
      <c r="D2991" s="41">
        <v>27</v>
      </c>
      <c r="E2991" s="41" t="s">
        <v>99</v>
      </c>
      <c r="F2991" s="50">
        <v>2021</v>
      </c>
      <c r="G2991" s="51">
        <v>0.22219999999999998</v>
      </c>
      <c r="H2991" s="51">
        <f t="shared" si="329"/>
        <v>5.1429117886790707E-2</v>
      </c>
      <c r="I2991" s="51">
        <v>0</v>
      </c>
      <c r="J2991" s="51">
        <f>I2991*0.312368411515441</f>
        <v>0</v>
      </c>
      <c r="K2991" s="51">
        <v>7.1999999999999998E-3</v>
      </c>
      <c r="L2991" s="51">
        <f>K2991*0.28512222642119</f>
        <v>2.0528800302325682E-3</v>
      </c>
      <c r="M2991" s="51">
        <f t="shared" si="324"/>
        <v>4.937623785655814E-2</v>
      </c>
      <c r="N2991" s="51">
        <v>0</v>
      </c>
      <c r="O2991" s="51">
        <f>N2991*0.341322797618728</f>
        <v>0</v>
      </c>
      <c r="P2991" s="101"/>
    </row>
    <row r="2992" spans="1:16" x14ac:dyDescent="0.25">
      <c r="A2992" s="40">
        <v>59</v>
      </c>
      <c r="B2992" s="41">
        <v>438089</v>
      </c>
      <c r="C2992" s="41">
        <v>5688713</v>
      </c>
      <c r="D2992" s="41">
        <v>27</v>
      </c>
      <c r="E2992" s="41" t="s">
        <v>99</v>
      </c>
      <c r="F2992" s="50">
        <v>2021</v>
      </c>
      <c r="G2992" s="51">
        <v>5.6500000000000002E-2</v>
      </c>
      <c r="H2992" s="51">
        <f t="shared" si="329"/>
        <v>1.3077160938810419E-2</v>
      </c>
      <c r="I2992" s="51">
        <v>2.52E-2</v>
      </c>
      <c r="J2992" s="51">
        <f>I2992*0.312368411515441</f>
        <v>7.8716839701891122E-3</v>
      </c>
      <c r="K2992" s="51">
        <v>1.8E-3</v>
      </c>
      <c r="L2992" s="51">
        <f>K2992*0.28512222642119</f>
        <v>5.1322000755814204E-4</v>
      </c>
      <c r="M2992" s="51">
        <f t="shared" si="324"/>
        <v>1.2563940931252278E-2</v>
      </c>
      <c r="N2992" s="51">
        <v>6.9999999999999999E-4</v>
      </c>
      <c r="O2992" s="51">
        <f>N2992*0.341322797618728</f>
        <v>2.3892595833310961E-4</v>
      </c>
      <c r="P2992" s="101"/>
    </row>
    <row r="2993" spans="1:19" x14ac:dyDescent="0.25">
      <c r="A2993" s="40">
        <v>60</v>
      </c>
      <c r="B2993" s="41">
        <v>438099</v>
      </c>
      <c r="C2993" s="41">
        <v>5688719</v>
      </c>
      <c r="D2993" s="41">
        <v>27</v>
      </c>
      <c r="E2993" s="41" t="s">
        <v>99</v>
      </c>
      <c r="F2993" s="50">
        <v>2021</v>
      </c>
      <c r="G2993" s="51">
        <v>0.14599999999999999</v>
      </c>
      <c r="H2993" s="51">
        <f t="shared" si="329"/>
        <v>3.3792309682589755E-2</v>
      </c>
      <c r="I2993" s="51">
        <v>0</v>
      </c>
      <c r="J2993" s="51">
        <f>I2993*0.312368411515441</f>
        <v>0</v>
      </c>
      <c r="K2993" s="51">
        <v>2.8999999999999998E-3</v>
      </c>
      <c r="L2993" s="51">
        <f>K2993*0.28512222642119</f>
        <v>8.2685445662145096E-4</v>
      </c>
      <c r="M2993" s="51">
        <f t="shared" si="324"/>
        <v>3.2965455225968304E-2</v>
      </c>
      <c r="N2993" s="51">
        <v>1.1999999999999999E-3</v>
      </c>
      <c r="O2993" s="51">
        <f>N2993*0.341322797618728</f>
        <v>4.0958735714247357E-4</v>
      </c>
      <c r="P2993" s="101"/>
    </row>
    <row r="2994" spans="1:19" x14ac:dyDescent="0.25">
      <c r="A2994" s="42">
        <v>1</v>
      </c>
      <c r="B2994" s="43">
        <v>437930.10856199998</v>
      </c>
      <c r="C2994" s="43">
        <v>5688036.3324180003</v>
      </c>
      <c r="D2994" s="44">
        <v>11</v>
      </c>
      <c r="E2994" s="44" t="s">
        <v>61</v>
      </c>
      <c r="F2994" s="44">
        <v>2021</v>
      </c>
      <c r="G2994" s="44" t="s">
        <v>18</v>
      </c>
      <c r="H2994" s="44" t="s">
        <v>18</v>
      </c>
      <c r="I2994" s="44" t="s">
        <v>18</v>
      </c>
      <c r="J2994" s="44" t="s">
        <v>18</v>
      </c>
      <c r="K2994" s="44" t="s">
        <v>18</v>
      </c>
      <c r="L2994" s="44" t="s">
        <v>18</v>
      </c>
      <c r="M2994" s="44" t="s">
        <v>18</v>
      </c>
      <c r="N2994" s="44" t="s">
        <v>18</v>
      </c>
      <c r="O2994" s="44" t="s">
        <v>18</v>
      </c>
      <c r="P2994" s="102" t="s">
        <v>109</v>
      </c>
      <c r="R2994" s="5">
        <f>AVERAGE(M2994:M3053)</f>
        <v>2.1265534808832625E-2</v>
      </c>
      <c r="S2994" s="5">
        <f>AVERAGE(H2994:H3053)</f>
        <v>3.2179817731253224E-2</v>
      </c>
    </row>
    <row r="2995" spans="1:19" x14ac:dyDescent="0.25">
      <c r="A2995" s="42">
        <v>2</v>
      </c>
      <c r="B2995" s="43">
        <v>437811.10856199998</v>
      </c>
      <c r="C2995" s="43">
        <v>5688155.3324180003</v>
      </c>
      <c r="D2995" s="44">
        <v>11</v>
      </c>
      <c r="E2995" s="44" t="s">
        <v>61</v>
      </c>
      <c r="F2995" s="44">
        <v>2021</v>
      </c>
      <c r="G2995" s="44" t="s">
        <v>18</v>
      </c>
      <c r="H2995" s="44" t="s">
        <v>18</v>
      </c>
      <c r="I2995" s="44" t="s">
        <v>18</v>
      </c>
      <c r="J2995" s="44" t="s">
        <v>18</v>
      </c>
      <c r="K2995" s="44" t="s">
        <v>18</v>
      </c>
      <c r="L2995" s="44" t="s">
        <v>18</v>
      </c>
      <c r="M2995" s="44" t="s">
        <v>18</v>
      </c>
      <c r="N2995" s="44" t="s">
        <v>18</v>
      </c>
      <c r="O2995" s="44" t="s">
        <v>18</v>
      </c>
      <c r="P2995" s="102" t="s">
        <v>109</v>
      </c>
    </row>
    <row r="2996" spans="1:19" x14ac:dyDescent="0.25">
      <c r="A2996" s="65">
        <v>3</v>
      </c>
      <c r="B2996" s="66">
        <v>437930.10856199998</v>
      </c>
      <c r="C2996" s="66">
        <v>5688155.3324180003</v>
      </c>
      <c r="D2996" s="66">
        <v>11</v>
      </c>
      <c r="E2996" s="66" t="s">
        <v>61</v>
      </c>
      <c r="F2996" s="66">
        <v>2021</v>
      </c>
      <c r="G2996" s="66" t="s">
        <v>18</v>
      </c>
      <c r="H2996" s="66" t="s">
        <v>18</v>
      </c>
      <c r="I2996" s="66" t="s">
        <v>18</v>
      </c>
      <c r="J2996" s="66" t="s">
        <v>18</v>
      </c>
      <c r="K2996" s="66" t="s">
        <v>18</v>
      </c>
      <c r="L2996" s="66" t="s">
        <v>18</v>
      </c>
      <c r="M2996" s="66" t="s">
        <v>18</v>
      </c>
      <c r="N2996" s="66" t="s">
        <v>18</v>
      </c>
      <c r="O2996" s="66" t="s">
        <v>18</v>
      </c>
      <c r="P2996" s="105" t="s">
        <v>166</v>
      </c>
    </row>
    <row r="2997" spans="1:19" x14ac:dyDescent="0.25">
      <c r="A2997" s="42">
        <v>4</v>
      </c>
      <c r="B2997" s="43">
        <v>438049.10856199998</v>
      </c>
      <c r="C2997" s="43">
        <v>5688155.3324180003</v>
      </c>
      <c r="D2997" s="44">
        <v>11</v>
      </c>
      <c r="E2997" s="44" t="s">
        <v>61</v>
      </c>
      <c r="F2997" s="44">
        <v>2021</v>
      </c>
      <c r="G2997" s="44" t="s">
        <v>18</v>
      </c>
      <c r="H2997" s="44" t="s">
        <v>18</v>
      </c>
      <c r="I2997" s="44" t="s">
        <v>18</v>
      </c>
      <c r="J2997" s="44" t="s">
        <v>18</v>
      </c>
      <c r="K2997" s="44" t="s">
        <v>18</v>
      </c>
      <c r="L2997" s="44" t="s">
        <v>18</v>
      </c>
      <c r="M2997" s="44" t="s">
        <v>18</v>
      </c>
      <c r="N2997" s="44" t="s">
        <v>18</v>
      </c>
      <c r="O2997" s="44" t="s">
        <v>18</v>
      </c>
      <c r="P2997" s="102" t="s">
        <v>109</v>
      </c>
    </row>
    <row r="2998" spans="1:19" x14ac:dyDescent="0.25">
      <c r="A2998" s="42">
        <v>5</v>
      </c>
      <c r="B2998" s="43">
        <v>437573.10856199998</v>
      </c>
      <c r="C2998" s="43">
        <v>5688274.3324180003</v>
      </c>
      <c r="D2998" s="44">
        <v>11</v>
      </c>
      <c r="E2998" s="44" t="s">
        <v>61</v>
      </c>
      <c r="F2998" s="44">
        <v>2021</v>
      </c>
      <c r="G2998" s="44" t="s">
        <v>18</v>
      </c>
      <c r="H2998" s="44" t="s">
        <v>18</v>
      </c>
      <c r="I2998" s="44" t="s">
        <v>18</v>
      </c>
      <c r="J2998" s="44" t="s">
        <v>18</v>
      </c>
      <c r="K2998" s="44" t="s">
        <v>18</v>
      </c>
      <c r="L2998" s="44" t="s">
        <v>18</v>
      </c>
      <c r="M2998" s="44" t="s">
        <v>18</v>
      </c>
      <c r="N2998" s="44" t="s">
        <v>18</v>
      </c>
      <c r="O2998" s="44" t="s">
        <v>18</v>
      </c>
      <c r="P2998" s="102" t="s">
        <v>109</v>
      </c>
    </row>
    <row r="2999" spans="1:19" x14ac:dyDescent="0.25">
      <c r="A2999" s="89">
        <v>6</v>
      </c>
      <c r="B2999" s="90">
        <v>437692.10856199998</v>
      </c>
      <c r="C2999" s="90">
        <v>5688274.3324180003</v>
      </c>
      <c r="D2999" s="90">
        <v>11</v>
      </c>
      <c r="E2999" s="90" t="s">
        <v>61</v>
      </c>
      <c r="F2999" s="90">
        <v>2021</v>
      </c>
      <c r="G2999" s="90" t="s">
        <v>18</v>
      </c>
      <c r="H2999" s="90" t="s">
        <v>18</v>
      </c>
      <c r="I2999" s="90" t="s">
        <v>18</v>
      </c>
      <c r="J2999" s="90" t="s">
        <v>18</v>
      </c>
      <c r="K2999" s="90" t="s">
        <v>18</v>
      </c>
      <c r="L2999" s="90" t="s">
        <v>18</v>
      </c>
      <c r="M2999" s="90" t="s">
        <v>18</v>
      </c>
      <c r="N2999" s="90" t="s">
        <v>18</v>
      </c>
      <c r="O2999" s="90" t="s">
        <v>18</v>
      </c>
      <c r="P2999" s="113" t="s">
        <v>174</v>
      </c>
    </row>
    <row r="3000" spans="1:19" x14ac:dyDescent="0.25">
      <c r="A3000" s="65">
        <v>7</v>
      </c>
      <c r="B3000" s="66">
        <v>437811.10856199998</v>
      </c>
      <c r="C3000" s="66">
        <v>5688274.3324180003</v>
      </c>
      <c r="D3000" s="66">
        <v>11</v>
      </c>
      <c r="E3000" s="66" t="s">
        <v>61</v>
      </c>
      <c r="F3000" s="66">
        <v>2021</v>
      </c>
      <c r="G3000" s="66" t="s">
        <v>18</v>
      </c>
      <c r="H3000" s="66" t="s">
        <v>18</v>
      </c>
      <c r="I3000" s="66" t="s">
        <v>18</v>
      </c>
      <c r="J3000" s="66" t="s">
        <v>18</v>
      </c>
      <c r="K3000" s="66" t="s">
        <v>18</v>
      </c>
      <c r="L3000" s="66" t="s">
        <v>18</v>
      </c>
      <c r="M3000" s="66" t="s">
        <v>18</v>
      </c>
      <c r="N3000" s="66" t="s">
        <v>18</v>
      </c>
      <c r="O3000" s="66" t="s">
        <v>18</v>
      </c>
      <c r="P3000" s="105" t="s">
        <v>166</v>
      </c>
    </row>
    <row r="3001" spans="1:19" x14ac:dyDescent="0.25">
      <c r="A3001" s="42">
        <v>8</v>
      </c>
      <c r="B3001" s="43">
        <v>437930.10856199998</v>
      </c>
      <c r="C3001" s="43">
        <v>5688274.3324180003</v>
      </c>
      <c r="D3001" s="44">
        <v>11</v>
      </c>
      <c r="E3001" s="44" t="s">
        <v>61</v>
      </c>
      <c r="F3001" s="44">
        <v>2021</v>
      </c>
      <c r="G3001" s="44" t="s">
        <v>18</v>
      </c>
      <c r="H3001" s="44" t="s">
        <v>18</v>
      </c>
      <c r="I3001" s="44" t="s">
        <v>18</v>
      </c>
      <c r="J3001" s="44" t="s">
        <v>18</v>
      </c>
      <c r="K3001" s="44" t="s">
        <v>18</v>
      </c>
      <c r="L3001" s="44" t="s">
        <v>18</v>
      </c>
      <c r="M3001" s="44" t="s">
        <v>18</v>
      </c>
      <c r="N3001" s="44" t="s">
        <v>18</v>
      </c>
      <c r="O3001" s="44" t="s">
        <v>18</v>
      </c>
      <c r="P3001" s="102" t="s">
        <v>109</v>
      </c>
    </row>
    <row r="3002" spans="1:19" x14ac:dyDescent="0.25">
      <c r="A3002" s="89">
        <v>9</v>
      </c>
      <c r="B3002" s="90">
        <v>438287.10856199998</v>
      </c>
      <c r="C3002" s="90">
        <v>5688274.3324180003</v>
      </c>
      <c r="D3002" s="90">
        <v>11</v>
      </c>
      <c r="E3002" s="90" t="s">
        <v>61</v>
      </c>
      <c r="F3002" s="90">
        <v>2021</v>
      </c>
      <c r="G3002" s="90" t="s">
        <v>18</v>
      </c>
      <c r="H3002" s="90" t="s">
        <v>18</v>
      </c>
      <c r="I3002" s="90" t="s">
        <v>18</v>
      </c>
      <c r="J3002" s="90" t="s">
        <v>18</v>
      </c>
      <c r="K3002" s="90" t="s">
        <v>18</v>
      </c>
      <c r="L3002" s="90" t="s">
        <v>18</v>
      </c>
      <c r="M3002" s="90" t="s">
        <v>18</v>
      </c>
      <c r="N3002" s="90" t="s">
        <v>18</v>
      </c>
      <c r="O3002" s="90" t="s">
        <v>18</v>
      </c>
      <c r="P3002" s="113" t="s">
        <v>174</v>
      </c>
    </row>
    <row r="3003" spans="1:19" x14ac:dyDescent="0.25">
      <c r="A3003" s="29">
        <v>10</v>
      </c>
      <c r="B3003" s="30">
        <v>438406.10856199998</v>
      </c>
      <c r="C3003" s="30">
        <v>5688274.3324180003</v>
      </c>
      <c r="D3003" s="30">
        <v>11</v>
      </c>
      <c r="E3003" s="30" t="s">
        <v>61</v>
      </c>
      <c r="F3003" s="46">
        <v>2021</v>
      </c>
      <c r="G3003" s="47">
        <v>0.17369999999999999</v>
      </c>
      <c r="H3003" s="47">
        <f>G3003*0.305972770579755</f>
        <v>5.3147470249703448E-2</v>
      </c>
      <c r="I3003" s="47">
        <v>0</v>
      </c>
      <c r="J3003" s="47">
        <f>I3003*0.439903846153846</f>
        <v>0</v>
      </c>
      <c r="K3003" s="47">
        <v>6.7000000000000004E-2</v>
      </c>
      <c r="L3003" s="47">
        <f>K3003*0.375537153163871</f>
        <v>2.5160989261979357E-2</v>
      </c>
      <c r="M3003" s="47">
        <f>H3003-L3003</f>
        <v>2.7986480987724091E-2</v>
      </c>
      <c r="N3003" s="47">
        <v>0</v>
      </c>
      <c r="O3003" s="47">
        <f>N3003*0.328147651006711</f>
        <v>0</v>
      </c>
      <c r="P3003" s="92"/>
    </row>
    <row r="3004" spans="1:19" x14ac:dyDescent="0.25">
      <c r="A3004" s="42">
        <v>11</v>
      </c>
      <c r="B3004" s="43">
        <v>437454.10856199998</v>
      </c>
      <c r="C3004" s="43">
        <v>5688393.3324180003</v>
      </c>
      <c r="D3004" s="44">
        <v>11</v>
      </c>
      <c r="E3004" s="44" t="s">
        <v>61</v>
      </c>
      <c r="F3004" s="44">
        <v>2021</v>
      </c>
      <c r="G3004" s="44" t="s">
        <v>18</v>
      </c>
      <c r="H3004" s="44" t="s">
        <v>18</v>
      </c>
      <c r="I3004" s="44" t="s">
        <v>18</v>
      </c>
      <c r="J3004" s="44" t="s">
        <v>18</v>
      </c>
      <c r="K3004" s="44" t="s">
        <v>18</v>
      </c>
      <c r="L3004" s="44" t="s">
        <v>18</v>
      </c>
      <c r="M3004" s="44" t="s">
        <v>18</v>
      </c>
      <c r="N3004" s="44" t="s">
        <v>18</v>
      </c>
      <c r="O3004" s="44" t="s">
        <v>18</v>
      </c>
      <c r="P3004" s="102" t="s">
        <v>109</v>
      </c>
    </row>
    <row r="3005" spans="1:19" x14ac:dyDescent="0.25">
      <c r="A3005" s="29">
        <v>12</v>
      </c>
      <c r="B3005" s="30">
        <v>437573.10856199998</v>
      </c>
      <c r="C3005" s="30">
        <v>5688393.3324180003</v>
      </c>
      <c r="D3005" s="30">
        <v>9</v>
      </c>
      <c r="E3005" s="30" t="s">
        <v>61</v>
      </c>
      <c r="F3005" s="46">
        <v>2021</v>
      </c>
      <c r="G3005" s="47">
        <v>0.1017</v>
      </c>
      <c r="H3005" s="47">
        <f t="shared" ref="H3005:H3053" si="330">G3005*0.334415047191549</f>
        <v>3.4010010299380534E-2</v>
      </c>
      <c r="I3005" s="47">
        <v>5.8200000000000002E-2</v>
      </c>
      <c r="J3005" s="47">
        <f t="shared" ref="J3005:J3053" si="331">I3005*0.344311230391729</f>
        <v>2.0038913608798628E-2</v>
      </c>
      <c r="K3005" s="47">
        <v>1.0500000000000001E-2</v>
      </c>
      <c r="L3005" s="47">
        <f t="shared" ref="L3005:L3053" si="332">K3005*0.361165529568604</f>
        <v>3.7922380604703421E-3</v>
      </c>
      <c r="M3005" s="47">
        <f>H3005-L3005</f>
        <v>3.0217772238910194E-2</v>
      </c>
      <c r="N3005" s="47">
        <v>0</v>
      </c>
      <c r="O3005" s="47">
        <f t="shared" ref="O3005:O3053" si="333">N3005*0.375033118780011</f>
        <v>0</v>
      </c>
      <c r="P3005" s="92"/>
    </row>
    <row r="3006" spans="1:19" x14ac:dyDescent="0.25">
      <c r="A3006" s="29">
        <v>13</v>
      </c>
      <c r="B3006" s="30">
        <v>437692.10856199998</v>
      </c>
      <c r="C3006" s="30">
        <v>5688393.3324180003</v>
      </c>
      <c r="D3006" s="30">
        <v>9</v>
      </c>
      <c r="E3006" s="30" t="s">
        <v>61</v>
      </c>
      <c r="F3006" s="46">
        <v>2021</v>
      </c>
      <c r="G3006" s="47">
        <v>0.1699</v>
      </c>
      <c r="H3006" s="47">
        <f t="shared" si="330"/>
        <v>5.6817116517844178E-2</v>
      </c>
      <c r="I3006" s="47">
        <v>3.73E-2</v>
      </c>
      <c r="J3006" s="47">
        <f t="shared" si="331"/>
        <v>1.2842808893611491E-2</v>
      </c>
      <c r="K3006" s="47">
        <v>4.48E-2</v>
      </c>
      <c r="L3006" s="47">
        <f t="shared" si="332"/>
        <v>1.6180215724673458E-2</v>
      </c>
      <c r="M3006" s="47">
        <f>H3006-L3006</f>
        <v>4.063690079317072E-2</v>
      </c>
      <c r="N3006" s="47">
        <v>8.9999999999999993E-3</v>
      </c>
      <c r="O3006" s="47">
        <f t="shared" si="333"/>
        <v>3.3752980690200988E-3</v>
      </c>
      <c r="P3006" s="92"/>
    </row>
    <row r="3007" spans="1:19" x14ac:dyDescent="0.25">
      <c r="A3007" s="32">
        <v>14</v>
      </c>
      <c r="B3007" s="33">
        <v>437811.10856199998</v>
      </c>
      <c r="C3007" s="33">
        <v>5688393.3324180003</v>
      </c>
      <c r="D3007" s="48">
        <v>11</v>
      </c>
      <c r="E3007" s="48" t="s">
        <v>61</v>
      </c>
      <c r="F3007" s="48">
        <v>2021</v>
      </c>
      <c r="G3007" s="48" t="s">
        <v>18</v>
      </c>
      <c r="H3007" s="48" t="s">
        <v>18</v>
      </c>
      <c r="I3007" s="48" t="s">
        <v>18</v>
      </c>
      <c r="J3007" s="48" t="s">
        <v>18</v>
      </c>
      <c r="K3007" s="48" t="s">
        <v>18</v>
      </c>
      <c r="L3007" s="48" t="s">
        <v>18</v>
      </c>
      <c r="M3007" s="48" t="s">
        <v>18</v>
      </c>
      <c r="N3007" s="48" t="s">
        <v>18</v>
      </c>
      <c r="O3007" s="48" t="s">
        <v>18</v>
      </c>
      <c r="P3007" s="103" t="s">
        <v>89</v>
      </c>
    </row>
    <row r="3008" spans="1:19" x14ac:dyDescent="0.25">
      <c r="A3008" s="29">
        <v>15</v>
      </c>
      <c r="B3008" s="30">
        <v>437930.10856199998</v>
      </c>
      <c r="C3008" s="30">
        <v>5688393.3324180003</v>
      </c>
      <c r="D3008" s="30">
        <v>9</v>
      </c>
      <c r="E3008" s="30" t="s">
        <v>61</v>
      </c>
      <c r="F3008" s="46">
        <v>2021</v>
      </c>
      <c r="G3008" s="47">
        <v>9.1600000000000001E-2</v>
      </c>
      <c r="H3008" s="47">
        <f t="shared" si="330"/>
        <v>3.0632418322745891E-2</v>
      </c>
      <c r="I3008" s="47">
        <v>7.7099999999999988E-2</v>
      </c>
      <c r="J3008" s="47">
        <f t="shared" si="331"/>
        <v>2.6546395863202302E-2</v>
      </c>
      <c r="K3008" s="47">
        <v>6.3E-2</v>
      </c>
      <c r="L3008" s="47">
        <f t="shared" si="332"/>
        <v>2.2753428362822049E-2</v>
      </c>
      <c r="M3008" s="47">
        <f>H3008-L3008</f>
        <v>7.8789899599238412E-3</v>
      </c>
      <c r="N3008" s="47">
        <v>3.1699999999999999E-2</v>
      </c>
      <c r="O3008" s="47">
        <f t="shared" si="333"/>
        <v>1.1888549865326349E-2</v>
      </c>
      <c r="P3008" s="92"/>
    </row>
    <row r="3009" spans="1:16" x14ac:dyDescent="0.25">
      <c r="A3009" s="29">
        <v>16</v>
      </c>
      <c r="B3009" s="30">
        <v>438049.10856199998</v>
      </c>
      <c r="C3009" s="30">
        <v>5688393.3324180003</v>
      </c>
      <c r="D3009" s="30">
        <v>9</v>
      </c>
      <c r="E3009" s="30" t="s">
        <v>61</v>
      </c>
      <c r="F3009" s="46">
        <v>2021</v>
      </c>
      <c r="G3009" s="47">
        <v>0.1227</v>
      </c>
      <c r="H3009" s="47">
        <f t="shared" si="330"/>
        <v>4.1032726290403068E-2</v>
      </c>
      <c r="I3009" s="47">
        <v>8.8000000000000005E-3</v>
      </c>
      <c r="J3009" s="47">
        <f t="shared" si="331"/>
        <v>3.0299388274472156E-3</v>
      </c>
      <c r="K3009" s="47">
        <v>6.720000000000001E-2</v>
      </c>
      <c r="L3009" s="47">
        <f t="shared" si="332"/>
        <v>2.427032358701019E-2</v>
      </c>
      <c r="M3009" s="47">
        <f>H3009-L3009</f>
        <v>1.6762402703392878E-2</v>
      </c>
      <c r="N3009" s="47">
        <v>1.1000000000000001E-3</v>
      </c>
      <c r="O3009" s="47">
        <f t="shared" si="333"/>
        <v>4.1253643065801215E-4</v>
      </c>
      <c r="P3009" s="92"/>
    </row>
    <row r="3010" spans="1:16" x14ac:dyDescent="0.25">
      <c r="A3010" s="29">
        <v>17</v>
      </c>
      <c r="B3010" s="30">
        <v>438168.10856199998</v>
      </c>
      <c r="C3010" s="30">
        <v>5688393.3324180003</v>
      </c>
      <c r="D3010" s="30">
        <v>11</v>
      </c>
      <c r="E3010" s="30" t="s">
        <v>61</v>
      </c>
      <c r="F3010" s="46">
        <v>2021</v>
      </c>
      <c r="G3010" s="47">
        <v>9.69E-2</v>
      </c>
      <c r="H3010" s="47">
        <f t="shared" ref="H3010:H3012" si="334">G3010*0.305972770579755</f>
        <v>2.9648761469178261E-2</v>
      </c>
      <c r="I3010" s="47">
        <v>1.0699999999999999E-2</v>
      </c>
      <c r="J3010" s="47">
        <f t="shared" ref="J3010:J3012" si="335">I3010*0.439903846153846</f>
        <v>4.7069711538461519E-3</v>
      </c>
      <c r="K3010" s="47">
        <v>3.2100000000000004E-2</v>
      </c>
      <c r="L3010" s="47">
        <f t="shared" ref="L3010:L3012" si="336">K3010*0.375537153163871</f>
        <v>1.205474261656026E-2</v>
      </c>
      <c r="M3010" s="47">
        <f>H3010-L3010</f>
        <v>1.7594018852618E-2</v>
      </c>
      <c r="N3010" s="47">
        <v>8.270000000000001E-2</v>
      </c>
      <c r="O3010" s="47">
        <f t="shared" ref="O3010:O3012" si="337">N3010*0.328147651006711</f>
        <v>2.7137810738255004E-2</v>
      </c>
      <c r="P3010" s="92"/>
    </row>
    <row r="3011" spans="1:16" x14ac:dyDescent="0.25">
      <c r="A3011" s="29">
        <v>18</v>
      </c>
      <c r="B3011" s="30">
        <v>438287.10856199998</v>
      </c>
      <c r="C3011" s="30">
        <v>5688393.3324180003</v>
      </c>
      <c r="D3011" s="30">
        <v>11</v>
      </c>
      <c r="E3011" s="30" t="s">
        <v>61</v>
      </c>
      <c r="F3011" s="46">
        <v>2021</v>
      </c>
      <c r="G3011" s="47">
        <v>3.9899999999999998E-2</v>
      </c>
      <c r="H3011" s="47">
        <f t="shared" si="334"/>
        <v>1.2208313546132225E-2</v>
      </c>
      <c r="I3011" s="47">
        <v>1.3900000000000001E-2</v>
      </c>
      <c r="J3011" s="47">
        <f t="shared" si="335"/>
        <v>6.1146634615384596E-3</v>
      </c>
      <c r="K3011" s="47">
        <v>3.7899999999999996E-2</v>
      </c>
      <c r="L3011" s="47">
        <f t="shared" si="336"/>
        <v>1.423285810491071E-2</v>
      </c>
      <c r="M3011" s="47">
        <f>H3011-L3011</f>
        <v>-2.0245445587784849E-3</v>
      </c>
      <c r="N3011" s="47">
        <v>0</v>
      </c>
      <c r="O3011" s="47">
        <f t="shared" si="337"/>
        <v>0</v>
      </c>
      <c r="P3011" s="92"/>
    </row>
    <row r="3012" spans="1:16" x14ac:dyDescent="0.25">
      <c r="A3012" s="29">
        <v>19</v>
      </c>
      <c r="B3012" s="30">
        <v>438406.10856199998</v>
      </c>
      <c r="C3012" s="30">
        <v>5688393.3324180003</v>
      </c>
      <c r="D3012" s="30">
        <v>11</v>
      </c>
      <c r="E3012" s="30" t="s">
        <v>61</v>
      </c>
      <c r="F3012" s="46">
        <v>2021</v>
      </c>
      <c r="G3012" s="47">
        <v>4.6899999999999997E-2</v>
      </c>
      <c r="H3012" s="47">
        <f t="shared" si="334"/>
        <v>1.435012294019051E-2</v>
      </c>
      <c r="I3012" s="47">
        <v>1.8E-3</v>
      </c>
      <c r="J3012" s="47">
        <f t="shared" si="335"/>
        <v>7.9182692307692276E-4</v>
      </c>
      <c r="K3012" s="47">
        <v>5.4000000000000003E-3</v>
      </c>
      <c r="L3012" s="47">
        <f t="shared" si="336"/>
        <v>2.0279006270849036E-3</v>
      </c>
      <c r="M3012" s="47">
        <f>H3012-L3012</f>
        <v>1.2322222313105606E-2</v>
      </c>
      <c r="N3012" s="47">
        <v>0</v>
      </c>
      <c r="O3012" s="47">
        <f t="shared" si="337"/>
        <v>0</v>
      </c>
      <c r="P3012" s="92"/>
    </row>
    <row r="3013" spans="1:16" x14ac:dyDescent="0.25">
      <c r="A3013" s="42">
        <v>20</v>
      </c>
      <c r="B3013" s="43">
        <v>437335.10856199998</v>
      </c>
      <c r="C3013" s="43">
        <v>5688512.3324180003</v>
      </c>
      <c r="D3013" s="44">
        <v>11</v>
      </c>
      <c r="E3013" s="44" t="s">
        <v>61</v>
      </c>
      <c r="F3013" s="44">
        <v>2021</v>
      </c>
      <c r="G3013" s="44" t="s">
        <v>18</v>
      </c>
      <c r="H3013" s="44" t="s">
        <v>18</v>
      </c>
      <c r="I3013" s="44" t="s">
        <v>18</v>
      </c>
      <c r="J3013" s="44" t="s">
        <v>18</v>
      </c>
      <c r="K3013" s="44" t="s">
        <v>18</v>
      </c>
      <c r="L3013" s="44" t="s">
        <v>18</v>
      </c>
      <c r="M3013" s="44" t="s">
        <v>18</v>
      </c>
      <c r="N3013" s="44" t="s">
        <v>18</v>
      </c>
      <c r="O3013" s="44" t="s">
        <v>18</v>
      </c>
      <c r="P3013" s="102" t="s">
        <v>109</v>
      </c>
    </row>
    <row r="3014" spans="1:16" x14ac:dyDescent="0.25">
      <c r="A3014" s="29">
        <v>21</v>
      </c>
      <c r="B3014" s="30">
        <v>437454.10856199998</v>
      </c>
      <c r="C3014" s="30">
        <v>5688512.3324180003</v>
      </c>
      <c r="D3014" s="30">
        <v>9</v>
      </c>
      <c r="E3014" s="30" t="s">
        <v>61</v>
      </c>
      <c r="F3014" s="46">
        <v>2021</v>
      </c>
      <c r="G3014" s="47">
        <v>4.5700000000000005E-2</v>
      </c>
      <c r="H3014" s="47">
        <f t="shared" si="330"/>
        <v>1.5282767656653791E-2</v>
      </c>
      <c r="I3014" s="47">
        <v>8.6E-3</v>
      </c>
      <c r="J3014" s="47">
        <f t="shared" si="331"/>
        <v>2.9610765813688693E-3</v>
      </c>
      <c r="K3014" s="47">
        <v>1.3900000000000001E-2</v>
      </c>
      <c r="L3014" s="47">
        <f t="shared" si="332"/>
        <v>5.0202008610035955E-3</v>
      </c>
      <c r="M3014" s="47">
        <f t="shared" ref="M3014:M3019" si="338">H3014-L3014</f>
        <v>1.0262566795650196E-2</v>
      </c>
      <c r="N3014" s="47">
        <v>0</v>
      </c>
      <c r="O3014" s="47">
        <f t="shared" si="333"/>
        <v>0</v>
      </c>
      <c r="P3014" s="92"/>
    </row>
    <row r="3015" spans="1:16" x14ac:dyDescent="0.25">
      <c r="A3015" s="29">
        <v>22</v>
      </c>
      <c r="B3015" s="30">
        <v>437573.10856199998</v>
      </c>
      <c r="C3015" s="30">
        <v>5688512.3324180003</v>
      </c>
      <c r="D3015" s="30">
        <v>9</v>
      </c>
      <c r="E3015" s="30" t="s">
        <v>61</v>
      </c>
      <c r="F3015" s="46">
        <v>2021</v>
      </c>
      <c r="G3015" s="47">
        <v>0.27650000000000002</v>
      </c>
      <c r="H3015" s="47">
        <f t="shared" si="330"/>
        <v>9.246576054846331E-2</v>
      </c>
      <c r="I3015" s="47">
        <v>3.4799999999999998E-2</v>
      </c>
      <c r="J3015" s="47">
        <f t="shared" si="331"/>
        <v>1.1982030817632168E-2</v>
      </c>
      <c r="K3015" s="47">
        <v>8.7499999999999994E-2</v>
      </c>
      <c r="L3015" s="47">
        <f t="shared" si="332"/>
        <v>3.1601983837252844E-2</v>
      </c>
      <c r="M3015" s="47">
        <f t="shared" si="338"/>
        <v>6.0863776711210467E-2</v>
      </c>
      <c r="N3015" s="47">
        <v>3.5000000000000001E-3</v>
      </c>
      <c r="O3015" s="47">
        <f t="shared" si="333"/>
        <v>1.3126159157300385E-3</v>
      </c>
      <c r="P3015" s="92"/>
    </row>
    <row r="3016" spans="1:16" x14ac:dyDescent="0.25">
      <c r="A3016" s="29">
        <v>23</v>
      </c>
      <c r="B3016" s="30">
        <v>437692.10856199998</v>
      </c>
      <c r="C3016" s="30">
        <v>5688512.3324180003</v>
      </c>
      <c r="D3016" s="30">
        <v>9</v>
      </c>
      <c r="E3016" s="30" t="s">
        <v>61</v>
      </c>
      <c r="F3016" s="46">
        <v>2021</v>
      </c>
      <c r="G3016" s="47">
        <v>0.10050000000000001</v>
      </c>
      <c r="H3016" s="47">
        <f t="shared" si="330"/>
        <v>3.360871224275068E-2</v>
      </c>
      <c r="I3016" s="47">
        <v>1.6E-2</v>
      </c>
      <c r="J3016" s="47">
        <f t="shared" si="331"/>
        <v>5.508979686267664E-3</v>
      </c>
      <c r="K3016" s="47">
        <v>0.11120000000000001</v>
      </c>
      <c r="L3016" s="47">
        <f t="shared" si="332"/>
        <v>4.0161606888028764E-2</v>
      </c>
      <c r="M3016" s="47">
        <f t="shared" si="338"/>
        <v>-6.5528946452780845E-3</v>
      </c>
      <c r="N3016" s="47">
        <v>3.2000000000000001E-2</v>
      </c>
      <c r="O3016" s="47">
        <f t="shared" si="333"/>
        <v>1.2001059800960352E-2</v>
      </c>
      <c r="P3016" s="92"/>
    </row>
    <row r="3017" spans="1:16" x14ac:dyDescent="0.25">
      <c r="A3017" s="29">
        <v>24</v>
      </c>
      <c r="B3017" s="30">
        <v>437811.10856199998</v>
      </c>
      <c r="C3017" s="30">
        <v>5688512.3324180003</v>
      </c>
      <c r="D3017" s="30">
        <v>9</v>
      </c>
      <c r="E3017" s="30" t="s">
        <v>61</v>
      </c>
      <c r="F3017" s="46">
        <v>2021</v>
      </c>
      <c r="G3017" s="47">
        <v>0.24759999999999999</v>
      </c>
      <c r="H3017" s="47">
        <f t="shared" si="330"/>
        <v>8.2801165684627531E-2</v>
      </c>
      <c r="I3017" s="47">
        <v>8.5300000000000001E-2</v>
      </c>
      <c r="J3017" s="47">
        <f t="shared" si="331"/>
        <v>2.9369747952414486E-2</v>
      </c>
      <c r="K3017" s="47">
        <v>4.9000000000000002E-2</v>
      </c>
      <c r="L3017" s="47">
        <f t="shared" si="332"/>
        <v>1.7697110948861595E-2</v>
      </c>
      <c r="M3017" s="47">
        <f t="shared" si="338"/>
        <v>6.5104054735765943E-2</v>
      </c>
      <c r="N3017" s="47">
        <v>1.11E-2</v>
      </c>
      <c r="O3017" s="47">
        <f t="shared" si="333"/>
        <v>4.1628676184581222E-3</v>
      </c>
      <c r="P3017" s="92"/>
    </row>
    <row r="3018" spans="1:16" x14ac:dyDescent="0.25">
      <c r="A3018" s="29">
        <v>25</v>
      </c>
      <c r="B3018" s="46">
        <v>437995</v>
      </c>
      <c r="C3018" s="46">
        <v>5688493</v>
      </c>
      <c r="D3018" s="30">
        <v>9</v>
      </c>
      <c r="E3018" s="30" t="s">
        <v>61</v>
      </c>
      <c r="F3018" s="46">
        <v>2021</v>
      </c>
      <c r="G3018" s="47">
        <v>0.15290000000000001</v>
      </c>
      <c r="H3018" s="47">
        <f t="shared" si="330"/>
        <v>5.1132060715587846E-2</v>
      </c>
      <c r="I3018" s="47">
        <v>1.46E-2</v>
      </c>
      <c r="J3018" s="47">
        <f t="shared" si="331"/>
        <v>5.0269439637192432E-3</v>
      </c>
      <c r="K3018" s="47">
        <v>1.83E-2</v>
      </c>
      <c r="L3018" s="47">
        <f t="shared" si="332"/>
        <v>6.6093291911054532E-3</v>
      </c>
      <c r="M3018" s="47">
        <f t="shared" si="338"/>
        <v>4.4522731524482391E-2</v>
      </c>
      <c r="N3018" s="47">
        <v>7.7000000000000002E-3</v>
      </c>
      <c r="O3018" s="47">
        <f t="shared" si="333"/>
        <v>2.8877550146060847E-3</v>
      </c>
      <c r="P3018" s="92"/>
    </row>
    <row r="3019" spans="1:16" x14ac:dyDescent="0.25">
      <c r="A3019" s="29">
        <v>26</v>
      </c>
      <c r="B3019" s="46">
        <v>438112</v>
      </c>
      <c r="C3019" s="46">
        <v>5688567</v>
      </c>
      <c r="D3019" s="30">
        <v>11</v>
      </c>
      <c r="E3019" s="30" t="s">
        <v>61</v>
      </c>
      <c r="F3019" s="46">
        <v>2021</v>
      </c>
      <c r="G3019" s="47">
        <v>0.1072</v>
      </c>
      <c r="H3019" s="47">
        <f t="shared" ref="H3019:H3023" si="339">G3019*0.305972770579755</f>
        <v>3.2800281006149741E-2</v>
      </c>
      <c r="I3019" s="47">
        <v>4.9000000000000007E-3</v>
      </c>
      <c r="J3019" s="47">
        <f>I3019*0.439903846153846</f>
        <v>2.1555288461538456E-3</v>
      </c>
      <c r="K3019" s="47">
        <v>6.1399999999999996E-2</v>
      </c>
      <c r="L3019" s="47">
        <f>K3019*0.375537153163871</f>
        <v>2.3057981204261679E-2</v>
      </c>
      <c r="M3019" s="47">
        <f t="shared" si="338"/>
        <v>9.7422998018880623E-3</v>
      </c>
      <c r="N3019" s="47">
        <v>1.43E-2</v>
      </c>
      <c r="O3019" s="47">
        <f>N3019*0.328147651006711</f>
        <v>4.6925114093959676E-3</v>
      </c>
      <c r="P3019" s="92"/>
    </row>
    <row r="3020" spans="1:16" x14ac:dyDescent="0.25">
      <c r="A3020" s="32">
        <v>27</v>
      </c>
      <c r="B3020" s="33">
        <v>438168.10856199998</v>
      </c>
      <c r="C3020" s="33">
        <v>5688512.3324180003</v>
      </c>
      <c r="D3020" s="48">
        <v>11</v>
      </c>
      <c r="E3020" s="48" t="s">
        <v>61</v>
      </c>
      <c r="F3020" s="48">
        <v>2021</v>
      </c>
      <c r="G3020" s="48" t="s">
        <v>18</v>
      </c>
      <c r="H3020" s="48" t="s">
        <v>18</v>
      </c>
      <c r="I3020" s="48" t="s">
        <v>18</v>
      </c>
      <c r="J3020" s="48" t="s">
        <v>18</v>
      </c>
      <c r="K3020" s="48" t="s">
        <v>18</v>
      </c>
      <c r="L3020" s="48" t="s">
        <v>18</v>
      </c>
      <c r="M3020" s="48" t="s">
        <v>18</v>
      </c>
      <c r="N3020" s="48" t="s">
        <v>18</v>
      </c>
      <c r="O3020" s="48" t="s">
        <v>18</v>
      </c>
      <c r="P3020" s="103" t="s">
        <v>89</v>
      </c>
    </row>
    <row r="3021" spans="1:16" x14ac:dyDescent="0.25">
      <c r="A3021" s="32">
        <v>28</v>
      </c>
      <c r="B3021" s="33">
        <v>438287.10856199998</v>
      </c>
      <c r="C3021" s="33">
        <v>5688512.3324180003</v>
      </c>
      <c r="D3021" s="48">
        <v>11</v>
      </c>
      <c r="E3021" s="48" t="s">
        <v>61</v>
      </c>
      <c r="F3021" s="48">
        <v>2021</v>
      </c>
      <c r="G3021" s="48" t="s">
        <v>18</v>
      </c>
      <c r="H3021" s="48" t="s">
        <v>18</v>
      </c>
      <c r="I3021" s="48" t="s">
        <v>18</v>
      </c>
      <c r="J3021" s="48" t="s">
        <v>18</v>
      </c>
      <c r="K3021" s="48" t="s">
        <v>18</v>
      </c>
      <c r="L3021" s="48" t="s">
        <v>18</v>
      </c>
      <c r="M3021" s="48" t="s">
        <v>18</v>
      </c>
      <c r="N3021" s="48" t="s">
        <v>18</v>
      </c>
      <c r="O3021" s="48" t="s">
        <v>18</v>
      </c>
      <c r="P3021" s="103" t="s">
        <v>89</v>
      </c>
    </row>
    <row r="3022" spans="1:16" x14ac:dyDescent="0.25">
      <c r="A3022" s="29">
        <v>29</v>
      </c>
      <c r="B3022" s="30">
        <v>438381</v>
      </c>
      <c r="C3022" s="30">
        <v>5688526</v>
      </c>
      <c r="D3022" s="30">
        <v>11</v>
      </c>
      <c r="E3022" s="30" t="s">
        <v>61</v>
      </c>
      <c r="F3022" s="46">
        <v>2021</v>
      </c>
      <c r="G3022" s="47">
        <v>9.3099999999999988E-2</v>
      </c>
      <c r="H3022" s="47">
        <f t="shared" si="339"/>
        <v>2.8486064940975189E-2</v>
      </c>
      <c r="I3022" s="47">
        <v>0</v>
      </c>
      <c r="J3022" s="47">
        <f t="shared" ref="J3022:J3023" si="340">I3022*0.439903846153846</f>
        <v>0</v>
      </c>
      <c r="K3022" s="47">
        <v>9.5999999999999992E-3</v>
      </c>
      <c r="L3022" s="47">
        <f t="shared" ref="L3022:L3023" si="341">K3022*0.375537153163871</f>
        <v>3.605156670373161E-3</v>
      </c>
      <c r="M3022" s="47">
        <f>H3022-L3022</f>
        <v>2.4880908270602027E-2</v>
      </c>
      <c r="N3022" s="47">
        <v>0</v>
      </c>
      <c r="O3022" s="47">
        <f t="shared" ref="O3022:O3023" si="342">N3022*0.328147651006711</f>
        <v>0</v>
      </c>
      <c r="P3022" s="92"/>
    </row>
    <row r="3023" spans="1:16" x14ac:dyDescent="0.25">
      <c r="A3023" s="29">
        <v>30</v>
      </c>
      <c r="B3023" s="30">
        <v>438525.10856199998</v>
      </c>
      <c r="C3023" s="30">
        <v>5688512.3324180003</v>
      </c>
      <c r="D3023" s="30">
        <v>11</v>
      </c>
      <c r="E3023" s="30" t="s">
        <v>61</v>
      </c>
      <c r="F3023" s="46">
        <v>2021</v>
      </c>
      <c r="G3023" s="47">
        <v>1.7399999999999999E-2</v>
      </c>
      <c r="H3023" s="47">
        <f t="shared" si="339"/>
        <v>5.3239262080877368E-3</v>
      </c>
      <c r="I3023" s="47">
        <v>2.5000000000000001E-3</v>
      </c>
      <c r="J3023" s="47">
        <f t="shared" si="340"/>
        <v>1.0997596153846151E-3</v>
      </c>
      <c r="K3023" s="47">
        <v>1.3699999999999999E-2</v>
      </c>
      <c r="L3023" s="47">
        <f t="shared" si="341"/>
        <v>5.1448589983450321E-3</v>
      </c>
      <c r="M3023" s="47">
        <f>H3023-L3023</f>
        <v>1.7906720974270474E-4</v>
      </c>
      <c r="N3023" s="47">
        <v>1.6999999999999999E-3</v>
      </c>
      <c r="O3023" s="47">
        <f t="shared" si="342"/>
        <v>5.5785100671140871E-4</v>
      </c>
      <c r="P3023" s="92"/>
    </row>
    <row r="3024" spans="1:16" x14ac:dyDescent="0.25">
      <c r="A3024" s="29">
        <v>31</v>
      </c>
      <c r="B3024" s="30">
        <v>437335.10856199998</v>
      </c>
      <c r="C3024" s="30">
        <v>5688631.3324180003</v>
      </c>
      <c r="D3024" s="30">
        <v>9</v>
      </c>
      <c r="E3024" s="30" t="s">
        <v>61</v>
      </c>
      <c r="F3024" s="46">
        <v>2021</v>
      </c>
      <c r="G3024" s="47">
        <v>0.13150000000000001</v>
      </c>
      <c r="H3024" s="47">
        <f t="shared" si="330"/>
        <v>4.3975578705688696E-2</v>
      </c>
      <c r="I3024" s="47">
        <v>0</v>
      </c>
      <c r="J3024" s="47">
        <f t="shared" si="331"/>
        <v>0</v>
      </c>
      <c r="K3024" s="47">
        <v>2.6800000000000001E-2</v>
      </c>
      <c r="L3024" s="47">
        <f t="shared" si="332"/>
        <v>9.6792361924385867E-3</v>
      </c>
      <c r="M3024" s="47">
        <f>H3024-L3024</f>
        <v>3.429634251325011E-2</v>
      </c>
      <c r="N3024" s="47">
        <v>0</v>
      </c>
      <c r="O3024" s="47">
        <f t="shared" si="333"/>
        <v>0</v>
      </c>
      <c r="P3024" s="92"/>
    </row>
    <row r="3025" spans="1:16" x14ac:dyDescent="0.25">
      <c r="A3025" s="29">
        <v>32</v>
      </c>
      <c r="B3025" s="30">
        <v>437454.10856199998</v>
      </c>
      <c r="C3025" s="30">
        <v>5688631.3324180003</v>
      </c>
      <c r="D3025" s="30">
        <v>9</v>
      </c>
      <c r="E3025" s="30" t="s">
        <v>61</v>
      </c>
      <c r="F3025" s="46">
        <v>2021</v>
      </c>
      <c r="G3025" s="72" t="s">
        <v>18</v>
      </c>
      <c r="H3025" s="46" t="s">
        <v>18</v>
      </c>
      <c r="I3025" s="72" t="s">
        <v>18</v>
      </c>
      <c r="J3025" s="46" t="s">
        <v>18</v>
      </c>
      <c r="K3025" s="47">
        <v>9.6999999999999986E-3</v>
      </c>
      <c r="L3025" s="47">
        <f t="shared" si="332"/>
        <v>3.503305636815458E-3</v>
      </c>
      <c r="M3025" s="46" t="s">
        <v>18</v>
      </c>
      <c r="N3025" s="47">
        <v>0</v>
      </c>
      <c r="O3025" s="47">
        <f t="shared" si="333"/>
        <v>0</v>
      </c>
      <c r="P3025" s="92" t="s">
        <v>178</v>
      </c>
    </row>
    <row r="3026" spans="1:16" x14ac:dyDescent="0.25">
      <c r="A3026" s="29">
        <v>33</v>
      </c>
      <c r="B3026" s="30">
        <v>437573.10856199998</v>
      </c>
      <c r="C3026" s="30">
        <v>5688631.3324180003</v>
      </c>
      <c r="D3026" s="30">
        <v>9</v>
      </c>
      <c r="E3026" s="30" t="s">
        <v>61</v>
      </c>
      <c r="F3026" s="46">
        <v>2021</v>
      </c>
      <c r="G3026" s="47">
        <v>6.2899999999999998E-2</v>
      </c>
      <c r="H3026" s="47">
        <f t="shared" si="330"/>
        <v>2.1034706468348433E-2</v>
      </c>
      <c r="I3026" s="47">
        <v>0</v>
      </c>
      <c r="J3026" s="47">
        <f t="shared" si="331"/>
        <v>0</v>
      </c>
      <c r="K3026" s="47">
        <v>5.5999999999999999E-3</v>
      </c>
      <c r="L3026" s="47">
        <f t="shared" si="332"/>
        <v>2.0225269655841822E-3</v>
      </c>
      <c r="M3026" s="47">
        <f>H3026-L3026</f>
        <v>1.9012179502764251E-2</v>
      </c>
      <c r="N3026" s="47">
        <v>0</v>
      </c>
      <c r="O3026" s="47">
        <f t="shared" si="333"/>
        <v>0</v>
      </c>
      <c r="P3026" s="92"/>
    </row>
    <row r="3027" spans="1:16" x14ac:dyDescent="0.25">
      <c r="A3027" s="29">
        <v>34</v>
      </c>
      <c r="B3027" s="30">
        <v>437692.10856199998</v>
      </c>
      <c r="C3027" s="30">
        <v>5688631.3324180003</v>
      </c>
      <c r="D3027" s="30">
        <v>9</v>
      </c>
      <c r="E3027" s="30" t="s">
        <v>61</v>
      </c>
      <c r="F3027" s="46">
        <v>2021</v>
      </c>
      <c r="G3027" s="111">
        <v>4.3200000000000002E-2</v>
      </c>
      <c r="H3027" s="47">
        <f t="shared" si="330"/>
        <v>1.4446730038674919E-2</v>
      </c>
      <c r="I3027" s="47">
        <v>0</v>
      </c>
      <c r="J3027" s="47">
        <f t="shared" si="331"/>
        <v>0</v>
      </c>
      <c r="K3027" s="47">
        <v>7.4000000000000003E-3</v>
      </c>
      <c r="L3027" s="47">
        <f t="shared" si="332"/>
        <v>2.6726249188076695E-3</v>
      </c>
      <c r="M3027" s="47">
        <f>H3027-L3027</f>
        <v>1.177410511986725E-2</v>
      </c>
      <c r="N3027" s="47">
        <v>0</v>
      </c>
      <c r="O3027" s="47">
        <f t="shared" si="333"/>
        <v>0</v>
      </c>
      <c r="P3027" s="92"/>
    </row>
    <row r="3028" spans="1:16" x14ac:dyDescent="0.25">
      <c r="A3028" s="29">
        <v>35</v>
      </c>
      <c r="B3028" s="30">
        <v>437893</v>
      </c>
      <c r="C3028" s="30">
        <v>5688620</v>
      </c>
      <c r="D3028" s="30">
        <v>9</v>
      </c>
      <c r="E3028" s="30" t="s">
        <v>61</v>
      </c>
      <c r="F3028" s="46">
        <v>2021</v>
      </c>
      <c r="G3028" s="47">
        <v>5.8400000000000001E-2</v>
      </c>
      <c r="H3028" s="47">
        <f t="shared" si="330"/>
        <v>1.9529838755986462E-2</v>
      </c>
      <c r="I3028" s="47">
        <v>0</v>
      </c>
      <c r="J3028" s="47">
        <f t="shared" si="331"/>
        <v>0</v>
      </c>
      <c r="K3028" s="47">
        <v>6.0999999999999995E-3</v>
      </c>
      <c r="L3028" s="47">
        <f t="shared" si="332"/>
        <v>2.203109730368484E-3</v>
      </c>
      <c r="M3028" s="47">
        <f>H3028-L3028</f>
        <v>1.7326729025617979E-2</v>
      </c>
      <c r="N3028" s="5">
        <v>0</v>
      </c>
      <c r="O3028" s="47">
        <f t="shared" si="333"/>
        <v>0</v>
      </c>
      <c r="P3028" s="92"/>
    </row>
    <row r="3029" spans="1:16" x14ac:dyDescent="0.25">
      <c r="A3029" s="29">
        <v>36</v>
      </c>
      <c r="B3029" s="30">
        <v>437930.10856199998</v>
      </c>
      <c r="C3029" s="30">
        <v>5688631.3324180003</v>
      </c>
      <c r="D3029" s="30">
        <v>9</v>
      </c>
      <c r="E3029" s="30" t="s">
        <v>61</v>
      </c>
      <c r="F3029" s="46">
        <v>2021</v>
      </c>
      <c r="G3029" s="47">
        <v>0.1008</v>
      </c>
      <c r="H3029" s="47">
        <f t="shared" si="330"/>
        <v>3.3709036756908138E-2</v>
      </c>
      <c r="I3029" s="47">
        <v>2.7199999999999998E-2</v>
      </c>
      <c r="J3029" s="47">
        <f t="shared" si="331"/>
        <v>9.3652654666550282E-3</v>
      </c>
      <c r="K3029" s="47">
        <v>6.93E-2</v>
      </c>
      <c r="L3029" s="47">
        <f t="shared" si="332"/>
        <v>2.5028771199104256E-2</v>
      </c>
      <c r="M3029" s="47">
        <f>H3029-L3029</f>
        <v>8.6802655578038825E-3</v>
      </c>
      <c r="N3029" s="47">
        <v>3.0100000000000002E-2</v>
      </c>
      <c r="O3029" s="47">
        <f t="shared" si="333"/>
        <v>1.1288496875278331E-2</v>
      </c>
      <c r="P3029" s="92"/>
    </row>
    <row r="3030" spans="1:16" x14ac:dyDescent="0.25">
      <c r="A3030" s="32">
        <v>37</v>
      </c>
      <c r="B3030" s="33">
        <v>438049.10856199998</v>
      </c>
      <c r="C3030" s="33">
        <v>5688631.3324180003</v>
      </c>
      <c r="D3030" s="48">
        <v>11</v>
      </c>
      <c r="E3030" s="48" t="s">
        <v>61</v>
      </c>
      <c r="F3030" s="48">
        <v>2021</v>
      </c>
      <c r="G3030" s="48" t="s">
        <v>18</v>
      </c>
      <c r="H3030" s="48" t="s">
        <v>18</v>
      </c>
      <c r="I3030" s="48" t="s">
        <v>18</v>
      </c>
      <c r="J3030" s="48" t="s">
        <v>18</v>
      </c>
      <c r="K3030" s="48" t="s">
        <v>18</v>
      </c>
      <c r="L3030" s="48" t="s">
        <v>18</v>
      </c>
      <c r="M3030" s="48" t="s">
        <v>18</v>
      </c>
      <c r="N3030" s="48" t="s">
        <v>18</v>
      </c>
      <c r="O3030" s="48" t="s">
        <v>18</v>
      </c>
      <c r="P3030" s="103" t="s">
        <v>89</v>
      </c>
    </row>
    <row r="3031" spans="1:16" x14ac:dyDescent="0.25">
      <c r="A3031" s="29">
        <v>38</v>
      </c>
      <c r="B3031" s="30">
        <v>438067</v>
      </c>
      <c r="C3031" s="30">
        <v>5688710</v>
      </c>
      <c r="D3031" s="30">
        <v>9</v>
      </c>
      <c r="E3031" s="30" t="s">
        <v>61</v>
      </c>
      <c r="F3031" s="46">
        <v>2021</v>
      </c>
      <c r="G3031" s="54">
        <v>0.15319999999999998</v>
      </c>
      <c r="H3031" s="47">
        <f t="shared" si="330"/>
        <v>5.1232385229745304E-2</v>
      </c>
      <c r="I3031" s="47">
        <v>5.11E-2</v>
      </c>
      <c r="J3031" s="47">
        <f t="shared" si="331"/>
        <v>1.7594303873017351E-2</v>
      </c>
      <c r="K3031" s="47">
        <v>3.2000000000000002E-3</v>
      </c>
      <c r="L3031" s="47">
        <f t="shared" si="332"/>
        <v>1.1557296946195328E-3</v>
      </c>
      <c r="M3031" s="47">
        <f>H3031-L3031</f>
        <v>5.0076655535125775E-2</v>
      </c>
      <c r="N3031" s="47">
        <v>0</v>
      </c>
      <c r="O3031" s="47">
        <f t="shared" si="333"/>
        <v>0</v>
      </c>
      <c r="P3031" s="92"/>
    </row>
    <row r="3032" spans="1:16" x14ac:dyDescent="0.25">
      <c r="A3032" s="32">
        <v>39</v>
      </c>
      <c r="B3032" s="33">
        <v>438287.10856199998</v>
      </c>
      <c r="C3032" s="33">
        <v>5688631.3324180003</v>
      </c>
      <c r="D3032" s="48">
        <v>11</v>
      </c>
      <c r="E3032" s="48" t="s">
        <v>61</v>
      </c>
      <c r="F3032" s="48">
        <v>2021</v>
      </c>
      <c r="G3032" s="48" t="s">
        <v>18</v>
      </c>
      <c r="H3032" s="48" t="s">
        <v>18</v>
      </c>
      <c r="I3032" s="48" t="s">
        <v>18</v>
      </c>
      <c r="J3032" s="48" t="s">
        <v>18</v>
      </c>
      <c r="K3032" s="48" t="s">
        <v>18</v>
      </c>
      <c r="L3032" s="48" t="s">
        <v>18</v>
      </c>
      <c r="M3032" s="48" t="s">
        <v>18</v>
      </c>
      <c r="N3032" s="48" t="s">
        <v>18</v>
      </c>
      <c r="O3032" s="48" t="s">
        <v>18</v>
      </c>
      <c r="P3032" s="94" t="s">
        <v>22</v>
      </c>
    </row>
    <row r="3033" spans="1:16" x14ac:dyDescent="0.25">
      <c r="A3033" s="89">
        <v>40</v>
      </c>
      <c r="B3033" s="90">
        <v>438406.10856199998</v>
      </c>
      <c r="C3033" s="90">
        <v>5688631.3324180003</v>
      </c>
      <c r="D3033" s="90">
        <v>11</v>
      </c>
      <c r="E3033" s="90" t="s">
        <v>61</v>
      </c>
      <c r="F3033" s="90">
        <v>2021</v>
      </c>
      <c r="G3033" s="90" t="s">
        <v>18</v>
      </c>
      <c r="H3033" s="90" t="s">
        <v>18</v>
      </c>
      <c r="I3033" s="90" t="s">
        <v>18</v>
      </c>
      <c r="J3033" s="90" t="s">
        <v>18</v>
      </c>
      <c r="K3033" s="90" t="s">
        <v>18</v>
      </c>
      <c r="L3033" s="90" t="s">
        <v>18</v>
      </c>
      <c r="M3033" s="90" t="s">
        <v>18</v>
      </c>
      <c r="N3033" s="90" t="s">
        <v>18</v>
      </c>
      <c r="O3033" s="90" t="s">
        <v>18</v>
      </c>
      <c r="P3033" s="113" t="s">
        <v>174</v>
      </c>
    </row>
    <row r="3034" spans="1:16" x14ac:dyDescent="0.25">
      <c r="A3034" s="29">
        <v>41</v>
      </c>
      <c r="B3034" s="30">
        <v>437310</v>
      </c>
      <c r="C3034" s="30">
        <v>5688729</v>
      </c>
      <c r="D3034" s="30">
        <v>9</v>
      </c>
      <c r="E3034" s="30" t="s">
        <v>61</v>
      </c>
      <c r="F3034" s="46">
        <v>2021</v>
      </c>
      <c r="G3034" s="47">
        <v>0.1459</v>
      </c>
      <c r="H3034" s="47">
        <f t="shared" si="330"/>
        <v>4.8791155385247004E-2</v>
      </c>
      <c r="I3034" s="47">
        <v>2.8300000000000002E-2</v>
      </c>
      <c r="J3034" s="47">
        <f t="shared" si="331"/>
        <v>9.7440078200859322E-3</v>
      </c>
      <c r="K3034" s="47">
        <v>8.3199999999999996E-2</v>
      </c>
      <c r="L3034" s="47">
        <f t="shared" si="332"/>
        <v>3.0048972060107849E-2</v>
      </c>
      <c r="M3034" s="47">
        <f>H3034-L3034</f>
        <v>1.8742183325139154E-2</v>
      </c>
      <c r="N3034" s="47">
        <v>4.1200000000000001E-2</v>
      </c>
      <c r="O3034" s="47">
        <f t="shared" si="333"/>
        <v>1.5451364493736453E-2</v>
      </c>
      <c r="P3034" s="92"/>
    </row>
    <row r="3035" spans="1:16" x14ac:dyDescent="0.25">
      <c r="A3035" s="29">
        <v>42</v>
      </c>
      <c r="B3035" s="30">
        <v>437454.10856199998</v>
      </c>
      <c r="C3035" s="30">
        <v>5688750.3324180003</v>
      </c>
      <c r="D3035" s="30">
        <v>9</v>
      </c>
      <c r="E3035" s="30" t="s">
        <v>61</v>
      </c>
      <c r="F3035" s="46">
        <v>2021</v>
      </c>
      <c r="G3035" s="54">
        <v>4.3400000000000001E-2</v>
      </c>
      <c r="H3035" s="47">
        <f t="shared" si="330"/>
        <v>1.4513613048113229E-2</v>
      </c>
      <c r="I3035" s="47">
        <v>2.3800000000000002E-2</v>
      </c>
      <c r="J3035" s="47">
        <f t="shared" si="331"/>
        <v>8.194607283323151E-3</v>
      </c>
      <c r="K3035" s="47">
        <v>1.32E-2</v>
      </c>
      <c r="L3035" s="47">
        <f t="shared" si="332"/>
        <v>4.7673849903055723E-3</v>
      </c>
      <c r="M3035" s="47">
        <f>H3035-L3035</f>
        <v>9.7462280578076571E-3</v>
      </c>
      <c r="N3035" s="47">
        <v>1.95E-2</v>
      </c>
      <c r="O3035" s="47">
        <f t="shared" si="333"/>
        <v>7.3131458162102141E-3</v>
      </c>
      <c r="P3035" s="92"/>
    </row>
    <row r="3036" spans="1:16" x14ac:dyDescent="0.25">
      <c r="A3036" s="29">
        <v>43</v>
      </c>
      <c r="B3036" s="30">
        <v>437573.10856199998</v>
      </c>
      <c r="C3036" s="30">
        <v>5688750.3324180003</v>
      </c>
      <c r="D3036" s="30">
        <v>9</v>
      </c>
      <c r="E3036" s="30" t="s">
        <v>61</v>
      </c>
      <c r="F3036" s="46">
        <v>2021</v>
      </c>
      <c r="G3036" s="47">
        <v>6.1700000000000005E-2</v>
      </c>
      <c r="H3036" s="47">
        <f t="shared" si="330"/>
        <v>2.0633408411718575E-2</v>
      </c>
      <c r="I3036" s="47">
        <v>2.7000000000000001E-3</v>
      </c>
      <c r="J3036" s="47">
        <f t="shared" si="331"/>
        <v>9.2964032205766832E-4</v>
      </c>
      <c r="K3036" s="47">
        <v>1.4999999999999999E-2</v>
      </c>
      <c r="L3036" s="47">
        <f t="shared" si="332"/>
        <v>5.4174829435290599E-3</v>
      </c>
      <c r="M3036" s="47">
        <f>H3036-L3036</f>
        <v>1.5215925468189515E-2</v>
      </c>
      <c r="N3036" s="47">
        <v>4.0000000000000001E-3</v>
      </c>
      <c r="O3036" s="47">
        <f t="shared" si="333"/>
        <v>1.5001324751200439E-3</v>
      </c>
      <c r="P3036" s="92"/>
    </row>
    <row r="3037" spans="1:16" x14ac:dyDescent="0.25">
      <c r="A3037" s="29">
        <v>44</v>
      </c>
      <c r="B3037" s="30">
        <v>437692.10856199998</v>
      </c>
      <c r="C3037" s="30">
        <v>5688750.3324180003</v>
      </c>
      <c r="D3037" s="30">
        <v>9</v>
      </c>
      <c r="E3037" s="30" t="s">
        <v>61</v>
      </c>
      <c r="F3037" s="46">
        <v>2021</v>
      </c>
      <c r="G3037" s="54">
        <v>3.1199999999999999E-2</v>
      </c>
      <c r="H3037" s="47">
        <f t="shared" si="330"/>
        <v>1.0433749472376328E-2</v>
      </c>
      <c r="I3037" s="47">
        <v>0</v>
      </c>
      <c r="J3037" s="47">
        <f t="shared" si="331"/>
        <v>0</v>
      </c>
      <c r="K3037" s="47">
        <v>6.4000000000000003E-3</v>
      </c>
      <c r="L3037" s="47">
        <f t="shared" si="332"/>
        <v>2.3114593892390655E-3</v>
      </c>
      <c r="M3037" s="47">
        <f>H3037-L3037</f>
        <v>8.1222900831372617E-3</v>
      </c>
      <c r="N3037" s="47">
        <v>0</v>
      </c>
      <c r="O3037" s="47">
        <f t="shared" si="333"/>
        <v>0</v>
      </c>
      <c r="P3037" s="92"/>
    </row>
    <row r="3038" spans="1:16" x14ac:dyDescent="0.25">
      <c r="A3038" s="29">
        <v>45</v>
      </c>
      <c r="B3038" s="30">
        <v>437811.10856199998</v>
      </c>
      <c r="C3038" s="30">
        <v>5688750.3324180003</v>
      </c>
      <c r="D3038" s="30">
        <v>9</v>
      </c>
      <c r="E3038" s="30" t="s">
        <v>61</v>
      </c>
      <c r="F3038" s="46">
        <v>2021</v>
      </c>
      <c r="G3038" s="47">
        <v>5.9499999999999997E-2</v>
      </c>
      <c r="H3038" s="47">
        <f t="shared" si="330"/>
        <v>1.9897695307897166E-2</v>
      </c>
      <c r="I3038" s="47">
        <v>2.8899999999999999E-2</v>
      </c>
      <c r="J3038" s="47">
        <f t="shared" si="331"/>
        <v>9.9505945583209677E-3</v>
      </c>
      <c r="K3038" s="47">
        <v>1.4500000000000001E-2</v>
      </c>
      <c r="L3038" s="47">
        <f t="shared" si="332"/>
        <v>5.2369001787447578E-3</v>
      </c>
      <c r="M3038" s="47">
        <f>H3038-L3038</f>
        <v>1.4660795129152408E-2</v>
      </c>
      <c r="N3038" s="47">
        <v>1.43E-2</v>
      </c>
      <c r="O3038" s="47">
        <f t="shared" si="333"/>
        <v>5.3629735985541577E-3</v>
      </c>
      <c r="P3038" s="92"/>
    </row>
    <row r="3039" spans="1:16" x14ac:dyDescent="0.25">
      <c r="A3039" s="65">
        <v>46</v>
      </c>
      <c r="B3039" s="66">
        <v>437930.10856199998</v>
      </c>
      <c r="C3039" s="66">
        <v>5688750.3324180003</v>
      </c>
      <c r="D3039" s="66">
        <v>11</v>
      </c>
      <c r="E3039" s="66" t="s">
        <v>61</v>
      </c>
      <c r="F3039" s="66">
        <v>2021</v>
      </c>
      <c r="G3039" s="66" t="s">
        <v>18</v>
      </c>
      <c r="H3039" s="66" t="s">
        <v>18</v>
      </c>
      <c r="I3039" s="66" t="s">
        <v>18</v>
      </c>
      <c r="J3039" s="66" t="s">
        <v>18</v>
      </c>
      <c r="K3039" s="66" t="s">
        <v>18</v>
      </c>
      <c r="L3039" s="66" t="s">
        <v>18</v>
      </c>
      <c r="M3039" s="66" t="s">
        <v>18</v>
      </c>
      <c r="N3039" s="66" t="s">
        <v>18</v>
      </c>
      <c r="O3039" s="66" t="s">
        <v>18</v>
      </c>
      <c r="P3039" s="105" t="s">
        <v>166</v>
      </c>
    </row>
    <row r="3040" spans="1:16" x14ac:dyDescent="0.25">
      <c r="A3040" s="29">
        <v>47</v>
      </c>
      <c r="B3040" s="30">
        <v>438061</v>
      </c>
      <c r="C3040" s="30">
        <v>5688779</v>
      </c>
      <c r="D3040" s="30">
        <v>11</v>
      </c>
      <c r="E3040" s="30" t="s">
        <v>61</v>
      </c>
      <c r="F3040" s="46">
        <v>2021</v>
      </c>
      <c r="G3040" s="47">
        <v>8.4000000000000012E-3</v>
      </c>
      <c r="H3040" s="47">
        <f t="shared" ref="H3040" si="343">G3040*0.305972770579755</f>
        <v>2.5701712728699428E-3</v>
      </c>
      <c r="I3040" s="47">
        <v>5.7999999999999996E-3</v>
      </c>
      <c r="J3040" s="47">
        <f t="shared" ref="J3040" si="344">I3040*0.439903846153846</f>
        <v>2.5514423076923066E-3</v>
      </c>
      <c r="K3040" s="47">
        <v>1.5699999999999999E-2</v>
      </c>
      <c r="L3040" s="47">
        <f>K3040*0.375537153163871</f>
        <v>5.8959333046727739E-3</v>
      </c>
      <c r="M3040" s="47">
        <f>H3040-L3040</f>
        <v>-3.3257620318028311E-3</v>
      </c>
      <c r="N3040" s="47">
        <v>0</v>
      </c>
      <c r="O3040" s="47">
        <f>N3040*0.328147651006711</f>
        <v>0</v>
      </c>
      <c r="P3040" s="92"/>
    </row>
    <row r="3041" spans="1:19" x14ac:dyDescent="0.25">
      <c r="A3041" s="32">
        <v>48</v>
      </c>
      <c r="B3041" s="33">
        <v>438168.10856199998</v>
      </c>
      <c r="C3041" s="33">
        <v>5688750.3324180003</v>
      </c>
      <c r="D3041" s="48">
        <v>11</v>
      </c>
      <c r="E3041" s="48" t="s">
        <v>61</v>
      </c>
      <c r="F3041" s="48">
        <v>2021</v>
      </c>
      <c r="G3041" s="48" t="s">
        <v>18</v>
      </c>
      <c r="H3041" s="48" t="s">
        <v>18</v>
      </c>
      <c r="I3041" s="48" t="s">
        <v>18</v>
      </c>
      <c r="J3041" s="48" t="s">
        <v>18</v>
      </c>
      <c r="K3041" s="48" t="s">
        <v>18</v>
      </c>
      <c r="L3041" s="48" t="s">
        <v>18</v>
      </c>
      <c r="M3041" s="48" t="s">
        <v>18</v>
      </c>
      <c r="N3041" s="48" t="s">
        <v>18</v>
      </c>
      <c r="O3041" s="48" t="s">
        <v>18</v>
      </c>
      <c r="P3041" s="103" t="s">
        <v>89</v>
      </c>
    </row>
    <row r="3042" spans="1:19" x14ac:dyDescent="0.25">
      <c r="A3042" s="89">
        <v>49</v>
      </c>
      <c r="B3042" s="90">
        <v>437454.10856199998</v>
      </c>
      <c r="C3042" s="90">
        <v>5688869.3324180003</v>
      </c>
      <c r="D3042" s="90">
        <v>11</v>
      </c>
      <c r="E3042" s="90" t="s">
        <v>61</v>
      </c>
      <c r="F3042" s="90">
        <v>2021</v>
      </c>
      <c r="G3042" s="90" t="s">
        <v>18</v>
      </c>
      <c r="H3042" s="90" t="s">
        <v>18</v>
      </c>
      <c r="I3042" s="90" t="s">
        <v>18</v>
      </c>
      <c r="J3042" s="90" t="s">
        <v>18</v>
      </c>
      <c r="K3042" s="90" t="s">
        <v>18</v>
      </c>
      <c r="L3042" s="90" t="s">
        <v>18</v>
      </c>
      <c r="M3042" s="90" t="s">
        <v>18</v>
      </c>
      <c r="N3042" s="90" t="s">
        <v>18</v>
      </c>
      <c r="O3042" s="90" t="s">
        <v>18</v>
      </c>
      <c r="P3042" s="113" t="s">
        <v>174</v>
      </c>
    </row>
    <row r="3043" spans="1:19" x14ac:dyDescent="0.25">
      <c r="A3043" s="29">
        <v>50</v>
      </c>
      <c r="B3043" s="30">
        <v>437811.10856199998</v>
      </c>
      <c r="C3043" s="30">
        <v>5688869.3324180003</v>
      </c>
      <c r="D3043" s="30">
        <v>9</v>
      </c>
      <c r="E3043" s="30" t="s">
        <v>61</v>
      </c>
      <c r="F3043" s="46">
        <v>2021</v>
      </c>
      <c r="G3043" s="47">
        <v>0.1043</v>
      </c>
      <c r="H3043" s="47">
        <f t="shared" si="330"/>
        <v>3.4879489422078566E-2</v>
      </c>
      <c r="I3043" s="5">
        <v>0</v>
      </c>
      <c r="J3043" s="47">
        <f t="shared" si="331"/>
        <v>0</v>
      </c>
      <c r="K3043" s="47">
        <v>9.4000000000000004E-3</v>
      </c>
      <c r="L3043" s="47">
        <f t="shared" si="332"/>
        <v>3.3949559779448777E-3</v>
      </c>
      <c r="M3043" s="47">
        <f>H3043-L3043</f>
        <v>3.148453344413369E-2</v>
      </c>
      <c r="N3043" s="47">
        <v>0</v>
      </c>
      <c r="O3043" s="47">
        <f t="shared" si="333"/>
        <v>0</v>
      </c>
      <c r="P3043" s="92"/>
    </row>
    <row r="3044" spans="1:19" x14ac:dyDescent="0.25">
      <c r="A3044" s="29">
        <v>51</v>
      </c>
      <c r="B3044" s="30">
        <v>437930.10856199998</v>
      </c>
      <c r="C3044" s="30">
        <v>5688869.3324180003</v>
      </c>
      <c r="D3044" s="30">
        <v>9</v>
      </c>
      <c r="E3044" s="30" t="s">
        <v>61</v>
      </c>
      <c r="F3044" s="46">
        <v>2021</v>
      </c>
      <c r="G3044" s="47">
        <v>6.7900000000000002E-2</v>
      </c>
      <c r="H3044" s="47">
        <f t="shared" si="330"/>
        <v>2.2706781704306178E-2</v>
      </c>
      <c r="I3044" s="47">
        <v>0.12179999999999999</v>
      </c>
      <c r="J3044" s="47">
        <f t="shared" si="331"/>
        <v>4.1937107861712591E-2</v>
      </c>
      <c r="K3044" s="47">
        <v>1.32E-2</v>
      </c>
      <c r="L3044" s="47">
        <f t="shared" si="332"/>
        <v>4.7673849903055723E-3</v>
      </c>
      <c r="M3044" s="47">
        <f>H3044-L3044</f>
        <v>1.7939396714000605E-2</v>
      </c>
      <c r="N3044" s="47">
        <v>0</v>
      </c>
      <c r="O3044" s="47">
        <f t="shared" si="333"/>
        <v>0</v>
      </c>
      <c r="P3044" s="92"/>
    </row>
    <row r="3045" spans="1:19" x14ac:dyDescent="0.25">
      <c r="A3045" s="65">
        <v>52</v>
      </c>
      <c r="B3045" s="66">
        <v>438049.10856199998</v>
      </c>
      <c r="C3045" s="66">
        <v>5688869.3324180003</v>
      </c>
      <c r="D3045" s="66">
        <v>11</v>
      </c>
      <c r="E3045" s="66" t="s">
        <v>61</v>
      </c>
      <c r="F3045" s="66">
        <v>2021</v>
      </c>
      <c r="G3045" s="66" t="s">
        <v>18</v>
      </c>
      <c r="H3045" s="66" t="s">
        <v>18</v>
      </c>
      <c r="I3045" s="66" t="s">
        <v>18</v>
      </c>
      <c r="J3045" s="66" t="s">
        <v>18</v>
      </c>
      <c r="K3045" s="66" t="s">
        <v>18</v>
      </c>
      <c r="L3045" s="66" t="s">
        <v>18</v>
      </c>
      <c r="M3045" s="66" t="s">
        <v>18</v>
      </c>
      <c r="N3045" s="66" t="s">
        <v>18</v>
      </c>
      <c r="O3045" s="66" t="s">
        <v>18</v>
      </c>
      <c r="P3045" s="105" t="s">
        <v>166</v>
      </c>
    </row>
    <row r="3046" spans="1:19" x14ac:dyDescent="0.25">
      <c r="A3046" s="89">
        <v>53</v>
      </c>
      <c r="B3046" s="90">
        <v>438287.10856199998</v>
      </c>
      <c r="C3046" s="90">
        <v>5688869.3324180003</v>
      </c>
      <c r="D3046" s="90">
        <v>11</v>
      </c>
      <c r="E3046" s="90" t="s">
        <v>61</v>
      </c>
      <c r="F3046" s="90">
        <v>2021</v>
      </c>
      <c r="G3046" s="90" t="s">
        <v>18</v>
      </c>
      <c r="H3046" s="90" t="s">
        <v>18</v>
      </c>
      <c r="I3046" s="90" t="s">
        <v>18</v>
      </c>
      <c r="J3046" s="90" t="s">
        <v>18</v>
      </c>
      <c r="K3046" s="90" t="s">
        <v>18</v>
      </c>
      <c r="L3046" s="90" t="s">
        <v>18</v>
      </c>
      <c r="M3046" s="90" t="s">
        <v>18</v>
      </c>
      <c r="N3046" s="90" t="s">
        <v>18</v>
      </c>
      <c r="O3046" s="90" t="s">
        <v>18</v>
      </c>
      <c r="P3046" s="113" t="s">
        <v>174</v>
      </c>
    </row>
    <row r="3047" spans="1:19" x14ac:dyDescent="0.25">
      <c r="A3047" s="89">
        <v>54</v>
      </c>
      <c r="B3047" s="90">
        <v>437454.10856199998</v>
      </c>
      <c r="C3047" s="90">
        <v>5688988.3324180003</v>
      </c>
      <c r="D3047" s="90">
        <v>11</v>
      </c>
      <c r="E3047" s="90" t="s">
        <v>61</v>
      </c>
      <c r="F3047" s="90">
        <v>2021</v>
      </c>
      <c r="G3047" s="90" t="s">
        <v>18</v>
      </c>
      <c r="H3047" s="90" t="s">
        <v>18</v>
      </c>
      <c r="I3047" s="90" t="s">
        <v>18</v>
      </c>
      <c r="J3047" s="90" t="s">
        <v>18</v>
      </c>
      <c r="K3047" s="90" t="s">
        <v>18</v>
      </c>
      <c r="L3047" s="90" t="s">
        <v>18</v>
      </c>
      <c r="M3047" s="90" t="s">
        <v>18</v>
      </c>
      <c r="N3047" s="90" t="s">
        <v>18</v>
      </c>
      <c r="O3047" s="90" t="s">
        <v>18</v>
      </c>
      <c r="P3047" s="113" t="s">
        <v>174</v>
      </c>
    </row>
    <row r="3048" spans="1:19" x14ac:dyDescent="0.25">
      <c r="A3048" s="89">
        <v>55</v>
      </c>
      <c r="B3048" s="90">
        <v>438049.10856199998</v>
      </c>
      <c r="C3048" s="90">
        <v>5688988.3324180003</v>
      </c>
      <c r="D3048" s="90">
        <v>11</v>
      </c>
      <c r="E3048" s="90" t="s">
        <v>61</v>
      </c>
      <c r="F3048" s="90">
        <v>2021</v>
      </c>
      <c r="G3048" s="90" t="s">
        <v>18</v>
      </c>
      <c r="H3048" s="90" t="s">
        <v>18</v>
      </c>
      <c r="I3048" s="90" t="s">
        <v>18</v>
      </c>
      <c r="J3048" s="90" t="s">
        <v>18</v>
      </c>
      <c r="K3048" s="90" t="s">
        <v>18</v>
      </c>
      <c r="L3048" s="90" t="s">
        <v>18</v>
      </c>
      <c r="M3048" s="90" t="s">
        <v>18</v>
      </c>
      <c r="N3048" s="90" t="s">
        <v>18</v>
      </c>
      <c r="O3048" s="90" t="s">
        <v>18</v>
      </c>
      <c r="P3048" s="113" t="s">
        <v>174</v>
      </c>
    </row>
    <row r="3049" spans="1:19" x14ac:dyDescent="0.25">
      <c r="A3049" s="29">
        <v>56</v>
      </c>
      <c r="B3049" s="30">
        <v>438168.10856199998</v>
      </c>
      <c r="C3049" s="30">
        <v>5688988.3324180003</v>
      </c>
      <c r="D3049" s="30">
        <v>11</v>
      </c>
      <c r="E3049" s="30" t="s">
        <v>61</v>
      </c>
      <c r="F3049" s="46">
        <v>2021</v>
      </c>
      <c r="G3049" s="47">
        <v>4.1100000000000005E-2</v>
      </c>
      <c r="H3049" s="47">
        <f t="shared" ref="H3049:H3051" si="345">G3049*0.305972770579755</f>
        <v>1.2575480870827932E-2</v>
      </c>
      <c r="I3049" s="47">
        <v>2.5000000000000001E-3</v>
      </c>
      <c r="J3049" s="47">
        <f t="shared" si="331"/>
        <v>8.6077807597932253E-4</v>
      </c>
      <c r="K3049" s="47">
        <v>1.6999999999999999E-3</v>
      </c>
      <c r="L3049" s="47">
        <f t="shared" ref="L3049:L3051" si="346">K3049*0.375537153163871</f>
        <v>6.3841316037858064E-4</v>
      </c>
      <c r="M3049" s="47">
        <f>H3049-L3049</f>
        <v>1.1937067710449351E-2</v>
      </c>
      <c r="N3049" s="47">
        <v>2.7000000000000001E-3</v>
      </c>
      <c r="O3049" s="47">
        <f t="shared" ref="O3049:O3051" si="347">N3049*0.328147651006711</f>
        <v>8.8599865771811981E-4</v>
      </c>
      <c r="P3049" s="92"/>
    </row>
    <row r="3050" spans="1:19" x14ac:dyDescent="0.25">
      <c r="A3050" s="40">
        <v>57</v>
      </c>
      <c r="B3050" s="41">
        <v>438146</v>
      </c>
      <c r="C3050" s="41">
        <v>5688977</v>
      </c>
      <c r="D3050" s="41">
        <v>11</v>
      </c>
      <c r="E3050" s="41" t="s">
        <v>61</v>
      </c>
      <c r="F3050" s="50">
        <v>2021</v>
      </c>
      <c r="G3050" s="51">
        <v>6.5700000000000008E-2</v>
      </c>
      <c r="H3050" s="51">
        <f t="shared" si="345"/>
        <v>2.0102411027089907E-2</v>
      </c>
      <c r="I3050" s="51">
        <v>0</v>
      </c>
      <c r="J3050" s="51">
        <f t="shared" ref="J3050:J3051" si="348">I3050*0.439903846153846</f>
        <v>0</v>
      </c>
      <c r="K3050" s="51">
        <v>7.7999999999999996E-3</v>
      </c>
      <c r="L3050" s="51">
        <f t="shared" si="346"/>
        <v>2.9291897946781935E-3</v>
      </c>
      <c r="M3050" s="51">
        <f>H3050-L3050</f>
        <v>1.7173221232411714E-2</v>
      </c>
      <c r="N3050" s="51">
        <v>0</v>
      </c>
      <c r="O3050" s="51">
        <f t="shared" si="347"/>
        <v>0</v>
      </c>
      <c r="P3050" s="101"/>
    </row>
    <row r="3051" spans="1:19" x14ac:dyDescent="0.25">
      <c r="A3051" s="40">
        <v>58</v>
      </c>
      <c r="B3051" s="41">
        <v>438131</v>
      </c>
      <c r="C3051" s="41">
        <v>5688972</v>
      </c>
      <c r="D3051" s="41">
        <v>11</v>
      </c>
      <c r="E3051" s="41" t="s">
        <v>61</v>
      </c>
      <c r="F3051" s="50">
        <v>2021</v>
      </c>
      <c r="G3051" s="51">
        <v>0.158</v>
      </c>
      <c r="H3051" s="51">
        <f t="shared" si="345"/>
        <v>4.8343697751601293E-2</v>
      </c>
      <c r="I3051" s="51">
        <v>0</v>
      </c>
      <c r="J3051" s="51">
        <f t="shared" si="348"/>
        <v>0</v>
      </c>
      <c r="K3051" s="51">
        <v>4.3900000000000002E-2</v>
      </c>
      <c r="L3051" s="51">
        <f t="shared" si="346"/>
        <v>1.6486081023893935E-2</v>
      </c>
      <c r="M3051" s="51">
        <f>H3051-L3051</f>
        <v>3.1857616727707358E-2</v>
      </c>
      <c r="N3051" s="51">
        <v>0</v>
      </c>
      <c r="O3051" s="51">
        <f t="shared" si="347"/>
        <v>0</v>
      </c>
      <c r="P3051" s="101"/>
    </row>
    <row r="3052" spans="1:19" x14ac:dyDescent="0.25">
      <c r="A3052" s="40">
        <v>59</v>
      </c>
      <c r="B3052" s="41">
        <v>438089</v>
      </c>
      <c r="C3052" s="41">
        <v>5688713</v>
      </c>
      <c r="D3052" s="41">
        <v>9</v>
      </c>
      <c r="E3052" s="41" t="s">
        <v>61</v>
      </c>
      <c r="F3052" s="50">
        <v>2021</v>
      </c>
      <c r="G3052" s="51">
        <v>9.2999999999999999E-2</v>
      </c>
      <c r="H3052" s="51">
        <f t="shared" si="330"/>
        <v>3.1100599388814057E-2</v>
      </c>
      <c r="I3052" s="51">
        <v>0</v>
      </c>
      <c r="J3052" s="51">
        <f t="shared" si="331"/>
        <v>0</v>
      </c>
      <c r="K3052" s="51">
        <v>6.1999999999999998E-3</v>
      </c>
      <c r="L3052" s="51">
        <f t="shared" si="332"/>
        <v>2.2392262833253445E-3</v>
      </c>
      <c r="M3052" s="51">
        <f>H3052-L3052</f>
        <v>2.8861373105488711E-2</v>
      </c>
      <c r="N3052" s="51">
        <v>0</v>
      </c>
      <c r="O3052" s="51">
        <f t="shared" si="333"/>
        <v>0</v>
      </c>
      <c r="P3052" s="101"/>
    </row>
    <row r="3053" spans="1:19" x14ac:dyDescent="0.25">
      <c r="A3053" s="40">
        <v>60</v>
      </c>
      <c r="B3053" s="41">
        <v>438099</v>
      </c>
      <c r="C3053" s="41">
        <v>5688719</v>
      </c>
      <c r="D3053" s="41">
        <v>9</v>
      </c>
      <c r="E3053" s="41" t="s">
        <v>61</v>
      </c>
      <c r="F3053" s="50">
        <v>2021</v>
      </c>
      <c r="G3053" s="51">
        <v>0.1258</v>
      </c>
      <c r="H3053" s="51">
        <f t="shared" si="330"/>
        <v>4.2069412936696866E-2</v>
      </c>
      <c r="I3053" s="51">
        <v>0</v>
      </c>
      <c r="J3053" s="51">
        <f t="shared" si="331"/>
        <v>0</v>
      </c>
      <c r="K3053" s="51">
        <v>4.7999999999999996E-3</v>
      </c>
      <c r="L3053" s="51">
        <f t="shared" si="332"/>
        <v>1.7335945419292989E-3</v>
      </c>
      <c r="M3053" s="51">
        <f>H3053-L3053</f>
        <v>4.0335818394767568E-2</v>
      </c>
      <c r="N3053" s="51">
        <v>0</v>
      </c>
      <c r="O3053" s="51">
        <f t="shared" si="333"/>
        <v>0</v>
      </c>
      <c r="P3053" s="101"/>
    </row>
    <row r="3054" spans="1:19" x14ac:dyDescent="0.25">
      <c r="A3054" s="42">
        <v>1</v>
      </c>
      <c r="B3054" s="43">
        <v>437930.10856199998</v>
      </c>
      <c r="C3054" s="43">
        <v>5688036.3324180003</v>
      </c>
      <c r="D3054" s="44">
        <v>17</v>
      </c>
      <c r="E3054" s="44" t="s">
        <v>64</v>
      </c>
      <c r="F3054" s="44">
        <v>2022</v>
      </c>
      <c r="G3054" s="44" t="s">
        <v>18</v>
      </c>
      <c r="H3054" s="44" t="s">
        <v>18</v>
      </c>
      <c r="I3054" s="44" t="s">
        <v>18</v>
      </c>
      <c r="J3054" s="44" t="s">
        <v>18</v>
      </c>
      <c r="K3054" s="44" t="s">
        <v>18</v>
      </c>
      <c r="L3054" s="44" t="s">
        <v>18</v>
      </c>
      <c r="M3054" s="44" t="s">
        <v>18</v>
      </c>
      <c r="N3054" s="44" t="s">
        <v>18</v>
      </c>
      <c r="O3054" s="44" t="s">
        <v>18</v>
      </c>
      <c r="P3054" s="102" t="s">
        <v>109</v>
      </c>
      <c r="R3054" s="5">
        <f>AVERAGE(M3054:M3113)</f>
        <v>9.9023652653162288E-3</v>
      </c>
      <c r="S3054" s="5">
        <f>AVERAGE(H3054:H3113)</f>
        <v>2.0626856191269419E-2</v>
      </c>
    </row>
    <row r="3055" spans="1:19" x14ac:dyDescent="0.25">
      <c r="A3055" s="42">
        <v>2</v>
      </c>
      <c r="B3055" s="43">
        <v>437811.10856199998</v>
      </c>
      <c r="C3055" s="43">
        <v>5688155.3324180003</v>
      </c>
      <c r="D3055" s="44">
        <v>17</v>
      </c>
      <c r="E3055" s="44" t="s">
        <v>64</v>
      </c>
      <c r="F3055" s="44">
        <v>2022</v>
      </c>
      <c r="G3055" s="44" t="s">
        <v>18</v>
      </c>
      <c r="H3055" s="44" t="s">
        <v>18</v>
      </c>
      <c r="I3055" s="44" t="s">
        <v>18</v>
      </c>
      <c r="J3055" s="44" t="s">
        <v>18</v>
      </c>
      <c r="K3055" s="44" t="s">
        <v>18</v>
      </c>
      <c r="L3055" s="44" t="s">
        <v>18</v>
      </c>
      <c r="M3055" s="44" t="s">
        <v>18</v>
      </c>
      <c r="N3055" s="44" t="s">
        <v>18</v>
      </c>
      <c r="O3055" s="44" t="s">
        <v>18</v>
      </c>
      <c r="P3055" s="102" t="s">
        <v>109</v>
      </c>
    </row>
    <row r="3056" spans="1:19" x14ac:dyDescent="0.25">
      <c r="A3056" s="65">
        <v>3</v>
      </c>
      <c r="B3056" s="66">
        <v>437930.10856199998</v>
      </c>
      <c r="C3056" s="66">
        <v>5688155.3324180003</v>
      </c>
      <c r="D3056" s="66">
        <v>17</v>
      </c>
      <c r="E3056" s="66" t="s">
        <v>64</v>
      </c>
      <c r="F3056" s="66">
        <v>2022</v>
      </c>
      <c r="G3056" s="66" t="s">
        <v>18</v>
      </c>
      <c r="H3056" s="66" t="s">
        <v>18</v>
      </c>
      <c r="I3056" s="66" t="s">
        <v>18</v>
      </c>
      <c r="J3056" s="66" t="s">
        <v>18</v>
      </c>
      <c r="K3056" s="66" t="s">
        <v>18</v>
      </c>
      <c r="L3056" s="66" t="s">
        <v>18</v>
      </c>
      <c r="M3056" s="66" t="s">
        <v>18</v>
      </c>
      <c r="N3056" s="66" t="s">
        <v>18</v>
      </c>
      <c r="O3056" s="66" t="s">
        <v>18</v>
      </c>
      <c r="P3056" s="105" t="s">
        <v>166</v>
      </c>
    </row>
    <row r="3057" spans="1:16" x14ac:dyDescent="0.25">
      <c r="A3057" s="42">
        <v>4</v>
      </c>
      <c r="B3057" s="43">
        <v>438049.10856199998</v>
      </c>
      <c r="C3057" s="43">
        <v>5688155.3324180003</v>
      </c>
      <c r="D3057" s="44">
        <v>17</v>
      </c>
      <c r="E3057" s="44" t="s">
        <v>64</v>
      </c>
      <c r="F3057" s="44">
        <v>2022</v>
      </c>
      <c r="G3057" s="44" t="s">
        <v>18</v>
      </c>
      <c r="H3057" s="44" t="s">
        <v>18</v>
      </c>
      <c r="I3057" s="44" t="s">
        <v>18</v>
      </c>
      <c r="J3057" s="44" t="s">
        <v>18</v>
      </c>
      <c r="K3057" s="44" t="s">
        <v>18</v>
      </c>
      <c r="L3057" s="44" t="s">
        <v>18</v>
      </c>
      <c r="M3057" s="44" t="s">
        <v>18</v>
      </c>
      <c r="N3057" s="44" t="s">
        <v>18</v>
      </c>
      <c r="O3057" s="44" t="s">
        <v>18</v>
      </c>
      <c r="P3057" s="102" t="s">
        <v>109</v>
      </c>
    </row>
    <row r="3058" spans="1:16" x14ac:dyDescent="0.25">
      <c r="A3058" s="42">
        <v>5</v>
      </c>
      <c r="B3058" s="43">
        <v>437573.10856199998</v>
      </c>
      <c r="C3058" s="43">
        <v>5688274.3324180003</v>
      </c>
      <c r="D3058" s="44">
        <v>17</v>
      </c>
      <c r="E3058" s="44" t="s">
        <v>64</v>
      </c>
      <c r="F3058" s="44">
        <v>2022</v>
      </c>
      <c r="G3058" s="44" t="s">
        <v>18</v>
      </c>
      <c r="H3058" s="44" t="s">
        <v>18</v>
      </c>
      <c r="I3058" s="44" t="s">
        <v>18</v>
      </c>
      <c r="J3058" s="44" t="s">
        <v>18</v>
      </c>
      <c r="K3058" s="44" t="s">
        <v>18</v>
      </c>
      <c r="L3058" s="44" t="s">
        <v>18</v>
      </c>
      <c r="M3058" s="44" t="s">
        <v>18</v>
      </c>
      <c r="N3058" s="44" t="s">
        <v>18</v>
      </c>
      <c r="O3058" s="44" t="s">
        <v>18</v>
      </c>
      <c r="P3058" s="102" t="s">
        <v>109</v>
      </c>
    </row>
    <row r="3059" spans="1:16" x14ac:dyDescent="0.25">
      <c r="A3059" s="89">
        <v>6</v>
      </c>
      <c r="B3059" s="90">
        <v>437692.10856199998</v>
      </c>
      <c r="C3059" s="90">
        <v>5688274.3324180003</v>
      </c>
      <c r="D3059" s="90">
        <v>17</v>
      </c>
      <c r="E3059" s="90" t="s">
        <v>64</v>
      </c>
      <c r="F3059" s="90">
        <v>2022</v>
      </c>
      <c r="G3059" s="90" t="s">
        <v>18</v>
      </c>
      <c r="H3059" s="90" t="s">
        <v>18</v>
      </c>
      <c r="I3059" s="90" t="s">
        <v>18</v>
      </c>
      <c r="J3059" s="90" t="s">
        <v>18</v>
      </c>
      <c r="K3059" s="90" t="s">
        <v>18</v>
      </c>
      <c r="L3059" s="90" t="s">
        <v>18</v>
      </c>
      <c r="M3059" s="90" t="s">
        <v>18</v>
      </c>
      <c r="N3059" s="90" t="s">
        <v>18</v>
      </c>
      <c r="O3059" s="90" t="s">
        <v>18</v>
      </c>
      <c r="P3059" s="113" t="s">
        <v>174</v>
      </c>
    </row>
    <row r="3060" spans="1:16" x14ac:dyDescent="0.25">
      <c r="A3060" s="65">
        <v>7</v>
      </c>
      <c r="B3060" s="66">
        <v>437811.10856199998</v>
      </c>
      <c r="C3060" s="66">
        <v>5688274.3324180003</v>
      </c>
      <c r="D3060" s="66">
        <v>17</v>
      </c>
      <c r="E3060" s="66" t="s">
        <v>64</v>
      </c>
      <c r="F3060" s="66">
        <v>2022</v>
      </c>
      <c r="G3060" s="66" t="s">
        <v>18</v>
      </c>
      <c r="H3060" s="66" t="s">
        <v>18</v>
      </c>
      <c r="I3060" s="66" t="s">
        <v>18</v>
      </c>
      <c r="J3060" s="66" t="s">
        <v>18</v>
      </c>
      <c r="K3060" s="66" t="s">
        <v>18</v>
      </c>
      <c r="L3060" s="66" t="s">
        <v>18</v>
      </c>
      <c r="M3060" s="66" t="s">
        <v>18</v>
      </c>
      <c r="N3060" s="66" t="s">
        <v>18</v>
      </c>
      <c r="O3060" s="66" t="s">
        <v>18</v>
      </c>
      <c r="P3060" s="105" t="s">
        <v>166</v>
      </c>
    </row>
    <row r="3061" spans="1:16" x14ac:dyDescent="0.25">
      <c r="A3061" s="42">
        <v>8</v>
      </c>
      <c r="B3061" s="43">
        <v>437930.10856199998</v>
      </c>
      <c r="C3061" s="43">
        <v>5688274.3324180003</v>
      </c>
      <c r="D3061" s="44">
        <v>17</v>
      </c>
      <c r="E3061" s="44" t="s">
        <v>64</v>
      </c>
      <c r="F3061" s="44">
        <v>2022</v>
      </c>
      <c r="G3061" s="44" t="s">
        <v>18</v>
      </c>
      <c r="H3061" s="44" t="s">
        <v>18</v>
      </c>
      <c r="I3061" s="44" t="s">
        <v>18</v>
      </c>
      <c r="J3061" s="44" t="s">
        <v>18</v>
      </c>
      <c r="K3061" s="44" t="s">
        <v>18</v>
      </c>
      <c r="L3061" s="44" t="s">
        <v>18</v>
      </c>
      <c r="M3061" s="44" t="s">
        <v>18</v>
      </c>
      <c r="N3061" s="44" t="s">
        <v>18</v>
      </c>
      <c r="O3061" s="44" t="s">
        <v>18</v>
      </c>
      <c r="P3061" s="102" t="s">
        <v>109</v>
      </c>
    </row>
    <row r="3062" spans="1:16" x14ac:dyDescent="0.25">
      <c r="A3062" s="89">
        <v>9</v>
      </c>
      <c r="B3062" s="90">
        <v>438287.10856199998</v>
      </c>
      <c r="C3062" s="90">
        <v>5688274.3324180003</v>
      </c>
      <c r="D3062" s="90">
        <v>17</v>
      </c>
      <c r="E3062" s="90" t="s">
        <v>64</v>
      </c>
      <c r="F3062" s="90">
        <v>2022</v>
      </c>
      <c r="G3062" s="90" t="s">
        <v>18</v>
      </c>
      <c r="H3062" s="90" t="s">
        <v>18</v>
      </c>
      <c r="I3062" s="90" t="s">
        <v>18</v>
      </c>
      <c r="J3062" s="90" t="s">
        <v>18</v>
      </c>
      <c r="K3062" s="90" t="s">
        <v>18</v>
      </c>
      <c r="L3062" s="90" t="s">
        <v>18</v>
      </c>
      <c r="M3062" s="90" t="s">
        <v>18</v>
      </c>
      <c r="N3062" s="90" t="s">
        <v>18</v>
      </c>
      <c r="O3062" s="90" t="s">
        <v>18</v>
      </c>
      <c r="P3062" s="113" t="s">
        <v>174</v>
      </c>
    </row>
    <row r="3063" spans="1:16" x14ac:dyDescent="0.25">
      <c r="A3063" s="29">
        <v>10</v>
      </c>
      <c r="B3063" s="30">
        <v>438406.10856199998</v>
      </c>
      <c r="C3063" s="30">
        <v>5688274.3324180003</v>
      </c>
      <c r="D3063" s="30">
        <v>17</v>
      </c>
      <c r="E3063" s="30" t="s">
        <v>64</v>
      </c>
      <c r="F3063" s="46">
        <v>2022</v>
      </c>
      <c r="G3063" s="47">
        <v>9.9199999999999997E-2</v>
      </c>
      <c r="H3063" s="47">
        <f>G3063*0.369464916277848</f>
        <v>3.6650919694762522E-2</v>
      </c>
      <c r="I3063" s="47">
        <v>0</v>
      </c>
      <c r="J3063" s="47">
        <f>I3063*0.430632468159669</f>
        <v>0</v>
      </c>
      <c r="K3063" s="47">
        <v>4.07E-2</v>
      </c>
      <c r="L3063" s="47">
        <f>K3063*0.38267830567292</f>
        <v>1.5575007040887844E-2</v>
      </c>
      <c r="M3063" s="47">
        <f>H3063-L3063</f>
        <v>2.1075912653874679E-2</v>
      </c>
      <c r="N3063" s="47">
        <v>0</v>
      </c>
      <c r="O3063" s="47">
        <f>N3063*0.453433922880082</f>
        <v>0</v>
      </c>
      <c r="P3063" s="92"/>
    </row>
    <row r="3064" spans="1:16" x14ac:dyDescent="0.25">
      <c r="A3064" s="42">
        <v>11</v>
      </c>
      <c r="B3064" s="43">
        <v>437454.10856199998</v>
      </c>
      <c r="C3064" s="43">
        <v>5688393.3324180003</v>
      </c>
      <c r="D3064" s="44">
        <v>17</v>
      </c>
      <c r="E3064" s="44" t="s">
        <v>64</v>
      </c>
      <c r="F3064" s="44">
        <v>2022</v>
      </c>
      <c r="G3064" s="44" t="s">
        <v>18</v>
      </c>
      <c r="H3064" s="44" t="s">
        <v>18</v>
      </c>
      <c r="I3064" s="44" t="s">
        <v>18</v>
      </c>
      <c r="J3064" s="44" t="s">
        <v>18</v>
      </c>
      <c r="K3064" s="44" t="s">
        <v>18</v>
      </c>
      <c r="L3064" s="44" t="s">
        <v>18</v>
      </c>
      <c r="M3064" s="44" t="s">
        <v>18</v>
      </c>
      <c r="N3064" s="44" t="s">
        <v>18</v>
      </c>
      <c r="O3064" s="44" t="s">
        <v>18</v>
      </c>
      <c r="P3064" s="102" t="s">
        <v>109</v>
      </c>
    </row>
    <row r="3065" spans="1:16" x14ac:dyDescent="0.25">
      <c r="A3065" s="29">
        <v>12</v>
      </c>
      <c r="B3065" s="30">
        <v>437573.10856199998</v>
      </c>
      <c r="C3065" s="30">
        <v>5688393.3324180003</v>
      </c>
      <c r="D3065" s="30">
        <v>17</v>
      </c>
      <c r="E3065" s="30" t="s">
        <v>64</v>
      </c>
      <c r="F3065" s="46">
        <v>2022</v>
      </c>
      <c r="G3065" s="47">
        <v>2.6499999999999999E-2</v>
      </c>
      <c r="H3065" s="47">
        <f t="shared" ref="H3065:H3113" si="349">G3065*0.369464916277848</f>
        <v>9.7908202813629715E-3</v>
      </c>
      <c r="I3065" s="47">
        <v>0.1421</v>
      </c>
      <c r="J3065" s="47">
        <f t="shared" ref="J3065:J3113" si="350">I3065*0.430632468159669</f>
        <v>6.1192873725488962E-2</v>
      </c>
      <c r="K3065" s="47">
        <v>1.95E-2</v>
      </c>
      <c r="L3065" s="47">
        <f t="shared" ref="L3065:L3113" si="351">K3065*0.38267830567292</f>
        <v>7.4622269606219403E-3</v>
      </c>
      <c r="M3065" s="47">
        <f t="shared" ref="M3065:M3113" si="352">H3065-L3065</f>
        <v>2.3285933207410313E-3</v>
      </c>
      <c r="N3065" s="47">
        <v>4.9399999999999999E-2</v>
      </c>
      <c r="O3065" s="47">
        <f t="shared" ref="O3065:O3113" si="353">N3065*0.453433922880082</f>
        <v>2.2399635790276051E-2</v>
      </c>
      <c r="P3065" s="92"/>
    </row>
    <row r="3066" spans="1:16" x14ac:dyDescent="0.25">
      <c r="A3066" s="29">
        <v>13</v>
      </c>
      <c r="B3066" s="30">
        <v>437692.10856199998</v>
      </c>
      <c r="C3066" s="30">
        <v>5688393.3324180003</v>
      </c>
      <c r="D3066" s="30">
        <v>17</v>
      </c>
      <c r="E3066" s="30" t="s">
        <v>64</v>
      </c>
      <c r="F3066" s="46">
        <v>2022</v>
      </c>
      <c r="G3066" s="47">
        <v>0.1021</v>
      </c>
      <c r="H3066" s="47">
        <f t="shared" si="349"/>
        <v>3.7722367951968282E-2</v>
      </c>
      <c r="I3066" s="47">
        <v>5.79E-2</v>
      </c>
      <c r="J3066" s="47">
        <f t="shared" si="350"/>
        <v>2.4933619906444833E-2</v>
      </c>
      <c r="K3066" s="47">
        <v>9.7900000000000001E-2</v>
      </c>
      <c r="L3066" s="47">
        <f t="shared" si="351"/>
        <v>3.7464206125378867E-2</v>
      </c>
      <c r="M3066" s="47">
        <f t="shared" si="352"/>
        <v>2.5816182658941478E-4</v>
      </c>
      <c r="N3066" s="47">
        <v>3.0899999999999997E-2</v>
      </c>
      <c r="O3066" s="47">
        <f t="shared" si="353"/>
        <v>1.4011108216994533E-2</v>
      </c>
      <c r="P3066" s="92"/>
    </row>
    <row r="3067" spans="1:16" x14ac:dyDescent="0.25">
      <c r="A3067" s="32">
        <v>14</v>
      </c>
      <c r="B3067" s="33">
        <v>437811.10856199998</v>
      </c>
      <c r="C3067" s="33">
        <v>5688393.3324180003</v>
      </c>
      <c r="D3067" s="48">
        <v>17</v>
      </c>
      <c r="E3067" s="48" t="s">
        <v>64</v>
      </c>
      <c r="F3067" s="48">
        <v>2022</v>
      </c>
      <c r="G3067" s="48" t="s">
        <v>18</v>
      </c>
      <c r="H3067" s="48" t="s">
        <v>18</v>
      </c>
      <c r="I3067" s="48" t="s">
        <v>18</v>
      </c>
      <c r="J3067" s="48" t="s">
        <v>18</v>
      </c>
      <c r="K3067" s="48" t="s">
        <v>18</v>
      </c>
      <c r="L3067" s="48" t="s">
        <v>18</v>
      </c>
      <c r="M3067" s="48" t="s">
        <v>18</v>
      </c>
      <c r="N3067" s="48" t="s">
        <v>18</v>
      </c>
      <c r="O3067" s="48" t="s">
        <v>18</v>
      </c>
      <c r="P3067" s="103" t="s">
        <v>89</v>
      </c>
    </row>
    <row r="3068" spans="1:16" x14ac:dyDescent="0.25">
      <c r="A3068" s="29">
        <v>15</v>
      </c>
      <c r="B3068" s="30">
        <v>437930.10856199998</v>
      </c>
      <c r="C3068" s="30">
        <v>5688393.3324180003</v>
      </c>
      <c r="D3068" s="30">
        <v>17</v>
      </c>
      <c r="E3068" s="30" t="s">
        <v>64</v>
      </c>
      <c r="F3068" s="46">
        <v>2022</v>
      </c>
      <c r="G3068" s="47">
        <v>6.7799999999999999E-2</v>
      </c>
      <c r="H3068" s="47">
        <f t="shared" si="349"/>
        <v>2.5049721323638093E-2</v>
      </c>
      <c r="I3068" s="47">
        <v>0.33050000000000002</v>
      </c>
      <c r="J3068" s="47">
        <f t="shared" si="350"/>
        <v>0.14232403072677061</v>
      </c>
      <c r="K3068" s="47">
        <v>2.3199999999999998E-2</v>
      </c>
      <c r="L3068" s="47">
        <f t="shared" si="351"/>
        <v>8.8781366916117436E-3</v>
      </c>
      <c r="M3068" s="47">
        <f t="shared" si="352"/>
        <v>1.6171584632026351E-2</v>
      </c>
      <c r="N3068" s="47">
        <v>0.18059999999999998</v>
      </c>
      <c r="O3068" s="47">
        <f t="shared" si="353"/>
        <v>8.1890166472142797E-2</v>
      </c>
      <c r="P3068" s="92"/>
    </row>
    <row r="3069" spans="1:16" x14ac:dyDescent="0.25">
      <c r="A3069" s="29">
        <v>16</v>
      </c>
      <c r="B3069" s="30">
        <v>438049.10856199998</v>
      </c>
      <c r="C3069" s="30">
        <v>5688393.3324180003</v>
      </c>
      <c r="D3069" s="30">
        <v>17</v>
      </c>
      <c r="E3069" s="30" t="s">
        <v>64</v>
      </c>
      <c r="F3069" s="46">
        <v>2022</v>
      </c>
      <c r="G3069" s="47">
        <v>4.6200000000000005E-2</v>
      </c>
      <c r="H3069" s="47">
        <f t="shared" si="349"/>
        <v>1.7069279132036579E-2</v>
      </c>
      <c r="I3069" s="47">
        <v>5.4899999999999997E-2</v>
      </c>
      <c r="J3069" s="47">
        <f t="shared" si="350"/>
        <v>2.3641722501965827E-2</v>
      </c>
      <c r="K3069" s="47">
        <v>1.83E-2</v>
      </c>
      <c r="L3069" s="47">
        <f t="shared" si="351"/>
        <v>7.0030129938144364E-3</v>
      </c>
      <c r="M3069" s="47">
        <f t="shared" si="352"/>
        <v>1.0066266138222143E-2</v>
      </c>
      <c r="N3069" s="47">
        <v>1.6500000000000001E-2</v>
      </c>
      <c r="O3069" s="47">
        <f t="shared" si="353"/>
        <v>7.4816597275213529E-3</v>
      </c>
      <c r="P3069" s="92"/>
    </row>
    <row r="3070" spans="1:16" x14ac:dyDescent="0.25">
      <c r="A3070" s="29">
        <v>17</v>
      </c>
      <c r="B3070" s="30">
        <v>438168.10856199998</v>
      </c>
      <c r="C3070" s="30">
        <v>5688393.3324180003</v>
      </c>
      <c r="D3070" s="30">
        <v>17</v>
      </c>
      <c r="E3070" s="30" t="s">
        <v>64</v>
      </c>
      <c r="F3070" s="46">
        <v>2022</v>
      </c>
      <c r="G3070" s="47">
        <v>0.12359999999999999</v>
      </c>
      <c r="H3070" s="47">
        <f t="shared" si="349"/>
        <v>4.5665863651942008E-2</v>
      </c>
      <c r="I3070" s="47">
        <v>0.10909999999999999</v>
      </c>
      <c r="J3070" s="47">
        <f t="shared" si="350"/>
        <v>4.6982002276219882E-2</v>
      </c>
      <c r="K3070" s="47">
        <v>5.6500000000000002E-2</v>
      </c>
      <c r="L3070" s="47">
        <f t="shared" si="351"/>
        <v>2.1621324270519979E-2</v>
      </c>
      <c r="M3070" s="47">
        <f t="shared" si="352"/>
        <v>2.404453938142203E-2</v>
      </c>
      <c r="N3070" s="47">
        <v>0.1741</v>
      </c>
      <c r="O3070" s="47">
        <f t="shared" si="353"/>
        <v>7.8942845973422271E-2</v>
      </c>
      <c r="P3070" s="92"/>
    </row>
    <row r="3071" spans="1:16" x14ac:dyDescent="0.25">
      <c r="A3071" s="29">
        <v>18</v>
      </c>
      <c r="B3071" s="30">
        <v>438287.10856199998</v>
      </c>
      <c r="C3071" s="30">
        <v>5688393.3324180003</v>
      </c>
      <c r="D3071" s="30">
        <v>17</v>
      </c>
      <c r="E3071" s="30" t="s">
        <v>64</v>
      </c>
      <c r="F3071" s="46">
        <v>2022</v>
      </c>
      <c r="G3071" s="47">
        <v>1.61E-2</v>
      </c>
      <c r="H3071" s="47">
        <f t="shared" si="349"/>
        <v>5.9483851520733527E-3</v>
      </c>
      <c r="I3071" s="47">
        <v>1.3699999999999999E-2</v>
      </c>
      <c r="J3071" s="47">
        <f t="shared" si="350"/>
        <v>5.8996648137874643E-3</v>
      </c>
      <c r="K3071" s="47">
        <v>3.5999999999999999E-3</v>
      </c>
      <c r="L3071" s="47">
        <f t="shared" si="351"/>
        <v>1.3776419004225119E-3</v>
      </c>
      <c r="M3071" s="47">
        <f t="shared" si="352"/>
        <v>4.5707432516508412E-3</v>
      </c>
      <c r="N3071" s="47">
        <v>7.0000000000000001E-3</v>
      </c>
      <c r="O3071" s="47">
        <f t="shared" si="353"/>
        <v>3.1740374601605739E-3</v>
      </c>
      <c r="P3071" s="92"/>
    </row>
    <row r="3072" spans="1:16" x14ac:dyDescent="0.25">
      <c r="A3072" s="29">
        <v>19</v>
      </c>
      <c r="B3072" s="30">
        <v>438406.10856199998</v>
      </c>
      <c r="C3072" s="30">
        <v>5688393.3324180003</v>
      </c>
      <c r="D3072" s="30">
        <v>17</v>
      </c>
      <c r="E3072" s="30" t="s">
        <v>64</v>
      </c>
      <c r="F3072" s="46">
        <v>2022</v>
      </c>
      <c r="G3072" s="47">
        <v>3.3500000000000002E-2</v>
      </c>
      <c r="H3072" s="47">
        <f t="shared" si="349"/>
        <v>1.2377074695307909E-2</v>
      </c>
      <c r="I3072" s="47">
        <v>0</v>
      </c>
      <c r="J3072" s="47">
        <f t="shared" si="350"/>
        <v>0</v>
      </c>
      <c r="K3072" s="47">
        <v>1.11E-2</v>
      </c>
      <c r="L3072" s="47">
        <f t="shared" si="351"/>
        <v>4.2477291929694117E-3</v>
      </c>
      <c r="M3072" s="47">
        <f t="shared" si="352"/>
        <v>8.1293455023384968E-3</v>
      </c>
      <c r="N3072" s="47">
        <v>0</v>
      </c>
      <c r="O3072" s="47">
        <f t="shared" si="353"/>
        <v>0</v>
      </c>
      <c r="P3072" s="92"/>
    </row>
    <row r="3073" spans="1:16" x14ac:dyDescent="0.25">
      <c r="A3073" s="42">
        <v>20</v>
      </c>
      <c r="B3073" s="43">
        <v>437335.10856199998</v>
      </c>
      <c r="C3073" s="43">
        <v>5688512.3324180003</v>
      </c>
      <c r="D3073" s="44">
        <v>17</v>
      </c>
      <c r="E3073" s="44" t="s">
        <v>64</v>
      </c>
      <c r="F3073" s="44">
        <v>2022</v>
      </c>
      <c r="G3073" s="44" t="s">
        <v>18</v>
      </c>
      <c r="H3073" s="44" t="s">
        <v>18</v>
      </c>
      <c r="I3073" s="44" t="s">
        <v>18</v>
      </c>
      <c r="J3073" s="44" t="s">
        <v>18</v>
      </c>
      <c r="K3073" s="44" t="s">
        <v>18</v>
      </c>
      <c r="L3073" s="44" t="s">
        <v>18</v>
      </c>
      <c r="M3073" s="44" t="s">
        <v>18</v>
      </c>
      <c r="N3073" s="44" t="s">
        <v>18</v>
      </c>
      <c r="O3073" s="44" t="s">
        <v>18</v>
      </c>
      <c r="P3073" s="102" t="s">
        <v>109</v>
      </c>
    </row>
    <row r="3074" spans="1:16" x14ac:dyDescent="0.25">
      <c r="A3074" s="29">
        <v>21</v>
      </c>
      <c r="B3074" s="30">
        <v>437454.10856199998</v>
      </c>
      <c r="C3074" s="30">
        <v>5688512.3324180003</v>
      </c>
      <c r="D3074" s="30">
        <v>17</v>
      </c>
      <c r="E3074" s="30" t="s">
        <v>64</v>
      </c>
      <c r="F3074" s="46">
        <v>2022</v>
      </c>
      <c r="G3074" s="47">
        <v>7.1999999999999998E-3</v>
      </c>
      <c r="H3074" s="47">
        <f t="shared" si="349"/>
        <v>2.6601473972005054E-3</v>
      </c>
      <c r="I3074" s="47">
        <v>2.12E-2</v>
      </c>
      <c r="J3074" s="47">
        <f t="shared" si="350"/>
        <v>9.1294083249849819E-3</v>
      </c>
      <c r="K3074" s="47">
        <v>1.09E-2</v>
      </c>
      <c r="L3074" s="47">
        <f t="shared" si="351"/>
        <v>4.171193531834828E-3</v>
      </c>
      <c r="M3074" s="47">
        <f t="shared" si="352"/>
        <v>-1.5110461346343226E-3</v>
      </c>
      <c r="N3074" s="47">
        <v>5.1999999999999998E-3</v>
      </c>
      <c r="O3074" s="47">
        <f t="shared" si="353"/>
        <v>2.3578563989764263E-3</v>
      </c>
      <c r="P3074" s="92"/>
    </row>
    <row r="3075" spans="1:16" x14ac:dyDescent="0.25">
      <c r="A3075" s="29">
        <v>22</v>
      </c>
      <c r="B3075" s="30">
        <v>437573.10856199998</v>
      </c>
      <c r="C3075" s="30">
        <v>5688512.3324180003</v>
      </c>
      <c r="D3075" s="30">
        <v>17</v>
      </c>
      <c r="E3075" s="30" t="s">
        <v>64</v>
      </c>
      <c r="F3075" s="46">
        <v>2022</v>
      </c>
      <c r="G3075" s="47">
        <v>0.1</v>
      </c>
      <c r="H3075" s="47">
        <f t="shared" si="349"/>
        <v>3.6946491627784801E-2</v>
      </c>
      <c r="I3075" s="47">
        <v>0.27550000000000002</v>
      </c>
      <c r="J3075" s="47">
        <f t="shared" si="350"/>
        <v>0.11863924497798882</v>
      </c>
      <c r="K3075" s="47">
        <v>7.3099999999999998E-2</v>
      </c>
      <c r="L3075" s="47">
        <f t="shared" si="351"/>
        <v>2.7973784144690452E-2</v>
      </c>
      <c r="M3075" s="47">
        <f t="shared" si="352"/>
        <v>8.9727074830943492E-3</v>
      </c>
      <c r="N3075" s="47">
        <v>5.8900000000000001E-2</v>
      </c>
      <c r="O3075" s="47">
        <f t="shared" si="353"/>
        <v>2.670725805763683E-2</v>
      </c>
      <c r="P3075" s="92"/>
    </row>
    <row r="3076" spans="1:16" x14ac:dyDescent="0.25">
      <c r="A3076" s="29">
        <v>23</v>
      </c>
      <c r="B3076" s="30">
        <v>437692.10856199998</v>
      </c>
      <c r="C3076" s="30">
        <v>5688512.3324180003</v>
      </c>
      <c r="D3076" s="30">
        <v>17</v>
      </c>
      <c r="E3076" s="30" t="s">
        <v>64</v>
      </c>
      <c r="F3076" s="46">
        <v>2022</v>
      </c>
      <c r="G3076" s="47">
        <v>7.7799999999999994E-2</v>
      </c>
      <c r="H3076" s="47">
        <f t="shared" si="349"/>
        <v>2.8744370486416572E-2</v>
      </c>
      <c r="I3076" s="47">
        <v>3.2399999999999998E-2</v>
      </c>
      <c r="J3076" s="47">
        <f t="shared" si="350"/>
        <v>1.3952491968373275E-2</v>
      </c>
      <c r="K3076" s="47">
        <v>6.1700000000000005E-2</v>
      </c>
      <c r="L3076" s="47">
        <f t="shared" si="351"/>
        <v>2.3611251460019165E-2</v>
      </c>
      <c r="M3076" s="47">
        <f t="shared" si="352"/>
        <v>5.1331190263974071E-3</v>
      </c>
      <c r="N3076" s="47">
        <v>8.3000000000000004E-2</v>
      </c>
      <c r="O3076" s="47">
        <f t="shared" si="353"/>
        <v>3.7635015599046806E-2</v>
      </c>
      <c r="P3076" s="92"/>
    </row>
    <row r="3077" spans="1:16" x14ac:dyDescent="0.25">
      <c r="A3077" s="29">
        <v>24</v>
      </c>
      <c r="B3077" s="30">
        <v>437811.10856199998</v>
      </c>
      <c r="C3077" s="30">
        <v>5688512.3324180003</v>
      </c>
      <c r="D3077" s="30">
        <v>17</v>
      </c>
      <c r="E3077" s="30" t="s">
        <v>64</v>
      </c>
      <c r="F3077" s="46">
        <v>2022</v>
      </c>
      <c r="G3077" s="47">
        <v>0.14149999999999999</v>
      </c>
      <c r="H3077" s="47">
        <f t="shared" si="349"/>
        <v>5.2279285653315487E-2</v>
      </c>
      <c r="I3077" s="47">
        <v>0.2359</v>
      </c>
      <c r="J3077" s="47">
        <f t="shared" si="350"/>
        <v>0.10158619923886592</v>
      </c>
      <c r="K3077" s="47">
        <v>0.1356</v>
      </c>
      <c r="L3077" s="47">
        <f t="shared" si="351"/>
        <v>5.1891178249247952E-2</v>
      </c>
      <c r="M3077" s="47">
        <f t="shared" si="352"/>
        <v>3.8810740406753502E-4</v>
      </c>
      <c r="N3077" s="47">
        <v>1.5900000000000001E-2</v>
      </c>
      <c r="O3077" s="47">
        <f t="shared" si="353"/>
        <v>7.2095993737933042E-3</v>
      </c>
      <c r="P3077" s="92"/>
    </row>
    <row r="3078" spans="1:16" x14ac:dyDescent="0.25">
      <c r="A3078" s="29">
        <v>25</v>
      </c>
      <c r="B3078" s="46">
        <v>437995</v>
      </c>
      <c r="C3078" s="46">
        <v>5688493</v>
      </c>
      <c r="D3078" s="30">
        <v>17</v>
      </c>
      <c r="E3078" s="30" t="s">
        <v>64</v>
      </c>
      <c r="F3078" s="46">
        <v>2022</v>
      </c>
      <c r="G3078" s="47">
        <v>4.1700000000000001E-2</v>
      </c>
      <c r="H3078" s="47">
        <f t="shared" si="349"/>
        <v>1.5406687008786262E-2</v>
      </c>
      <c r="I3078" s="47">
        <v>0.1128</v>
      </c>
      <c r="J3078" s="47">
        <f t="shared" si="350"/>
        <v>4.857534240841066E-2</v>
      </c>
      <c r="K3078" s="47">
        <v>8.9999999999999993E-3</v>
      </c>
      <c r="L3078" s="47">
        <f t="shared" si="351"/>
        <v>3.4441047510562796E-3</v>
      </c>
      <c r="M3078" s="47">
        <f t="shared" si="352"/>
        <v>1.1962582257729983E-2</v>
      </c>
      <c r="N3078" s="47">
        <v>5.0099999999999999E-2</v>
      </c>
      <c r="O3078" s="47">
        <f t="shared" si="353"/>
        <v>2.2717039536292106E-2</v>
      </c>
      <c r="P3078" s="92"/>
    </row>
    <row r="3079" spans="1:16" x14ac:dyDescent="0.25">
      <c r="A3079" s="29">
        <v>26</v>
      </c>
      <c r="B3079" s="46">
        <v>438112</v>
      </c>
      <c r="C3079" s="46">
        <v>5688567</v>
      </c>
      <c r="D3079" s="30">
        <v>15</v>
      </c>
      <c r="E3079" s="30" t="s">
        <v>64</v>
      </c>
      <c r="F3079" s="46">
        <v>2022</v>
      </c>
      <c r="G3079" s="47">
        <v>5.33E-2</v>
      </c>
      <c r="H3079" s="47">
        <f>G3079*0.428170039660204</f>
        <v>2.2821463113888874E-2</v>
      </c>
      <c r="I3079" s="47">
        <v>0</v>
      </c>
      <c r="J3079" s="47">
        <f>I3079*0.43475601509768</f>
        <v>0</v>
      </c>
      <c r="K3079" s="47">
        <v>8.0000000000000002E-3</v>
      </c>
      <c r="L3079" s="47">
        <f>K3079*0.463713514208564</f>
        <v>3.709708113668512E-3</v>
      </c>
      <c r="M3079" s="47">
        <f t="shared" si="352"/>
        <v>1.9111755000220363E-2</v>
      </c>
      <c r="N3079" s="47">
        <v>0</v>
      </c>
      <c r="O3079" s="47">
        <f>N3079*0.456898089543432</f>
        <v>0</v>
      </c>
      <c r="P3079" s="92"/>
    </row>
    <row r="3080" spans="1:16" x14ac:dyDescent="0.25">
      <c r="A3080" s="32">
        <v>27</v>
      </c>
      <c r="B3080" s="33">
        <v>438168.10856199998</v>
      </c>
      <c r="C3080" s="33">
        <v>5688512.3324180003</v>
      </c>
      <c r="D3080" s="48">
        <v>17</v>
      </c>
      <c r="E3080" s="48" t="s">
        <v>64</v>
      </c>
      <c r="F3080" s="48">
        <v>2022</v>
      </c>
      <c r="G3080" s="48" t="s">
        <v>18</v>
      </c>
      <c r="H3080" s="48" t="s">
        <v>18</v>
      </c>
      <c r="I3080" s="48" t="s">
        <v>18</v>
      </c>
      <c r="J3080" s="48" t="s">
        <v>18</v>
      </c>
      <c r="K3080" s="48" t="s">
        <v>18</v>
      </c>
      <c r="L3080" s="48" t="s">
        <v>18</v>
      </c>
      <c r="M3080" s="48" t="s">
        <v>18</v>
      </c>
      <c r="N3080" s="48" t="s">
        <v>18</v>
      </c>
      <c r="O3080" s="48" t="s">
        <v>18</v>
      </c>
      <c r="P3080" s="103" t="s">
        <v>89</v>
      </c>
    </row>
    <row r="3081" spans="1:16" x14ac:dyDescent="0.25">
      <c r="A3081" s="32">
        <v>28</v>
      </c>
      <c r="B3081" s="33">
        <v>438287.10856199998</v>
      </c>
      <c r="C3081" s="33">
        <v>5688512.3324180003</v>
      </c>
      <c r="D3081" s="48">
        <v>17</v>
      </c>
      <c r="E3081" s="48" t="s">
        <v>64</v>
      </c>
      <c r="F3081" s="48">
        <v>2022</v>
      </c>
      <c r="G3081" s="48" t="s">
        <v>18</v>
      </c>
      <c r="H3081" s="48" t="s">
        <v>18</v>
      </c>
      <c r="I3081" s="48" t="s">
        <v>18</v>
      </c>
      <c r="J3081" s="48" t="s">
        <v>18</v>
      </c>
      <c r="K3081" s="48" t="s">
        <v>18</v>
      </c>
      <c r="L3081" s="48" t="s">
        <v>18</v>
      </c>
      <c r="M3081" s="48" t="s">
        <v>18</v>
      </c>
      <c r="N3081" s="48" t="s">
        <v>18</v>
      </c>
      <c r="O3081" s="48" t="s">
        <v>18</v>
      </c>
      <c r="P3081" s="103" t="s">
        <v>89</v>
      </c>
    </row>
    <row r="3082" spans="1:16" x14ac:dyDescent="0.25">
      <c r="A3082" s="29">
        <v>29</v>
      </c>
      <c r="B3082" s="30">
        <v>438381</v>
      </c>
      <c r="C3082" s="30">
        <v>5688526</v>
      </c>
      <c r="D3082" s="30">
        <v>15</v>
      </c>
      <c r="E3082" s="30" t="s">
        <v>64</v>
      </c>
      <c r="F3082" s="46">
        <v>2022</v>
      </c>
      <c r="G3082" s="107" t="s">
        <v>18</v>
      </c>
      <c r="H3082" s="107" t="s">
        <v>18</v>
      </c>
      <c r="I3082" s="107" t="s">
        <v>18</v>
      </c>
      <c r="J3082" s="107" t="s">
        <v>18</v>
      </c>
      <c r="K3082" s="47">
        <v>7.4999999999999997E-3</v>
      </c>
      <c r="L3082" s="47">
        <f>K3082*0.463713514208564</f>
        <v>3.4778513565642297E-3</v>
      </c>
      <c r="M3082" s="46" t="s">
        <v>18</v>
      </c>
      <c r="N3082" s="47">
        <v>5.4000000000000003E-3</v>
      </c>
      <c r="O3082" s="47">
        <f>N3082*0.456898089543432</f>
        <v>2.4672496835345327E-3</v>
      </c>
      <c r="P3082" s="92" t="s">
        <v>103</v>
      </c>
    </row>
    <row r="3083" spans="1:16" x14ac:dyDescent="0.25">
      <c r="A3083" s="29">
        <v>30</v>
      </c>
      <c r="B3083" s="30">
        <v>438525.10856199998</v>
      </c>
      <c r="C3083" s="30">
        <v>5688512.3324180003</v>
      </c>
      <c r="D3083" s="30">
        <v>17</v>
      </c>
      <c r="E3083" s="30" t="s">
        <v>64</v>
      </c>
      <c r="F3083" s="46">
        <v>2022</v>
      </c>
      <c r="G3083" s="47">
        <v>1.89E-2</v>
      </c>
      <c r="H3083" s="47">
        <f t="shared" si="349"/>
        <v>6.9828869176513271E-3</v>
      </c>
      <c r="I3083" s="47">
        <v>0</v>
      </c>
      <c r="J3083" s="47">
        <f t="shared" si="350"/>
        <v>0</v>
      </c>
      <c r="K3083" s="47">
        <v>4.2000000000000006E-3</v>
      </c>
      <c r="L3083" s="47">
        <f t="shared" si="351"/>
        <v>1.6072488838262643E-3</v>
      </c>
      <c r="M3083" s="47">
        <f t="shared" si="352"/>
        <v>5.3756380338250628E-3</v>
      </c>
      <c r="N3083" s="47">
        <v>0</v>
      </c>
      <c r="O3083" s="47">
        <f t="shared" si="353"/>
        <v>0</v>
      </c>
      <c r="P3083" s="92"/>
    </row>
    <row r="3084" spans="1:16" x14ac:dyDescent="0.25">
      <c r="A3084" s="29">
        <v>31</v>
      </c>
      <c r="B3084" s="30">
        <v>437335.10856199998</v>
      </c>
      <c r="C3084" s="30">
        <v>5688631.3324180003</v>
      </c>
      <c r="D3084" s="30">
        <v>17</v>
      </c>
      <c r="E3084" s="30" t="s">
        <v>64</v>
      </c>
      <c r="F3084" s="46">
        <v>2022</v>
      </c>
      <c r="G3084" s="47">
        <v>7.6799999999999993E-2</v>
      </c>
      <c r="H3084" s="47">
        <f t="shared" si="349"/>
        <v>2.8374905570138723E-2</v>
      </c>
      <c r="I3084" s="47">
        <v>3.5000000000000001E-3</v>
      </c>
      <c r="J3084" s="47">
        <f t="shared" si="350"/>
        <v>1.5072136385588415E-3</v>
      </c>
      <c r="K3084" s="47">
        <v>1.54E-2</v>
      </c>
      <c r="L3084" s="47">
        <f t="shared" si="351"/>
        <v>5.8932459073629678E-3</v>
      </c>
      <c r="M3084" s="47">
        <f t="shared" si="352"/>
        <v>2.2481659662775755E-2</v>
      </c>
      <c r="N3084" s="47">
        <v>0</v>
      </c>
      <c r="O3084" s="47">
        <f t="shared" si="353"/>
        <v>0</v>
      </c>
      <c r="P3084" s="92"/>
    </row>
    <row r="3085" spans="1:16" x14ac:dyDescent="0.25">
      <c r="A3085" s="29">
        <v>32</v>
      </c>
      <c r="B3085" s="30">
        <v>437454.10856199998</v>
      </c>
      <c r="C3085" s="30">
        <v>5688631.3324180003</v>
      </c>
      <c r="D3085" s="30">
        <v>17</v>
      </c>
      <c r="E3085" s="30" t="s">
        <v>64</v>
      </c>
      <c r="F3085" s="46">
        <v>2022</v>
      </c>
      <c r="G3085" s="47">
        <v>1.89E-2</v>
      </c>
      <c r="H3085" s="47">
        <f t="shared" si="349"/>
        <v>6.9828869176513271E-3</v>
      </c>
      <c r="I3085" s="47">
        <v>0</v>
      </c>
      <c r="J3085" s="47">
        <f t="shared" si="350"/>
        <v>0</v>
      </c>
      <c r="K3085" s="47">
        <v>1.9100000000000002E-2</v>
      </c>
      <c r="L3085" s="47">
        <f t="shared" si="351"/>
        <v>7.3091556383527729E-3</v>
      </c>
      <c r="M3085" s="47">
        <f t="shared" si="352"/>
        <v>-3.2626872070144579E-4</v>
      </c>
      <c r="N3085" s="47">
        <v>0</v>
      </c>
      <c r="O3085" s="47">
        <f t="shared" si="353"/>
        <v>0</v>
      </c>
      <c r="P3085" s="92"/>
    </row>
    <row r="3086" spans="1:16" x14ac:dyDescent="0.25">
      <c r="A3086" s="29">
        <v>33</v>
      </c>
      <c r="B3086" s="30">
        <v>437573.10856199998</v>
      </c>
      <c r="C3086" s="30">
        <v>5688631.3324180003</v>
      </c>
      <c r="D3086" s="30">
        <v>17</v>
      </c>
      <c r="E3086" s="30" t="s">
        <v>64</v>
      </c>
      <c r="F3086" s="46">
        <v>2022</v>
      </c>
      <c r="G3086" s="47">
        <v>2.63E-2</v>
      </c>
      <c r="H3086" s="47">
        <f t="shared" si="349"/>
        <v>9.7169272981074018E-3</v>
      </c>
      <c r="I3086" s="47">
        <v>0</v>
      </c>
      <c r="J3086" s="47">
        <f t="shared" si="350"/>
        <v>0</v>
      </c>
      <c r="K3086" s="47">
        <v>1.9E-2</v>
      </c>
      <c r="L3086" s="47">
        <f t="shared" si="351"/>
        <v>7.2708878077854793E-3</v>
      </c>
      <c r="M3086" s="47">
        <f t="shared" si="352"/>
        <v>2.4460394903219225E-3</v>
      </c>
      <c r="N3086" s="47">
        <v>0</v>
      </c>
      <c r="O3086" s="47">
        <f t="shared" si="353"/>
        <v>0</v>
      </c>
      <c r="P3086" s="92"/>
    </row>
    <row r="3087" spans="1:16" x14ac:dyDescent="0.25">
      <c r="A3087" s="29">
        <v>34</v>
      </c>
      <c r="B3087" s="30">
        <v>437692.10856199998</v>
      </c>
      <c r="C3087" s="30">
        <v>5688631.3324180003</v>
      </c>
      <c r="D3087" s="30">
        <v>17</v>
      </c>
      <c r="E3087" s="30" t="s">
        <v>64</v>
      </c>
      <c r="F3087" s="46">
        <v>2022</v>
      </c>
      <c r="G3087" s="47">
        <v>1.24E-2</v>
      </c>
      <c r="H3087" s="47">
        <f t="shared" si="349"/>
        <v>4.5813649618453153E-3</v>
      </c>
      <c r="I3087" s="47">
        <v>0</v>
      </c>
      <c r="J3087" s="47">
        <f t="shared" si="350"/>
        <v>0</v>
      </c>
      <c r="K3087" s="47">
        <v>1.9399999999999997E-2</v>
      </c>
      <c r="L3087" s="47">
        <f t="shared" si="351"/>
        <v>7.4239591300546467E-3</v>
      </c>
      <c r="M3087" s="47">
        <f t="shared" si="352"/>
        <v>-2.8425941682093314E-3</v>
      </c>
      <c r="N3087" s="47">
        <v>0</v>
      </c>
      <c r="O3087" s="47">
        <f t="shared" si="353"/>
        <v>0</v>
      </c>
      <c r="P3087" s="92"/>
    </row>
    <row r="3088" spans="1:16" x14ac:dyDescent="0.25">
      <c r="A3088" s="29">
        <v>35</v>
      </c>
      <c r="B3088" s="30">
        <v>437893</v>
      </c>
      <c r="C3088" s="30">
        <v>5688620</v>
      </c>
      <c r="D3088" s="30">
        <v>17</v>
      </c>
      <c r="E3088" s="30" t="s">
        <v>64</v>
      </c>
      <c r="F3088" s="46">
        <v>2022</v>
      </c>
      <c r="G3088" s="47">
        <v>7.0199999999999999E-2</v>
      </c>
      <c r="H3088" s="47">
        <f t="shared" si="349"/>
        <v>2.5936437122704929E-2</v>
      </c>
      <c r="I3088" s="47">
        <v>5.0000000000000001E-4</v>
      </c>
      <c r="J3088" s="47">
        <f t="shared" si="350"/>
        <v>2.1531623407983449E-4</v>
      </c>
      <c r="K3088" s="47">
        <v>8.0000000000000002E-3</v>
      </c>
      <c r="L3088" s="47">
        <f t="shared" si="351"/>
        <v>3.0614264453833599E-3</v>
      </c>
      <c r="M3088" s="47">
        <f t="shared" si="352"/>
        <v>2.2875010677321568E-2</v>
      </c>
      <c r="N3088" s="47">
        <v>4.4999999999999997E-3</v>
      </c>
      <c r="O3088" s="47">
        <f t="shared" si="353"/>
        <v>2.0404526529603688E-3</v>
      </c>
      <c r="P3088" s="92"/>
    </row>
    <row r="3089" spans="1:16" x14ac:dyDescent="0.25">
      <c r="A3089" s="29">
        <v>36</v>
      </c>
      <c r="B3089" s="30">
        <v>437930.10856199998</v>
      </c>
      <c r="C3089" s="30">
        <v>5688631.3324180003</v>
      </c>
      <c r="D3089" s="30">
        <v>17</v>
      </c>
      <c r="E3089" s="30" t="s">
        <v>64</v>
      </c>
      <c r="F3089" s="46">
        <v>2022</v>
      </c>
      <c r="G3089" s="47">
        <v>8.0399999999999999E-2</v>
      </c>
      <c r="H3089" s="47">
        <f t="shared" si="349"/>
        <v>2.9704979268738978E-2</v>
      </c>
      <c r="I3089" s="47">
        <v>4.41E-2</v>
      </c>
      <c r="J3089" s="47">
        <f t="shared" si="350"/>
        <v>1.8990891845841403E-2</v>
      </c>
      <c r="K3089" s="47">
        <v>3.0800000000000001E-2</v>
      </c>
      <c r="L3089" s="47">
        <f t="shared" si="351"/>
        <v>1.1786491814725936E-2</v>
      </c>
      <c r="M3089" s="47">
        <f t="shared" si="352"/>
        <v>1.7918487454013043E-2</v>
      </c>
      <c r="N3089" s="47">
        <v>1.1300000000000001E-2</v>
      </c>
      <c r="O3089" s="47">
        <f t="shared" si="353"/>
        <v>5.1238033285449271E-3</v>
      </c>
      <c r="P3089" s="92"/>
    </row>
    <row r="3090" spans="1:16" x14ac:dyDescent="0.25">
      <c r="A3090" s="32">
        <v>37</v>
      </c>
      <c r="B3090" s="33">
        <v>438049.10856199998</v>
      </c>
      <c r="C3090" s="33">
        <v>5688631.3324180003</v>
      </c>
      <c r="D3090" s="48">
        <v>17</v>
      </c>
      <c r="E3090" s="48" t="s">
        <v>64</v>
      </c>
      <c r="F3090" s="48">
        <v>2022</v>
      </c>
      <c r="G3090" s="48" t="s">
        <v>18</v>
      </c>
      <c r="H3090" s="48" t="s">
        <v>18</v>
      </c>
      <c r="I3090" s="48" t="s">
        <v>18</v>
      </c>
      <c r="J3090" s="48" t="s">
        <v>18</v>
      </c>
      <c r="K3090" s="48" t="s">
        <v>18</v>
      </c>
      <c r="L3090" s="48" t="s">
        <v>18</v>
      </c>
      <c r="M3090" s="48" t="s">
        <v>18</v>
      </c>
      <c r="N3090" s="48" t="s">
        <v>18</v>
      </c>
      <c r="O3090" s="48" t="s">
        <v>18</v>
      </c>
      <c r="P3090" s="103" t="s">
        <v>89</v>
      </c>
    </row>
    <row r="3091" spans="1:16" x14ac:dyDescent="0.25">
      <c r="A3091" s="29">
        <v>38</v>
      </c>
      <c r="B3091" s="30">
        <v>438067</v>
      </c>
      <c r="C3091" s="30">
        <v>5688710</v>
      </c>
      <c r="D3091" s="30">
        <v>16</v>
      </c>
      <c r="E3091" s="30" t="s">
        <v>64</v>
      </c>
      <c r="F3091" s="46">
        <v>2022</v>
      </c>
      <c r="G3091" s="47">
        <v>4.3999999999999997E-2</v>
      </c>
      <c r="H3091" s="47">
        <f>G3091*0.428170039660204</f>
        <v>1.8839481745048976E-2</v>
      </c>
      <c r="I3091" s="47">
        <v>0</v>
      </c>
      <c r="J3091" s="47">
        <f>I3091*0.43475601509768</f>
        <v>0</v>
      </c>
      <c r="K3091" s="47">
        <v>9.4000000000000004E-3</v>
      </c>
      <c r="L3091" s="47">
        <f>K3091*0.463713514208564</f>
        <v>4.358907033560502E-3</v>
      </c>
      <c r="M3091" s="47">
        <f t="shared" si="352"/>
        <v>1.4480574711488474E-2</v>
      </c>
      <c r="N3091" s="47">
        <v>0</v>
      </c>
      <c r="O3091" s="47">
        <f>N3091*0.456898089543432</f>
        <v>0</v>
      </c>
      <c r="P3091" s="92"/>
    </row>
    <row r="3092" spans="1:16" x14ac:dyDescent="0.25">
      <c r="A3092" s="32">
        <v>39</v>
      </c>
      <c r="B3092" s="33">
        <v>438287.10856199998</v>
      </c>
      <c r="C3092" s="33">
        <v>5688631.3324180003</v>
      </c>
      <c r="D3092" s="48">
        <v>17</v>
      </c>
      <c r="E3092" s="48" t="s">
        <v>64</v>
      </c>
      <c r="F3092" s="48">
        <v>2022</v>
      </c>
      <c r="G3092" s="48" t="s">
        <v>18</v>
      </c>
      <c r="H3092" s="48" t="s">
        <v>18</v>
      </c>
      <c r="I3092" s="48" t="s">
        <v>18</v>
      </c>
      <c r="J3092" s="48" t="s">
        <v>18</v>
      </c>
      <c r="K3092" s="48" t="s">
        <v>18</v>
      </c>
      <c r="L3092" s="48" t="s">
        <v>18</v>
      </c>
      <c r="M3092" s="48" t="s">
        <v>18</v>
      </c>
      <c r="N3092" s="48" t="s">
        <v>18</v>
      </c>
      <c r="O3092" s="48" t="s">
        <v>18</v>
      </c>
      <c r="P3092" s="94" t="s">
        <v>22</v>
      </c>
    </row>
    <row r="3093" spans="1:16" x14ac:dyDescent="0.25">
      <c r="A3093" s="89">
        <v>40</v>
      </c>
      <c r="B3093" s="90">
        <v>438406.10856199998</v>
      </c>
      <c r="C3093" s="90">
        <v>5688631.3324180003</v>
      </c>
      <c r="D3093" s="90">
        <v>17</v>
      </c>
      <c r="E3093" s="90" t="s">
        <v>64</v>
      </c>
      <c r="F3093" s="90">
        <v>2022</v>
      </c>
      <c r="G3093" s="90" t="s">
        <v>18</v>
      </c>
      <c r="H3093" s="90" t="s">
        <v>18</v>
      </c>
      <c r="I3093" s="90" t="s">
        <v>18</v>
      </c>
      <c r="J3093" s="90" t="s">
        <v>18</v>
      </c>
      <c r="K3093" s="90" t="s">
        <v>18</v>
      </c>
      <c r="L3093" s="90" t="s">
        <v>18</v>
      </c>
      <c r="M3093" s="90" t="s">
        <v>18</v>
      </c>
      <c r="N3093" s="90" t="s">
        <v>18</v>
      </c>
      <c r="O3093" s="90" t="s">
        <v>18</v>
      </c>
      <c r="P3093" s="113" t="s">
        <v>174</v>
      </c>
    </row>
    <row r="3094" spans="1:16" x14ac:dyDescent="0.25">
      <c r="A3094" s="29">
        <v>41</v>
      </c>
      <c r="B3094" s="30">
        <v>437310</v>
      </c>
      <c r="C3094" s="30">
        <v>5688729</v>
      </c>
      <c r="D3094" s="30">
        <v>17</v>
      </c>
      <c r="E3094" s="30" t="s">
        <v>64</v>
      </c>
      <c r="F3094" s="46">
        <v>2022</v>
      </c>
      <c r="G3094" s="47">
        <v>0.1024</v>
      </c>
      <c r="H3094" s="47">
        <f t="shared" si="349"/>
        <v>3.7833207426851638E-2</v>
      </c>
      <c r="I3094" s="47">
        <v>1.7600000000000001E-2</v>
      </c>
      <c r="J3094" s="47">
        <f t="shared" si="350"/>
        <v>7.5791314396101749E-3</v>
      </c>
      <c r="K3094" s="47">
        <v>6.88E-2</v>
      </c>
      <c r="L3094" s="47">
        <f t="shared" si="351"/>
        <v>2.6328267430296894E-2</v>
      </c>
      <c r="M3094" s="47">
        <f t="shared" si="352"/>
        <v>1.1504939996554744E-2</v>
      </c>
      <c r="N3094" s="47">
        <v>1.26E-2</v>
      </c>
      <c r="O3094" s="47">
        <f t="shared" si="353"/>
        <v>5.7132674282890329E-3</v>
      </c>
      <c r="P3094" s="92"/>
    </row>
    <row r="3095" spans="1:16" x14ac:dyDescent="0.25">
      <c r="A3095" s="29">
        <v>42</v>
      </c>
      <c r="B3095" s="30">
        <v>437454.10856199998</v>
      </c>
      <c r="C3095" s="30">
        <v>5688750.3324180003</v>
      </c>
      <c r="D3095" s="30">
        <v>17</v>
      </c>
      <c r="E3095" s="30" t="s">
        <v>64</v>
      </c>
      <c r="F3095" s="46">
        <v>2022</v>
      </c>
      <c r="G3095" s="47">
        <v>2.2100000000000002E-2</v>
      </c>
      <c r="H3095" s="47">
        <f t="shared" si="349"/>
        <v>8.165174649740441E-3</v>
      </c>
      <c r="I3095" s="47">
        <v>3.04E-2</v>
      </c>
      <c r="J3095" s="47">
        <f t="shared" si="350"/>
        <v>1.3091227032053938E-2</v>
      </c>
      <c r="K3095" s="47">
        <v>6.3E-2</v>
      </c>
      <c r="L3095" s="47">
        <f t="shared" si="351"/>
        <v>2.4108733257393961E-2</v>
      </c>
      <c r="M3095" s="47">
        <f t="shared" si="352"/>
        <v>-1.5943558607653521E-2</v>
      </c>
      <c r="N3095" s="47">
        <v>7.9299999999999995E-2</v>
      </c>
      <c r="O3095" s="47">
        <f t="shared" si="353"/>
        <v>3.5957310084390501E-2</v>
      </c>
      <c r="P3095" s="92"/>
    </row>
    <row r="3096" spans="1:16" x14ac:dyDescent="0.25">
      <c r="A3096" s="29">
        <v>43</v>
      </c>
      <c r="B3096" s="30">
        <v>437573.10856199998</v>
      </c>
      <c r="C3096" s="30">
        <v>5688750.3324180003</v>
      </c>
      <c r="D3096" s="30">
        <v>17</v>
      </c>
      <c r="E3096" s="30" t="s">
        <v>64</v>
      </c>
      <c r="F3096" s="46">
        <v>2022</v>
      </c>
      <c r="G3096" s="47">
        <v>2.81E-2</v>
      </c>
      <c r="H3096" s="47">
        <f t="shared" si="349"/>
        <v>1.0381964147407529E-2</v>
      </c>
      <c r="I3096" s="47">
        <v>4.7999999999999996E-3</v>
      </c>
      <c r="J3096" s="47">
        <f t="shared" si="350"/>
        <v>2.0670358471664109E-3</v>
      </c>
      <c r="K3096" s="47">
        <v>1.9800000000000002E-2</v>
      </c>
      <c r="L3096" s="47">
        <f t="shared" si="351"/>
        <v>7.5770304523238166E-3</v>
      </c>
      <c r="M3096" s="47">
        <f t="shared" si="352"/>
        <v>2.8049336950837127E-3</v>
      </c>
      <c r="N3096" s="47">
        <v>3.8999999999999998E-3</v>
      </c>
      <c r="O3096" s="47">
        <f t="shared" si="353"/>
        <v>1.7683922992323196E-3</v>
      </c>
      <c r="P3096" s="92"/>
    </row>
    <row r="3097" spans="1:16" x14ac:dyDescent="0.25">
      <c r="A3097" s="29">
        <v>44</v>
      </c>
      <c r="B3097" s="30">
        <v>437692.10856199998</v>
      </c>
      <c r="C3097" s="30">
        <v>5688750.3324180003</v>
      </c>
      <c r="D3097" s="30">
        <v>16</v>
      </c>
      <c r="E3097" s="30" t="s">
        <v>64</v>
      </c>
      <c r="F3097" s="46">
        <v>2022</v>
      </c>
      <c r="G3097" s="47">
        <v>2.3199999999999998E-2</v>
      </c>
      <c r="H3097" s="47">
        <f>G3097*0.428170039660204</f>
        <v>9.9335449201167318E-3</v>
      </c>
      <c r="I3097" s="47">
        <v>0</v>
      </c>
      <c r="J3097" s="47">
        <f>I3097*0.43475601509768</f>
        <v>0</v>
      </c>
      <c r="K3097" s="47">
        <v>6.6E-3</v>
      </c>
      <c r="L3097" s="47">
        <f>K3097*0.463713514208564</f>
        <v>3.0605091937765225E-3</v>
      </c>
      <c r="M3097" s="47">
        <f t="shared" si="352"/>
        <v>6.8730357263402098E-3</v>
      </c>
      <c r="N3097" s="47">
        <v>0</v>
      </c>
      <c r="O3097" s="47">
        <f>N3097*0.456898089543432</f>
        <v>0</v>
      </c>
      <c r="P3097" s="92"/>
    </row>
    <row r="3098" spans="1:16" x14ac:dyDescent="0.25">
      <c r="A3098" s="29">
        <v>45</v>
      </c>
      <c r="B3098" s="30">
        <v>437811.10856199998</v>
      </c>
      <c r="C3098" s="30">
        <v>5688750.3324180003</v>
      </c>
      <c r="D3098" s="30">
        <v>16</v>
      </c>
      <c r="E3098" s="30" t="s">
        <v>64</v>
      </c>
      <c r="F3098" s="46">
        <v>2022</v>
      </c>
      <c r="G3098" s="47">
        <v>1.9199999999999998E-2</v>
      </c>
      <c r="H3098" s="47">
        <f>G3098*0.428170039660204</f>
        <v>8.2208647614759166E-3</v>
      </c>
      <c r="I3098" s="47">
        <v>3.39E-2</v>
      </c>
      <c r="J3098" s="47">
        <f>I3098*0.43475601509768</f>
        <v>1.4738228911811353E-2</v>
      </c>
      <c r="K3098" s="47">
        <v>1.1900000000000001E-2</v>
      </c>
      <c r="L3098" s="47">
        <f>K3098*0.463713514208564</f>
        <v>5.5181908190819117E-3</v>
      </c>
      <c r="M3098" s="47">
        <f t="shared" si="352"/>
        <v>2.7026739423940049E-3</v>
      </c>
      <c r="N3098" s="47">
        <v>6.6500000000000004E-2</v>
      </c>
      <c r="O3098" s="47">
        <f>N3098*0.456898089543432</f>
        <v>3.0383722954638228E-2</v>
      </c>
      <c r="P3098" s="92"/>
    </row>
    <row r="3099" spans="1:16" x14ac:dyDescent="0.25">
      <c r="A3099" s="65">
        <v>46</v>
      </c>
      <c r="B3099" s="66">
        <v>437930.10856199998</v>
      </c>
      <c r="C3099" s="66">
        <v>5688750.3324180003</v>
      </c>
      <c r="D3099" s="66">
        <v>17</v>
      </c>
      <c r="E3099" s="66" t="s">
        <v>64</v>
      </c>
      <c r="F3099" s="66">
        <v>2022</v>
      </c>
      <c r="G3099" s="66" t="s">
        <v>18</v>
      </c>
      <c r="H3099" s="66" t="s">
        <v>18</v>
      </c>
      <c r="I3099" s="66" t="s">
        <v>18</v>
      </c>
      <c r="J3099" s="66" t="s">
        <v>18</v>
      </c>
      <c r="K3099" s="66" t="s">
        <v>18</v>
      </c>
      <c r="L3099" s="66" t="s">
        <v>18</v>
      </c>
      <c r="M3099" s="66" t="s">
        <v>18</v>
      </c>
      <c r="N3099" s="66" t="s">
        <v>18</v>
      </c>
      <c r="O3099" s="66" t="s">
        <v>18</v>
      </c>
      <c r="P3099" s="105" t="s">
        <v>166</v>
      </c>
    </row>
    <row r="3100" spans="1:16" x14ac:dyDescent="0.25">
      <c r="A3100" s="29">
        <v>47</v>
      </c>
      <c r="B3100" s="30">
        <v>438061</v>
      </c>
      <c r="C3100" s="30">
        <v>5688779</v>
      </c>
      <c r="D3100" s="30">
        <v>15</v>
      </c>
      <c r="E3100" s="30" t="s">
        <v>64</v>
      </c>
      <c r="F3100" s="46">
        <v>2022</v>
      </c>
      <c r="G3100" s="47">
        <v>4.6200000000000005E-2</v>
      </c>
      <c r="H3100" s="47">
        <f>G3100*0.428170039660204</f>
        <v>1.9781455832301426E-2</v>
      </c>
      <c r="I3100" s="47">
        <v>1.3699999999999999E-2</v>
      </c>
      <c r="J3100" s="47">
        <f>I3100*0.43475601509768</f>
        <v>5.956157406838216E-3</v>
      </c>
      <c r="K3100" s="47">
        <v>1.2800000000000001E-2</v>
      </c>
      <c r="L3100" s="47">
        <f>K3100*0.463713514208564</f>
        <v>5.9355329818696198E-3</v>
      </c>
      <c r="M3100" s="47">
        <f t="shared" si="352"/>
        <v>1.3845922850431805E-2</v>
      </c>
      <c r="N3100" s="47">
        <v>0</v>
      </c>
      <c r="O3100" s="47">
        <f>N3100*0.456898089543432</f>
        <v>0</v>
      </c>
      <c r="P3100" s="92"/>
    </row>
    <row r="3101" spans="1:16" x14ac:dyDescent="0.25">
      <c r="A3101" s="32">
        <v>48</v>
      </c>
      <c r="B3101" s="33">
        <v>438168.10856199998</v>
      </c>
      <c r="C3101" s="33">
        <v>5688750.3324180003</v>
      </c>
      <c r="D3101" s="48">
        <v>17</v>
      </c>
      <c r="E3101" s="48" t="s">
        <v>64</v>
      </c>
      <c r="F3101" s="48">
        <v>2022</v>
      </c>
      <c r="G3101" s="48" t="s">
        <v>18</v>
      </c>
      <c r="H3101" s="48" t="s">
        <v>18</v>
      </c>
      <c r="I3101" s="48" t="s">
        <v>18</v>
      </c>
      <c r="J3101" s="48" t="s">
        <v>18</v>
      </c>
      <c r="K3101" s="48" t="s">
        <v>18</v>
      </c>
      <c r="L3101" s="48" t="s">
        <v>18</v>
      </c>
      <c r="M3101" s="48" t="s">
        <v>18</v>
      </c>
      <c r="N3101" s="48" t="s">
        <v>18</v>
      </c>
      <c r="O3101" s="48" t="s">
        <v>18</v>
      </c>
      <c r="P3101" s="103" t="s">
        <v>89</v>
      </c>
    </row>
    <row r="3102" spans="1:16" x14ac:dyDescent="0.25">
      <c r="A3102" s="89">
        <v>49</v>
      </c>
      <c r="B3102" s="90">
        <v>437454.10856199998</v>
      </c>
      <c r="C3102" s="90">
        <v>5688869.3324180003</v>
      </c>
      <c r="D3102" s="90">
        <v>17</v>
      </c>
      <c r="E3102" s="90" t="s">
        <v>64</v>
      </c>
      <c r="F3102" s="90">
        <v>2022</v>
      </c>
      <c r="G3102" s="90" t="s">
        <v>18</v>
      </c>
      <c r="H3102" s="90" t="s">
        <v>18</v>
      </c>
      <c r="I3102" s="90" t="s">
        <v>18</v>
      </c>
      <c r="J3102" s="90" t="s">
        <v>18</v>
      </c>
      <c r="K3102" s="90" t="s">
        <v>18</v>
      </c>
      <c r="L3102" s="90" t="s">
        <v>18</v>
      </c>
      <c r="M3102" s="90" t="s">
        <v>18</v>
      </c>
      <c r="N3102" s="90" t="s">
        <v>18</v>
      </c>
      <c r="O3102" s="90" t="s">
        <v>18</v>
      </c>
      <c r="P3102" s="113" t="s">
        <v>174</v>
      </c>
    </row>
    <row r="3103" spans="1:16" x14ac:dyDescent="0.25">
      <c r="A3103" s="29">
        <v>50</v>
      </c>
      <c r="B3103" s="30">
        <v>437811.10856199998</v>
      </c>
      <c r="C3103" s="30">
        <v>5688869.3324180003</v>
      </c>
      <c r="D3103" s="30">
        <v>15</v>
      </c>
      <c r="E3103" s="30" t="s">
        <v>64</v>
      </c>
      <c r="F3103" s="46">
        <v>2022</v>
      </c>
      <c r="G3103" s="47">
        <v>6.1700000000000005E-2</v>
      </c>
      <c r="H3103" s="47">
        <f>G3103*0.428170039660204</f>
        <v>2.6418091447034588E-2</v>
      </c>
      <c r="I3103" s="47">
        <v>0</v>
      </c>
      <c r="J3103" s="47">
        <f>I3103*0.43475601509768</f>
        <v>0</v>
      </c>
      <c r="K3103" s="47">
        <v>3.1800000000000002E-2</v>
      </c>
      <c r="L3103" s="47">
        <f>K3103*0.463713514208564</f>
        <v>1.4746089751832336E-2</v>
      </c>
      <c r="M3103" s="47">
        <f t="shared" si="352"/>
        <v>1.1672001695202251E-2</v>
      </c>
      <c r="N3103" s="47">
        <v>0</v>
      </c>
      <c r="O3103" s="47">
        <f>N3103*0.456898089543432</f>
        <v>0</v>
      </c>
      <c r="P3103" s="92"/>
    </row>
    <row r="3104" spans="1:16" x14ac:dyDescent="0.25">
      <c r="A3104" s="29">
        <v>51</v>
      </c>
      <c r="B3104" s="30">
        <v>437930.10856199998</v>
      </c>
      <c r="C3104" s="30">
        <v>5688869.3324180003</v>
      </c>
      <c r="D3104" s="30">
        <v>15</v>
      </c>
      <c r="E3104" s="30" t="s">
        <v>64</v>
      </c>
      <c r="F3104" s="46">
        <v>2022</v>
      </c>
      <c r="G3104" s="47">
        <v>7.0599999999999996E-2</v>
      </c>
      <c r="H3104" s="47">
        <f>G3104*0.428170039660204</f>
        <v>3.02288048000104E-2</v>
      </c>
      <c r="I3104" s="47">
        <v>6.1700000000000005E-2</v>
      </c>
      <c r="J3104" s="47">
        <f>I3104*0.43475601509768</f>
        <v>2.6824446131526861E-2</v>
      </c>
      <c r="K3104" s="47">
        <v>1.11E-2</v>
      </c>
      <c r="L3104" s="47">
        <f>K3104*0.463713514208564</f>
        <v>5.1472200077150605E-3</v>
      </c>
      <c r="M3104" s="47">
        <f t="shared" si="352"/>
        <v>2.5081584792295337E-2</v>
      </c>
      <c r="N3104" s="47">
        <v>8.6400000000000005E-2</v>
      </c>
      <c r="O3104" s="47">
        <f>N3104*0.456898089543432</f>
        <v>3.9475994936552523E-2</v>
      </c>
      <c r="P3104" s="92"/>
    </row>
    <row r="3105" spans="1:19" x14ac:dyDescent="0.25">
      <c r="A3105" s="65">
        <v>52</v>
      </c>
      <c r="B3105" s="66">
        <v>438049.10856199998</v>
      </c>
      <c r="C3105" s="66">
        <v>5688869.3324180003</v>
      </c>
      <c r="D3105" s="66">
        <v>17</v>
      </c>
      <c r="E3105" s="66" t="s">
        <v>64</v>
      </c>
      <c r="F3105" s="66">
        <v>2022</v>
      </c>
      <c r="G3105" s="66" t="s">
        <v>18</v>
      </c>
      <c r="H3105" s="66" t="s">
        <v>18</v>
      </c>
      <c r="I3105" s="66" t="s">
        <v>18</v>
      </c>
      <c r="J3105" s="66" t="s">
        <v>18</v>
      </c>
      <c r="K3105" s="66" t="s">
        <v>18</v>
      </c>
      <c r="L3105" s="66" t="s">
        <v>18</v>
      </c>
      <c r="M3105" s="66" t="s">
        <v>18</v>
      </c>
      <c r="N3105" s="66" t="s">
        <v>18</v>
      </c>
      <c r="O3105" s="66" t="s">
        <v>18</v>
      </c>
      <c r="P3105" s="105" t="s">
        <v>166</v>
      </c>
    </row>
    <row r="3106" spans="1:19" x14ac:dyDescent="0.25">
      <c r="A3106" s="89">
        <v>53</v>
      </c>
      <c r="B3106" s="90">
        <v>438287.10856199998</v>
      </c>
      <c r="C3106" s="90">
        <v>5688869.3324180003</v>
      </c>
      <c r="D3106" s="90">
        <v>17</v>
      </c>
      <c r="E3106" s="90" t="s">
        <v>64</v>
      </c>
      <c r="F3106" s="90">
        <v>2022</v>
      </c>
      <c r="G3106" s="90" t="s">
        <v>18</v>
      </c>
      <c r="H3106" s="90" t="s">
        <v>18</v>
      </c>
      <c r="I3106" s="90" t="s">
        <v>18</v>
      </c>
      <c r="J3106" s="90" t="s">
        <v>18</v>
      </c>
      <c r="K3106" s="90" t="s">
        <v>18</v>
      </c>
      <c r="L3106" s="90" t="s">
        <v>18</v>
      </c>
      <c r="M3106" s="90" t="s">
        <v>18</v>
      </c>
      <c r="N3106" s="90" t="s">
        <v>18</v>
      </c>
      <c r="O3106" s="90" t="s">
        <v>18</v>
      </c>
      <c r="P3106" s="113" t="s">
        <v>174</v>
      </c>
    </row>
    <row r="3107" spans="1:19" x14ac:dyDescent="0.25">
      <c r="A3107" s="89">
        <v>54</v>
      </c>
      <c r="B3107" s="90">
        <v>437454.10856199998</v>
      </c>
      <c r="C3107" s="90">
        <v>5688988.3324180003</v>
      </c>
      <c r="D3107" s="90">
        <v>17</v>
      </c>
      <c r="E3107" s="90" t="s">
        <v>64</v>
      </c>
      <c r="F3107" s="90">
        <v>2022</v>
      </c>
      <c r="G3107" s="90" t="s">
        <v>18</v>
      </c>
      <c r="H3107" s="90" t="s">
        <v>18</v>
      </c>
      <c r="I3107" s="90" t="s">
        <v>18</v>
      </c>
      <c r="J3107" s="90" t="s">
        <v>18</v>
      </c>
      <c r="K3107" s="90" t="s">
        <v>18</v>
      </c>
      <c r="L3107" s="90" t="s">
        <v>18</v>
      </c>
      <c r="M3107" s="90" t="s">
        <v>18</v>
      </c>
      <c r="N3107" s="90" t="s">
        <v>18</v>
      </c>
      <c r="O3107" s="90" t="s">
        <v>18</v>
      </c>
      <c r="P3107" s="113" t="s">
        <v>174</v>
      </c>
    </row>
    <row r="3108" spans="1:19" x14ac:dyDescent="0.25">
      <c r="A3108" s="89">
        <v>55</v>
      </c>
      <c r="B3108" s="90">
        <v>438049.10856199998</v>
      </c>
      <c r="C3108" s="90">
        <v>5688988.3324180003</v>
      </c>
      <c r="D3108" s="90">
        <v>17</v>
      </c>
      <c r="E3108" s="90" t="s">
        <v>64</v>
      </c>
      <c r="F3108" s="90">
        <v>2022</v>
      </c>
      <c r="G3108" s="90" t="s">
        <v>18</v>
      </c>
      <c r="H3108" s="90" t="s">
        <v>18</v>
      </c>
      <c r="I3108" s="90" t="s">
        <v>18</v>
      </c>
      <c r="J3108" s="90" t="s">
        <v>18</v>
      </c>
      <c r="K3108" s="90" t="s">
        <v>18</v>
      </c>
      <c r="L3108" s="90" t="s">
        <v>18</v>
      </c>
      <c r="M3108" s="90" t="s">
        <v>18</v>
      </c>
      <c r="N3108" s="90" t="s">
        <v>18</v>
      </c>
      <c r="O3108" s="90" t="s">
        <v>18</v>
      </c>
      <c r="P3108" s="113" t="s">
        <v>174</v>
      </c>
    </row>
    <row r="3109" spans="1:19" x14ac:dyDescent="0.25">
      <c r="A3109" s="29">
        <v>56</v>
      </c>
      <c r="B3109" s="30">
        <v>438168.10856199998</v>
      </c>
      <c r="C3109" s="30">
        <v>5688988.3324180003</v>
      </c>
      <c r="D3109" s="30">
        <v>16</v>
      </c>
      <c r="E3109" s="30" t="s">
        <v>64</v>
      </c>
      <c r="F3109" s="46">
        <v>2022</v>
      </c>
      <c r="G3109" s="47">
        <v>7.4700000000000003E-2</v>
      </c>
      <c r="H3109" s="47">
        <f>G3109*0.428170039660204</f>
        <v>3.1984301962617243E-2</v>
      </c>
      <c r="I3109" s="47">
        <v>0</v>
      </c>
      <c r="J3109" s="47">
        <f>I3109*0.43475601509768</f>
        <v>0</v>
      </c>
      <c r="K3109" s="47">
        <v>2.1000000000000003E-3</v>
      </c>
      <c r="L3109" s="47">
        <f>K3109*0.463713514208564</f>
        <v>9.7379837983798453E-4</v>
      </c>
      <c r="M3109" s="47">
        <f t="shared" si="352"/>
        <v>3.1010503582779257E-2</v>
      </c>
      <c r="N3109" s="47">
        <v>0</v>
      </c>
      <c r="O3109" s="47">
        <f>N3109*0.456898089543432</f>
        <v>0</v>
      </c>
      <c r="P3109" s="92"/>
    </row>
    <row r="3110" spans="1:19" x14ac:dyDescent="0.25">
      <c r="A3110" s="40">
        <v>57</v>
      </c>
      <c r="B3110" s="41">
        <v>438146</v>
      </c>
      <c r="C3110" s="41">
        <v>5688977</v>
      </c>
      <c r="D3110" s="41">
        <v>16</v>
      </c>
      <c r="E3110" s="41" t="s">
        <v>64</v>
      </c>
      <c r="F3110" s="50">
        <v>2022</v>
      </c>
      <c r="G3110" s="51">
        <v>3.7399999999999996E-2</v>
      </c>
      <c r="H3110" s="51">
        <f>G3110*0.428170039660204</f>
        <v>1.6013559483291629E-2</v>
      </c>
      <c r="I3110" s="51">
        <v>7.3000000000000001E-3</v>
      </c>
      <c r="J3110" s="51">
        <f>I3110*0.43475601509768</f>
        <v>3.1737189102130641E-3</v>
      </c>
      <c r="K3110" s="51">
        <v>2.8E-3</v>
      </c>
      <c r="L3110" s="51">
        <f>K3110*0.463713514208564</f>
        <v>1.2983978397839791E-3</v>
      </c>
      <c r="M3110" s="51">
        <f t="shared" si="352"/>
        <v>1.4715161643507651E-2</v>
      </c>
      <c r="N3110" s="51">
        <v>0</v>
      </c>
      <c r="O3110" s="51">
        <f>N3110*0.456898089543432</f>
        <v>0</v>
      </c>
      <c r="P3110" s="101"/>
    </row>
    <row r="3111" spans="1:19" x14ac:dyDescent="0.25">
      <c r="A3111" s="40">
        <v>58</v>
      </c>
      <c r="B3111" s="41">
        <v>438131</v>
      </c>
      <c r="C3111" s="41">
        <v>5688972</v>
      </c>
      <c r="D3111" s="41">
        <v>16</v>
      </c>
      <c r="E3111" s="41" t="s">
        <v>64</v>
      </c>
      <c r="F3111" s="50">
        <v>2022</v>
      </c>
      <c r="G3111" s="51">
        <v>4.3700000000000003E-2</v>
      </c>
      <c r="H3111" s="51">
        <f>G3111*0.428170039660204</f>
        <v>1.8711030733150915E-2</v>
      </c>
      <c r="I3111" s="51">
        <v>0</v>
      </c>
      <c r="J3111" s="51">
        <f>I3111*0.43475601509768</f>
        <v>0</v>
      </c>
      <c r="K3111" s="51">
        <v>6.3E-3</v>
      </c>
      <c r="L3111" s="51">
        <f>K3111*0.463713514208564</f>
        <v>2.9213951395139531E-3</v>
      </c>
      <c r="M3111" s="51">
        <f t="shared" si="352"/>
        <v>1.5789635593636962E-2</v>
      </c>
      <c r="N3111" s="51">
        <v>0</v>
      </c>
      <c r="O3111" s="51">
        <f>N3111*0.456898089543432</f>
        <v>0</v>
      </c>
      <c r="P3111" s="101"/>
    </row>
    <row r="3112" spans="1:19" x14ac:dyDescent="0.25">
      <c r="A3112" s="40">
        <v>59</v>
      </c>
      <c r="B3112" s="41">
        <v>438089</v>
      </c>
      <c r="C3112" s="41">
        <v>5688713</v>
      </c>
      <c r="D3112" s="41">
        <v>17</v>
      </c>
      <c r="E3112" s="41" t="s">
        <v>64</v>
      </c>
      <c r="F3112" s="50">
        <v>2022</v>
      </c>
      <c r="G3112" s="51">
        <v>3.15E-2</v>
      </c>
      <c r="H3112" s="51">
        <f t="shared" si="349"/>
        <v>1.1638144862752211E-2</v>
      </c>
      <c r="I3112" s="51">
        <v>0</v>
      </c>
      <c r="J3112" s="51">
        <f t="shared" si="350"/>
        <v>0</v>
      </c>
      <c r="K3112" s="51">
        <v>2.2200000000000001E-2</v>
      </c>
      <c r="L3112" s="51">
        <f t="shared" si="351"/>
        <v>8.4954583859388234E-3</v>
      </c>
      <c r="M3112" s="51">
        <f t="shared" si="352"/>
        <v>3.1426864768133878E-3</v>
      </c>
      <c r="N3112" s="51">
        <v>0</v>
      </c>
      <c r="O3112" s="51">
        <f t="shared" si="353"/>
        <v>0</v>
      </c>
      <c r="P3112" s="101"/>
    </row>
    <row r="3113" spans="1:19" x14ac:dyDescent="0.25">
      <c r="A3113" s="40">
        <v>60</v>
      </c>
      <c r="B3113" s="41">
        <v>438099</v>
      </c>
      <c r="C3113" s="41">
        <v>5688719</v>
      </c>
      <c r="D3113" s="41">
        <v>17</v>
      </c>
      <c r="E3113" s="41" t="s">
        <v>64</v>
      </c>
      <c r="F3113" s="50">
        <v>2022</v>
      </c>
      <c r="G3113" s="51">
        <v>3.3500000000000002E-2</v>
      </c>
      <c r="H3113" s="51">
        <f t="shared" si="349"/>
        <v>1.2377074695307909E-2</v>
      </c>
      <c r="I3113" s="51">
        <v>0</v>
      </c>
      <c r="J3113" s="51">
        <f t="shared" si="350"/>
        <v>0</v>
      </c>
      <c r="K3113" s="51">
        <v>5.4999999999999997E-3</v>
      </c>
      <c r="L3113" s="51">
        <f t="shared" si="351"/>
        <v>2.1047306812010599E-3</v>
      </c>
      <c r="M3113" s="51">
        <f t="shared" si="352"/>
        <v>1.0272344014106849E-2</v>
      </c>
      <c r="N3113" s="51">
        <v>0</v>
      </c>
      <c r="O3113" s="51">
        <f t="shared" si="353"/>
        <v>0</v>
      </c>
      <c r="P3113" s="101"/>
    </row>
    <row r="3114" spans="1:19" x14ac:dyDescent="0.25">
      <c r="A3114" s="42">
        <v>1</v>
      </c>
      <c r="B3114" s="43">
        <v>437930.10856199998</v>
      </c>
      <c r="C3114" s="43">
        <v>5688036.3324180003</v>
      </c>
      <c r="D3114" s="44">
        <v>22</v>
      </c>
      <c r="E3114" s="44" t="s">
        <v>24</v>
      </c>
      <c r="F3114" s="44">
        <v>2022</v>
      </c>
      <c r="G3114" s="44" t="s">
        <v>18</v>
      </c>
      <c r="H3114" s="44" t="s">
        <v>18</v>
      </c>
      <c r="I3114" s="44" t="s">
        <v>18</v>
      </c>
      <c r="J3114" s="44" t="s">
        <v>18</v>
      </c>
      <c r="K3114" s="44" t="s">
        <v>18</v>
      </c>
      <c r="L3114" s="44" t="s">
        <v>18</v>
      </c>
      <c r="M3114" s="44" t="s">
        <v>18</v>
      </c>
      <c r="N3114" s="44" t="s">
        <v>18</v>
      </c>
      <c r="O3114" s="44" t="s">
        <v>18</v>
      </c>
      <c r="P3114" s="102" t="s">
        <v>109</v>
      </c>
      <c r="R3114" s="5">
        <f>AVERAGE(M3114:M3173)</f>
        <v>-3.5257030505241E-4</v>
      </c>
      <c r="S3114" s="5">
        <f>AVERAGE(H3114:H3173)</f>
        <v>1.0202864852186281E-2</v>
      </c>
    </row>
    <row r="3115" spans="1:19" x14ac:dyDescent="0.25">
      <c r="A3115" s="42">
        <v>2</v>
      </c>
      <c r="B3115" s="43">
        <v>437811.10856199998</v>
      </c>
      <c r="C3115" s="43">
        <v>5688155.3324180003</v>
      </c>
      <c r="D3115" s="44">
        <v>22</v>
      </c>
      <c r="E3115" s="44" t="s">
        <v>24</v>
      </c>
      <c r="F3115" s="44">
        <v>2022</v>
      </c>
      <c r="G3115" s="44" t="s">
        <v>18</v>
      </c>
      <c r="H3115" s="44" t="s">
        <v>18</v>
      </c>
      <c r="I3115" s="44" t="s">
        <v>18</v>
      </c>
      <c r="J3115" s="44" t="s">
        <v>18</v>
      </c>
      <c r="K3115" s="44" t="s">
        <v>18</v>
      </c>
      <c r="L3115" s="44" t="s">
        <v>18</v>
      </c>
      <c r="M3115" s="44" t="s">
        <v>18</v>
      </c>
      <c r="N3115" s="44" t="s">
        <v>18</v>
      </c>
      <c r="O3115" s="44" t="s">
        <v>18</v>
      </c>
      <c r="P3115" s="102" t="s">
        <v>109</v>
      </c>
    </row>
    <row r="3116" spans="1:19" x14ac:dyDescent="0.25">
      <c r="A3116" s="65">
        <v>3</v>
      </c>
      <c r="B3116" s="66">
        <v>437930.10856199998</v>
      </c>
      <c r="C3116" s="66">
        <v>5688155.3324180003</v>
      </c>
      <c r="D3116" s="66">
        <v>22</v>
      </c>
      <c r="E3116" s="66" t="s">
        <v>24</v>
      </c>
      <c r="F3116" s="66">
        <v>2022</v>
      </c>
      <c r="G3116" s="66" t="s">
        <v>18</v>
      </c>
      <c r="H3116" s="66" t="s">
        <v>18</v>
      </c>
      <c r="I3116" s="66" t="s">
        <v>18</v>
      </c>
      <c r="J3116" s="66" t="s">
        <v>18</v>
      </c>
      <c r="K3116" s="66" t="s">
        <v>18</v>
      </c>
      <c r="L3116" s="66" t="s">
        <v>18</v>
      </c>
      <c r="M3116" s="66" t="s">
        <v>18</v>
      </c>
      <c r="N3116" s="66" t="s">
        <v>18</v>
      </c>
      <c r="O3116" s="66" t="s">
        <v>18</v>
      </c>
      <c r="P3116" s="105" t="s">
        <v>166</v>
      </c>
    </row>
    <row r="3117" spans="1:19" x14ac:dyDescent="0.25">
      <c r="A3117" s="42">
        <v>4</v>
      </c>
      <c r="B3117" s="43">
        <v>438049.10856199998</v>
      </c>
      <c r="C3117" s="43">
        <v>5688155.3324180003</v>
      </c>
      <c r="D3117" s="44">
        <v>22</v>
      </c>
      <c r="E3117" s="44" t="s">
        <v>24</v>
      </c>
      <c r="F3117" s="44">
        <v>2022</v>
      </c>
      <c r="G3117" s="44" t="s">
        <v>18</v>
      </c>
      <c r="H3117" s="44" t="s">
        <v>18</v>
      </c>
      <c r="I3117" s="44" t="s">
        <v>18</v>
      </c>
      <c r="J3117" s="44" t="s">
        <v>18</v>
      </c>
      <c r="K3117" s="44" t="s">
        <v>18</v>
      </c>
      <c r="L3117" s="44" t="s">
        <v>18</v>
      </c>
      <c r="M3117" s="44" t="s">
        <v>18</v>
      </c>
      <c r="N3117" s="44" t="s">
        <v>18</v>
      </c>
      <c r="O3117" s="44" t="s">
        <v>18</v>
      </c>
      <c r="P3117" s="102" t="s">
        <v>109</v>
      </c>
    </row>
    <row r="3118" spans="1:19" x14ac:dyDescent="0.25">
      <c r="A3118" s="42">
        <v>5</v>
      </c>
      <c r="B3118" s="43">
        <v>437573.10856199998</v>
      </c>
      <c r="C3118" s="43">
        <v>5688274.3324180003</v>
      </c>
      <c r="D3118" s="44">
        <v>22</v>
      </c>
      <c r="E3118" s="44" t="s">
        <v>24</v>
      </c>
      <c r="F3118" s="44">
        <v>2022</v>
      </c>
      <c r="G3118" s="44" t="s">
        <v>18</v>
      </c>
      <c r="H3118" s="44" t="s">
        <v>18</v>
      </c>
      <c r="I3118" s="44" t="s">
        <v>18</v>
      </c>
      <c r="J3118" s="44" t="s">
        <v>18</v>
      </c>
      <c r="K3118" s="44" t="s">
        <v>18</v>
      </c>
      <c r="L3118" s="44" t="s">
        <v>18</v>
      </c>
      <c r="M3118" s="44" t="s">
        <v>18</v>
      </c>
      <c r="N3118" s="44" t="s">
        <v>18</v>
      </c>
      <c r="O3118" s="44" t="s">
        <v>18</v>
      </c>
      <c r="P3118" s="102" t="s">
        <v>109</v>
      </c>
    </row>
    <row r="3119" spans="1:19" x14ac:dyDescent="0.25">
      <c r="A3119" s="89">
        <v>6</v>
      </c>
      <c r="B3119" s="90">
        <v>437692.10856199998</v>
      </c>
      <c r="C3119" s="90">
        <v>5688274.3324180003</v>
      </c>
      <c r="D3119" s="90">
        <v>22</v>
      </c>
      <c r="E3119" s="90" t="s">
        <v>24</v>
      </c>
      <c r="F3119" s="90">
        <v>2022</v>
      </c>
      <c r="G3119" s="90" t="s">
        <v>18</v>
      </c>
      <c r="H3119" s="90" t="s">
        <v>18</v>
      </c>
      <c r="I3119" s="90" t="s">
        <v>18</v>
      </c>
      <c r="J3119" s="90" t="s">
        <v>18</v>
      </c>
      <c r="K3119" s="90" t="s">
        <v>18</v>
      </c>
      <c r="L3119" s="90" t="s">
        <v>18</v>
      </c>
      <c r="M3119" s="90" t="s">
        <v>18</v>
      </c>
      <c r="N3119" s="90" t="s">
        <v>18</v>
      </c>
      <c r="O3119" s="90" t="s">
        <v>18</v>
      </c>
      <c r="P3119" s="113" t="s">
        <v>174</v>
      </c>
    </row>
    <row r="3120" spans="1:19" x14ac:dyDescent="0.25">
      <c r="A3120" s="65">
        <v>7</v>
      </c>
      <c r="B3120" s="66">
        <v>437811.10856199998</v>
      </c>
      <c r="C3120" s="66">
        <v>5688274.3324180003</v>
      </c>
      <c r="D3120" s="66">
        <v>22</v>
      </c>
      <c r="E3120" s="66" t="s">
        <v>24</v>
      </c>
      <c r="F3120" s="66">
        <v>2022</v>
      </c>
      <c r="G3120" s="66" t="s">
        <v>18</v>
      </c>
      <c r="H3120" s="66" t="s">
        <v>18</v>
      </c>
      <c r="I3120" s="66" t="s">
        <v>18</v>
      </c>
      <c r="J3120" s="66" t="s">
        <v>18</v>
      </c>
      <c r="K3120" s="66" t="s">
        <v>18</v>
      </c>
      <c r="L3120" s="66" t="s">
        <v>18</v>
      </c>
      <c r="M3120" s="66" t="s">
        <v>18</v>
      </c>
      <c r="N3120" s="66" t="s">
        <v>18</v>
      </c>
      <c r="O3120" s="66" t="s">
        <v>18</v>
      </c>
      <c r="P3120" s="105" t="s">
        <v>166</v>
      </c>
    </row>
    <row r="3121" spans="1:16" x14ac:dyDescent="0.25">
      <c r="A3121" s="42">
        <v>8</v>
      </c>
      <c r="B3121" s="43">
        <v>437930.10856199998</v>
      </c>
      <c r="C3121" s="43">
        <v>5688274.3324180003</v>
      </c>
      <c r="D3121" s="44">
        <v>22</v>
      </c>
      <c r="E3121" s="44" t="s">
        <v>24</v>
      </c>
      <c r="F3121" s="44">
        <v>2022</v>
      </c>
      <c r="G3121" s="44" t="s">
        <v>18</v>
      </c>
      <c r="H3121" s="44" t="s">
        <v>18</v>
      </c>
      <c r="I3121" s="44" t="s">
        <v>18</v>
      </c>
      <c r="J3121" s="44" t="s">
        <v>18</v>
      </c>
      <c r="K3121" s="44" t="s">
        <v>18</v>
      </c>
      <c r="L3121" s="44" t="s">
        <v>18</v>
      </c>
      <c r="M3121" s="44" t="s">
        <v>18</v>
      </c>
      <c r="N3121" s="44" t="s">
        <v>18</v>
      </c>
      <c r="O3121" s="44" t="s">
        <v>18</v>
      </c>
      <c r="P3121" s="102" t="s">
        <v>109</v>
      </c>
    </row>
    <row r="3122" spans="1:16" x14ac:dyDescent="0.25">
      <c r="A3122" s="89">
        <v>9</v>
      </c>
      <c r="B3122" s="90">
        <v>438287.10856199998</v>
      </c>
      <c r="C3122" s="90">
        <v>5688274.3324180003</v>
      </c>
      <c r="D3122" s="90">
        <v>22</v>
      </c>
      <c r="E3122" s="90" t="s">
        <v>24</v>
      </c>
      <c r="F3122" s="90">
        <v>2022</v>
      </c>
      <c r="G3122" s="90" t="s">
        <v>18</v>
      </c>
      <c r="H3122" s="90" t="s">
        <v>18</v>
      </c>
      <c r="I3122" s="90" t="s">
        <v>18</v>
      </c>
      <c r="J3122" s="90" t="s">
        <v>18</v>
      </c>
      <c r="K3122" s="90" t="s">
        <v>18</v>
      </c>
      <c r="L3122" s="90" t="s">
        <v>18</v>
      </c>
      <c r="M3122" s="90" t="s">
        <v>18</v>
      </c>
      <c r="N3122" s="90" t="s">
        <v>18</v>
      </c>
      <c r="O3122" s="90" t="s">
        <v>18</v>
      </c>
      <c r="P3122" s="113" t="s">
        <v>174</v>
      </c>
    </row>
    <row r="3123" spans="1:16" x14ac:dyDescent="0.25">
      <c r="A3123" s="29">
        <v>10</v>
      </c>
      <c r="B3123" s="30">
        <v>438406.10856199998</v>
      </c>
      <c r="C3123" s="30">
        <v>5688274.3324180003</v>
      </c>
      <c r="D3123" s="30">
        <v>22</v>
      </c>
      <c r="E3123" s="30" t="s">
        <v>24</v>
      </c>
      <c r="F3123" s="46">
        <v>2022</v>
      </c>
      <c r="G3123" s="47">
        <v>5.5792799999999997E-2</v>
      </c>
      <c r="H3123" s="47">
        <f>G3123*0.292886887880875</f>
        <v>1.6340979558160083E-2</v>
      </c>
      <c r="I3123" s="47">
        <v>0</v>
      </c>
      <c r="J3123" s="47">
        <f>I3123*0.472855741632328</f>
        <v>0</v>
      </c>
      <c r="K3123" s="47">
        <v>9.6361650000000007E-2</v>
      </c>
      <c r="L3123" s="47">
        <f>K3123*0.439193643902638</f>
        <v>4.2321424195970639E-2</v>
      </c>
      <c r="M3123" s="47">
        <f>H3123-L3123</f>
        <v>-2.5980444637810556E-2</v>
      </c>
      <c r="N3123" s="47">
        <v>0</v>
      </c>
      <c r="O3123" s="47">
        <f>N3123*0.445597647373342</f>
        <v>0</v>
      </c>
      <c r="P3123" s="92"/>
    </row>
    <row r="3124" spans="1:16" x14ac:dyDescent="0.25">
      <c r="A3124" s="42">
        <v>11</v>
      </c>
      <c r="B3124" s="43">
        <v>437454.10856199998</v>
      </c>
      <c r="C3124" s="43">
        <v>5688393.3324180003</v>
      </c>
      <c r="D3124" s="44">
        <v>22</v>
      </c>
      <c r="E3124" s="44" t="s">
        <v>24</v>
      </c>
      <c r="F3124" s="44">
        <v>2022</v>
      </c>
      <c r="G3124" s="44" t="s">
        <v>18</v>
      </c>
      <c r="H3124" s="44" t="s">
        <v>18</v>
      </c>
      <c r="I3124" s="44" t="s">
        <v>18</v>
      </c>
      <c r="J3124" s="44" t="s">
        <v>18</v>
      </c>
      <c r="K3124" s="44" t="s">
        <v>18</v>
      </c>
      <c r="L3124" s="44" t="s">
        <v>18</v>
      </c>
      <c r="M3124" s="44" t="s">
        <v>18</v>
      </c>
      <c r="N3124" s="44" t="s">
        <v>18</v>
      </c>
      <c r="O3124" s="44" t="s">
        <v>18</v>
      </c>
      <c r="P3124" s="102" t="s">
        <v>109</v>
      </c>
    </row>
    <row r="3125" spans="1:16" x14ac:dyDescent="0.25">
      <c r="A3125" s="29">
        <v>12</v>
      </c>
      <c r="B3125" s="30">
        <v>437573.10856199998</v>
      </c>
      <c r="C3125" s="30">
        <v>5688393.3324180003</v>
      </c>
      <c r="D3125" s="30">
        <v>22</v>
      </c>
      <c r="E3125" s="30" t="s">
        <v>24</v>
      </c>
      <c r="F3125" s="46">
        <v>2022</v>
      </c>
      <c r="G3125" s="47">
        <v>1.2544875E-2</v>
      </c>
      <c r="H3125" s="47">
        <f t="shared" ref="H3125:H3173" si="354">G3125*0.292886887880875</f>
        <v>3.6742293976045923E-3</v>
      </c>
      <c r="I3125" s="47">
        <v>0</v>
      </c>
      <c r="J3125" s="47">
        <f t="shared" ref="J3125:J3173" si="355">I3125*0.472855741632328</f>
        <v>0</v>
      </c>
      <c r="K3125" s="47">
        <v>1.5394050000000001E-2</v>
      </c>
      <c r="L3125" s="47">
        <f t="shared" ref="L3125:L3173" si="356">K3125*0.439193643902638</f>
        <v>6.7609689139194046E-3</v>
      </c>
      <c r="M3125" s="47">
        <f t="shared" ref="M3125:M3173" si="357">H3125-L3125</f>
        <v>-3.0867395163148123E-3</v>
      </c>
      <c r="N3125" s="47">
        <v>3.2262299999999994E-2</v>
      </c>
      <c r="O3125" s="47">
        <f t="shared" ref="O3125:O3173" si="358">N3125*0.445597647373342</f>
        <v>1.4376004978852969E-2</v>
      </c>
      <c r="P3125" s="92"/>
    </row>
    <row r="3126" spans="1:16" x14ac:dyDescent="0.25">
      <c r="A3126" s="29">
        <v>13</v>
      </c>
      <c r="B3126" s="30">
        <v>437692.10856199998</v>
      </c>
      <c r="C3126" s="30">
        <v>5688393.3324180003</v>
      </c>
      <c r="D3126" s="30">
        <v>22</v>
      </c>
      <c r="E3126" s="30" t="s">
        <v>24</v>
      </c>
      <c r="F3126" s="46">
        <v>2022</v>
      </c>
      <c r="G3126" s="47">
        <v>4.8790350000000003E-2</v>
      </c>
      <c r="H3126" s="47">
        <f t="shared" si="354"/>
        <v>1.4290053770118652E-2</v>
      </c>
      <c r="I3126" s="47">
        <v>5.7408750000000012E-3</v>
      </c>
      <c r="J3126" s="47">
        <f t="shared" si="355"/>
        <v>2.7146057057434916E-3</v>
      </c>
      <c r="K3126" s="47">
        <v>2.3813999999999998E-2</v>
      </c>
      <c r="L3126" s="47">
        <f t="shared" si="356"/>
        <v>1.045895743589742E-2</v>
      </c>
      <c r="M3126" s="47">
        <f t="shared" si="357"/>
        <v>3.8310963342212314E-3</v>
      </c>
      <c r="N3126" s="47">
        <v>6.8607000000000008E-3</v>
      </c>
      <c r="O3126" s="47">
        <f t="shared" si="358"/>
        <v>3.057111779334288E-3</v>
      </c>
      <c r="P3126" s="92"/>
    </row>
    <row r="3127" spans="1:16" x14ac:dyDescent="0.25">
      <c r="A3127" s="32">
        <v>14</v>
      </c>
      <c r="B3127" s="33">
        <v>437811.10856199998</v>
      </c>
      <c r="C3127" s="33">
        <v>5688393.3324180003</v>
      </c>
      <c r="D3127" s="48">
        <v>22</v>
      </c>
      <c r="E3127" s="48" t="s">
        <v>24</v>
      </c>
      <c r="F3127" s="48">
        <v>2022</v>
      </c>
      <c r="G3127" s="48" t="s">
        <v>18</v>
      </c>
      <c r="H3127" s="48" t="s">
        <v>18</v>
      </c>
      <c r="I3127" s="48" t="s">
        <v>18</v>
      </c>
      <c r="J3127" s="48" t="s">
        <v>18</v>
      </c>
      <c r="K3127" s="48" t="s">
        <v>18</v>
      </c>
      <c r="L3127" s="48" t="s">
        <v>18</v>
      </c>
      <c r="M3127" s="48" t="s">
        <v>18</v>
      </c>
      <c r="N3127" s="48" t="s">
        <v>18</v>
      </c>
      <c r="O3127" s="48" t="s">
        <v>18</v>
      </c>
      <c r="P3127" s="103" t="s">
        <v>89</v>
      </c>
    </row>
    <row r="3128" spans="1:16" x14ac:dyDescent="0.25">
      <c r="A3128" s="29">
        <v>15</v>
      </c>
      <c r="B3128" s="30">
        <v>437930.10856199998</v>
      </c>
      <c r="C3128" s="30">
        <v>5688393.3324180003</v>
      </c>
      <c r="D3128" s="30">
        <v>22</v>
      </c>
      <c r="E3128" s="30" t="s">
        <v>24</v>
      </c>
      <c r="F3128" s="46">
        <v>2022</v>
      </c>
      <c r="G3128" s="47">
        <v>2.4225075000000006E-2</v>
      </c>
      <c r="H3128" s="47">
        <f t="shared" si="354"/>
        <v>7.0952068254307903E-3</v>
      </c>
      <c r="I3128" s="47">
        <v>9.3597525000000001E-2</v>
      </c>
      <c r="J3128" s="47">
        <f t="shared" si="355"/>
        <v>4.4258127098825366E-2</v>
      </c>
      <c r="K3128" s="47">
        <v>3.3637275000000001E-2</v>
      </c>
      <c r="L3128" s="47">
        <f t="shared" si="356"/>
        <v>1.4773277378205107E-2</v>
      </c>
      <c r="M3128" s="47">
        <f t="shared" si="357"/>
        <v>-7.6780705527743172E-3</v>
      </c>
      <c r="N3128" s="47">
        <v>3.7577924999999998E-2</v>
      </c>
      <c r="O3128" s="47">
        <f t="shared" si="358"/>
        <v>1.6744634973171892E-2</v>
      </c>
      <c r="P3128" s="92"/>
    </row>
    <row r="3129" spans="1:16" x14ac:dyDescent="0.25">
      <c r="A3129" s="29">
        <v>16</v>
      </c>
      <c r="B3129" s="30">
        <v>438049.10856199998</v>
      </c>
      <c r="C3129" s="30">
        <v>5688393.3324180003</v>
      </c>
      <c r="D3129" s="30">
        <v>22</v>
      </c>
      <c r="E3129" s="30" t="s">
        <v>24</v>
      </c>
      <c r="F3129" s="46">
        <v>2022</v>
      </c>
      <c r="G3129" s="47">
        <v>3.767715E-2</v>
      </c>
      <c r="H3129" s="47">
        <f t="shared" si="354"/>
        <v>1.1035143207720911E-2</v>
      </c>
      <c r="I3129" s="47">
        <v>0</v>
      </c>
      <c r="J3129" s="47">
        <f t="shared" si="355"/>
        <v>0</v>
      </c>
      <c r="K3129" s="47">
        <v>2.7768825000000004E-2</v>
      </c>
      <c r="L3129" s="47">
        <f t="shared" si="356"/>
        <v>1.2195891438644673E-2</v>
      </c>
      <c r="M3129" s="47">
        <f t="shared" si="357"/>
        <v>-1.1607482309237624E-3</v>
      </c>
      <c r="N3129" s="47">
        <v>4.0072724999999997E-2</v>
      </c>
      <c r="O3129" s="47">
        <f t="shared" si="358"/>
        <v>1.7856311983838906E-2</v>
      </c>
      <c r="P3129" s="92"/>
    </row>
    <row r="3130" spans="1:16" x14ac:dyDescent="0.25">
      <c r="A3130" s="29">
        <v>17</v>
      </c>
      <c r="B3130" s="30">
        <v>438168.10856199998</v>
      </c>
      <c r="C3130" s="30">
        <v>5688393.3324180003</v>
      </c>
      <c r="D3130" s="30">
        <v>22</v>
      </c>
      <c r="E3130" s="30" t="s">
        <v>24</v>
      </c>
      <c r="F3130" s="46">
        <v>2022</v>
      </c>
      <c r="G3130" s="47">
        <v>4.0115250000000005E-2</v>
      </c>
      <c r="H3130" s="47">
        <f t="shared" si="354"/>
        <v>1.1749230729063273E-2</v>
      </c>
      <c r="I3130" s="47">
        <v>0.14513782500000003</v>
      </c>
      <c r="J3130" s="47">
        <f t="shared" si="355"/>
        <v>6.8629253879278054E-2</v>
      </c>
      <c r="K3130" s="47">
        <v>1.4841225E-2</v>
      </c>
      <c r="L3130" s="47">
        <f t="shared" si="356"/>
        <v>6.5181716877289282E-3</v>
      </c>
      <c r="M3130" s="47">
        <f t="shared" si="357"/>
        <v>5.2310590413343445E-3</v>
      </c>
      <c r="N3130" s="47">
        <v>2.5359075000000002E-2</v>
      </c>
      <c r="O3130" s="47">
        <f t="shared" si="358"/>
        <v>1.1299944159564134E-2</v>
      </c>
      <c r="P3130" s="92"/>
    </row>
    <row r="3131" spans="1:16" x14ac:dyDescent="0.25">
      <c r="A3131" s="29">
        <v>18</v>
      </c>
      <c r="B3131" s="30">
        <v>438287.10856199998</v>
      </c>
      <c r="C3131" s="30">
        <v>5688393.3324180003</v>
      </c>
      <c r="D3131" s="30">
        <v>22</v>
      </c>
      <c r="E3131" s="30" t="s">
        <v>24</v>
      </c>
      <c r="F3131" s="46">
        <v>2022</v>
      </c>
      <c r="G3131" s="47">
        <v>2.6691525000000001E-2</v>
      </c>
      <c r="H3131" s="47">
        <f t="shared" si="354"/>
        <v>7.8175976900445726E-3</v>
      </c>
      <c r="I3131" s="47">
        <v>0</v>
      </c>
      <c r="J3131" s="47">
        <f t="shared" si="355"/>
        <v>0</v>
      </c>
      <c r="K3131" s="47">
        <v>4.6040400000000002E-2</v>
      </c>
      <c r="L3131" s="47">
        <f t="shared" si="356"/>
        <v>2.0220651042735016E-2</v>
      </c>
      <c r="M3131" s="47">
        <f t="shared" si="357"/>
        <v>-1.2403053352690444E-2</v>
      </c>
      <c r="N3131" s="47">
        <v>0</v>
      </c>
      <c r="O3131" s="47">
        <f t="shared" si="358"/>
        <v>0</v>
      </c>
      <c r="P3131" s="92"/>
    </row>
    <row r="3132" spans="1:16" x14ac:dyDescent="0.25">
      <c r="A3132" s="29">
        <v>19</v>
      </c>
      <c r="B3132" s="30">
        <v>438406.10856199998</v>
      </c>
      <c r="C3132" s="30">
        <v>5688393.3324180003</v>
      </c>
      <c r="D3132" s="30">
        <v>22</v>
      </c>
      <c r="E3132" s="30" t="s">
        <v>24</v>
      </c>
      <c r="F3132" s="46">
        <v>2022</v>
      </c>
      <c r="G3132" s="47">
        <v>2.2708350000000002E-2</v>
      </c>
      <c r="H3132" s="47">
        <f t="shared" si="354"/>
        <v>6.6509779604096691E-3</v>
      </c>
      <c r="I3132" s="47">
        <v>0</v>
      </c>
      <c r="J3132" s="47">
        <f t="shared" si="355"/>
        <v>0</v>
      </c>
      <c r="K3132" s="47">
        <v>1.4656950000000002E-2</v>
      </c>
      <c r="L3132" s="47">
        <f t="shared" si="356"/>
        <v>6.4372392789987711E-3</v>
      </c>
      <c r="M3132" s="47">
        <f t="shared" si="357"/>
        <v>2.1373868141089797E-4</v>
      </c>
      <c r="N3132" s="47">
        <v>0</v>
      </c>
      <c r="O3132" s="47">
        <f t="shared" si="358"/>
        <v>0</v>
      </c>
      <c r="P3132" s="92"/>
    </row>
    <row r="3133" spans="1:16" x14ac:dyDescent="0.25">
      <c r="A3133" s="42">
        <v>20</v>
      </c>
      <c r="B3133" s="43">
        <v>437335.10856199998</v>
      </c>
      <c r="C3133" s="43">
        <v>5688512.3324180003</v>
      </c>
      <c r="D3133" s="44">
        <v>22</v>
      </c>
      <c r="E3133" s="44" t="s">
        <v>24</v>
      </c>
      <c r="F3133" s="44">
        <v>2022</v>
      </c>
      <c r="G3133" s="44" t="s">
        <v>18</v>
      </c>
      <c r="H3133" s="44" t="s">
        <v>18</v>
      </c>
      <c r="I3133" s="44" t="s">
        <v>18</v>
      </c>
      <c r="J3133" s="44" t="s">
        <v>18</v>
      </c>
      <c r="K3133" s="44" t="s">
        <v>18</v>
      </c>
      <c r="L3133" s="44" t="s">
        <v>18</v>
      </c>
      <c r="M3133" s="44" t="s">
        <v>18</v>
      </c>
      <c r="N3133" s="44" t="s">
        <v>18</v>
      </c>
      <c r="O3133" s="44" t="s">
        <v>18</v>
      </c>
      <c r="P3133" s="102" t="s">
        <v>109</v>
      </c>
    </row>
    <row r="3134" spans="1:16" x14ac:dyDescent="0.25">
      <c r="A3134" s="29">
        <v>21</v>
      </c>
      <c r="B3134" s="30">
        <v>437454.10856199998</v>
      </c>
      <c r="C3134" s="30">
        <v>5688512.3324180003</v>
      </c>
      <c r="D3134" s="30">
        <v>22</v>
      </c>
      <c r="E3134" s="30" t="s">
        <v>24</v>
      </c>
      <c r="F3134" s="46">
        <v>2022</v>
      </c>
      <c r="G3134" s="47">
        <v>6.6480749999999998E-3</v>
      </c>
      <c r="H3134" s="47">
        <f t="shared" si="354"/>
        <v>1.9471339971486481E-3</v>
      </c>
      <c r="I3134" s="47">
        <v>5.4290250000000005E-3</v>
      </c>
      <c r="J3134" s="47">
        <f t="shared" si="355"/>
        <v>2.5671456427154497E-3</v>
      </c>
      <c r="K3134" s="47">
        <v>5.6841750000000005E-3</v>
      </c>
      <c r="L3134" s="47">
        <f t="shared" si="356"/>
        <v>2.4964535308302773E-3</v>
      </c>
      <c r="M3134" s="47">
        <f t="shared" si="357"/>
        <v>-5.4931953368162921E-4</v>
      </c>
      <c r="N3134" s="47">
        <v>3.0802275E-2</v>
      </c>
      <c r="O3134" s="47">
        <f t="shared" si="358"/>
        <v>1.3725421273746709E-2</v>
      </c>
      <c r="P3134" s="92"/>
    </row>
    <row r="3135" spans="1:16" x14ac:dyDescent="0.25">
      <c r="A3135" s="29">
        <v>22</v>
      </c>
      <c r="B3135" s="30">
        <v>437573.10856199998</v>
      </c>
      <c r="C3135" s="30">
        <v>5688512.3324180003</v>
      </c>
      <c r="D3135" s="30">
        <v>22</v>
      </c>
      <c r="E3135" s="30" t="s">
        <v>24</v>
      </c>
      <c r="F3135" s="46">
        <v>2022</v>
      </c>
      <c r="G3135" s="72" t="s">
        <v>18</v>
      </c>
      <c r="H3135" s="72" t="s">
        <v>18</v>
      </c>
      <c r="I3135" s="72" t="s">
        <v>18</v>
      </c>
      <c r="J3135" s="72" t="s">
        <v>18</v>
      </c>
      <c r="K3135" s="47">
        <v>6.5729474999999996E-2</v>
      </c>
      <c r="L3135" s="47">
        <f t="shared" si="356"/>
        <v>2.8867967637057346E-2</v>
      </c>
      <c r="M3135" s="72" t="s">
        <v>18</v>
      </c>
      <c r="N3135" s="47">
        <v>2.7825525000000004E-2</v>
      </c>
      <c r="O3135" s="47">
        <f t="shared" si="358"/>
        <v>1.2398988476928115E-2</v>
      </c>
      <c r="P3135" s="92" t="s">
        <v>93</v>
      </c>
    </row>
    <row r="3136" spans="1:16" x14ac:dyDescent="0.25">
      <c r="A3136" s="29">
        <v>23</v>
      </c>
      <c r="B3136" s="30">
        <v>437692.10856199998</v>
      </c>
      <c r="C3136" s="30">
        <v>5688512.3324180003</v>
      </c>
      <c r="D3136" s="30">
        <v>22</v>
      </c>
      <c r="E3136" s="30" t="s">
        <v>24</v>
      </c>
      <c r="F3136" s="46">
        <v>2022</v>
      </c>
      <c r="G3136" s="47">
        <v>6.3475650000000008E-2</v>
      </c>
      <c r="H3136" s="47">
        <f t="shared" si="354"/>
        <v>1.8591185584715668E-2</v>
      </c>
      <c r="I3136" s="47">
        <v>2.5018875000000003E-2</v>
      </c>
      <c r="J3136" s="47">
        <f t="shared" si="355"/>
        <v>1.1830318692931512E-2</v>
      </c>
      <c r="K3136" s="47">
        <v>1.5408224999999999E-2</v>
      </c>
      <c r="L3136" s="47">
        <f t="shared" si="356"/>
        <v>6.7671944838217238E-3</v>
      </c>
      <c r="M3136" s="47">
        <f t="shared" si="357"/>
        <v>1.1823991100893945E-2</v>
      </c>
      <c r="N3136" s="47">
        <v>3.4544474999999998E-2</v>
      </c>
      <c r="O3136" s="47">
        <f t="shared" si="358"/>
        <v>1.5392936789747227E-2</v>
      </c>
      <c r="P3136" s="92"/>
    </row>
    <row r="3137" spans="1:16" x14ac:dyDescent="0.25">
      <c r="A3137" s="29">
        <v>24</v>
      </c>
      <c r="B3137" s="30">
        <v>437811.10856199998</v>
      </c>
      <c r="C3137" s="30">
        <v>5688512.3324180003</v>
      </c>
      <c r="D3137" s="30">
        <v>22</v>
      </c>
      <c r="E3137" s="30" t="s">
        <v>24</v>
      </c>
      <c r="F3137" s="46">
        <v>2022</v>
      </c>
      <c r="G3137" s="47">
        <v>4.9017150000000009E-2</v>
      </c>
      <c r="H3137" s="47">
        <f t="shared" si="354"/>
        <v>1.4356480516290036E-2</v>
      </c>
      <c r="I3137" s="47">
        <v>7.3710000000000008E-3</v>
      </c>
      <c r="J3137" s="47">
        <f t="shared" si="355"/>
        <v>3.4854196715718901E-3</v>
      </c>
      <c r="K3137" s="47">
        <v>0.11742570000000002</v>
      </c>
      <c r="L3137" s="47">
        <f t="shared" si="356"/>
        <v>5.157262107081801E-2</v>
      </c>
      <c r="M3137" s="47">
        <f t="shared" si="357"/>
        <v>-3.7216140554527974E-2</v>
      </c>
      <c r="N3137" s="47">
        <v>1.261575E-3</v>
      </c>
      <c r="O3137" s="47">
        <f t="shared" si="358"/>
        <v>5.6215485198502391E-4</v>
      </c>
      <c r="P3137" s="92"/>
    </row>
    <row r="3138" spans="1:16" x14ac:dyDescent="0.25">
      <c r="A3138" s="29">
        <v>25</v>
      </c>
      <c r="B3138" s="46">
        <v>437995</v>
      </c>
      <c r="C3138" s="46">
        <v>5688493</v>
      </c>
      <c r="D3138" s="30">
        <v>21</v>
      </c>
      <c r="E3138" s="30" t="s">
        <v>24</v>
      </c>
      <c r="F3138" s="46">
        <v>2022</v>
      </c>
      <c r="G3138" s="47">
        <v>4.7642175000000009E-2</v>
      </c>
      <c r="H3138" s="47">
        <f>G3138*0.268480343363024</f>
        <v>1.2790987502561281E-2</v>
      </c>
      <c r="I3138" s="47">
        <v>0</v>
      </c>
      <c r="J3138" s="47">
        <f>I3138*0.474828375286041</f>
        <v>0</v>
      </c>
      <c r="K3138" s="47">
        <v>1.5124725E-2</v>
      </c>
      <c r="L3138" s="47">
        <f>K3138*0.350776333058254</f>
        <v>5.3053955740145009E-3</v>
      </c>
      <c r="M3138" s="47">
        <f t="shared" si="357"/>
        <v>7.48559192854678E-3</v>
      </c>
      <c r="N3138" s="47">
        <v>0</v>
      </c>
      <c r="O3138" s="47">
        <f>N3138*0.553299492385787</f>
        <v>0</v>
      </c>
      <c r="P3138" s="92"/>
    </row>
    <row r="3139" spans="1:16" x14ac:dyDescent="0.25">
      <c r="A3139" s="29">
        <v>26</v>
      </c>
      <c r="B3139" s="46">
        <v>438112</v>
      </c>
      <c r="C3139" s="46">
        <v>5688567</v>
      </c>
      <c r="D3139" s="30">
        <v>21</v>
      </c>
      <c r="E3139" s="30" t="s">
        <v>24</v>
      </c>
      <c r="F3139" s="46">
        <v>2022</v>
      </c>
      <c r="G3139" s="47">
        <v>3.1766175000000001E-2</v>
      </c>
      <c r="H3139" s="47">
        <f>G3139*0.268480343363024</f>
        <v>8.5285935713299097E-3</v>
      </c>
      <c r="I3139" s="47">
        <v>0</v>
      </c>
      <c r="J3139" s="47">
        <f>I3139*0.474828375286041</f>
        <v>0</v>
      </c>
      <c r="K3139" s="47">
        <v>1.4387624999999999E-2</v>
      </c>
      <c r="L3139" s="47">
        <f>K3139*0.350776333058254</f>
        <v>5.046838338917262E-3</v>
      </c>
      <c r="M3139" s="47">
        <f t="shared" si="357"/>
        <v>3.4817552324126477E-3</v>
      </c>
      <c r="N3139" s="47">
        <v>0</v>
      </c>
      <c r="O3139" s="47">
        <f>N3139*0.553299492385787</f>
        <v>0</v>
      </c>
      <c r="P3139" s="92"/>
    </row>
    <row r="3140" spans="1:16" x14ac:dyDescent="0.25">
      <c r="A3140" s="32">
        <v>27</v>
      </c>
      <c r="B3140" s="33">
        <v>438168.10856199998</v>
      </c>
      <c r="C3140" s="33">
        <v>5688512.3324180003</v>
      </c>
      <c r="D3140" s="48">
        <v>22</v>
      </c>
      <c r="E3140" s="48" t="s">
        <v>24</v>
      </c>
      <c r="F3140" s="48">
        <v>2022</v>
      </c>
      <c r="G3140" s="48" t="s">
        <v>18</v>
      </c>
      <c r="H3140" s="48" t="s">
        <v>18</v>
      </c>
      <c r="I3140" s="48" t="s">
        <v>18</v>
      </c>
      <c r="J3140" s="48" t="s">
        <v>18</v>
      </c>
      <c r="K3140" s="48" t="s">
        <v>18</v>
      </c>
      <c r="L3140" s="48" t="s">
        <v>18</v>
      </c>
      <c r="M3140" s="48" t="s">
        <v>18</v>
      </c>
      <c r="N3140" s="48" t="s">
        <v>18</v>
      </c>
      <c r="O3140" s="48" t="s">
        <v>18</v>
      </c>
      <c r="P3140" s="103" t="s">
        <v>89</v>
      </c>
    </row>
    <row r="3141" spans="1:16" x14ac:dyDescent="0.25">
      <c r="A3141" s="32">
        <v>28</v>
      </c>
      <c r="B3141" s="33">
        <v>438287.10856199998</v>
      </c>
      <c r="C3141" s="33">
        <v>5688512.3324180003</v>
      </c>
      <c r="D3141" s="48">
        <v>22</v>
      </c>
      <c r="E3141" s="48" t="s">
        <v>24</v>
      </c>
      <c r="F3141" s="48">
        <v>2022</v>
      </c>
      <c r="G3141" s="48" t="s">
        <v>18</v>
      </c>
      <c r="H3141" s="48" t="s">
        <v>18</v>
      </c>
      <c r="I3141" s="48" t="s">
        <v>18</v>
      </c>
      <c r="J3141" s="48" t="s">
        <v>18</v>
      </c>
      <c r="K3141" s="48" t="s">
        <v>18</v>
      </c>
      <c r="L3141" s="48" t="s">
        <v>18</v>
      </c>
      <c r="M3141" s="48" t="s">
        <v>18</v>
      </c>
      <c r="N3141" s="48" t="s">
        <v>18</v>
      </c>
      <c r="O3141" s="48" t="s">
        <v>18</v>
      </c>
      <c r="P3141" s="103" t="s">
        <v>89</v>
      </c>
    </row>
    <row r="3142" spans="1:16" x14ac:dyDescent="0.25">
      <c r="A3142" s="29">
        <v>29</v>
      </c>
      <c r="B3142" s="30">
        <v>438381</v>
      </c>
      <c r="C3142" s="30">
        <v>5688526</v>
      </c>
      <c r="D3142" s="30">
        <v>21</v>
      </c>
      <c r="E3142" s="30" t="s">
        <v>24</v>
      </c>
      <c r="F3142" s="46">
        <v>2022</v>
      </c>
      <c r="G3142" s="71">
        <v>3.9959324999999997E-2</v>
      </c>
      <c r="H3142" s="47">
        <f>G3142*0.268480343363024</f>
        <v>1.0728293296554668E-2</v>
      </c>
      <c r="I3142" s="47">
        <v>1.1609325E-2</v>
      </c>
      <c r="J3142" s="47">
        <f>I3142*0.474828375286041</f>
        <v>5.5124369279176176E-3</v>
      </c>
      <c r="K3142" s="47">
        <v>1.6202025000000002E-2</v>
      </c>
      <c r="L3142" s="47">
        <f>K3142*0.350776333058254</f>
        <v>5.6832869176181586E-3</v>
      </c>
      <c r="M3142" s="47">
        <f t="shared" si="357"/>
        <v>5.0450063789365092E-3</v>
      </c>
      <c r="N3142" s="47">
        <v>0</v>
      </c>
      <c r="O3142" s="47">
        <f>N3142*0.553299492385787</f>
        <v>0</v>
      </c>
      <c r="P3142" s="92"/>
    </row>
    <row r="3143" spans="1:16" x14ac:dyDescent="0.25">
      <c r="A3143" s="29">
        <v>30</v>
      </c>
      <c r="B3143" s="30">
        <v>438525.10856199998</v>
      </c>
      <c r="C3143" s="30">
        <v>5688512.3324180003</v>
      </c>
      <c r="D3143" s="30">
        <v>21</v>
      </c>
      <c r="E3143" s="30" t="s">
        <v>24</v>
      </c>
      <c r="F3143" s="46">
        <v>2022</v>
      </c>
      <c r="G3143" s="47">
        <v>1.6258725000000002E-2</v>
      </c>
      <c r="H3143" s="47">
        <f>G3143*0.268480343363024</f>
        <v>4.365148070644983E-3</v>
      </c>
      <c r="I3143" s="47">
        <v>0</v>
      </c>
      <c r="J3143" s="47">
        <f>I3143*0.474828375286041</f>
        <v>0</v>
      </c>
      <c r="K3143" s="47">
        <v>1.2743325E-2</v>
      </c>
      <c r="L3143" s="47">
        <f>K3143*0.350776333058254</f>
        <v>4.4700568144695743E-3</v>
      </c>
      <c r="M3143" s="47">
        <f t="shared" si="357"/>
        <v>-1.0490874382459124E-4</v>
      </c>
      <c r="N3143" s="47">
        <v>0</v>
      </c>
      <c r="O3143" s="47">
        <f>N3143*0.553299492385787</f>
        <v>0</v>
      </c>
      <c r="P3143" s="92"/>
    </row>
    <row r="3144" spans="1:16" x14ac:dyDescent="0.25">
      <c r="A3144" s="29">
        <v>31</v>
      </c>
      <c r="B3144" s="30">
        <v>437335.10856199998</v>
      </c>
      <c r="C3144" s="30">
        <v>5688631.3324180003</v>
      </c>
      <c r="D3144" s="30">
        <v>22</v>
      </c>
      <c r="E3144" s="30" t="s">
        <v>24</v>
      </c>
      <c r="F3144" s="46">
        <v>2022</v>
      </c>
      <c r="G3144" s="47">
        <v>5.0222025000000003E-2</v>
      </c>
      <c r="H3144" s="47">
        <f t="shared" si="354"/>
        <v>1.4709372605325503E-2</v>
      </c>
      <c r="I3144" s="47">
        <v>0</v>
      </c>
      <c r="J3144" s="47">
        <f t="shared" si="355"/>
        <v>0</v>
      </c>
      <c r="K3144" s="47">
        <v>1.4869574999999999E-2</v>
      </c>
      <c r="L3144" s="47">
        <f t="shared" si="356"/>
        <v>6.5306228275335684E-3</v>
      </c>
      <c r="M3144" s="47">
        <f t="shared" si="357"/>
        <v>8.1787497777919341E-3</v>
      </c>
      <c r="N3144" s="47">
        <v>0</v>
      </c>
      <c r="O3144" s="47">
        <f t="shared" si="358"/>
        <v>0</v>
      </c>
      <c r="P3144" s="92"/>
    </row>
    <row r="3145" spans="1:16" x14ac:dyDescent="0.25">
      <c r="A3145" s="29">
        <v>32</v>
      </c>
      <c r="B3145" s="30">
        <v>437454.10856199998</v>
      </c>
      <c r="C3145" s="30">
        <v>5688631.3324180003</v>
      </c>
      <c r="D3145" s="30">
        <v>22</v>
      </c>
      <c r="E3145" s="30" t="s">
        <v>24</v>
      </c>
      <c r="F3145" s="46">
        <v>2022</v>
      </c>
      <c r="G3145" s="47">
        <v>2.4012450000000001E-2</v>
      </c>
      <c r="H3145" s="47">
        <f t="shared" si="354"/>
        <v>7.0329317508951179E-3</v>
      </c>
      <c r="I3145" s="47">
        <v>0</v>
      </c>
      <c r="J3145" s="47">
        <f t="shared" si="355"/>
        <v>0</v>
      </c>
      <c r="K3145" s="47">
        <v>2.1716100000000002E-2</v>
      </c>
      <c r="L3145" s="47">
        <f t="shared" si="356"/>
        <v>9.5375730903540772E-3</v>
      </c>
      <c r="M3145" s="47">
        <f t="shared" si="357"/>
        <v>-2.5046413394589594E-3</v>
      </c>
      <c r="N3145" s="47">
        <v>7.059150000000001E-3</v>
      </c>
      <c r="O3145" s="47">
        <f t="shared" si="358"/>
        <v>3.1455406324555277E-3</v>
      </c>
      <c r="P3145" s="92"/>
    </row>
    <row r="3146" spans="1:16" x14ac:dyDescent="0.25">
      <c r="A3146" s="29">
        <v>33</v>
      </c>
      <c r="B3146" s="30">
        <v>437573.10856199998</v>
      </c>
      <c r="C3146" s="30">
        <v>5688631.3324180003</v>
      </c>
      <c r="D3146" s="30">
        <v>22</v>
      </c>
      <c r="E3146" s="30" t="s">
        <v>24</v>
      </c>
      <c r="F3146" s="46">
        <v>2022</v>
      </c>
      <c r="G3146" s="47">
        <v>2.7598725000000001E-2</v>
      </c>
      <c r="H3146" s="47">
        <f t="shared" si="354"/>
        <v>8.0833046747301029E-3</v>
      </c>
      <c r="I3146" s="47">
        <v>0</v>
      </c>
      <c r="J3146" s="47">
        <f t="shared" si="355"/>
        <v>0</v>
      </c>
      <c r="K3146" s="47">
        <v>8.4057750000000007E-3</v>
      </c>
      <c r="L3146" s="47">
        <f t="shared" si="356"/>
        <v>3.6917629520756973E-3</v>
      </c>
      <c r="M3146" s="47">
        <f t="shared" si="357"/>
        <v>4.3915417226544056E-3</v>
      </c>
      <c r="N3146" s="47">
        <v>0</v>
      </c>
      <c r="O3146" s="47">
        <f t="shared" si="358"/>
        <v>0</v>
      </c>
      <c r="P3146" s="92"/>
    </row>
    <row r="3147" spans="1:16" x14ac:dyDescent="0.25">
      <c r="A3147" s="29">
        <v>34</v>
      </c>
      <c r="B3147" s="30">
        <v>437692.10856199998</v>
      </c>
      <c r="C3147" s="30">
        <v>5688631.3324180003</v>
      </c>
      <c r="D3147" s="30">
        <v>22</v>
      </c>
      <c r="E3147" s="30" t="s">
        <v>24</v>
      </c>
      <c r="F3147" s="46">
        <v>2022</v>
      </c>
      <c r="G3147" s="47">
        <v>2.423925E-2</v>
      </c>
      <c r="H3147" s="47">
        <f t="shared" si="354"/>
        <v>7.0993584970665E-3</v>
      </c>
      <c r="I3147" s="47">
        <v>2.5089750000000001E-2</v>
      </c>
      <c r="J3147" s="47">
        <f t="shared" si="355"/>
        <v>1.1863832343619702E-2</v>
      </c>
      <c r="K3147" s="47">
        <v>1.5833475E-2</v>
      </c>
      <c r="L3147" s="47">
        <f t="shared" si="356"/>
        <v>6.953961580891321E-3</v>
      </c>
      <c r="M3147" s="47">
        <f t="shared" si="357"/>
        <v>1.4539691617517902E-4</v>
      </c>
      <c r="N3147" s="47">
        <v>8.0797500000000006E-4</v>
      </c>
      <c r="O3147" s="47">
        <f t="shared" si="358"/>
        <v>3.6003175913647603E-4</v>
      </c>
      <c r="P3147" s="92"/>
    </row>
    <row r="3148" spans="1:16" x14ac:dyDescent="0.25">
      <c r="A3148" s="29">
        <v>35</v>
      </c>
      <c r="B3148" s="30">
        <v>437893</v>
      </c>
      <c r="C3148" s="30">
        <v>5688620</v>
      </c>
      <c r="D3148" s="30">
        <v>22</v>
      </c>
      <c r="E3148" s="30" t="s">
        <v>24</v>
      </c>
      <c r="F3148" s="46">
        <v>2022</v>
      </c>
      <c r="G3148" s="47">
        <v>1.3338674999999999E-2</v>
      </c>
      <c r="H3148" s="47">
        <f t="shared" si="354"/>
        <v>3.9067230092044306E-3</v>
      </c>
      <c r="I3148" s="47">
        <v>0</v>
      </c>
      <c r="J3148" s="47">
        <f t="shared" si="355"/>
        <v>0</v>
      </c>
      <c r="K3148" s="47">
        <v>2.5330725000000002E-2</v>
      </c>
      <c r="L3148" s="47">
        <f t="shared" si="356"/>
        <v>1.1125093415445651E-2</v>
      </c>
      <c r="M3148" s="47">
        <f>H3148-L3148</f>
        <v>-7.2183704062412203E-3</v>
      </c>
      <c r="N3148" s="47">
        <v>0</v>
      </c>
      <c r="O3148" s="47">
        <f t="shared" si="358"/>
        <v>0</v>
      </c>
      <c r="P3148" s="92"/>
    </row>
    <row r="3149" spans="1:16" x14ac:dyDescent="0.25">
      <c r="A3149" s="29">
        <v>36</v>
      </c>
      <c r="B3149" s="30">
        <v>437930.10856199998</v>
      </c>
      <c r="C3149" s="30">
        <v>5688631.3324180003</v>
      </c>
      <c r="D3149" s="30">
        <v>22</v>
      </c>
      <c r="E3149" s="30" t="s">
        <v>24</v>
      </c>
      <c r="F3149" s="46">
        <v>2022</v>
      </c>
      <c r="G3149" s="72" t="s">
        <v>18</v>
      </c>
      <c r="H3149" s="72" t="s">
        <v>18</v>
      </c>
      <c r="I3149" s="72" t="s">
        <v>18</v>
      </c>
      <c r="J3149" s="72" t="s">
        <v>18</v>
      </c>
      <c r="K3149" s="47">
        <v>0.11318737500000002</v>
      </c>
      <c r="L3149" s="47">
        <f t="shared" si="356"/>
        <v>4.9711175670024359E-2</v>
      </c>
      <c r="M3149" s="72" t="s">
        <v>18</v>
      </c>
      <c r="N3149" s="47">
        <v>2.8350000000000004E-6</v>
      </c>
      <c r="O3149" s="47">
        <f t="shared" si="358"/>
        <v>1.2632693303034247E-6</v>
      </c>
      <c r="P3149" s="92" t="s">
        <v>93</v>
      </c>
    </row>
    <row r="3150" spans="1:16" x14ac:dyDescent="0.25">
      <c r="A3150" s="32">
        <v>37</v>
      </c>
      <c r="B3150" s="33">
        <v>438049.10856199998</v>
      </c>
      <c r="C3150" s="33">
        <v>5688631.3324180003</v>
      </c>
      <c r="D3150" s="48">
        <v>22</v>
      </c>
      <c r="E3150" s="48" t="s">
        <v>24</v>
      </c>
      <c r="F3150" s="48">
        <v>2022</v>
      </c>
      <c r="G3150" s="48" t="s">
        <v>18</v>
      </c>
      <c r="H3150" s="48" t="s">
        <v>18</v>
      </c>
      <c r="I3150" s="48" t="s">
        <v>18</v>
      </c>
      <c r="J3150" s="48" t="s">
        <v>18</v>
      </c>
      <c r="K3150" s="48" t="s">
        <v>18</v>
      </c>
      <c r="L3150" s="48" t="s">
        <v>18</v>
      </c>
      <c r="M3150" s="48" t="s">
        <v>18</v>
      </c>
      <c r="N3150" s="48" t="s">
        <v>18</v>
      </c>
      <c r="O3150" s="48" t="s">
        <v>18</v>
      </c>
      <c r="P3150" s="103" t="s">
        <v>89</v>
      </c>
    </row>
    <row r="3151" spans="1:16" x14ac:dyDescent="0.25">
      <c r="A3151" s="29">
        <v>38</v>
      </c>
      <c r="B3151" s="30">
        <v>438067</v>
      </c>
      <c r="C3151" s="30">
        <v>5688710</v>
      </c>
      <c r="D3151" s="30">
        <v>21</v>
      </c>
      <c r="E3151" s="30" t="s">
        <v>24</v>
      </c>
      <c r="F3151" s="46">
        <v>2022</v>
      </c>
      <c r="G3151" s="47">
        <v>6.1207650000000002E-2</v>
      </c>
      <c r="H3151" s="47">
        <f>G3151*0.268480343363024</f>
        <v>1.6433050888443799E-2</v>
      </c>
      <c r="I3151" s="47">
        <v>0</v>
      </c>
      <c r="J3151" s="47">
        <f>I3151*0.474828375286041</f>
        <v>0</v>
      </c>
      <c r="K3151" s="47">
        <v>9.5539500000000003E-3</v>
      </c>
      <c r="L3151" s="47">
        <f>K3151*0.350776333058254</f>
        <v>3.3512995472219061E-3</v>
      </c>
      <c r="M3151" s="47">
        <f t="shared" si="357"/>
        <v>1.3081751341221894E-2</v>
      </c>
      <c r="N3151" s="47">
        <v>0</v>
      </c>
      <c r="O3151" s="47">
        <f>N3151*0.553299492385787</f>
        <v>0</v>
      </c>
      <c r="P3151" s="92"/>
    </row>
    <row r="3152" spans="1:16" x14ac:dyDescent="0.25">
      <c r="A3152" s="32">
        <v>39</v>
      </c>
      <c r="B3152" s="33">
        <v>438287.10856199998</v>
      </c>
      <c r="C3152" s="33">
        <v>5688631.3324180003</v>
      </c>
      <c r="D3152" s="48">
        <v>22</v>
      </c>
      <c r="E3152" s="48" t="s">
        <v>24</v>
      </c>
      <c r="F3152" s="48">
        <v>2022</v>
      </c>
      <c r="G3152" s="48" t="s">
        <v>18</v>
      </c>
      <c r="H3152" s="48" t="s">
        <v>18</v>
      </c>
      <c r="I3152" s="48" t="s">
        <v>18</v>
      </c>
      <c r="J3152" s="48" t="s">
        <v>18</v>
      </c>
      <c r="K3152" s="48" t="s">
        <v>18</v>
      </c>
      <c r="L3152" s="48" t="s">
        <v>18</v>
      </c>
      <c r="M3152" s="48" t="s">
        <v>18</v>
      </c>
      <c r="N3152" s="48" t="s">
        <v>18</v>
      </c>
      <c r="O3152" s="48" t="s">
        <v>18</v>
      </c>
      <c r="P3152" s="94" t="s">
        <v>22</v>
      </c>
    </row>
    <row r="3153" spans="1:16" x14ac:dyDescent="0.25">
      <c r="A3153" s="89">
        <v>40</v>
      </c>
      <c r="B3153" s="90">
        <v>438406.10856199998</v>
      </c>
      <c r="C3153" s="90">
        <v>5688631.3324180003</v>
      </c>
      <c r="D3153" s="90">
        <v>22</v>
      </c>
      <c r="E3153" s="90" t="s">
        <v>24</v>
      </c>
      <c r="F3153" s="90">
        <v>2022</v>
      </c>
      <c r="G3153" s="90" t="s">
        <v>18</v>
      </c>
      <c r="H3153" s="90" t="s">
        <v>18</v>
      </c>
      <c r="I3153" s="90" t="s">
        <v>18</v>
      </c>
      <c r="J3153" s="90" t="s">
        <v>18</v>
      </c>
      <c r="K3153" s="90" t="s">
        <v>18</v>
      </c>
      <c r="L3153" s="90" t="s">
        <v>18</v>
      </c>
      <c r="M3153" s="90" t="s">
        <v>18</v>
      </c>
      <c r="N3153" s="90" t="s">
        <v>18</v>
      </c>
      <c r="O3153" s="90" t="s">
        <v>18</v>
      </c>
      <c r="P3153" s="113" t="s">
        <v>174</v>
      </c>
    </row>
    <row r="3154" spans="1:16" x14ac:dyDescent="0.25">
      <c r="A3154" s="29">
        <v>41</v>
      </c>
      <c r="B3154" s="30">
        <v>437310</v>
      </c>
      <c r="C3154" s="30">
        <v>5688729</v>
      </c>
      <c r="D3154" s="30">
        <v>22</v>
      </c>
      <c r="E3154" s="30" t="s">
        <v>24</v>
      </c>
      <c r="F3154" s="46">
        <v>2022</v>
      </c>
      <c r="G3154" s="47">
        <v>6.8394375000000007E-2</v>
      </c>
      <c r="H3154" s="47">
        <f t="shared" si="354"/>
        <v>2.0031815642307525E-2</v>
      </c>
      <c r="I3154" s="47">
        <v>1.3267800000000001E-2</v>
      </c>
      <c r="J3154" s="47">
        <f t="shared" si="355"/>
        <v>6.2737554088294024E-3</v>
      </c>
      <c r="K3154" s="47">
        <v>6.1505325000000007E-2</v>
      </c>
      <c r="L3154" s="47">
        <f t="shared" si="356"/>
        <v>2.701274780616602E-2</v>
      </c>
      <c r="M3154" s="47">
        <f t="shared" si="357"/>
        <v>-6.9809321638584949E-3</v>
      </c>
      <c r="N3154" s="47">
        <v>5.2447500000000005E-4</v>
      </c>
      <c r="O3154" s="47">
        <f t="shared" si="358"/>
        <v>2.3370482610613358E-4</v>
      </c>
      <c r="P3154" s="92"/>
    </row>
    <row r="3155" spans="1:16" x14ac:dyDescent="0.25">
      <c r="A3155" s="29">
        <v>42</v>
      </c>
      <c r="B3155" s="30">
        <v>437454.10856199998</v>
      </c>
      <c r="C3155" s="30">
        <v>5688750.3324180003</v>
      </c>
      <c r="D3155" s="30">
        <v>22</v>
      </c>
      <c r="E3155" s="30" t="s">
        <v>24</v>
      </c>
      <c r="F3155" s="46">
        <v>2022</v>
      </c>
      <c r="G3155" s="47">
        <v>2.4777900000000002E-2</v>
      </c>
      <c r="H3155" s="47">
        <f t="shared" si="354"/>
        <v>7.2571220192235338E-3</v>
      </c>
      <c r="I3155" s="47">
        <v>1.6046100000000001E-2</v>
      </c>
      <c r="J3155" s="47">
        <f t="shared" si="355"/>
        <v>7.5874905158064988E-3</v>
      </c>
      <c r="K3155" s="47">
        <v>1.3891500000000001E-2</v>
      </c>
      <c r="L3155" s="47">
        <f t="shared" si="356"/>
        <v>6.1010585042734957E-3</v>
      </c>
      <c r="M3155" s="47">
        <f t="shared" si="357"/>
        <v>1.156063514950038E-3</v>
      </c>
      <c r="N3155" s="47">
        <v>2.6847449999999998E-2</v>
      </c>
      <c r="O3155" s="47">
        <f t="shared" si="358"/>
        <v>1.196316055797343E-2</v>
      </c>
      <c r="P3155" s="92"/>
    </row>
    <row r="3156" spans="1:16" x14ac:dyDescent="0.25">
      <c r="A3156" s="29">
        <v>43</v>
      </c>
      <c r="B3156" s="30">
        <v>437573.10856199998</v>
      </c>
      <c r="C3156" s="30">
        <v>5688750.3324180003</v>
      </c>
      <c r="D3156" s="30">
        <v>22</v>
      </c>
      <c r="E3156" s="30" t="s">
        <v>24</v>
      </c>
      <c r="F3156" s="46">
        <v>2022</v>
      </c>
      <c r="G3156" s="47">
        <v>3.1581900000000003E-2</v>
      </c>
      <c r="H3156" s="47">
        <f t="shared" si="354"/>
        <v>9.2499244043650081E-3</v>
      </c>
      <c r="I3156" s="47">
        <v>1.27575E-3</v>
      </c>
      <c r="J3156" s="47">
        <f t="shared" si="355"/>
        <v>6.0324571238744241E-4</v>
      </c>
      <c r="K3156" s="47">
        <v>5.8117500000000002E-2</v>
      </c>
      <c r="L3156" s="47">
        <f t="shared" si="356"/>
        <v>2.5524836599511564E-2</v>
      </c>
      <c r="M3156" s="47">
        <f t="shared" si="357"/>
        <v>-1.6274912195146554E-2</v>
      </c>
      <c r="N3156" s="47">
        <v>8.7885000000000012E-3</v>
      </c>
      <c r="O3156" s="47">
        <f t="shared" si="358"/>
        <v>3.9161349239406167E-3</v>
      </c>
      <c r="P3156" s="92"/>
    </row>
    <row r="3157" spans="1:16" x14ac:dyDescent="0.25">
      <c r="A3157" s="29">
        <v>44</v>
      </c>
      <c r="B3157" s="30">
        <v>437692.10856199998</v>
      </c>
      <c r="C3157" s="30">
        <v>5688750.3324180003</v>
      </c>
      <c r="D3157" s="30">
        <v>21</v>
      </c>
      <c r="E3157" s="30" t="s">
        <v>24</v>
      </c>
      <c r="F3157" s="46">
        <v>2022</v>
      </c>
      <c r="G3157" s="47">
        <v>4.1036625E-2</v>
      </c>
      <c r="H3157" s="47">
        <f>G3157*0.268480343363024</f>
        <v>1.1017527170459656E-2</v>
      </c>
      <c r="I3157" s="47">
        <v>0</v>
      </c>
      <c r="J3157" s="47">
        <f>I3157*0.474828375286041</f>
        <v>0</v>
      </c>
      <c r="K3157" s="47">
        <v>3.6146250000000002E-3</v>
      </c>
      <c r="L3157" s="47">
        <f>K3157*0.350776333058254</f>
        <v>1.2679249028806916E-3</v>
      </c>
      <c r="M3157" s="47">
        <f t="shared" si="357"/>
        <v>9.7496022675789638E-3</v>
      </c>
      <c r="N3157" s="47">
        <v>0</v>
      </c>
      <c r="O3157" s="47">
        <f>N3157*0.553299492385787</f>
        <v>0</v>
      </c>
      <c r="P3157" s="92"/>
    </row>
    <row r="3158" spans="1:16" x14ac:dyDescent="0.25">
      <c r="A3158" s="29">
        <v>45</v>
      </c>
      <c r="B3158" s="30">
        <v>437811.10856199998</v>
      </c>
      <c r="C3158" s="30">
        <v>5688750.3324180003</v>
      </c>
      <c r="D3158" s="30">
        <v>21</v>
      </c>
      <c r="E3158" s="30" t="s">
        <v>24</v>
      </c>
      <c r="F3158" s="46">
        <v>2022</v>
      </c>
      <c r="G3158" s="47">
        <v>2.6252100000000004E-2</v>
      </c>
      <c r="H3158" s="47">
        <f>G3158*0.268480343363024</f>
        <v>7.0481728220004435E-3</v>
      </c>
      <c r="I3158" s="47">
        <v>1.3863150000000001E-2</v>
      </c>
      <c r="J3158" s="47">
        <f>I3158*0.474828375286041</f>
        <v>6.5826169908466793E-3</v>
      </c>
      <c r="K3158" s="47">
        <v>1.2105450000000002E-2</v>
      </c>
      <c r="L3158" s="47">
        <f>K3158*0.350776333058254</f>
        <v>4.2463053610200417E-3</v>
      </c>
      <c r="M3158" s="47">
        <f t="shared" si="357"/>
        <v>2.8018674609804018E-3</v>
      </c>
      <c r="N3158" s="47">
        <v>1.4430150000000001E-2</v>
      </c>
      <c r="O3158" s="47">
        <f>N3158*0.553299492385787</f>
        <v>7.9841946700507649E-3</v>
      </c>
      <c r="P3158" s="92"/>
    </row>
    <row r="3159" spans="1:16" x14ac:dyDescent="0.25">
      <c r="A3159" s="65">
        <v>46</v>
      </c>
      <c r="B3159" s="66">
        <v>437930.10856199998</v>
      </c>
      <c r="C3159" s="66">
        <v>5688750.3324180003</v>
      </c>
      <c r="D3159" s="66">
        <v>22</v>
      </c>
      <c r="E3159" s="66" t="s">
        <v>24</v>
      </c>
      <c r="F3159" s="66">
        <v>2022</v>
      </c>
      <c r="G3159" s="66" t="s">
        <v>18</v>
      </c>
      <c r="H3159" s="66" t="s">
        <v>18</v>
      </c>
      <c r="I3159" s="66" t="s">
        <v>18</v>
      </c>
      <c r="J3159" s="66" t="s">
        <v>18</v>
      </c>
      <c r="K3159" s="66" t="s">
        <v>18</v>
      </c>
      <c r="L3159" s="66" t="s">
        <v>18</v>
      </c>
      <c r="M3159" s="66" t="s">
        <v>18</v>
      </c>
      <c r="N3159" s="66" t="s">
        <v>18</v>
      </c>
      <c r="O3159" s="66" t="s">
        <v>18</v>
      </c>
      <c r="P3159" s="105" t="s">
        <v>166</v>
      </c>
    </row>
    <row r="3160" spans="1:16" x14ac:dyDescent="0.25">
      <c r="A3160" s="29">
        <v>47</v>
      </c>
      <c r="B3160" s="30">
        <v>438061</v>
      </c>
      <c r="C3160" s="30">
        <v>5688779</v>
      </c>
      <c r="D3160" s="30">
        <v>21</v>
      </c>
      <c r="E3160" s="30" t="s">
        <v>24</v>
      </c>
      <c r="F3160" s="46">
        <v>2022</v>
      </c>
      <c r="G3160" s="47">
        <v>5.1511950000000001E-2</v>
      </c>
      <c r="H3160" s="47">
        <f>G3160*0.268480343363024</f>
        <v>1.3829946023298925E-2</v>
      </c>
      <c r="I3160" s="47">
        <v>0</v>
      </c>
      <c r="J3160" s="47">
        <f>I3160*0.474828375286041</f>
        <v>0</v>
      </c>
      <c r="K3160" s="47">
        <v>2.3530499999999999E-2</v>
      </c>
      <c r="L3160" s="47">
        <f>K3160*0.350776333058254</f>
        <v>8.2539425050272459E-3</v>
      </c>
      <c r="M3160" s="47">
        <f t="shared" si="357"/>
        <v>5.5760035182716786E-3</v>
      </c>
      <c r="N3160" s="47">
        <v>0</v>
      </c>
      <c r="O3160" s="47">
        <f>N3160*0.553299492385787</f>
        <v>0</v>
      </c>
      <c r="P3160" s="92"/>
    </row>
    <row r="3161" spans="1:16" x14ac:dyDescent="0.25">
      <c r="A3161" s="32">
        <v>48</v>
      </c>
      <c r="B3161" s="33">
        <v>438168.10856199998</v>
      </c>
      <c r="C3161" s="33">
        <v>5688750.3324180003</v>
      </c>
      <c r="D3161" s="48">
        <v>22</v>
      </c>
      <c r="E3161" s="48" t="s">
        <v>24</v>
      </c>
      <c r="F3161" s="48">
        <v>2022</v>
      </c>
      <c r="G3161" s="48" t="s">
        <v>18</v>
      </c>
      <c r="H3161" s="48" t="s">
        <v>18</v>
      </c>
      <c r="I3161" s="48" t="s">
        <v>18</v>
      </c>
      <c r="J3161" s="48" t="s">
        <v>18</v>
      </c>
      <c r="K3161" s="48" t="s">
        <v>18</v>
      </c>
      <c r="L3161" s="48" t="s">
        <v>18</v>
      </c>
      <c r="M3161" s="48" t="s">
        <v>18</v>
      </c>
      <c r="N3161" s="48" t="s">
        <v>18</v>
      </c>
      <c r="O3161" s="48" t="s">
        <v>18</v>
      </c>
      <c r="P3161" s="103" t="s">
        <v>89</v>
      </c>
    </row>
    <row r="3162" spans="1:16" x14ac:dyDescent="0.25">
      <c r="A3162" s="89">
        <v>49</v>
      </c>
      <c r="B3162" s="90">
        <v>437454.10856199998</v>
      </c>
      <c r="C3162" s="90">
        <v>5688869.3324180003</v>
      </c>
      <c r="D3162" s="90">
        <v>22</v>
      </c>
      <c r="E3162" s="90" t="s">
        <v>24</v>
      </c>
      <c r="F3162" s="90">
        <v>2022</v>
      </c>
      <c r="G3162" s="90" t="s">
        <v>18</v>
      </c>
      <c r="H3162" s="90" t="s">
        <v>18</v>
      </c>
      <c r="I3162" s="90" t="s">
        <v>18</v>
      </c>
      <c r="J3162" s="90" t="s">
        <v>18</v>
      </c>
      <c r="K3162" s="90" t="s">
        <v>18</v>
      </c>
      <c r="L3162" s="90" t="s">
        <v>18</v>
      </c>
      <c r="M3162" s="90" t="s">
        <v>18</v>
      </c>
      <c r="N3162" s="90" t="s">
        <v>18</v>
      </c>
      <c r="O3162" s="90" t="s">
        <v>18</v>
      </c>
      <c r="P3162" s="113" t="s">
        <v>174</v>
      </c>
    </row>
    <row r="3163" spans="1:16" x14ac:dyDescent="0.25">
      <c r="A3163" s="29">
        <v>50</v>
      </c>
      <c r="B3163" s="30">
        <v>437811.10856199998</v>
      </c>
      <c r="C3163" s="30">
        <v>5688869.3324180003</v>
      </c>
      <c r="D3163" s="30">
        <v>21</v>
      </c>
      <c r="E3163" s="30" t="s">
        <v>24</v>
      </c>
      <c r="F3163" s="46">
        <v>2022</v>
      </c>
      <c r="G3163" s="47">
        <v>4.07106E-2</v>
      </c>
      <c r="H3163" s="47">
        <f>G3163*0.268480343363024</f>
        <v>1.0929995866514726E-2</v>
      </c>
      <c r="I3163" s="47">
        <v>0</v>
      </c>
      <c r="J3163" s="47">
        <f>I3163*0.474828375286041</f>
        <v>0</v>
      </c>
      <c r="K3163" s="47">
        <v>2.2736700000000002E-2</v>
      </c>
      <c r="L3163" s="47">
        <f>K3163*0.350776333058254</f>
        <v>7.9754962518456055E-3</v>
      </c>
      <c r="M3163" s="47">
        <f t="shared" si="357"/>
        <v>2.9544996146691205E-3</v>
      </c>
      <c r="N3163" s="47">
        <v>0</v>
      </c>
      <c r="O3163" s="47">
        <f>N3163*0.553299492385787</f>
        <v>0</v>
      </c>
      <c r="P3163" s="92"/>
    </row>
    <row r="3164" spans="1:16" x14ac:dyDescent="0.25">
      <c r="A3164" s="29">
        <v>51</v>
      </c>
      <c r="B3164" s="30">
        <v>437930.10856199998</v>
      </c>
      <c r="C3164" s="30">
        <v>5688869.3324180003</v>
      </c>
      <c r="D3164" s="30">
        <v>21</v>
      </c>
      <c r="E3164" s="30" t="s">
        <v>24</v>
      </c>
      <c r="F3164" s="46">
        <v>2022</v>
      </c>
      <c r="G3164" s="47">
        <v>1.5535800000000002E-2</v>
      </c>
      <c r="H3164" s="47">
        <f>G3164*0.268480343363024</f>
        <v>4.1710569184192688E-3</v>
      </c>
      <c r="I3164" s="47">
        <v>0</v>
      </c>
      <c r="J3164" s="47">
        <f>I3164*0.474828375286041</f>
        <v>0</v>
      </c>
      <c r="K3164" s="47">
        <v>1.029105E-2</v>
      </c>
      <c r="L3164" s="47">
        <f>K3164*0.350776333058254</f>
        <v>3.6098567823191446E-3</v>
      </c>
      <c r="M3164" s="47">
        <f t="shared" si="357"/>
        <v>5.6120013610012421E-4</v>
      </c>
      <c r="N3164" s="47">
        <v>0</v>
      </c>
      <c r="O3164" s="47">
        <f>N3164*0.553299492385787</f>
        <v>0</v>
      </c>
      <c r="P3164" s="92"/>
    </row>
    <row r="3165" spans="1:16" x14ac:dyDescent="0.25">
      <c r="A3165" s="65">
        <v>52</v>
      </c>
      <c r="B3165" s="66">
        <v>438049.10856199998</v>
      </c>
      <c r="C3165" s="66">
        <v>5688869.3324180003</v>
      </c>
      <c r="D3165" s="66">
        <v>22</v>
      </c>
      <c r="E3165" s="66" t="s">
        <v>24</v>
      </c>
      <c r="F3165" s="66">
        <v>2022</v>
      </c>
      <c r="G3165" s="66" t="s">
        <v>18</v>
      </c>
      <c r="H3165" s="66" t="s">
        <v>18</v>
      </c>
      <c r="I3165" s="66" t="s">
        <v>18</v>
      </c>
      <c r="J3165" s="66" t="s">
        <v>18</v>
      </c>
      <c r="K3165" s="66" t="s">
        <v>18</v>
      </c>
      <c r="L3165" s="66" t="s">
        <v>18</v>
      </c>
      <c r="M3165" s="66" t="s">
        <v>18</v>
      </c>
      <c r="N3165" s="66" t="s">
        <v>18</v>
      </c>
      <c r="O3165" s="66" t="s">
        <v>18</v>
      </c>
      <c r="P3165" s="105" t="s">
        <v>166</v>
      </c>
    </row>
    <row r="3166" spans="1:16" x14ac:dyDescent="0.25">
      <c r="A3166" s="89">
        <v>53</v>
      </c>
      <c r="B3166" s="90">
        <v>438287.10856199998</v>
      </c>
      <c r="C3166" s="90">
        <v>5688869.3324180003</v>
      </c>
      <c r="D3166" s="90">
        <v>22</v>
      </c>
      <c r="E3166" s="90" t="s">
        <v>24</v>
      </c>
      <c r="F3166" s="90">
        <v>2022</v>
      </c>
      <c r="G3166" s="90" t="s">
        <v>18</v>
      </c>
      <c r="H3166" s="90" t="s">
        <v>18</v>
      </c>
      <c r="I3166" s="90" t="s">
        <v>18</v>
      </c>
      <c r="J3166" s="90" t="s">
        <v>18</v>
      </c>
      <c r="K3166" s="90" t="s">
        <v>18</v>
      </c>
      <c r="L3166" s="90" t="s">
        <v>18</v>
      </c>
      <c r="M3166" s="90" t="s">
        <v>18</v>
      </c>
      <c r="N3166" s="90" t="s">
        <v>18</v>
      </c>
      <c r="O3166" s="90" t="s">
        <v>18</v>
      </c>
      <c r="P3166" s="113" t="s">
        <v>174</v>
      </c>
    </row>
    <row r="3167" spans="1:16" x14ac:dyDescent="0.25">
      <c r="A3167" s="89">
        <v>54</v>
      </c>
      <c r="B3167" s="90">
        <v>437454.10856199998</v>
      </c>
      <c r="C3167" s="90">
        <v>5688988.3324180003</v>
      </c>
      <c r="D3167" s="90">
        <v>22</v>
      </c>
      <c r="E3167" s="90" t="s">
        <v>24</v>
      </c>
      <c r="F3167" s="90">
        <v>2022</v>
      </c>
      <c r="G3167" s="90" t="s">
        <v>18</v>
      </c>
      <c r="H3167" s="90" t="s">
        <v>18</v>
      </c>
      <c r="I3167" s="90" t="s">
        <v>18</v>
      </c>
      <c r="J3167" s="90" t="s">
        <v>18</v>
      </c>
      <c r="K3167" s="90" t="s">
        <v>18</v>
      </c>
      <c r="L3167" s="90" t="s">
        <v>18</v>
      </c>
      <c r="M3167" s="90" t="s">
        <v>18</v>
      </c>
      <c r="N3167" s="90" t="s">
        <v>18</v>
      </c>
      <c r="O3167" s="90" t="s">
        <v>18</v>
      </c>
      <c r="P3167" s="113" t="s">
        <v>174</v>
      </c>
    </row>
    <row r="3168" spans="1:16" x14ac:dyDescent="0.25">
      <c r="A3168" s="89">
        <v>55</v>
      </c>
      <c r="B3168" s="90">
        <v>438049.10856199998</v>
      </c>
      <c r="C3168" s="90">
        <v>5688988.3324180003</v>
      </c>
      <c r="D3168" s="90">
        <v>22</v>
      </c>
      <c r="E3168" s="90" t="s">
        <v>24</v>
      </c>
      <c r="F3168" s="90">
        <v>2022</v>
      </c>
      <c r="G3168" s="90" t="s">
        <v>18</v>
      </c>
      <c r="H3168" s="90" t="s">
        <v>18</v>
      </c>
      <c r="I3168" s="90" t="s">
        <v>18</v>
      </c>
      <c r="J3168" s="90" t="s">
        <v>18</v>
      </c>
      <c r="K3168" s="90" t="s">
        <v>18</v>
      </c>
      <c r="L3168" s="90" t="s">
        <v>18</v>
      </c>
      <c r="M3168" s="90" t="s">
        <v>18</v>
      </c>
      <c r="N3168" s="90" t="s">
        <v>18</v>
      </c>
      <c r="O3168" s="90" t="s">
        <v>18</v>
      </c>
      <c r="P3168" s="113" t="s">
        <v>174</v>
      </c>
    </row>
    <row r="3169" spans="1:19" x14ac:dyDescent="0.25">
      <c r="A3169" s="29">
        <v>56</v>
      </c>
      <c r="B3169" s="30">
        <v>438168.10856199998</v>
      </c>
      <c r="C3169" s="30">
        <v>5688988.3324180003</v>
      </c>
      <c r="D3169" s="30">
        <v>21</v>
      </c>
      <c r="E3169" s="30" t="s">
        <v>24</v>
      </c>
      <c r="F3169" s="46">
        <v>2022</v>
      </c>
      <c r="G3169" s="47">
        <v>3.7705500000000006E-3</v>
      </c>
      <c r="H3169" s="47">
        <f>G3169*0.268480343363024</f>
        <v>1.0123185586674503E-3</v>
      </c>
      <c r="I3169" s="47">
        <v>0</v>
      </c>
      <c r="J3169" s="47">
        <f>I3169*0.474828375286041</f>
        <v>0</v>
      </c>
      <c r="K3169" s="47">
        <v>9.9225000000000029E-4</v>
      </c>
      <c r="L3169" s="47">
        <f>K3169*0.350776333058254</f>
        <v>3.4805781647705267E-4</v>
      </c>
      <c r="M3169" s="47">
        <f t="shared" si="357"/>
        <v>6.6426074219039764E-4</v>
      </c>
      <c r="N3169" s="47">
        <v>0</v>
      </c>
      <c r="O3169" s="47">
        <f>N3169*0.553299492385787</f>
        <v>0</v>
      </c>
      <c r="P3169" s="92"/>
    </row>
    <row r="3170" spans="1:19" x14ac:dyDescent="0.25">
      <c r="A3170" s="40">
        <v>57</v>
      </c>
      <c r="B3170" s="41">
        <v>438146</v>
      </c>
      <c r="C3170" s="41">
        <v>5688977</v>
      </c>
      <c r="D3170" s="41">
        <v>21</v>
      </c>
      <c r="E3170" s="41" t="s">
        <v>24</v>
      </c>
      <c r="F3170" s="50">
        <v>2022</v>
      </c>
      <c r="G3170" s="51">
        <v>3.6925875000000004E-2</v>
      </c>
      <c r="H3170" s="51">
        <f>G3170*0.268480343363024</f>
        <v>9.9138715989801045E-3</v>
      </c>
      <c r="I3170" s="51">
        <v>0</v>
      </c>
      <c r="J3170" s="51">
        <f>I3170*0.474828375286041</f>
        <v>0</v>
      </c>
      <c r="K3170" s="51">
        <v>6.2370000000000004E-3</v>
      </c>
      <c r="L3170" s="51">
        <f>K3170*0.350776333058254</f>
        <v>2.1877919892843304E-3</v>
      </c>
      <c r="M3170" s="51">
        <f t="shared" si="357"/>
        <v>7.7260796096957742E-3</v>
      </c>
      <c r="N3170" s="51">
        <v>0</v>
      </c>
      <c r="O3170" s="51">
        <f>N3170*0.553299492385787</f>
        <v>0</v>
      </c>
      <c r="P3170" s="101"/>
    </row>
    <row r="3171" spans="1:19" x14ac:dyDescent="0.25">
      <c r="A3171" s="40">
        <v>58</v>
      </c>
      <c r="B3171" s="41">
        <v>438131</v>
      </c>
      <c r="C3171" s="41">
        <v>5688972</v>
      </c>
      <c r="D3171" s="41">
        <v>21</v>
      </c>
      <c r="E3171" s="41" t="s">
        <v>24</v>
      </c>
      <c r="F3171" s="50">
        <v>2022</v>
      </c>
      <c r="G3171" s="51">
        <v>6.1150950000000003E-2</v>
      </c>
      <c r="H3171" s="51">
        <f>G3171*0.268480343363024</f>
        <v>1.6417828052975113E-2</v>
      </c>
      <c r="I3171" s="51">
        <v>0</v>
      </c>
      <c r="J3171" s="51">
        <f>I3171*0.474828375286041</f>
        <v>0</v>
      </c>
      <c r="K3171" s="51">
        <v>8.5191750000000004E-3</v>
      </c>
      <c r="L3171" s="51">
        <f>K3171*0.350776333058254</f>
        <v>2.9883249671815511E-3</v>
      </c>
      <c r="M3171" s="51">
        <f t="shared" si="357"/>
        <v>1.3429503085793562E-2</v>
      </c>
      <c r="N3171" s="51">
        <v>0</v>
      </c>
      <c r="O3171" s="51">
        <f>N3171*0.553299492385787</f>
        <v>0</v>
      </c>
      <c r="P3171" s="101"/>
    </row>
    <row r="3172" spans="1:19" x14ac:dyDescent="0.25">
      <c r="A3172" s="40">
        <v>59</v>
      </c>
      <c r="B3172" s="41">
        <v>438089</v>
      </c>
      <c r="C3172" s="41">
        <v>5688713</v>
      </c>
      <c r="D3172" s="41">
        <v>22</v>
      </c>
      <c r="E3172" s="41" t="s">
        <v>24</v>
      </c>
      <c r="F3172" s="50">
        <v>2022</v>
      </c>
      <c r="G3172" s="51">
        <v>5.806080000000001E-2</v>
      </c>
      <c r="H3172" s="51">
        <f t="shared" si="354"/>
        <v>1.7005247019873913E-2</v>
      </c>
      <c r="I3172" s="51">
        <v>0</v>
      </c>
      <c r="J3172" s="51">
        <f t="shared" si="355"/>
        <v>0</v>
      </c>
      <c r="K3172" s="51">
        <v>4.1561100000000004E-2</v>
      </c>
      <c r="L3172" s="51">
        <f t="shared" si="356"/>
        <v>1.8253370953601928E-2</v>
      </c>
      <c r="M3172" s="51">
        <f t="shared" si="357"/>
        <v>-1.2481239337280153E-3</v>
      </c>
      <c r="N3172" s="51">
        <v>0</v>
      </c>
      <c r="O3172" s="51">
        <f t="shared" si="358"/>
        <v>0</v>
      </c>
      <c r="P3172" s="101"/>
    </row>
    <row r="3173" spans="1:19" x14ac:dyDescent="0.25">
      <c r="A3173" s="40">
        <v>60</v>
      </c>
      <c r="B3173" s="41">
        <v>438099</v>
      </c>
      <c r="C3173" s="41">
        <v>5688719</v>
      </c>
      <c r="D3173" s="41">
        <v>22</v>
      </c>
      <c r="E3173" s="41" t="s">
        <v>24</v>
      </c>
      <c r="F3173" s="50">
        <v>2022</v>
      </c>
      <c r="G3173" s="51">
        <v>4.0242825000000003E-2</v>
      </c>
      <c r="H3173" s="51">
        <f t="shared" si="354"/>
        <v>1.1786595773784676E-2</v>
      </c>
      <c r="I3173" s="51">
        <v>0</v>
      </c>
      <c r="J3173" s="51">
        <f t="shared" si="355"/>
        <v>0</v>
      </c>
      <c r="K3173" s="51">
        <v>2.0256075000000002E-2</v>
      </c>
      <c r="L3173" s="51">
        <f t="shared" si="356"/>
        <v>8.8963393904151287E-3</v>
      </c>
      <c r="M3173" s="51">
        <f t="shared" si="357"/>
        <v>2.8902563833695469E-3</v>
      </c>
      <c r="N3173" s="51">
        <v>0</v>
      </c>
      <c r="O3173" s="51">
        <f t="shared" si="358"/>
        <v>0</v>
      </c>
      <c r="P3173" s="101"/>
    </row>
    <row r="3174" spans="1:19" x14ac:dyDescent="0.25">
      <c r="A3174" s="42">
        <v>1</v>
      </c>
      <c r="B3174" s="43">
        <v>437930.10856199998</v>
      </c>
      <c r="C3174" s="43">
        <v>5688036.3324180003</v>
      </c>
      <c r="D3174" s="44">
        <v>8</v>
      </c>
      <c r="E3174" s="44" t="s">
        <v>99</v>
      </c>
      <c r="F3174" s="44">
        <v>2022</v>
      </c>
      <c r="G3174" s="44" t="s">
        <v>18</v>
      </c>
      <c r="H3174" s="44" t="s">
        <v>18</v>
      </c>
      <c r="I3174" s="44" t="s">
        <v>18</v>
      </c>
      <c r="J3174" s="44" t="s">
        <v>18</v>
      </c>
      <c r="K3174" s="44" t="s">
        <v>18</v>
      </c>
      <c r="L3174" s="44" t="s">
        <v>18</v>
      </c>
      <c r="M3174" s="44" t="s">
        <v>18</v>
      </c>
      <c r="N3174" s="44" t="s">
        <v>18</v>
      </c>
      <c r="O3174" s="44" t="s">
        <v>18</v>
      </c>
      <c r="P3174" s="102" t="s">
        <v>109</v>
      </c>
      <c r="R3174" s="5">
        <f>AVERAGE(M3174:M3233)</f>
        <v>7.4832867787451443E-3</v>
      </c>
      <c r="S3174" s="5">
        <f>AVERAGE(H3174:H3233)</f>
        <v>1.2218490196221621E-2</v>
      </c>
    </row>
    <row r="3175" spans="1:19" x14ac:dyDescent="0.25">
      <c r="A3175" s="42">
        <v>2</v>
      </c>
      <c r="B3175" s="43">
        <v>437811.10856199998</v>
      </c>
      <c r="C3175" s="43">
        <v>5688155.3324180003</v>
      </c>
      <c r="D3175" s="44">
        <v>8</v>
      </c>
      <c r="E3175" s="44" t="s">
        <v>99</v>
      </c>
      <c r="F3175" s="44">
        <v>2022</v>
      </c>
      <c r="G3175" s="44" t="s">
        <v>18</v>
      </c>
      <c r="H3175" s="44" t="s">
        <v>18</v>
      </c>
      <c r="I3175" s="44" t="s">
        <v>18</v>
      </c>
      <c r="J3175" s="44" t="s">
        <v>18</v>
      </c>
      <c r="K3175" s="44" t="s">
        <v>18</v>
      </c>
      <c r="L3175" s="44" t="s">
        <v>18</v>
      </c>
      <c r="M3175" s="44" t="s">
        <v>18</v>
      </c>
      <c r="N3175" s="44" t="s">
        <v>18</v>
      </c>
      <c r="O3175" s="44" t="s">
        <v>18</v>
      </c>
      <c r="P3175" s="102" t="s">
        <v>109</v>
      </c>
    </row>
    <row r="3176" spans="1:19" x14ac:dyDescent="0.25">
      <c r="A3176" s="65">
        <v>3</v>
      </c>
      <c r="B3176" s="66">
        <v>437930.10856199998</v>
      </c>
      <c r="C3176" s="66">
        <v>5688155.3324180003</v>
      </c>
      <c r="D3176" s="66">
        <v>8</v>
      </c>
      <c r="E3176" s="66" t="s">
        <v>99</v>
      </c>
      <c r="F3176" s="66">
        <v>2022</v>
      </c>
      <c r="G3176" s="66" t="s">
        <v>18</v>
      </c>
      <c r="H3176" s="66" t="s">
        <v>18</v>
      </c>
      <c r="I3176" s="66" t="s">
        <v>18</v>
      </c>
      <c r="J3176" s="66" t="s">
        <v>18</v>
      </c>
      <c r="K3176" s="66" t="s">
        <v>18</v>
      </c>
      <c r="L3176" s="66" t="s">
        <v>18</v>
      </c>
      <c r="M3176" s="66" t="s">
        <v>18</v>
      </c>
      <c r="N3176" s="66" t="s">
        <v>18</v>
      </c>
      <c r="O3176" s="66" t="s">
        <v>18</v>
      </c>
      <c r="P3176" s="105" t="s">
        <v>166</v>
      </c>
    </row>
    <row r="3177" spans="1:19" x14ac:dyDescent="0.25">
      <c r="A3177" s="42">
        <v>4</v>
      </c>
      <c r="B3177" s="43">
        <v>438049.10856199998</v>
      </c>
      <c r="C3177" s="43">
        <v>5688155.3324180003</v>
      </c>
      <c r="D3177" s="44">
        <v>8</v>
      </c>
      <c r="E3177" s="44" t="s">
        <v>99</v>
      </c>
      <c r="F3177" s="44">
        <v>2022</v>
      </c>
      <c r="G3177" s="44" t="s">
        <v>18</v>
      </c>
      <c r="H3177" s="44" t="s">
        <v>18</v>
      </c>
      <c r="I3177" s="44" t="s">
        <v>18</v>
      </c>
      <c r="J3177" s="44" t="s">
        <v>18</v>
      </c>
      <c r="K3177" s="44" t="s">
        <v>18</v>
      </c>
      <c r="L3177" s="44" t="s">
        <v>18</v>
      </c>
      <c r="M3177" s="44" t="s">
        <v>18</v>
      </c>
      <c r="N3177" s="44" t="s">
        <v>18</v>
      </c>
      <c r="O3177" s="44" t="s">
        <v>18</v>
      </c>
      <c r="P3177" s="102" t="s">
        <v>109</v>
      </c>
    </row>
    <row r="3178" spans="1:19" x14ac:dyDescent="0.25">
      <c r="A3178" s="42">
        <v>5</v>
      </c>
      <c r="B3178" s="43">
        <v>437573.10856199998</v>
      </c>
      <c r="C3178" s="43">
        <v>5688274.3324180003</v>
      </c>
      <c r="D3178" s="44">
        <v>8</v>
      </c>
      <c r="E3178" s="44" t="s">
        <v>99</v>
      </c>
      <c r="F3178" s="44">
        <v>2022</v>
      </c>
      <c r="G3178" s="44" t="s">
        <v>18</v>
      </c>
      <c r="H3178" s="44" t="s">
        <v>18</v>
      </c>
      <c r="I3178" s="44" t="s">
        <v>18</v>
      </c>
      <c r="J3178" s="44" t="s">
        <v>18</v>
      </c>
      <c r="K3178" s="44" t="s">
        <v>18</v>
      </c>
      <c r="L3178" s="44" t="s">
        <v>18</v>
      </c>
      <c r="M3178" s="44" t="s">
        <v>18</v>
      </c>
      <c r="N3178" s="44" t="s">
        <v>18</v>
      </c>
      <c r="O3178" s="44" t="s">
        <v>18</v>
      </c>
      <c r="P3178" s="102" t="s">
        <v>109</v>
      </c>
    </row>
    <row r="3179" spans="1:19" x14ac:dyDescent="0.25">
      <c r="A3179" s="89">
        <v>6</v>
      </c>
      <c r="B3179" s="90">
        <v>437692.10856199998</v>
      </c>
      <c r="C3179" s="90">
        <v>5688274.3324180003</v>
      </c>
      <c r="D3179" s="90">
        <v>8</v>
      </c>
      <c r="E3179" s="90" t="s">
        <v>99</v>
      </c>
      <c r="F3179" s="90">
        <v>2022</v>
      </c>
      <c r="G3179" s="90" t="s">
        <v>18</v>
      </c>
      <c r="H3179" s="90" t="s">
        <v>18</v>
      </c>
      <c r="I3179" s="90" t="s">
        <v>18</v>
      </c>
      <c r="J3179" s="90" t="s">
        <v>18</v>
      </c>
      <c r="K3179" s="90" t="s">
        <v>18</v>
      </c>
      <c r="L3179" s="90" t="s">
        <v>18</v>
      </c>
      <c r="M3179" s="90" t="s">
        <v>18</v>
      </c>
      <c r="N3179" s="90" t="s">
        <v>18</v>
      </c>
      <c r="O3179" s="90" t="s">
        <v>18</v>
      </c>
      <c r="P3179" s="113" t="s">
        <v>174</v>
      </c>
    </row>
    <row r="3180" spans="1:19" x14ac:dyDescent="0.25">
      <c r="A3180" s="65">
        <v>7</v>
      </c>
      <c r="B3180" s="66">
        <v>437811.10856199998</v>
      </c>
      <c r="C3180" s="66">
        <v>5688274.3324180003</v>
      </c>
      <c r="D3180" s="66">
        <v>8</v>
      </c>
      <c r="E3180" s="66" t="s">
        <v>99</v>
      </c>
      <c r="F3180" s="66">
        <v>2022</v>
      </c>
      <c r="G3180" s="66" t="s">
        <v>18</v>
      </c>
      <c r="H3180" s="66" t="s">
        <v>18</v>
      </c>
      <c r="I3180" s="66" t="s">
        <v>18</v>
      </c>
      <c r="J3180" s="66" t="s">
        <v>18</v>
      </c>
      <c r="K3180" s="66" t="s">
        <v>18</v>
      </c>
      <c r="L3180" s="66" t="s">
        <v>18</v>
      </c>
      <c r="M3180" s="66" t="s">
        <v>18</v>
      </c>
      <c r="N3180" s="66" t="s">
        <v>18</v>
      </c>
      <c r="O3180" s="66" t="s">
        <v>18</v>
      </c>
      <c r="P3180" s="105" t="s">
        <v>166</v>
      </c>
    </row>
    <row r="3181" spans="1:19" x14ac:dyDescent="0.25">
      <c r="A3181" s="42">
        <v>8</v>
      </c>
      <c r="B3181" s="43">
        <v>437930.10856199998</v>
      </c>
      <c r="C3181" s="43">
        <v>5688274.3324180003</v>
      </c>
      <c r="D3181" s="44">
        <v>8</v>
      </c>
      <c r="E3181" s="44" t="s">
        <v>99</v>
      </c>
      <c r="F3181" s="44">
        <v>2022</v>
      </c>
      <c r="G3181" s="44" t="s">
        <v>18</v>
      </c>
      <c r="H3181" s="44" t="s">
        <v>18</v>
      </c>
      <c r="I3181" s="44" t="s">
        <v>18</v>
      </c>
      <c r="J3181" s="44" t="s">
        <v>18</v>
      </c>
      <c r="K3181" s="44" t="s">
        <v>18</v>
      </c>
      <c r="L3181" s="44" t="s">
        <v>18</v>
      </c>
      <c r="M3181" s="44" t="s">
        <v>18</v>
      </c>
      <c r="N3181" s="44" t="s">
        <v>18</v>
      </c>
      <c r="O3181" s="44" t="s">
        <v>18</v>
      </c>
      <c r="P3181" s="102" t="s">
        <v>109</v>
      </c>
    </row>
    <row r="3182" spans="1:19" x14ac:dyDescent="0.25">
      <c r="A3182" s="89">
        <v>9</v>
      </c>
      <c r="B3182" s="90">
        <v>438287.10856199998</v>
      </c>
      <c r="C3182" s="90">
        <v>5688274.3324180003</v>
      </c>
      <c r="D3182" s="90">
        <v>8</v>
      </c>
      <c r="E3182" s="90" t="s">
        <v>99</v>
      </c>
      <c r="F3182" s="90">
        <v>2022</v>
      </c>
      <c r="G3182" s="90" t="s">
        <v>18</v>
      </c>
      <c r="H3182" s="90" t="s">
        <v>18</v>
      </c>
      <c r="I3182" s="90" t="s">
        <v>18</v>
      </c>
      <c r="J3182" s="90" t="s">
        <v>18</v>
      </c>
      <c r="K3182" s="90" t="s">
        <v>18</v>
      </c>
      <c r="L3182" s="90" t="s">
        <v>18</v>
      </c>
      <c r="M3182" s="90" t="s">
        <v>18</v>
      </c>
      <c r="N3182" s="90" t="s">
        <v>18</v>
      </c>
      <c r="O3182" s="90" t="s">
        <v>18</v>
      </c>
      <c r="P3182" s="113" t="s">
        <v>174</v>
      </c>
    </row>
    <row r="3183" spans="1:19" x14ac:dyDescent="0.25">
      <c r="A3183" s="29">
        <v>10</v>
      </c>
      <c r="B3183" s="30">
        <v>438406.10856199998</v>
      </c>
      <c r="C3183" s="30">
        <v>5688274.3324180003</v>
      </c>
      <c r="D3183" s="30">
        <v>8</v>
      </c>
      <c r="E3183" s="30" t="s">
        <v>99</v>
      </c>
      <c r="F3183" s="46">
        <v>2022</v>
      </c>
      <c r="G3183" s="47">
        <v>4.2765220749999999E-2</v>
      </c>
      <c r="H3183" s="47">
        <f>G3183*0.284533383205921</f>
        <v>1.2168132943545552E-2</v>
      </c>
      <c r="I3183" s="47">
        <v>0</v>
      </c>
      <c r="J3183" s="47">
        <f>I3183*0.551158368476247</f>
        <v>0</v>
      </c>
      <c r="K3183" s="47">
        <v>1.9093388249999999E-2</v>
      </c>
      <c r="L3183" s="47">
        <f>K3183*0.378899037505706</f>
        <v>7.2344664306477563E-3</v>
      </c>
      <c r="M3183" s="47">
        <f>H3183-L3183</f>
        <v>4.933666512897796E-3</v>
      </c>
      <c r="N3183" s="47">
        <v>2.8207752500000001E-3</v>
      </c>
      <c r="O3183" s="47">
        <f>N3183*0.515301090013229</f>
        <v>1.4535485610073385E-3</v>
      </c>
      <c r="P3183" s="92"/>
    </row>
    <row r="3184" spans="1:19" x14ac:dyDescent="0.25">
      <c r="A3184" s="42">
        <v>11</v>
      </c>
      <c r="B3184" s="43">
        <v>437454.10856199998</v>
      </c>
      <c r="C3184" s="43">
        <v>5688393.3324180003</v>
      </c>
      <c r="D3184" s="44">
        <v>8</v>
      </c>
      <c r="E3184" s="44" t="s">
        <v>99</v>
      </c>
      <c r="F3184" s="44">
        <v>2022</v>
      </c>
      <c r="G3184" s="44" t="s">
        <v>18</v>
      </c>
      <c r="H3184" s="44" t="s">
        <v>18</v>
      </c>
      <c r="I3184" s="44" t="s">
        <v>18</v>
      </c>
      <c r="J3184" s="44" t="s">
        <v>18</v>
      </c>
      <c r="K3184" s="44" t="s">
        <v>18</v>
      </c>
      <c r="L3184" s="44" t="s">
        <v>18</v>
      </c>
      <c r="M3184" s="44" t="s">
        <v>18</v>
      </c>
      <c r="N3184" s="44" t="s">
        <v>18</v>
      </c>
      <c r="O3184" s="44" t="s">
        <v>18</v>
      </c>
      <c r="P3184" s="102" t="s">
        <v>109</v>
      </c>
    </row>
    <row r="3185" spans="1:16" x14ac:dyDescent="0.25">
      <c r="A3185" s="29">
        <v>12</v>
      </c>
      <c r="B3185" s="30">
        <v>437573.10856199998</v>
      </c>
      <c r="C3185" s="30">
        <v>5688393.3324180003</v>
      </c>
      <c r="D3185" s="30">
        <v>8</v>
      </c>
      <c r="E3185" s="30" t="s">
        <v>99</v>
      </c>
      <c r="F3185" s="46">
        <v>2022</v>
      </c>
      <c r="G3185" s="47">
        <v>4.6082112249999994E-2</v>
      </c>
      <c r="H3185" s="47">
        <f t="shared" ref="H3185:H3233" si="359">G3185*0.284533383205921</f>
        <v>1.3111899303767514E-2</v>
      </c>
      <c r="I3185" s="47">
        <v>0</v>
      </c>
      <c r="J3185" s="47">
        <f t="shared" ref="J3185:J3233" si="360">I3185*0.551158368476247</f>
        <v>0</v>
      </c>
      <c r="K3185" s="47">
        <v>5.8258222499999995E-3</v>
      </c>
      <c r="L3185" s="47">
        <f t="shared" ref="L3185:L3233" si="361">K3185*0.378899037505706</f>
        <v>2.2073984432043263E-3</v>
      </c>
      <c r="M3185" s="47">
        <f t="shared" ref="M3185:M3233" si="362">H3185-L3185</f>
        <v>1.0904500860563188E-2</v>
      </c>
      <c r="N3185" s="47">
        <v>0</v>
      </c>
      <c r="O3185" s="47">
        <f t="shared" ref="O3185:O3233" si="363">N3185*0.515301090013229</f>
        <v>0</v>
      </c>
      <c r="P3185" s="92"/>
    </row>
    <row r="3186" spans="1:16" x14ac:dyDescent="0.25">
      <c r="A3186" s="29">
        <v>13</v>
      </c>
      <c r="B3186" s="30">
        <v>437692.10856199998</v>
      </c>
      <c r="C3186" s="30">
        <v>5688393.3324180003</v>
      </c>
      <c r="D3186" s="30">
        <v>8</v>
      </c>
      <c r="E3186" s="30" t="s">
        <v>99</v>
      </c>
      <c r="F3186" s="46">
        <v>2022</v>
      </c>
      <c r="G3186" s="47">
        <v>7.0434332749999995E-2</v>
      </c>
      <c r="H3186" s="47">
        <f t="shared" si="359"/>
        <v>2.0040918991209099E-2</v>
      </c>
      <c r="I3186" s="47">
        <v>2.1829114999999998E-3</v>
      </c>
      <c r="J3186" s="47">
        <f t="shared" si="360"/>
        <v>1.203129940868037E-3</v>
      </c>
      <c r="K3186" s="47">
        <v>1.8625621500000002E-2</v>
      </c>
      <c r="L3186" s="47">
        <f t="shared" si="361"/>
        <v>7.0572300592955852E-3</v>
      </c>
      <c r="M3186" s="47">
        <f t="shared" si="362"/>
        <v>1.2983688931913514E-2</v>
      </c>
      <c r="N3186" s="47">
        <v>2.73572675E-3</v>
      </c>
      <c r="O3186" s="47">
        <f t="shared" si="363"/>
        <v>1.4097229762533483E-3</v>
      </c>
      <c r="P3186" s="92"/>
    </row>
    <row r="3187" spans="1:16" x14ac:dyDescent="0.25">
      <c r="A3187" s="32">
        <v>14</v>
      </c>
      <c r="B3187" s="33">
        <v>437811.10856199998</v>
      </c>
      <c r="C3187" s="33">
        <v>5688393.3324180003</v>
      </c>
      <c r="D3187" s="48">
        <v>8</v>
      </c>
      <c r="E3187" s="48" t="s">
        <v>99</v>
      </c>
      <c r="F3187" s="48">
        <v>2022</v>
      </c>
      <c r="G3187" s="48" t="s">
        <v>18</v>
      </c>
      <c r="H3187" s="48" t="s">
        <v>18</v>
      </c>
      <c r="I3187" s="48" t="s">
        <v>18</v>
      </c>
      <c r="J3187" s="48" t="s">
        <v>18</v>
      </c>
      <c r="K3187" s="48" t="s">
        <v>18</v>
      </c>
      <c r="L3187" s="48" t="s">
        <v>18</v>
      </c>
      <c r="M3187" s="48" t="s">
        <v>18</v>
      </c>
      <c r="N3187" s="48" t="s">
        <v>18</v>
      </c>
      <c r="O3187" s="48" t="s">
        <v>18</v>
      </c>
      <c r="P3187" s="103" t="s">
        <v>89</v>
      </c>
    </row>
    <row r="3188" spans="1:16" x14ac:dyDescent="0.25">
      <c r="A3188" s="29">
        <v>15</v>
      </c>
      <c r="B3188" s="30">
        <v>437930.10856199998</v>
      </c>
      <c r="C3188" s="30">
        <v>5688393.3324180003</v>
      </c>
      <c r="D3188" s="30">
        <v>8</v>
      </c>
      <c r="E3188" s="30" t="s">
        <v>99</v>
      </c>
      <c r="F3188" s="46">
        <v>2022</v>
      </c>
      <c r="G3188" s="47">
        <v>2.5613773249999999E-2</v>
      </c>
      <c r="H3188" s="47">
        <f t="shared" si="359"/>
        <v>7.287973559491818E-3</v>
      </c>
      <c r="I3188" s="47">
        <v>9.4545582499999999E-3</v>
      </c>
      <c r="J3188" s="47">
        <f t="shared" si="360"/>
        <v>5.2109588997336408E-3</v>
      </c>
      <c r="K3188" s="47">
        <v>2.5415326749999998E-2</v>
      </c>
      <c r="L3188" s="47">
        <f t="shared" si="361"/>
        <v>9.6298428434680224E-3</v>
      </c>
      <c r="M3188" s="47">
        <f t="shared" si="362"/>
        <v>-2.3418692839762044E-3</v>
      </c>
      <c r="N3188" s="47">
        <v>1.634348675E-2</v>
      </c>
      <c r="O3188" s="47">
        <f t="shared" si="363"/>
        <v>8.4218165368917658E-3</v>
      </c>
      <c r="P3188" s="92"/>
    </row>
    <row r="3189" spans="1:16" x14ac:dyDescent="0.25">
      <c r="A3189" s="29">
        <v>16</v>
      </c>
      <c r="B3189" s="30">
        <v>438049.10856199998</v>
      </c>
      <c r="C3189" s="30">
        <v>5688393.3324180003</v>
      </c>
      <c r="D3189" s="30">
        <v>8</v>
      </c>
      <c r="E3189" s="30" t="s">
        <v>99</v>
      </c>
      <c r="F3189" s="46">
        <v>2022</v>
      </c>
      <c r="G3189" s="47">
        <v>7.285821499999999E-2</v>
      </c>
      <c r="H3189" s="47">
        <f t="shared" si="359"/>
        <v>2.0730594408294375E-2</v>
      </c>
      <c r="I3189" s="47">
        <v>0</v>
      </c>
      <c r="J3189" s="47">
        <f t="shared" si="360"/>
        <v>0</v>
      </c>
      <c r="K3189" s="47">
        <v>2.4210473E-2</v>
      </c>
      <c r="L3189" s="47">
        <f t="shared" si="361"/>
        <v>9.1733249172578826E-3</v>
      </c>
      <c r="M3189" s="47">
        <f t="shared" si="362"/>
        <v>1.1557269491036493E-2</v>
      </c>
      <c r="N3189" s="47">
        <v>0</v>
      </c>
      <c r="O3189" s="47">
        <f t="shared" si="363"/>
        <v>0</v>
      </c>
      <c r="P3189" s="92"/>
    </row>
    <row r="3190" spans="1:16" x14ac:dyDescent="0.25">
      <c r="A3190" s="29">
        <v>17</v>
      </c>
      <c r="B3190" s="30">
        <v>438168.10856199998</v>
      </c>
      <c r="C3190" s="30">
        <v>5688393.3324180003</v>
      </c>
      <c r="D3190" s="30">
        <v>8</v>
      </c>
      <c r="E3190" s="30" t="s">
        <v>99</v>
      </c>
      <c r="F3190" s="46">
        <v>2022</v>
      </c>
      <c r="G3190" s="47">
        <v>3.2233381499999998E-2</v>
      </c>
      <c r="H3190" s="47">
        <f t="shared" si="359"/>
        <v>9.1714730903621425E-3</v>
      </c>
      <c r="I3190" s="47">
        <v>1.2927371999999999E-2</v>
      </c>
      <c r="J3190" s="47">
        <f t="shared" si="360"/>
        <v>7.1250292602055175E-3</v>
      </c>
      <c r="K3190" s="47">
        <v>2.3955327499999998E-2</v>
      </c>
      <c r="L3190" s="47">
        <f t="shared" si="361"/>
        <v>9.0766505328839699E-3</v>
      </c>
      <c r="M3190" s="47">
        <f t="shared" si="362"/>
        <v>9.4822557478172614E-5</v>
      </c>
      <c r="N3190" s="47">
        <v>2.5656297499999999E-3</v>
      </c>
      <c r="O3190" s="47">
        <f t="shared" si="363"/>
        <v>1.3220718067453682E-3</v>
      </c>
      <c r="P3190" s="92"/>
    </row>
    <row r="3191" spans="1:16" x14ac:dyDescent="0.25">
      <c r="A3191" s="29">
        <v>18</v>
      </c>
      <c r="B3191" s="30">
        <v>438287.10856199998</v>
      </c>
      <c r="C3191" s="30">
        <v>5688393.3324180003</v>
      </c>
      <c r="D3191" s="30">
        <v>8</v>
      </c>
      <c r="E3191" s="30" t="s">
        <v>99</v>
      </c>
      <c r="F3191" s="46">
        <v>2022</v>
      </c>
      <c r="G3191" s="47">
        <v>2.9455130499999996E-2</v>
      </c>
      <c r="H3191" s="47">
        <f t="shared" si="359"/>
        <v>8.38096793393691E-3</v>
      </c>
      <c r="I3191" s="47">
        <v>0</v>
      </c>
      <c r="J3191" s="47">
        <f t="shared" si="360"/>
        <v>0</v>
      </c>
      <c r="K3191" s="47">
        <v>1.01207715E-2</v>
      </c>
      <c r="L3191" s="47">
        <f t="shared" si="361"/>
        <v>3.8347505801651807E-3</v>
      </c>
      <c r="M3191" s="47">
        <f t="shared" si="362"/>
        <v>4.5462173537717289E-3</v>
      </c>
      <c r="N3191" s="47">
        <v>0</v>
      </c>
      <c r="O3191" s="47">
        <f t="shared" si="363"/>
        <v>0</v>
      </c>
      <c r="P3191" s="92"/>
    </row>
    <row r="3192" spans="1:16" x14ac:dyDescent="0.25">
      <c r="A3192" s="29">
        <v>19</v>
      </c>
      <c r="B3192" s="30">
        <v>438406.10856199998</v>
      </c>
      <c r="C3192" s="30">
        <v>5688393.3324180003</v>
      </c>
      <c r="D3192" s="30">
        <v>8</v>
      </c>
      <c r="E3192" s="30" t="s">
        <v>99</v>
      </c>
      <c r="F3192" s="46">
        <v>2022</v>
      </c>
      <c r="G3192" s="47">
        <v>1.6953000999999999E-2</v>
      </c>
      <c r="H3192" s="47">
        <f t="shared" si="359"/>
        <v>4.8236947300233611E-3</v>
      </c>
      <c r="I3192" s="47">
        <v>0</v>
      </c>
      <c r="J3192" s="47">
        <f t="shared" si="360"/>
        <v>0</v>
      </c>
      <c r="K3192" s="47">
        <v>4.3374734999999994E-3</v>
      </c>
      <c r="L3192" s="47">
        <f t="shared" si="361"/>
        <v>1.6434645343565057E-3</v>
      </c>
      <c r="M3192" s="47">
        <f t="shared" si="362"/>
        <v>3.1802301956668552E-3</v>
      </c>
      <c r="N3192" s="47">
        <v>0</v>
      </c>
      <c r="O3192" s="47">
        <f t="shared" si="363"/>
        <v>0</v>
      </c>
      <c r="P3192" s="92"/>
    </row>
    <row r="3193" spans="1:16" x14ac:dyDescent="0.25">
      <c r="A3193" s="42">
        <v>20</v>
      </c>
      <c r="B3193" s="43">
        <v>437335.10856199998</v>
      </c>
      <c r="C3193" s="43">
        <v>5688512.3324180003</v>
      </c>
      <c r="D3193" s="44">
        <v>8</v>
      </c>
      <c r="E3193" s="44" t="s">
        <v>99</v>
      </c>
      <c r="F3193" s="44">
        <v>2022</v>
      </c>
      <c r="G3193" s="44" t="s">
        <v>18</v>
      </c>
      <c r="H3193" s="44" t="s">
        <v>18</v>
      </c>
      <c r="I3193" s="44" t="s">
        <v>18</v>
      </c>
      <c r="J3193" s="44" t="s">
        <v>18</v>
      </c>
      <c r="K3193" s="44" t="s">
        <v>18</v>
      </c>
      <c r="L3193" s="44" t="s">
        <v>18</v>
      </c>
      <c r="M3193" s="44" t="s">
        <v>18</v>
      </c>
      <c r="N3193" s="44" t="s">
        <v>18</v>
      </c>
      <c r="O3193" s="44" t="s">
        <v>18</v>
      </c>
      <c r="P3193" s="102" t="s">
        <v>109</v>
      </c>
    </row>
    <row r="3194" spans="1:16" x14ac:dyDescent="0.25">
      <c r="A3194" s="29">
        <v>21</v>
      </c>
      <c r="B3194" s="30">
        <v>437454.10856199998</v>
      </c>
      <c r="C3194" s="30">
        <v>5688512.3324180003</v>
      </c>
      <c r="D3194" s="30">
        <v>8</v>
      </c>
      <c r="E3194" s="30" t="s">
        <v>99</v>
      </c>
      <c r="F3194" s="46">
        <v>2022</v>
      </c>
      <c r="G3194" s="72" t="s">
        <v>18</v>
      </c>
      <c r="H3194" s="46" t="s">
        <v>18</v>
      </c>
      <c r="I3194" s="72" t="s">
        <v>18</v>
      </c>
      <c r="J3194" s="46" t="s">
        <v>18</v>
      </c>
      <c r="K3194" s="47">
        <v>6.2085405E-3</v>
      </c>
      <c r="L3194" s="47">
        <f t="shared" si="361"/>
        <v>2.3524100197651948E-3</v>
      </c>
      <c r="M3194" s="46" t="s">
        <v>18</v>
      </c>
      <c r="N3194" s="47">
        <v>4.29494925E-3</v>
      </c>
      <c r="O3194" s="47">
        <f t="shared" si="363"/>
        <v>2.2131920300765004E-3</v>
      </c>
      <c r="P3194" s="92" t="s">
        <v>93</v>
      </c>
    </row>
    <row r="3195" spans="1:16" x14ac:dyDescent="0.25">
      <c r="A3195" s="29">
        <v>22</v>
      </c>
      <c r="B3195" s="30">
        <v>437573.10856199998</v>
      </c>
      <c r="C3195" s="30">
        <v>5688512.3324180003</v>
      </c>
      <c r="D3195" s="30">
        <v>8</v>
      </c>
      <c r="E3195" s="30" t="s">
        <v>99</v>
      </c>
      <c r="F3195" s="46">
        <v>2022</v>
      </c>
      <c r="G3195" s="47">
        <v>0.13317177624999998</v>
      </c>
      <c r="H3195" s="47">
        <f t="shared" si="359"/>
        <v>3.7891816043954411E-2</v>
      </c>
      <c r="I3195" s="47">
        <v>2.7399791749999999E-2</v>
      </c>
      <c r="J3195" s="47">
        <f t="shared" si="360"/>
        <v>1.5101624517518931E-2</v>
      </c>
      <c r="K3195" s="47">
        <v>1.0163295749999999E-2</v>
      </c>
      <c r="L3195" s="47">
        <f t="shared" si="361"/>
        <v>3.8508629775608322E-3</v>
      </c>
      <c r="M3195" s="47">
        <f t="shared" si="362"/>
        <v>3.4040953066393577E-2</v>
      </c>
      <c r="N3195" s="47">
        <v>0</v>
      </c>
      <c r="O3195" s="47">
        <f t="shared" si="363"/>
        <v>0</v>
      </c>
      <c r="P3195" s="92"/>
    </row>
    <row r="3196" spans="1:16" x14ac:dyDescent="0.25">
      <c r="A3196" s="29">
        <v>23</v>
      </c>
      <c r="B3196" s="30">
        <v>437692.10856199998</v>
      </c>
      <c r="C3196" s="30">
        <v>5688512.3324180003</v>
      </c>
      <c r="D3196" s="30">
        <v>8</v>
      </c>
      <c r="E3196" s="30" t="s">
        <v>99</v>
      </c>
      <c r="F3196" s="46">
        <v>2022</v>
      </c>
      <c r="G3196" s="47">
        <v>1.2289508249999999E-2</v>
      </c>
      <c r="H3196" s="47">
        <f t="shared" si="359"/>
        <v>3.496775360309577E-3</v>
      </c>
      <c r="I3196" s="47">
        <v>2.6365034999999998E-3</v>
      </c>
      <c r="J3196" s="47">
        <f t="shared" si="360"/>
        <v>1.4531309675419148E-3</v>
      </c>
      <c r="K3196" s="47">
        <v>4.9044634999999993E-3</v>
      </c>
      <c r="L3196" s="47">
        <f t="shared" si="361"/>
        <v>1.858296499631866E-3</v>
      </c>
      <c r="M3196" s="47">
        <f t="shared" si="362"/>
        <v>1.638478860677711E-3</v>
      </c>
      <c r="N3196" s="47">
        <v>4.1248522499999999E-3</v>
      </c>
      <c r="O3196" s="47">
        <f t="shared" si="363"/>
        <v>2.1255408605685201E-3</v>
      </c>
      <c r="P3196" s="92"/>
    </row>
    <row r="3197" spans="1:16" x14ac:dyDescent="0.25">
      <c r="A3197" s="29">
        <v>24</v>
      </c>
      <c r="B3197" s="30">
        <v>437811.10856199998</v>
      </c>
      <c r="C3197" s="30">
        <v>5688512.3324180003</v>
      </c>
      <c r="D3197" s="30">
        <v>8</v>
      </c>
      <c r="E3197" s="30" t="s">
        <v>99</v>
      </c>
      <c r="F3197" s="46">
        <v>2022</v>
      </c>
      <c r="G3197" s="47">
        <v>0.10295120924999999</v>
      </c>
      <c r="H3197" s="47">
        <f t="shared" si="359"/>
        <v>2.9293055873043206E-2</v>
      </c>
      <c r="I3197" s="47">
        <v>1.3607759999999998E-2</v>
      </c>
      <c r="J3197" s="47">
        <f t="shared" si="360"/>
        <v>7.5000308002163337E-3</v>
      </c>
      <c r="K3197" s="47">
        <v>1.23887315E-2</v>
      </c>
      <c r="L3197" s="47">
        <f t="shared" si="361"/>
        <v>4.6940784412666213E-3</v>
      </c>
      <c r="M3197" s="47">
        <f t="shared" si="362"/>
        <v>2.4598977431776584E-2</v>
      </c>
      <c r="N3197" s="47">
        <v>1.927766E-3</v>
      </c>
      <c r="O3197" s="47">
        <f t="shared" si="363"/>
        <v>9.9337992109044238E-4</v>
      </c>
      <c r="P3197" s="92"/>
    </row>
    <row r="3198" spans="1:16" x14ac:dyDescent="0.25">
      <c r="A3198" s="29">
        <v>25</v>
      </c>
      <c r="B3198" s="46">
        <v>437995</v>
      </c>
      <c r="C3198" s="46">
        <v>5688493</v>
      </c>
      <c r="D3198" s="30">
        <v>8</v>
      </c>
      <c r="E3198" s="30" t="s">
        <v>99</v>
      </c>
      <c r="F3198" s="46">
        <v>2022</v>
      </c>
      <c r="G3198" s="47">
        <v>2.72438695E-2</v>
      </c>
      <c r="H3198" s="47">
        <f t="shared" si="359"/>
        <v>7.7517903604556026E-3</v>
      </c>
      <c r="I3198" s="47">
        <v>0</v>
      </c>
      <c r="J3198" s="47">
        <f t="shared" si="360"/>
        <v>0</v>
      </c>
      <c r="K3198" s="47">
        <v>2.2055910999999997E-2</v>
      </c>
      <c r="L3198" s="47">
        <f t="shared" si="361"/>
        <v>8.3569634492115137E-3</v>
      </c>
      <c r="M3198" s="47">
        <f t="shared" si="362"/>
        <v>-6.0517308875591112E-4</v>
      </c>
      <c r="N3198" s="47">
        <v>5.8116475000000005E-4</v>
      </c>
      <c r="O3198" s="47">
        <f t="shared" si="363"/>
        <v>2.9947482915226577E-4</v>
      </c>
      <c r="P3198" s="92"/>
    </row>
    <row r="3199" spans="1:16" x14ac:dyDescent="0.25">
      <c r="A3199" s="29">
        <v>26</v>
      </c>
      <c r="B3199" s="46">
        <v>438112</v>
      </c>
      <c r="C3199" s="46">
        <v>5688567</v>
      </c>
      <c r="D3199" s="30">
        <v>8</v>
      </c>
      <c r="E3199" s="30" t="s">
        <v>99</v>
      </c>
      <c r="F3199" s="46">
        <v>2022</v>
      </c>
      <c r="G3199" s="47">
        <v>2.5868918749999997E-2</v>
      </c>
      <c r="H3199" s="47">
        <f t="shared" si="359"/>
        <v>7.3605709718165832E-3</v>
      </c>
      <c r="I3199" s="47">
        <v>1.9419407500000001E-3</v>
      </c>
      <c r="J3199" s="47">
        <f t="shared" si="360"/>
        <v>1.0703168954475394E-3</v>
      </c>
      <c r="K3199" s="47">
        <v>1.0262518999999999E-2</v>
      </c>
      <c r="L3199" s="47">
        <f t="shared" si="361"/>
        <v>3.8884585714840207E-3</v>
      </c>
      <c r="M3199" s="47">
        <f t="shared" si="362"/>
        <v>3.4721124003325625E-3</v>
      </c>
      <c r="N3199" s="47">
        <v>0</v>
      </c>
      <c r="O3199" s="47">
        <f t="shared" si="363"/>
        <v>0</v>
      </c>
      <c r="P3199" s="92"/>
    </row>
    <row r="3200" spans="1:16" x14ac:dyDescent="0.25">
      <c r="A3200" s="32">
        <v>27</v>
      </c>
      <c r="B3200" s="33">
        <v>438168.10856199998</v>
      </c>
      <c r="C3200" s="33">
        <v>5688512.3324180003</v>
      </c>
      <c r="D3200" s="48">
        <v>8</v>
      </c>
      <c r="E3200" s="48" t="s">
        <v>99</v>
      </c>
      <c r="F3200" s="48">
        <v>2022</v>
      </c>
      <c r="G3200" s="48" t="s">
        <v>18</v>
      </c>
      <c r="H3200" s="48" t="s">
        <v>18</v>
      </c>
      <c r="I3200" s="48" t="s">
        <v>18</v>
      </c>
      <c r="J3200" s="48" t="s">
        <v>18</v>
      </c>
      <c r="K3200" s="48" t="s">
        <v>18</v>
      </c>
      <c r="L3200" s="48" t="s">
        <v>18</v>
      </c>
      <c r="M3200" s="48" t="s">
        <v>18</v>
      </c>
      <c r="N3200" s="48" t="s">
        <v>18</v>
      </c>
      <c r="O3200" s="48" t="s">
        <v>18</v>
      </c>
      <c r="P3200" s="103" t="s">
        <v>89</v>
      </c>
    </row>
    <row r="3201" spans="1:16" x14ac:dyDescent="0.25">
      <c r="A3201" s="32">
        <v>28</v>
      </c>
      <c r="B3201" s="33">
        <v>438287.10856199998</v>
      </c>
      <c r="C3201" s="33">
        <v>5688512.3324180003</v>
      </c>
      <c r="D3201" s="48">
        <v>8</v>
      </c>
      <c r="E3201" s="48" t="s">
        <v>99</v>
      </c>
      <c r="F3201" s="48">
        <v>2022</v>
      </c>
      <c r="G3201" s="48" t="s">
        <v>18</v>
      </c>
      <c r="H3201" s="48" t="s">
        <v>18</v>
      </c>
      <c r="I3201" s="48" t="s">
        <v>18</v>
      </c>
      <c r="J3201" s="48" t="s">
        <v>18</v>
      </c>
      <c r="K3201" s="48" t="s">
        <v>18</v>
      </c>
      <c r="L3201" s="48" t="s">
        <v>18</v>
      </c>
      <c r="M3201" s="48" t="s">
        <v>18</v>
      </c>
      <c r="N3201" s="48" t="s">
        <v>18</v>
      </c>
      <c r="O3201" s="48" t="s">
        <v>18</v>
      </c>
      <c r="P3201" s="103" t="s">
        <v>89</v>
      </c>
    </row>
    <row r="3202" spans="1:16" x14ac:dyDescent="0.25">
      <c r="A3202" s="29">
        <v>29</v>
      </c>
      <c r="B3202" s="30">
        <v>438381</v>
      </c>
      <c r="C3202" s="30">
        <v>5688526</v>
      </c>
      <c r="D3202" s="30">
        <v>8</v>
      </c>
      <c r="E3202" s="30" t="s">
        <v>99</v>
      </c>
      <c r="F3202" s="46">
        <v>2022</v>
      </c>
      <c r="G3202" s="71">
        <v>3.6585029749999998E-2</v>
      </c>
      <c r="H3202" s="47">
        <f t="shared" si="359"/>
        <v>1.0409662289456769E-2</v>
      </c>
      <c r="I3202" s="47">
        <v>0</v>
      </c>
      <c r="J3202" s="47">
        <f t="shared" si="360"/>
        <v>0</v>
      </c>
      <c r="K3202" s="47">
        <v>1.0262518999999999E-2</v>
      </c>
      <c r="L3202" s="47">
        <f t="shared" si="361"/>
        <v>3.8884585714840207E-3</v>
      </c>
      <c r="M3202" s="47">
        <f t="shared" si="362"/>
        <v>6.5212037179727487E-3</v>
      </c>
      <c r="N3202" s="47">
        <v>0</v>
      </c>
      <c r="O3202" s="47">
        <f t="shared" si="363"/>
        <v>0</v>
      </c>
      <c r="P3202" s="92"/>
    </row>
    <row r="3203" spans="1:16" x14ac:dyDescent="0.25">
      <c r="A3203" s="29">
        <v>30</v>
      </c>
      <c r="B3203" s="30">
        <v>438525.10856199998</v>
      </c>
      <c r="C3203" s="30">
        <v>5688512.3324180003</v>
      </c>
      <c r="D3203" s="30">
        <v>8</v>
      </c>
      <c r="E3203" s="30" t="s">
        <v>99</v>
      </c>
      <c r="F3203" s="46">
        <v>2022</v>
      </c>
      <c r="G3203" s="47">
        <v>1.0163295749999999E-2</v>
      </c>
      <c r="H3203" s="47">
        <f t="shared" si="359"/>
        <v>2.8917969242698576E-3</v>
      </c>
      <c r="I3203" s="47">
        <v>0</v>
      </c>
      <c r="J3203" s="47">
        <f t="shared" si="360"/>
        <v>0</v>
      </c>
      <c r="K3203" s="47">
        <v>7.7819377499999997E-3</v>
      </c>
      <c r="L3203" s="47">
        <f t="shared" si="361"/>
        <v>2.9485687234043195E-3</v>
      </c>
      <c r="M3203" s="47">
        <f t="shared" si="362"/>
        <v>-5.6771799134461894E-5</v>
      </c>
      <c r="N3203" s="47">
        <v>0</v>
      </c>
      <c r="O3203" s="47">
        <f t="shared" si="363"/>
        <v>0</v>
      </c>
      <c r="P3203" s="92"/>
    </row>
    <row r="3204" spans="1:16" x14ac:dyDescent="0.25">
      <c r="A3204" s="29">
        <v>31</v>
      </c>
      <c r="B3204" s="30">
        <v>437335.10856199998</v>
      </c>
      <c r="C3204" s="30">
        <v>5688631.3324180003</v>
      </c>
      <c r="D3204" s="30">
        <v>8</v>
      </c>
      <c r="E3204" s="30" t="s">
        <v>99</v>
      </c>
      <c r="F3204" s="46">
        <v>2022</v>
      </c>
      <c r="G3204" s="47">
        <v>5.4530263249999995E-2</v>
      </c>
      <c r="H3204" s="47">
        <f t="shared" si="359"/>
        <v>1.5515680289631998E-2</v>
      </c>
      <c r="I3204" s="47">
        <v>0</v>
      </c>
      <c r="J3204" s="47">
        <f t="shared" si="360"/>
        <v>0</v>
      </c>
      <c r="K3204" s="47">
        <v>3.5224253749999997E-2</v>
      </c>
      <c r="L3204" s="47">
        <f t="shared" si="361"/>
        <v>1.3346435842731754E-2</v>
      </c>
      <c r="M3204" s="47">
        <f t="shared" si="362"/>
        <v>2.1692444469002432E-3</v>
      </c>
      <c r="N3204" s="47">
        <v>0</v>
      </c>
      <c r="O3204" s="47">
        <f t="shared" si="363"/>
        <v>0</v>
      </c>
      <c r="P3204" s="92"/>
    </row>
    <row r="3205" spans="1:16" x14ac:dyDescent="0.25">
      <c r="A3205" s="29">
        <v>32</v>
      </c>
      <c r="B3205" s="30">
        <v>437454.10856199998</v>
      </c>
      <c r="C3205" s="30">
        <v>5688631.3324180003</v>
      </c>
      <c r="D3205" s="30">
        <v>8</v>
      </c>
      <c r="E3205" s="30" t="s">
        <v>99</v>
      </c>
      <c r="F3205" s="46">
        <v>2022</v>
      </c>
      <c r="G3205" s="47">
        <v>5.5068903749999995E-2</v>
      </c>
      <c r="H3205" s="47">
        <f t="shared" si="359"/>
        <v>1.5668941493428727E-2</v>
      </c>
      <c r="I3205" s="47">
        <v>0</v>
      </c>
      <c r="J3205" s="47">
        <f t="shared" si="360"/>
        <v>0</v>
      </c>
      <c r="K3205" s="47">
        <v>1.9816300499999998E-2</v>
      </c>
      <c r="L3205" s="47">
        <f t="shared" si="361"/>
        <v>7.5083771863738401E-3</v>
      </c>
      <c r="M3205" s="47">
        <f t="shared" si="362"/>
        <v>8.1605643070548871E-3</v>
      </c>
      <c r="N3205" s="47">
        <v>0</v>
      </c>
      <c r="O3205" s="47">
        <f t="shared" si="363"/>
        <v>0</v>
      </c>
      <c r="P3205" s="92"/>
    </row>
    <row r="3206" spans="1:16" x14ac:dyDescent="0.25">
      <c r="A3206" s="29">
        <v>33</v>
      </c>
      <c r="B3206" s="30">
        <v>437573.10856199998</v>
      </c>
      <c r="C3206" s="30">
        <v>5688631.3324180003</v>
      </c>
      <c r="D3206" s="30">
        <v>8</v>
      </c>
      <c r="E3206" s="30" t="s">
        <v>99</v>
      </c>
      <c r="F3206" s="46">
        <v>2022</v>
      </c>
      <c r="G3206" s="47">
        <v>3.1127750999999999E-2</v>
      </c>
      <c r="H3206" s="47">
        <f t="shared" si="359"/>
        <v>8.8568843036214897E-3</v>
      </c>
      <c r="I3206" s="47">
        <v>0</v>
      </c>
      <c r="J3206" s="47">
        <f t="shared" si="360"/>
        <v>0</v>
      </c>
      <c r="K3206" s="47">
        <v>3.340988575E-2</v>
      </c>
      <c r="L3206" s="47">
        <f t="shared" si="361"/>
        <v>1.2658973553850603E-2</v>
      </c>
      <c r="M3206" s="47">
        <f t="shared" si="362"/>
        <v>-3.8020892502291133E-3</v>
      </c>
      <c r="N3206" s="47">
        <v>0</v>
      </c>
      <c r="O3206" s="47">
        <f t="shared" si="363"/>
        <v>0</v>
      </c>
      <c r="P3206" s="92"/>
    </row>
    <row r="3207" spans="1:16" x14ac:dyDescent="0.25">
      <c r="A3207" s="29">
        <v>34</v>
      </c>
      <c r="B3207" s="30">
        <v>437692.10856199998</v>
      </c>
      <c r="C3207" s="30">
        <v>5688631.3324180003</v>
      </c>
      <c r="D3207" s="30">
        <v>8</v>
      </c>
      <c r="E3207" s="30" t="s">
        <v>99</v>
      </c>
      <c r="F3207" s="46">
        <v>2022</v>
      </c>
      <c r="G3207" s="47">
        <v>1.3338439749999998E-2</v>
      </c>
      <c r="H3207" s="47">
        <f t="shared" si="359"/>
        <v>3.7952313887558383E-3</v>
      </c>
      <c r="I3207" s="47">
        <v>0</v>
      </c>
      <c r="J3207" s="47">
        <f t="shared" si="360"/>
        <v>0</v>
      </c>
      <c r="K3207" s="47">
        <v>6.6621324999999992E-3</v>
      </c>
      <c r="L3207" s="47">
        <f t="shared" si="361"/>
        <v>2.5242755919854826E-3</v>
      </c>
      <c r="M3207" s="47">
        <f t="shared" si="362"/>
        <v>1.2709557967703557E-3</v>
      </c>
      <c r="N3207" s="47">
        <v>0</v>
      </c>
      <c r="O3207" s="47">
        <f t="shared" si="363"/>
        <v>0</v>
      </c>
      <c r="P3207" s="92"/>
    </row>
    <row r="3208" spans="1:16" x14ac:dyDescent="0.25">
      <c r="A3208" s="29">
        <v>35</v>
      </c>
      <c r="B3208" s="30">
        <v>437893</v>
      </c>
      <c r="C3208" s="30">
        <v>5688620</v>
      </c>
      <c r="D3208" s="30">
        <v>8</v>
      </c>
      <c r="E3208" s="30" t="s">
        <v>99</v>
      </c>
      <c r="F3208" s="46">
        <v>2022</v>
      </c>
      <c r="G3208" s="47">
        <v>8.1646559999999993E-3</v>
      </c>
      <c r="H3208" s="47">
        <f t="shared" si="359"/>
        <v>2.3231171943925216E-3</v>
      </c>
      <c r="I3208" s="47">
        <v>0</v>
      </c>
      <c r="J3208" s="47">
        <f t="shared" si="360"/>
        <v>0</v>
      </c>
      <c r="K3208" s="47">
        <v>7.1582487499999995E-3</v>
      </c>
      <c r="L3208" s="47">
        <f t="shared" si="361"/>
        <v>2.7122535616014229E-3</v>
      </c>
      <c r="M3208" s="47">
        <f t="shared" si="362"/>
        <v>-3.891363672089013E-4</v>
      </c>
      <c r="N3208" s="47">
        <v>0</v>
      </c>
      <c r="O3208" s="47">
        <f t="shared" si="363"/>
        <v>0</v>
      </c>
      <c r="P3208" s="92"/>
    </row>
    <row r="3209" spans="1:16" x14ac:dyDescent="0.25">
      <c r="A3209" s="29">
        <v>36</v>
      </c>
      <c r="B3209" s="30">
        <v>437930.10856199998</v>
      </c>
      <c r="C3209" s="30">
        <v>5688631.3324180003</v>
      </c>
      <c r="D3209" s="30">
        <v>8</v>
      </c>
      <c r="E3209" s="30" t="s">
        <v>99</v>
      </c>
      <c r="F3209" s="46">
        <v>2022</v>
      </c>
      <c r="G3209" s="47">
        <v>2.1304649249999998E-2</v>
      </c>
      <c r="H3209" s="47">
        <f t="shared" si="359"/>
        <v>6.0618839291179862E-3</v>
      </c>
      <c r="I3209" s="47">
        <v>4.9611624999999996E-3</v>
      </c>
      <c r="J3209" s="47">
        <f t="shared" si="360"/>
        <v>2.7343862292455385E-3</v>
      </c>
      <c r="K3209" s="47">
        <v>1.0205819999999999E-2</v>
      </c>
      <c r="L3209" s="47">
        <f t="shared" si="361"/>
        <v>3.8669753749564842E-3</v>
      </c>
      <c r="M3209" s="47">
        <f t="shared" si="362"/>
        <v>2.194908554161502E-3</v>
      </c>
      <c r="N3209" s="47">
        <v>1.299824575E-2</v>
      </c>
      <c r="O3209" s="47">
        <f t="shared" si="363"/>
        <v>6.6980102032348212E-3</v>
      </c>
      <c r="P3209" s="92"/>
    </row>
    <row r="3210" spans="1:16" x14ac:dyDescent="0.25">
      <c r="A3210" s="32">
        <v>37</v>
      </c>
      <c r="B3210" s="33">
        <v>438049.10856199998</v>
      </c>
      <c r="C3210" s="33">
        <v>5688631.3324180003</v>
      </c>
      <c r="D3210" s="48">
        <v>8</v>
      </c>
      <c r="E3210" s="48" t="s">
        <v>99</v>
      </c>
      <c r="F3210" s="48">
        <v>2022</v>
      </c>
      <c r="G3210" s="48" t="s">
        <v>18</v>
      </c>
      <c r="H3210" s="48" t="s">
        <v>18</v>
      </c>
      <c r="I3210" s="48" t="s">
        <v>18</v>
      </c>
      <c r="J3210" s="48" t="s">
        <v>18</v>
      </c>
      <c r="K3210" s="48" t="s">
        <v>18</v>
      </c>
      <c r="L3210" s="48" t="s">
        <v>18</v>
      </c>
      <c r="M3210" s="48" t="s">
        <v>18</v>
      </c>
      <c r="N3210" s="48" t="s">
        <v>18</v>
      </c>
      <c r="O3210" s="48" t="s">
        <v>18</v>
      </c>
      <c r="P3210" s="103" t="s">
        <v>89</v>
      </c>
    </row>
    <row r="3211" spans="1:16" x14ac:dyDescent="0.25">
      <c r="A3211" s="29">
        <v>38</v>
      </c>
      <c r="B3211" s="30">
        <v>438067</v>
      </c>
      <c r="C3211" s="30">
        <v>5688710</v>
      </c>
      <c r="D3211" s="30">
        <v>8</v>
      </c>
      <c r="E3211" s="30" t="s">
        <v>99</v>
      </c>
      <c r="F3211" s="46">
        <v>2022</v>
      </c>
      <c r="G3211" s="47">
        <v>3.3849302999999997E-2</v>
      </c>
      <c r="H3211" s="47">
        <f t="shared" si="359"/>
        <v>9.6312567017523294E-3</v>
      </c>
      <c r="I3211" s="47">
        <v>0</v>
      </c>
      <c r="J3211" s="47">
        <f t="shared" si="360"/>
        <v>0</v>
      </c>
      <c r="K3211" s="47">
        <v>2.9199984999999998E-3</v>
      </c>
      <c r="L3211" s="47">
        <f t="shared" si="361"/>
        <v>1.1063846211681052E-3</v>
      </c>
      <c r="M3211" s="47">
        <f t="shared" si="362"/>
        <v>8.5248720805842244E-3</v>
      </c>
      <c r="N3211" s="47">
        <v>0</v>
      </c>
      <c r="O3211" s="47">
        <f t="shared" si="363"/>
        <v>0</v>
      </c>
      <c r="P3211" s="92"/>
    </row>
    <row r="3212" spans="1:16" x14ac:dyDescent="0.25">
      <c r="A3212" s="32">
        <v>39</v>
      </c>
      <c r="B3212" s="33">
        <v>438287.10856199998</v>
      </c>
      <c r="C3212" s="33">
        <v>5688631.3324180003</v>
      </c>
      <c r="D3212" s="48">
        <v>8</v>
      </c>
      <c r="E3212" s="48" t="s">
        <v>99</v>
      </c>
      <c r="F3212" s="48">
        <v>2022</v>
      </c>
      <c r="G3212" s="48" t="s">
        <v>18</v>
      </c>
      <c r="H3212" s="48" t="s">
        <v>18</v>
      </c>
      <c r="I3212" s="48" t="s">
        <v>18</v>
      </c>
      <c r="J3212" s="48" t="s">
        <v>18</v>
      </c>
      <c r="K3212" s="48" t="s">
        <v>18</v>
      </c>
      <c r="L3212" s="48" t="s">
        <v>18</v>
      </c>
      <c r="M3212" s="48" t="s">
        <v>18</v>
      </c>
      <c r="N3212" s="48" t="s">
        <v>18</v>
      </c>
      <c r="O3212" s="48" t="s">
        <v>18</v>
      </c>
      <c r="P3212" s="94" t="s">
        <v>22</v>
      </c>
    </row>
    <row r="3213" spans="1:16" x14ac:dyDescent="0.25">
      <c r="A3213" s="89">
        <v>40</v>
      </c>
      <c r="B3213" s="90">
        <v>438406.10856199998</v>
      </c>
      <c r="C3213" s="90">
        <v>5688631.3324180003</v>
      </c>
      <c r="D3213" s="90">
        <v>8</v>
      </c>
      <c r="E3213" s="90" t="s">
        <v>99</v>
      </c>
      <c r="F3213" s="90">
        <v>2022</v>
      </c>
      <c r="G3213" s="90" t="s">
        <v>18</v>
      </c>
      <c r="H3213" s="90" t="s">
        <v>18</v>
      </c>
      <c r="I3213" s="90" t="s">
        <v>18</v>
      </c>
      <c r="J3213" s="90" t="s">
        <v>18</v>
      </c>
      <c r="K3213" s="90" t="s">
        <v>18</v>
      </c>
      <c r="L3213" s="90" t="s">
        <v>18</v>
      </c>
      <c r="M3213" s="90" t="s">
        <v>18</v>
      </c>
      <c r="N3213" s="90" t="s">
        <v>18</v>
      </c>
      <c r="O3213" s="90" t="s">
        <v>18</v>
      </c>
      <c r="P3213" s="113" t="s">
        <v>174</v>
      </c>
    </row>
    <row r="3214" spans="1:16" x14ac:dyDescent="0.25">
      <c r="A3214" s="29">
        <v>41</v>
      </c>
      <c r="B3214" s="30">
        <v>437310</v>
      </c>
      <c r="C3214" s="30">
        <v>5688729</v>
      </c>
      <c r="D3214" s="30">
        <v>8</v>
      </c>
      <c r="E3214" s="30" t="s">
        <v>99</v>
      </c>
      <c r="F3214" s="46">
        <v>2022</v>
      </c>
      <c r="G3214" s="47">
        <v>4.7712208500000006E-2</v>
      </c>
      <c r="H3214" s="47">
        <f t="shared" si="359"/>
        <v>1.3575716104731302E-2</v>
      </c>
      <c r="I3214" s="47">
        <v>6.3928122499999993E-3</v>
      </c>
      <c r="J3214" s="47">
        <f t="shared" si="360"/>
        <v>3.5234519696849651E-3</v>
      </c>
      <c r="K3214" s="47">
        <v>2.1871639249999998E-2</v>
      </c>
      <c r="L3214" s="47">
        <f t="shared" si="361"/>
        <v>8.2871430604970209E-3</v>
      </c>
      <c r="M3214" s="47">
        <f t="shared" si="362"/>
        <v>5.2885730442342807E-3</v>
      </c>
      <c r="N3214" s="47">
        <v>0</v>
      </c>
      <c r="O3214" s="47">
        <f t="shared" si="363"/>
        <v>0</v>
      </c>
      <c r="P3214" s="92"/>
    </row>
    <row r="3215" spans="1:16" x14ac:dyDescent="0.25">
      <c r="A3215" s="29">
        <v>42</v>
      </c>
      <c r="B3215" s="30">
        <v>437454.10856199998</v>
      </c>
      <c r="C3215" s="30">
        <v>5688750.3324180003</v>
      </c>
      <c r="D3215" s="30">
        <v>8</v>
      </c>
      <c r="E3215" s="30" t="s">
        <v>99</v>
      </c>
      <c r="F3215" s="46">
        <v>2022</v>
      </c>
      <c r="G3215" s="47">
        <v>2.3161541499999997E-2</v>
      </c>
      <c r="H3215" s="47">
        <f t="shared" si="359"/>
        <v>6.5902317632593405E-3</v>
      </c>
      <c r="I3215" s="47">
        <v>4.4225219999999999E-3</v>
      </c>
      <c r="J3215" s="47">
        <f t="shared" si="360"/>
        <v>2.4375100100703087E-3</v>
      </c>
      <c r="K3215" s="47">
        <v>1.4514944E-2</v>
      </c>
      <c r="L3215" s="47">
        <f t="shared" si="361"/>
        <v>5.4996983110492228E-3</v>
      </c>
      <c r="M3215" s="47">
        <f t="shared" si="362"/>
        <v>1.0905334522101177E-3</v>
      </c>
      <c r="N3215" s="47">
        <v>1.6116690749999999E-2</v>
      </c>
      <c r="O3215" s="47">
        <f t="shared" si="363"/>
        <v>8.3049483108811242E-3</v>
      </c>
      <c r="P3215" s="92"/>
    </row>
    <row r="3216" spans="1:16" x14ac:dyDescent="0.25">
      <c r="A3216" s="29">
        <v>43</v>
      </c>
      <c r="B3216" s="30">
        <v>437573.10856199998</v>
      </c>
      <c r="C3216" s="30">
        <v>5688750.3324180003</v>
      </c>
      <c r="D3216" s="30">
        <v>8</v>
      </c>
      <c r="E3216" s="30" t="s">
        <v>99</v>
      </c>
      <c r="F3216" s="46">
        <v>2022</v>
      </c>
      <c r="G3216" s="47">
        <v>3.0277266000000001E-2</v>
      </c>
      <c r="H3216" s="47">
        <f t="shared" si="359"/>
        <v>8.6148929292056021E-3</v>
      </c>
      <c r="I3216" s="47">
        <v>8.7883449999999995E-4</v>
      </c>
      <c r="J3216" s="47">
        <f t="shared" si="360"/>
        <v>4.8437698918063824E-4</v>
      </c>
      <c r="K3216" s="47">
        <v>6.2794142499999995E-3</v>
      </c>
      <c r="L3216" s="47">
        <f t="shared" si="361"/>
        <v>2.3792640154246146E-3</v>
      </c>
      <c r="M3216" s="47">
        <f t="shared" si="362"/>
        <v>6.2356289137809875E-3</v>
      </c>
      <c r="N3216" s="47">
        <v>8.8875682500000001E-3</v>
      </c>
      <c r="O3216" s="47">
        <f t="shared" si="363"/>
        <v>4.5797736067919662E-3</v>
      </c>
      <c r="P3216" s="92"/>
    </row>
    <row r="3217" spans="1:16" x14ac:dyDescent="0.25">
      <c r="A3217" s="29">
        <v>44</v>
      </c>
      <c r="B3217" s="30">
        <v>437692.10856199998</v>
      </c>
      <c r="C3217" s="30">
        <v>5688750.3324180003</v>
      </c>
      <c r="D3217" s="30">
        <v>8</v>
      </c>
      <c r="E3217" s="30" t="s">
        <v>99</v>
      </c>
      <c r="F3217" s="46">
        <v>2022</v>
      </c>
      <c r="G3217" s="47">
        <v>2.2679600000000001E-2</v>
      </c>
      <c r="H3217" s="47">
        <f t="shared" si="359"/>
        <v>6.4531033177570056E-3</v>
      </c>
      <c r="I3217" s="47">
        <v>0</v>
      </c>
      <c r="J3217" s="47">
        <f t="shared" si="360"/>
        <v>0</v>
      </c>
      <c r="K3217" s="47">
        <v>5.1312594999999997E-3</v>
      </c>
      <c r="L3217" s="47">
        <f t="shared" si="361"/>
        <v>1.9442292857420104E-3</v>
      </c>
      <c r="M3217" s="47">
        <f t="shared" si="362"/>
        <v>4.5088740320149952E-3</v>
      </c>
      <c r="N3217" s="47">
        <v>0</v>
      </c>
      <c r="O3217" s="47">
        <f t="shared" si="363"/>
        <v>0</v>
      </c>
      <c r="P3217" s="92"/>
    </row>
    <row r="3218" spans="1:16" x14ac:dyDescent="0.25">
      <c r="A3218" s="29">
        <v>45</v>
      </c>
      <c r="B3218" s="30">
        <v>437811.10856199998</v>
      </c>
      <c r="C3218" s="30">
        <v>5688750.3324180003</v>
      </c>
      <c r="D3218" s="30">
        <v>8</v>
      </c>
      <c r="E3218" s="30" t="s">
        <v>99</v>
      </c>
      <c r="F3218" s="46">
        <v>2022</v>
      </c>
      <c r="G3218" s="47">
        <v>4.1829687249999997E-2</v>
      </c>
      <c r="H3218" s="47">
        <f t="shared" si="359"/>
        <v>1.1901942431688076E-2</v>
      </c>
      <c r="I3218" s="47">
        <v>4.6734150749999995E-2</v>
      </c>
      <c r="J3218" s="47">
        <f t="shared" si="360"/>
        <v>2.5757918279492972E-2</v>
      </c>
      <c r="K3218" s="47">
        <v>1.5946593750000002E-2</v>
      </c>
      <c r="L3218" s="47">
        <f t="shared" si="361"/>
        <v>6.0421490233695078E-3</v>
      </c>
      <c r="M3218" s="47">
        <f t="shared" si="362"/>
        <v>5.8597934083185685E-3</v>
      </c>
      <c r="N3218" s="47">
        <v>9.638830000000001E-3</v>
      </c>
      <c r="O3218" s="47">
        <f t="shared" si="363"/>
        <v>4.9668996054522121E-3</v>
      </c>
      <c r="P3218" s="92"/>
    </row>
    <row r="3219" spans="1:16" x14ac:dyDescent="0.25">
      <c r="A3219" s="65">
        <v>46</v>
      </c>
      <c r="B3219" s="66">
        <v>437930.10856199998</v>
      </c>
      <c r="C3219" s="66">
        <v>5688750.3324180003</v>
      </c>
      <c r="D3219" s="66">
        <v>8</v>
      </c>
      <c r="E3219" s="66" t="s">
        <v>99</v>
      </c>
      <c r="F3219" s="66">
        <v>2022</v>
      </c>
      <c r="G3219" s="66" t="s">
        <v>18</v>
      </c>
      <c r="H3219" s="66" t="s">
        <v>18</v>
      </c>
      <c r="I3219" s="66" t="s">
        <v>18</v>
      </c>
      <c r="J3219" s="66" t="s">
        <v>18</v>
      </c>
      <c r="K3219" s="66" t="s">
        <v>18</v>
      </c>
      <c r="L3219" s="66" t="s">
        <v>18</v>
      </c>
      <c r="M3219" s="66" t="s">
        <v>18</v>
      </c>
      <c r="N3219" s="66" t="s">
        <v>18</v>
      </c>
      <c r="O3219" s="66" t="s">
        <v>18</v>
      </c>
      <c r="P3219" s="105" t="s">
        <v>166</v>
      </c>
    </row>
    <row r="3220" spans="1:16" x14ac:dyDescent="0.25">
      <c r="A3220" s="29">
        <v>47</v>
      </c>
      <c r="B3220" s="30">
        <v>438061</v>
      </c>
      <c r="C3220" s="30">
        <v>5688779</v>
      </c>
      <c r="D3220" s="30">
        <v>8</v>
      </c>
      <c r="E3220" s="30" t="s">
        <v>99</v>
      </c>
      <c r="F3220" s="46">
        <v>2022</v>
      </c>
      <c r="G3220" s="47">
        <v>5.725181524999999E-2</v>
      </c>
      <c r="H3220" s="47">
        <f t="shared" si="359"/>
        <v>1.6290052687762839E-2</v>
      </c>
      <c r="I3220" s="47">
        <v>0</v>
      </c>
      <c r="J3220" s="47">
        <f t="shared" si="360"/>
        <v>0</v>
      </c>
      <c r="K3220" s="47">
        <v>8.7883449999999995E-3</v>
      </c>
      <c r="L3220" s="47">
        <f t="shared" si="361"/>
        <v>3.3298954617680837E-3</v>
      </c>
      <c r="M3220" s="47">
        <f t="shared" si="362"/>
        <v>1.2960157225994756E-2</v>
      </c>
      <c r="N3220" s="47">
        <v>0</v>
      </c>
      <c r="O3220" s="47">
        <f t="shared" si="363"/>
        <v>0</v>
      </c>
      <c r="P3220" s="92"/>
    </row>
    <row r="3221" spans="1:16" x14ac:dyDescent="0.25">
      <c r="A3221" s="32">
        <v>48</v>
      </c>
      <c r="B3221" s="33">
        <v>438168.10856199998</v>
      </c>
      <c r="C3221" s="33">
        <v>5688750.3324180003</v>
      </c>
      <c r="D3221" s="48">
        <v>8</v>
      </c>
      <c r="E3221" s="48" t="s">
        <v>99</v>
      </c>
      <c r="F3221" s="48">
        <v>2022</v>
      </c>
      <c r="G3221" s="48" t="s">
        <v>18</v>
      </c>
      <c r="H3221" s="48" t="s">
        <v>18</v>
      </c>
      <c r="I3221" s="48" t="s">
        <v>18</v>
      </c>
      <c r="J3221" s="48" t="s">
        <v>18</v>
      </c>
      <c r="K3221" s="48" t="s">
        <v>18</v>
      </c>
      <c r="L3221" s="48" t="s">
        <v>18</v>
      </c>
      <c r="M3221" s="48" t="s">
        <v>18</v>
      </c>
      <c r="N3221" s="48" t="s">
        <v>18</v>
      </c>
      <c r="O3221" s="48" t="s">
        <v>18</v>
      </c>
      <c r="P3221" s="103" t="s">
        <v>89</v>
      </c>
    </row>
    <row r="3222" spans="1:16" x14ac:dyDescent="0.25">
      <c r="A3222" s="89">
        <v>49</v>
      </c>
      <c r="B3222" s="90">
        <v>437454.10856199998</v>
      </c>
      <c r="C3222" s="90">
        <v>5688869.3324180003</v>
      </c>
      <c r="D3222" s="90">
        <v>8</v>
      </c>
      <c r="E3222" s="90" t="s">
        <v>99</v>
      </c>
      <c r="F3222" s="90">
        <v>2022</v>
      </c>
      <c r="G3222" s="90" t="s">
        <v>18</v>
      </c>
      <c r="H3222" s="90" t="s">
        <v>18</v>
      </c>
      <c r="I3222" s="90" t="s">
        <v>18</v>
      </c>
      <c r="J3222" s="90" t="s">
        <v>18</v>
      </c>
      <c r="K3222" s="90" t="s">
        <v>18</v>
      </c>
      <c r="L3222" s="90" t="s">
        <v>18</v>
      </c>
      <c r="M3222" s="90" t="s">
        <v>18</v>
      </c>
      <c r="N3222" s="90" t="s">
        <v>18</v>
      </c>
      <c r="O3222" s="90" t="s">
        <v>18</v>
      </c>
      <c r="P3222" s="113" t="s">
        <v>174</v>
      </c>
    </row>
    <row r="3223" spans="1:16" x14ac:dyDescent="0.25">
      <c r="A3223" s="29">
        <v>50</v>
      </c>
      <c r="B3223" s="30">
        <v>437811.10856199998</v>
      </c>
      <c r="C3223" s="30">
        <v>5688869.3324180003</v>
      </c>
      <c r="D3223" s="30">
        <v>8</v>
      </c>
      <c r="E3223" s="30" t="s">
        <v>99</v>
      </c>
      <c r="F3223" s="46">
        <v>2022</v>
      </c>
      <c r="G3223" s="47">
        <v>0</v>
      </c>
      <c r="H3223" s="47">
        <f t="shared" si="359"/>
        <v>0</v>
      </c>
      <c r="I3223" s="47">
        <v>0</v>
      </c>
      <c r="J3223" s="47">
        <f t="shared" si="360"/>
        <v>0</v>
      </c>
      <c r="K3223" s="47">
        <v>8.1504812499999992E-3</v>
      </c>
      <c r="L3223" s="47">
        <f t="shared" si="361"/>
        <v>3.0882095008333034E-3</v>
      </c>
      <c r="M3223" s="47">
        <f t="shared" si="362"/>
        <v>-3.0882095008333034E-3</v>
      </c>
      <c r="N3223" s="47">
        <v>0</v>
      </c>
      <c r="O3223" s="47">
        <f t="shared" si="363"/>
        <v>0</v>
      </c>
      <c r="P3223" s="92"/>
    </row>
    <row r="3224" spans="1:16" x14ac:dyDescent="0.25">
      <c r="A3224" s="29">
        <v>51</v>
      </c>
      <c r="B3224" s="30">
        <v>437930.10856199998</v>
      </c>
      <c r="C3224" s="30">
        <v>5688869.3324180003</v>
      </c>
      <c r="D3224" s="30">
        <v>8</v>
      </c>
      <c r="E3224" s="30" t="s">
        <v>99</v>
      </c>
      <c r="F3224" s="46">
        <v>2022</v>
      </c>
      <c r="G3224" s="47">
        <v>1.305494475E-2</v>
      </c>
      <c r="H3224" s="47">
        <f t="shared" si="359"/>
        <v>3.7145675972838762E-3</v>
      </c>
      <c r="I3224" s="47">
        <v>0</v>
      </c>
      <c r="J3224" s="47">
        <f t="shared" si="360"/>
        <v>0</v>
      </c>
      <c r="K3224" s="47">
        <v>1.8512223500000001E-2</v>
      </c>
      <c r="L3224" s="47">
        <f t="shared" si="361"/>
        <v>7.014263666240513E-3</v>
      </c>
      <c r="M3224" s="47">
        <f t="shared" si="362"/>
        <v>-3.2996960689566368E-3</v>
      </c>
      <c r="N3224" s="47">
        <v>0</v>
      </c>
      <c r="O3224" s="47">
        <f t="shared" si="363"/>
        <v>0</v>
      </c>
      <c r="P3224" s="92"/>
    </row>
    <row r="3225" spans="1:16" x14ac:dyDescent="0.25">
      <c r="A3225" s="65">
        <v>52</v>
      </c>
      <c r="B3225" s="66">
        <v>438049.10856199998</v>
      </c>
      <c r="C3225" s="66">
        <v>5688869.3324180003</v>
      </c>
      <c r="D3225" s="66">
        <v>8</v>
      </c>
      <c r="E3225" s="66" t="s">
        <v>99</v>
      </c>
      <c r="F3225" s="66">
        <v>2022</v>
      </c>
      <c r="G3225" s="66" t="s">
        <v>18</v>
      </c>
      <c r="H3225" s="66" t="s">
        <v>18</v>
      </c>
      <c r="I3225" s="66" t="s">
        <v>18</v>
      </c>
      <c r="J3225" s="66" t="s">
        <v>18</v>
      </c>
      <c r="K3225" s="66" t="s">
        <v>18</v>
      </c>
      <c r="L3225" s="66" t="s">
        <v>18</v>
      </c>
      <c r="M3225" s="66" t="s">
        <v>18</v>
      </c>
      <c r="N3225" s="66" t="s">
        <v>18</v>
      </c>
      <c r="O3225" s="66" t="s">
        <v>18</v>
      </c>
      <c r="P3225" s="105" t="s">
        <v>166</v>
      </c>
    </row>
    <row r="3226" spans="1:16" x14ac:dyDescent="0.25">
      <c r="A3226" s="89">
        <v>53</v>
      </c>
      <c r="B3226" s="90">
        <v>438287.10856199998</v>
      </c>
      <c r="C3226" s="90">
        <v>5688869.3324180003</v>
      </c>
      <c r="D3226" s="90">
        <v>8</v>
      </c>
      <c r="E3226" s="90" t="s">
        <v>99</v>
      </c>
      <c r="F3226" s="90">
        <v>2022</v>
      </c>
      <c r="G3226" s="90" t="s">
        <v>18</v>
      </c>
      <c r="H3226" s="90" t="s">
        <v>18</v>
      </c>
      <c r="I3226" s="90" t="s">
        <v>18</v>
      </c>
      <c r="J3226" s="90" t="s">
        <v>18</v>
      </c>
      <c r="K3226" s="90" t="s">
        <v>18</v>
      </c>
      <c r="L3226" s="90" t="s">
        <v>18</v>
      </c>
      <c r="M3226" s="90" t="s">
        <v>18</v>
      </c>
      <c r="N3226" s="90" t="s">
        <v>18</v>
      </c>
      <c r="O3226" s="90" t="s">
        <v>18</v>
      </c>
      <c r="P3226" s="113" t="s">
        <v>174</v>
      </c>
    </row>
    <row r="3227" spans="1:16" x14ac:dyDescent="0.25">
      <c r="A3227" s="89">
        <v>54</v>
      </c>
      <c r="B3227" s="90">
        <v>437454.10856199998</v>
      </c>
      <c r="C3227" s="90">
        <v>5688988.3324180003</v>
      </c>
      <c r="D3227" s="90">
        <v>8</v>
      </c>
      <c r="E3227" s="90" t="s">
        <v>99</v>
      </c>
      <c r="F3227" s="90">
        <v>2022</v>
      </c>
      <c r="G3227" s="90" t="s">
        <v>18</v>
      </c>
      <c r="H3227" s="90" t="s">
        <v>18</v>
      </c>
      <c r="I3227" s="90" t="s">
        <v>18</v>
      </c>
      <c r="J3227" s="90" t="s">
        <v>18</v>
      </c>
      <c r="K3227" s="90" t="s">
        <v>18</v>
      </c>
      <c r="L3227" s="90" t="s">
        <v>18</v>
      </c>
      <c r="M3227" s="90" t="s">
        <v>18</v>
      </c>
      <c r="N3227" s="90" t="s">
        <v>18</v>
      </c>
      <c r="O3227" s="90" t="s">
        <v>18</v>
      </c>
      <c r="P3227" s="113" t="s">
        <v>174</v>
      </c>
    </row>
    <row r="3228" spans="1:16" x14ac:dyDescent="0.25">
      <c r="A3228" s="89">
        <v>55</v>
      </c>
      <c r="B3228" s="90">
        <v>438049.10856199998</v>
      </c>
      <c r="C3228" s="90">
        <v>5688988.3324180003</v>
      </c>
      <c r="D3228" s="90">
        <v>8</v>
      </c>
      <c r="E3228" s="90" t="s">
        <v>99</v>
      </c>
      <c r="F3228" s="90">
        <v>2022</v>
      </c>
      <c r="G3228" s="90" t="s">
        <v>18</v>
      </c>
      <c r="H3228" s="90" t="s">
        <v>18</v>
      </c>
      <c r="I3228" s="90" t="s">
        <v>18</v>
      </c>
      <c r="J3228" s="90" t="s">
        <v>18</v>
      </c>
      <c r="K3228" s="90" t="s">
        <v>18</v>
      </c>
      <c r="L3228" s="90" t="s">
        <v>18</v>
      </c>
      <c r="M3228" s="90" t="s">
        <v>18</v>
      </c>
      <c r="N3228" s="90" t="s">
        <v>18</v>
      </c>
      <c r="O3228" s="90" t="s">
        <v>18</v>
      </c>
      <c r="P3228" s="113" t="s">
        <v>174</v>
      </c>
    </row>
    <row r="3229" spans="1:16" x14ac:dyDescent="0.25">
      <c r="A3229" s="29">
        <v>56</v>
      </c>
      <c r="B3229" s="30">
        <v>438168.10856199998</v>
      </c>
      <c r="C3229" s="30">
        <v>5688988.3324180003</v>
      </c>
      <c r="D3229" s="30">
        <v>8</v>
      </c>
      <c r="E3229" s="30" t="s">
        <v>99</v>
      </c>
      <c r="F3229" s="46">
        <v>2022</v>
      </c>
      <c r="G3229" s="47">
        <v>7.2007729999999997E-3</v>
      </c>
      <c r="H3229" s="47">
        <f t="shared" si="359"/>
        <v>2.0488603033878491E-3</v>
      </c>
      <c r="I3229" s="47">
        <v>0</v>
      </c>
      <c r="J3229" s="47">
        <f t="shared" si="360"/>
        <v>0</v>
      </c>
      <c r="K3229" s="47">
        <v>3.4869884999999996E-3</v>
      </c>
      <c r="L3229" s="47">
        <f t="shared" si="361"/>
        <v>1.3212165864434655E-3</v>
      </c>
      <c r="M3229" s="47">
        <f t="shared" si="362"/>
        <v>7.2764371694438367E-4</v>
      </c>
      <c r="N3229" s="47">
        <v>0</v>
      </c>
      <c r="O3229" s="47">
        <f t="shared" si="363"/>
        <v>0</v>
      </c>
      <c r="P3229" s="92"/>
    </row>
    <row r="3230" spans="1:16" x14ac:dyDescent="0.25">
      <c r="A3230" s="40">
        <v>57</v>
      </c>
      <c r="B3230" s="41">
        <v>438146</v>
      </c>
      <c r="C3230" s="41">
        <v>5688977</v>
      </c>
      <c r="D3230" s="41">
        <v>8</v>
      </c>
      <c r="E3230" s="41" t="s">
        <v>99</v>
      </c>
      <c r="F3230" s="50">
        <v>2022</v>
      </c>
      <c r="G3230" s="51">
        <v>4.531667575E-2</v>
      </c>
      <c r="H3230" s="51">
        <f t="shared" si="359"/>
        <v>1.2894107066793217E-2</v>
      </c>
      <c r="I3230" s="51">
        <v>0</v>
      </c>
      <c r="J3230" s="51">
        <f t="shared" si="360"/>
        <v>0</v>
      </c>
      <c r="K3230" s="51">
        <v>1.9844650000000004E-3</v>
      </c>
      <c r="L3230" s="51">
        <f t="shared" si="361"/>
        <v>7.5191187846376101E-4</v>
      </c>
      <c r="M3230" s="51">
        <f t="shared" si="362"/>
        <v>1.2142195188329456E-2</v>
      </c>
      <c r="N3230" s="51">
        <v>0</v>
      </c>
      <c r="O3230" s="51">
        <f t="shared" si="363"/>
        <v>0</v>
      </c>
      <c r="P3230" s="101"/>
    </row>
    <row r="3231" spans="1:16" x14ac:dyDescent="0.25">
      <c r="A3231" s="40">
        <v>58</v>
      </c>
      <c r="B3231" s="41">
        <v>438131</v>
      </c>
      <c r="C3231" s="41">
        <v>5688972</v>
      </c>
      <c r="D3231" s="41">
        <v>8</v>
      </c>
      <c r="E3231" s="41" t="s">
        <v>99</v>
      </c>
      <c r="F3231" s="50">
        <v>2022</v>
      </c>
      <c r="G3231" s="51">
        <v>0.15488749324999998</v>
      </c>
      <c r="H3231" s="51">
        <f t="shared" si="359"/>
        <v>4.4070662470706741E-2</v>
      </c>
      <c r="I3231" s="51">
        <v>0</v>
      </c>
      <c r="J3231" s="51">
        <f t="shared" si="360"/>
        <v>0</v>
      </c>
      <c r="K3231" s="51">
        <v>2.9625227499999996E-3</v>
      </c>
      <c r="L3231" s="51">
        <f t="shared" si="361"/>
        <v>1.1224970185637572E-3</v>
      </c>
      <c r="M3231" s="51">
        <f t="shared" si="362"/>
        <v>4.2948165452142986E-2</v>
      </c>
      <c r="N3231" s="51">
        <v>0</v>
      </c>
      <c r="O3231" s="51">
        <f t="shared" si="363"/>
        <v>0</v>
      </c>
      <c r="P3231" s="101"/>
    </row>
    <row r="3232" spans="1:16" x14ac:dyDescent="0.25">
      <c r="A3232" s="40">
        <v>59</v>
      </c>
      <c r="B3232" s="41">
        <v>438089</v>
      </c>
      <c r="C3232" s="41">
        <v>5688713</v>
      </c>
      <c r="D3232" s="41">
        <v>8</v>
      </c>
      <c r="E3232" s="41" t="s">
        <v>99</v>
      </c>
      <c r="F3232" s="50">
        <v>2022</v>
      </c>
      <c r="G3232" s="51">
        <v>0.10646654725</v>
      </c>
      <c r="H3232" s="51">
        <f t="shared" si="359"/>
        <v>3.0293286887295542E-2</v>
      </c>
      <c r="I3232" s="51">
        <v>0</v>
      </c>
      <c r="J3232" s="51">
        <f t="shared" si="360"/>
        <v>0</v>
      </c>
      <c r="K3232" s="51">
        <v>2.211261E-3</v>
      </c>
      <c r="L3232" s="51">
        <f t="shared" si="361"/>
        <v>8.3784466457390505E-4</v>
      </c>
      <c r="M3232" s="51">
        <f t="shared" si="362"/>
        <v>2.9455442222721638E-2</v>
      </c>
      <c r="N3232" s="51">
        <v>0</v>
      </c>
      <c r="O3232" s="51">
        <f t="shared" si="363"/>
        <v>0</v>
      </c>
      <c r="P3232" s="101"/>
    </row>
    <row r="3233" spans="1:19" x14ac:dyDescent="0.25">
      <c r="A3233" s="40">
        <v>60</v>
      </c>
      <c r="B3233" s="41">
        <v>438099</v>
      </c>
      <c r="C3233" s="41">
        <v>5688719</v>
      </c>
      <c r="D3233" s="41">
        <v>8</v>
      </c>
      <c r="E3233" s="41" t="s">
        <v>99</v>
      </c>
      <c r="F3233" s="50">
        <v>2022</v>
      </c>
      <c r="G3233" s="51">
        <v>5.1085799000000001E-2</v>
      </c>
      <c r="H3233" s="51">
        <f t="shared" si="359"/>
        <v>1.4535615223247655E-2</v>
      </c>
      <c r="I3233" s="51">
        <v>0</v>
      </c>
      <c r="J3233" s="51">
        <f t="shared" si="360"/>
        <v>0</v>
      </c>
      <c r="K3233" s="51">
        <v>2.7640762500000002E-3</v>
      </c>
      <c r="L3233" s="51">
        <f t="shared" si="361"/>
        <v>1.0473058307173813E-3</v>
      </c>
      <c r="M3233" s="51">
        <f t="shared" si="362"/>
        <v>1.3488309392530273E-2</v>
      </c>
      <c r="N3233" s="51">
        <v>0</v>
      </c>
      <c r="O3233" s="51">
        <f t="shared" si="363"/>
        <v>0</v>
      </c>
      <c r="P3233" s="101"/>
    </row>
    <row r="3234" spans="1:19" x14ac:dyDescent="0.25">
      <c r="A3234" s="42">
        <v>1</v>
      </c>
      <c r="B3234" s="43">
        <v>437930.10856199998</v>
      </c>
      <c r="C3234" s="43">
        <v>5688036.3324180003</v>
      </c>
      <c r="D3234" s="44">
        <v>12</v>
      </c>
      <c r="E3234" s="44" t="s">
        <v>61</v>
      </c>
      <c r="F3234" s="44">
        <v>2022</v>
      </c>
      <c r="G3234" s="44" t="s">
        <v>18</v>
      </c>
      <c r="H3234" s="44" t="s">
        <v>18</v>
      </c>
      <c r="I3234" s="44" t="s">
        <v>18</v>
      </c>
      <c r="J3234" s="44" t="s">
        <v>18</v>
      </c>
      <c r="K3234" s="44" t="s">
        <v>18</v>
      </c>
      <c r="L3234" s="44" t="s">
        <v>18</v>
      </c>
      <c r="M3234" s="44" t="s">
        <v>18</v>
      </c>
      <c r="N3234" s="44" t="s">
        <v>18</v>
      </c>
      <c r="O3234" s="44" t="s">
        <v>18</v>
      </c>
      <c r="P3234" s="102" t="s">
        <v>109</v>
      </c>
      <c r="R3234" s="5">
        <f>AVERAGE(M3234:M3293)</f>
        <v>1.2649432561523101E-2</v>
      </c>
      <c r="S3234" s="5">
        <f>AVERAGE(H3234:H3293)</f>
        <v>1.9039519658344526E-2</v>
      </c>
    </row>
    <row r="3235" spans="1:19" x14ac:dyDescent="0.25">
      <c r="A3235" s="42">
        <v>2</v>
      </c>
      <c r="B3235" s="43">
        <v>437811.10856199998</v>
      </c>
      <c r="C3235" s="43">
        <v>5688155.3324180003</v>
      </c>
      <c r="D3235" s="44">
        <v>12</v>
      </c>
      <c r="E3235" s="44" t="s">
        <v>61</v>
      </c>
      <c r="F3235" s="44">
        <v>2022</v>
      </c>
      <c r="G3235" s="44" t="s">
        <v>18</v>
      </c>
      <c r="H3235" s="44" t="s">
        <v>18</v>
      </c>
      <c r="I3235" s="44" t="s">
        <v>18</v>
      </c>
      <c r="J3235" s="44" t="s">
        <v>18</v>
      </c>
      <c r="K3235" s="44" t="s">
        <v>18</v>
      </c>
      <c r="L3235" s="44" t="s">
        <v>18</v>
      </c>
      <c r="M3235" s="44" t="s">
        <v>18</v>
      </c>
      <c r="N3235" s="44" t="s">
        <v>18</v>
      </c>
      <c r="O3235" s="44" t="s">
        <v>18</v>
      </c>
      <c r="P3235" s="102" t="s">
        <v>109</v>
      </c>
    </row>
    <row r="3236" spans="1:19" x14ac:dyDescent="0.25">
      <c r="A3236" s="65">
        <v>3</v>
      </c>
      <c r="B3236" s="66">
        <v>437930.10856199998</v>
      </c>
      <c r="C3236" s="66">
        <v>5688155.3324180003</v>
      </c>
      <c r="D3236" s="66">
        <v>12</v>
      </c>
      <c r="E3236" s="66" t="s">
        <v>61</v>
      </c>
      <c r="F3236" s="66">
        <v>2022</v>
      </c>
      <c r="G3236" s="66" t="s">
        <v>18</v>
      </c>
      <c r="H3236" s="66" t="s">
        <v>18</v>
      </c>
      <c r="I3236" s="66" t="s">
        <v>18</v>
      </c>
      <c r="J3236" s="66" t="s">
        <v>18</v>
      </c>
      <c r="K3236" s="66" t="s">
        <v>18</v>
      </c>
      <c r="L3236" s="66" t="s">
        <v>18</v>
      </c>
      <c r="M3236" s="66" t="s">
        <v>18</v>
      </c>
      <c r="N3236" s="66" t="s">
        <v>18</v>
      </c>
      <c r="O3236" s="66" t="s">
        <v>18</v>
      </c>
      <c r="P3236" s="105" t="s">
        <v>166</v>
      </c>
    </row>
    <row r="3237" spans="1:19" x14ac:dyDescent="0.25">
      <c r="A3237" s="42">
        <v>4</v>
      </c>
      <c r="B3237" s="43">
        <v>438049.10856199998</v>
      </c>
      <c r="C3237" s="43">
        <v>5688155.3324180003</v>
      </c>
      <c r="D3237" s="44">
        <v>12</v>
      </c>
      <c r="E3237" s="44" t="s">
        <v>61</v>
      </c>
      <c r="F3237" s="44">
        <v>2022</v>
      </c>
      <c r="G3237" s="44" t="s">
        <v>18</v>
      </c>
      <c r="H3237" s="44" t="s">
        <v>18</v>
      </c>
      <c r="I3237" s="44" t="s">
        <v>18</v>
      </c>
      <c r="J3237" s="44" t="s">
        <v>18</v>
      </c>
      <c r="K3237" s="44" t="s">
        <v>18</v>
      </c>
      <c r="L3237" s="44" t="s">
        <v>18</v>
      </c>
      <c r="M3237" s="44" t="s">
        <v>18</v>
      </c>
      <c r="N3237" s="44" t="s">
        <v>18</v>
      </c>
      <c r="O3237" s="44" t="s">
        <v>18</v>
      </c>
      <c r="P3237" s="102" t="s">
        <v>109</v>
      </c>
    </row>
    <row r="3238" spans="1:19" x14ac:dyDescent="0.25">
      <c r="A3238" s="42">
        <v>5</v>
      </c>
      <c r="B3238" s="43">
        <v>437573.10856199998</v>
      </c>
      <c r="C3238" s="43">
        <v>5688274.3324180003</v>
      </c>
      <c r="D3238" s="44">
        <v>12</v>
      </c>
      <c r="E3238" s="44" t="s">
        <v>61</v>
      </c>
      <c r="F3238" s="44">
        <v>2022</v>
      </c>
      <c r="G3238" s="44" t="s">
        <v>18</v>
      </c>
      <c r="H3238" s="44" t="s">
        <v>18</v>
      </c>
      <c r="I3238" s="44" t="s">
        <v>18</v>
      </c>
      <c r="J3238" s="44" t="s">
        <v>18</v>
      </c>
      <c r="K3238" s="44" t="s">
        <v>18</v>
      </c>
      <c r="L3238" s="44" t="s">
        <v>18</v>
      </c>
      <c r="M3238" s="44" t="s">
        <v>18</v>
      </c>
      <c r="N3238" s="44" t="s">
        <v>18</v>
      </c>
      <c r="O3238" s="44" t="s">
        <v>18</v>
      </c>
      <c r="P3238" s="102" t="s">
        <v>109</v>
      </c>
    </row>
    <row r="3239" spans="1:19" x14ac:dyDescent="0.25">
      <c r="A3239" s="89">
        <v>6</v>
      </c>
      <c r="B3239" s="90">
        <v>437692.10856199998</v>
      </c>
      <c r="C3239" s="90">
        <v>5688274.3324180003</v>
      </c>
      <c r="D3239" s="90">
        <v>12</v>
      </c>
      <c r="E3239" s="90" t="s">
        <v>61</v>
      </c>
      <c r="F3239" s="90">
        <v>2022</v>
      </c>
      <c r="G3239" s="90" t="s">
        <v>18</v>
      </c>
      <c r="H3239" s="90" t="s">
        <v>18</v>
      </c>
      <c r="I3239" s="90" t="s">
        <v>18</v>
      </c>
      <c r="J3239" s="90" t="s">
        <v>18</v>
      </c>
      <c r="K3239" s="90" t="s">
        <v>18</v>
      </c>
      <c r="L3239" s="90" t="s">
        <v>18</v>
      </c>
      <c r="M3239" s="90" t="s">
        <v>18</v>
      </c>
      <c r="N3239" s="90" t="s">
        <v>18</v>
      </c>
      <c r="O3239" s="90" t="s">
        <v>18</v>
      </c>
      <c r="P3239" s="113" t="s">
        <v>174</v>
      </c>
    </row>
    <row r="3240" spans="1:19" x14ac:dyDescent="0.25">
      <c r="A3240" s="65">
        <v>7</v>
      </c>
      <c r="B3240" s="66">
        <v>437811.10856199998</v>
      </c>
      <c r="C3240" s="66">
        <v>5688274.3324180003</v>
      </c>
      <c r="D3240" s="66">
        <v>12</v>
      </c>
      <c r="E3240" s="66" t="s">
        <v>61</v>
      </c>
      <c r="F3240" s="66">
        <v>2022</v>
      </c>
      <c r="G3240" s="66" t="s">
        <v>18</v>
      </c>
      <c r="H3240" s="66" t="s">
        <v>18</v>
      </c>
      <c r="I3240" s="66" t="s">
        <v>18</v>
      </c>
      <c r="J3240" s="66" t="s">
        <v>18</v>
      </c>
      <c r="K3240" s="66" t="s">
        <v>18</v>
      </c>
      <c r="L3240" s="66" t="s">
        <v>18</v>
      </c>
      <c r="M3240" s="66" t="s">
        <v>18</v>
      </c>
      <c r="N3240" s="66" t="s">
        <v>18</v>
      </c>
      <c r="O3240" s="66" t="s">
        <v>18</v>
      </c>
      <c r="P3240" s="105" t="s">
        <v>166</v>
      </c>
    </row>
    <row r="3241" spans="1:19" x14ac:dyDescent="0.25">
      <c r="A3241" s="42">
        <v>8</v>
      </c>
      <c r="B3241" s="43">
        <v>437930.10856199998</v>
      </c>
      <c r="C3241" s="43">
        <v>5688274.3324180003</v>
      </c>
      <c r="D3241" s="44">
        <v>12</v>
      </c>
      <c r="E3241" s="44" t="s">
        <v>61</v>
      </c>
      <c r="F3241" s="44">
        <v>2022</v>
      </c>
      <c r="G3241" s="44" t="s">
        <v>18</v>
      </c>
      <c r="H3241" s="44" t="s">
        <v>18</v>
      </c>
      <c r="I3241" s="44" t="s">
        <v>18</v>
      </c>
      <c r="J3241" s="44" t="s">
        <v>18</v>
      </c>
      <c r="K3241" s="44" t="s">
        <v>18</v>
      </c>
      <c r="L3241" s="44" t="s">
        <v>18</v>
      </c>
      <c r="M3241" s="44" t="s">
        <v>18</v>
      </c>
      <c r="N3241" s="44" t="s">
        <v>18</v>
      </c>
      <c r="O3241" s="44" t="s">
        <v>18</v>
      </c>
      <c r="P3241" s="102" t="s">
        <v>109</v>
      </c>
    </row>
    <row r="3242" spans="1:19" x14ac:dyDescent="0.25">
      <c r="A3242" s="89">
        <v>9</v>
      </c>
      <c r="B3242" s="90">
        <v>438287.10856199998</v>
      </c>
      <c r="C3242" s="90">
        <v>5688274.3324180003</v>
      </c>
      <c r="D3242" s="90">
        <v>12</v>
      </c>
      <c r="E3242" s="90" t="s">
        <v>61</v>
      </c>
      <c r="F3242" s="90">
        <v>2022</v>
      </c>
      <c r="G3242" s="90" t="s">
        <v>18</v>
      </c>
      <c r="H3242" s="90" t="s">
        <v>18</v>
      </c>
      <c r="I3242" s="90" t="s">
        <v>18</v>
      </c>
      <c r="J3242" s="90" t="s">
        <v>18</v>
      </c>
      <c r="K3242" s="90" t="s">
        <v>18</v>
      </c>
      <c r="L3242" s="90" t="s">
        <v>18</v>
      </c>
      <c r="M3242" s="90" t="s">
        <v>18</v>
      </c>
      <c r="N3242" s="90" t="s">
        <v>18</v>
      </c>
      <c r="O3242" s="90" t="s">
        <v>18</v>
      </c>
      <c r="P3242" s="113" t="s">
        <v>174</v>
      </c>
    </row>
    <row r="3243" spans="1:19" x14ac:dyDescent="0.25">
      <c r="A3243" s="29">
        <v>10</v>
      </c>
      <c r="B3243" s="30">
        <v>438406.10856199998</v>
      </c>
      <c r="C3243" s="30">
        <v>5688274.3324180003</v>
      </c>
      <c r="D3243" s="30">
        <v>12</v>
      </c>
      <c r="E3243" s="30" t="s">
        <v>61</v>
      </c>
      <c r="F3243" s="46">
        <v>2022</v>
      </c>
      <c r="G3243" s="47">
        <v>0.12350459674999999</v>
      </c>
      <c r="H3243" s="47">
        <f>G3243*0.226626119545062</f>
        <v>2.7989367507430175E-2</v>
      </c>
      <c r="I3243" s="47">
        <v>0</v>
      </c>
      <c r="J3243" s="47">
        <f>I3243*0.291461587926989</f>
        <v>0</v>
      </c>
      <c r="K3243" s="47">
        <v>3.8512795750000002E-2</v>
      </c>
      <c r="L3243" s="47">
        <f>K3243*0.321138470816454</f>
        <v>1.2367940334021429E-2</v>
      </c>
      <c r="M3243" s="47">
        <f>H3243-L3243</f>
        <v>1.5621427173408746E-2</v>
      </c>
      <c r="N3243" s="47">
        <v>0</v>
      </c>
      <c r="O3243" s="47">
        <f>N3243*0.334124319339177</f>
        <v>0</v>
      </c>
      <c r="P3243" s="92"/>
    </row>
    <row r="3244" spans="1:19" x14ac:dyDescent="0.25">
      <c r="A3244" s="42">
        <v>11</v>
      </c>
      <c r="B3244" s="43">
        <v>437454.10856199998</v>
      </c>
      <c r="C3244" s="43">
        <v>5688393.3324180003</v>
      </c>
      <c r="D3244" s="44">
        <v>12</v>
      </c>
      <c r="E3244" s="44" t="s">
        <v>61</v>
      </c>
      <c r="F3244" s="44">
        <v>2022</v>
      </c>
      <c r="G3244" s="44" t="s">
        <v>18</v>
      </c>
      <c r="H3244" s="44" t="s">
        <v>18</v>
      </c>
      <c r="I3244" s="44" t="s">
        <v>18</v>
      </c>
      <c r="J3244" s="44" t="s">
        <v>18</v>
      </c>
      <c r="K3244" s="44" t="s">
        <v>18</v>
      </c>
      <c r="L3244" s="44" t="s">
        <v>18</v>
      </c>
      <c r="M3244" s="44" t="s">
        <v>18</v>
      </c>
      <c r="N3244" s="44" t="s">
        <v>18</v>
      </c>
      <c r="O3244" s="44" t="s">
        <v>18</v>
      </c>
      <c r="P3244" s="102" t="s">
        <v>109</v>
      </c>
    </row>
    <row r="3245" spans="1:19" x14ac:dyDescent="0.25">
      <c r="A3245" s="29">
        <v>12</v>
      </c>
      <c r="B3245" s="30">
        <v>437573.10856199998</v>
      </c>
      <c r="C3245" s="30">
        <v>5688393.3324180003</v>
      </c>
      <c r="D3245" s="30">
        <v>12</v>
      </c>
      <c r="E3245" s="30" t="s">
        <v>61</v>
      </c>
      <c r="F3245" s="46">
        <v>2022</v>
      </c>
      <c r="G3245" s="72" t="s">
        <v>18</v>
      </c>
      <c r="H3245" s="72" t="s">
        <v>18</v>
      </c>
      <c r="I3245" s="72" t="s">
        <v>18</v>
      </c>
      <c r="J3245" s="72" t="s">
        <v>18</v>
      </c>
      <c r="K3245" s="47">
        <v>7.5976660000000003E-3</v>
      </c>
      <c r="L3245" s="47">
        <f t="shared" ref="L3245:L3293" si="364">K3245*0.321138470816454</f>
        <v>2.4399028410141653E-3</v>
      </c>
      <c r="M3245" s="114" t="s">
        <v>18</v>
      </c>
      <c r="N3245" s="47">
        <v>7.7535882500000004E-3</v>
      </c>
      <c r="O3245" s="47">
        <f t="shared" ref="O3245:O3293" si="365">N3245*0.334124319339177</f>
        <v>2.5906623964674909E-3</v>
      </c>
      <c r="P3245" s="92" t="s">
        <v>93</v>
      </c>
    </row>
    <row r="3246" spans="1:19" x14ac:dyDescent="0.25">
      <c r="A3246" s="29">
        <v>13</v>
      </c>
      <c r="B3246" s="30">
        <v>437692.10856199998</v>
      </c>
      <c r="C3246" s="30">
        <v>5688393.3324180003</v>
      </c>
      <c r="D3246" s="30">
        <v>12</v>
      </c>
      <c r="E3246" s="30" t="s">
        <v>61</v>
      </c>
      <c r="F3246" s="46">
        <v>2022</v>
      </c>
      <c r="G3246" s="47">
        <v>9.5977232250000002E-2</v>
      </c>
      <c r="H3246" s="47">
        <f t="shared" ref="H3246:H3293" si="366">G3246*0.226626119545062</f>
        <v>2.1750947709492683E-2</v>
      </c>
      <c r="I3246" s="47">
        <v>7.6529475250000006E-2</v>
      </c>
      <c r="J3246" s="47">
        <f t="shared" ref="J3246:J3293" si="367">I3246*0.291461587926989</f>
        <v>2.2305402379584206E-2</v>
      </c>
      <c r="K3246" s="47">
        <v>0.11565178525</v>
      </c>
      <c r="L3246" s="47">
        <f t="shared" si="364"/>
        <v>3.7140237462377934E-2</v>
      </c>
      <c r="M3246" s="47">
        <f t="shared" ref="M3246:M3293" si="368">H3246-L3246</f>
        <v>-1.5389289752885251E-2</v>
      </c>
      <c r="N3246" s="47">
        <v>2.3331638499999998E-2</v>
      </c>
      <c r="O3246" s="47">
        <f t="shared" si="365"/>
        <v>7.7956678328802362E-3</v>
      </c>
      <c r="P3246" s="92"/>
    </row>
    <row r="3247" spans="1:19" x14ac:dyDescent="0.25">
      <c r="A3247" s="32">
        <v>14</v>
      </c>
      <c r="B3247" s="33">
        <v>437811.10856199998</v>
      </c>
      <c r="C3247" s="33">
        <v>5688393.3324180003</v>
      </c>
      <c r="D3247" s="48">
        <v>12</v>
      </c>
      <c r="E3247" s="48" t="s">
        <v>61</v>
      </c>
      <c r="F3247" s="48">
        <v>2022</v>
      </c>
      <c r="G3247" s="48" t="s">
        <v>18</v>
      </c>
      <c r="H3247" s="48" t="s">
        <v>18</v>
      </c>
      <c r="I3247" s="48" t="s">
        <v>18</v>
      </c>
      <c r="J3247" s="48" t="s">
        <v>18</v>
      </c>
      <c r="K3247" s="48" t="s">
        <v>18</v>
      </c>
      <c r="L3247" s="48" t="s">
        <v>18</v>
      </c>
      <c r="M3247" s="48" t="s">
        <v>18</v>
      </c>
      <c r="N3247" s="48" t="s">
        <v>18</v>
      </c>
      <c r="O3247" s="48" t="s">
        <v>18</v>
      </c>
      <c r="P3247" s="103" t="s">
        <v>89</v>
      </c>
    </row>
    <row r="3248" spans="1:19" x14ac:dyDescent="0.25">
      <c r="A3248" s="29">
        <v>15</v>
      </c>
      <c r="B3248" s="30">
        <v>437930.10856199998</v>
      </c>
      <c r="C3248" s="30">
        <v>5688393.3324180003</v>
      </c>
      <c r="D3248" s="30">
        <v>12</v>
      </c>
      <c r="E3248" s="30" t="s">
        <v>61</v>
      </c>
      <c r="F3248" s="46">
        <v>2022</v>
      </c>
      <c r="G3248" s="47">
        <v>7.550889325E-2</v>
      </c>
      <c r="H3248" s="47">
        <f t="shared" si="366"/>
        <v>1.7112287468389827E-2</v>
      </c>
      <c r="I3248" s="47">
        <v>7.864151300000001E-2</v>
      </c>
      <c r="J3248" s="47">
        <f t="shared" si="367"/>
        <v>2.2920980255960951E-2</v>
      </c>
      <c r="K3248" s="47">
        <v>2.7995131249999999E-2</v>
      </c>
      <c r="L3248" s="47">
        <f t="shared" si="364"/>
        <v>8.9903136399309257E-3</v>
      </c>
      <c r="M3248" s="47">
        <f t="shared" si="368"/>
        <v>8.1219738284589015E-3</v>
      </c>
      <c r="N3248" s="47">
        <v>2.5188530749999997E-2</v>
      </c>
      <c r="O3248" s="47">
        <f t="shared" si="365"/>
        <v>8.4161006919976789E-3</v>
      </c>
      <c r="P3248" s="92"/>
    </row>
    <row r="3249" spans="1:16" x14ac:dyDescent="0.25">
      <c r="A3249" s="29">
        <v>16</v>
      </c>
      <c r="B3249" s="30">
        <v>438049.10856199998</v>
      </c>
      <c r="C3249" s="30">
        <v>5688393.3324180003</v>
      </c>
      <c r="D3249" s="30">
        <v>12</v>
      </c>
      <c r="E3249" s="30" t="s">
        <v>61</v>
      </c>
      <c r="F3249" s="46">
        <v>2022</v>
      </c>
      <c r="G3249" s="47">
        <v>9.4942475499999998E-2</v>
      </c>
      <c r="H3249" s="47">
        <f t="shared" si="366"/>
        <v>2.151644480256712E-2</v>
      </c>
      <c r="I3249" s="47">
        <v>4.09083285E-2</v>
      </c>
      <c r="J3249" s="47">
        <f t="shared" si="367"/>
        <v>1.1923206384048901E-2</v>
      </c>
      <c r="K3249" s="47">
        <v>2.5953967249999998E-2</v>
      </c>
      <c r="L3249" s="47">
        <f t="shared" si="364"/>
        <v>8.3348173542853281E-3</v>
      </c>
      <c r="M3249" s="47">
        <f t="shared" si="368"/>
        <v>1.3181627448281791E-2</v>
      </c>
      <c r="N3249" s="47">
        <v>2.0199018749999999E-2</v>
      </c>
      <c r="O3249" s="47">
        <f t="shared" si="365"/>
        <v>6.7489833911630239E-3</v>
      </c>
      <c r="P3249" s="92"/>
    </row>
    <row r="3250" spans="1:16" x14ac:dyDescent="0.25">
      <c r="A3250" s="29">
        <v>17</v>
      </c>
      <c r="B3250" s="30">
        <v>438168.10856199998</v>
      </c>
      <c r="C3250" s="30">
        <v>5688393.3324180003</v>
      </c>
      <c r="D3250" s="30">
        <v>12</v>
      </c>
      <c r="E3250" s="30" t="s">
        <v>61</v>
      </c>
      <c r="F3250" s="46">
        <v>2022</v>
      </c>
      <c r="G3250" s="47">
        <v>5.9009484250000001E-2</v>
      </c>
      <c r="H3250" s="47">
        <f t="shared" si="366"/>
        <v>1.3373090431932954E-2</v>
      </c>
      <c r="I3250" s="47">
        <v>8.1958404499999998E-2</v>
      </c>
      <c r="J3250" s="47">
        <f t="shared" si="367"/>
        <v>2.388772671953248E-2</v>
      </c>
      <c r="K3250" s="47">
        <v>2.900888443E-2</v>
      </c>
      <c r="L3250" s="47">
        <f t="shared" si="364"/>
        <v>9.3158687859414419E-3</v>
      </c>
      <c r="M3250" s="47">
        <f>H3250-L3250</f>
        <v>4.0572216459915118E-3</v>
      </c>
      <c r="N3250" s="47">
        <v>5.5579194749999991E-2</v>
      </c>
      <c r="O3250" s="47">
        <f t="shared" si="365"/>
        <v>1.8570360615263307E-2</v>
      </c>
      <c r="P3250" s="92"/>
    </row>
    <row r="3251" spans="1:16" x14ac:dyDescent="0.25">
      <c r="A3251" s="29">
        <v>18</v>
      </c>
      <c r="B3251" s="30">
        <v>438287.10856199998</v>
      </c>
      <c r="C3251" s="30">
        <v>5688393.3324180003</v>
      </c>
      <c r="D3251" s="30">
        <v>12</v>
      </c>
      <c r="E3251" s="30" t="s">
        <v>61</v>
      </c>
      <c r="F3251" s="46">
        <v>2022</v>
      </c>
      <c r="G3251" s="47">
        <v>4.0270464750000005E-2</v>
      </c>
      <c r="H3251" s="47">
        <f t="shared" si="366"/>
        <v>9.1263391585687074E-3</v>
      </c>
      <c r="I3251" s="47">
        <v>0</v>
      </c>
      <c r="J3251" s="47">
        <f t="shared" si="367"/>
        <v>0</v>
      </c>
      <c r="K3251" s="47">
        <v>1.6400185749999997E-2</v>
      </c>
      <c r="L3251" s="47">
        <f t="shared" si="364"/>
        <v>5.2667305728607994E-3</v>
      </c>
      <c r="M3251" s="47">
        <f t="shared" si="368"/>
        <v>3.859608585707908E-3</v>
      </c>
      <c r="N3251" s="47">
        <v>0</v>
      </c>
      <c r="O3251" s="47">
        <f t="shared" si="365"/>
        <v>0</v>
      </c>
      <c r="P3251" s="92"/>
    </row>
    <row r="3252" spans="1:16" x14ac:dyDescent="0.25">
      <c r="A3252" s="29">
        <v>19</v>
      </c>
      <c r="B3252" s="30">
        <v>438406.10856199998</v>
      </c>
      <c r="C3252" s="30">
        <v>5688393.3324180003</v>
      </c>
      <c r="D3252" s="30">
        <v>12</v>
      </c>
      <c r="E3252" s="30" t="s">
        <v>61</v>
      </c>
      <c r="F3252" s="46">
        <v>2022</v>
      </c>
      <c r="G3252" s="47">
        <v>5.3693952999999996E-2</v>
      </c>
      <c r="H3252" s="47">
        <f t="shared" si="366"/>
        <v>1.216845221142494E-2</v>
      </c>
      <c r="I3252" s="47">
        <v>0</v>
      </c>
      <c r="J3252" s="47">
        <f t="shared" si="367"/>
        <v>0</v>
      </c>
      <c r="K3252" s="47">
        <v>6.4636859999999997E-3</v>
      </c>
      <c r="L3252" s="47">
        <f t="shared" si="364"/>
        <v>2.0757382378777224E-3</v>
      </c>
      <c r="M3252" s="47">
        <f t="shared" si="368"/>
        <v>1.0092713973547218E-2</v>
      </c>
      <c r="N3252" s="47">
        <v>0</v>
      </c>
      <c r="O3252" s="47">
        <f t="shared" si="365"/>
        <v>0</v>
      </c>
      <c r="P3252" s="92"/>
    </row>
    <row r="3253" spans="1:16" x14ac:dyDescent="0.25">
      <c r="A3253" s="42">
        <v>20</v>
      </c>
      <c r="B3253" s="43">
        <v>437335.10856199998</v>
      </c>
      <c r="C3253" s="43">
        <v>5688512.3324180003</v>
      </c>
      <c r="D3253" s="44">
        <v>12</v>
      </c>
      <c r="E3253" s="44" t="s">
        <v>61</v>
      </c>
      <c r="F3253" s="44">
        <v>2022</v>
      </c>
      <c r="G3253" s="44" t="s">
        <v>18</v>
      </c>
      <c r="H3253" s="44" t="s">
        <v>18</v>
      </c>
      <c r="I3253" s="44" t="s">
        <v>18</v>
      </c>
      <c r="J3253" s="44" t="s">
        <v>18</v>
      </c>
      <c r="K3253" s="44" t="s">
        <v>18</v>
      </c>
      <c r="L3253" s="44" t="s">
        <v>18</v>
      </c>
      <c r="M3253" s="44" t="s">
        <v>18</v>
      </c>
      <c r="N3253" s="44" t="s">
        <v>18</v>
      </c>
      <c r="O3253" s="44" t="s">
        <v>18</v>
      </c>
      <c r="P3253" s="102" t="s">
        <v>109</v>
      </c>
    </row>
    <row r="3254" spans="1:16" x14ac:dyDescent="0.25">
      <c r="A3254" s="29">
        <v>21</v>
      </c>
      <c r="B3254" s="30">
        <v>437454.10856199998</v>
      </c>
      <c r="C3254" s="30">
        <v>5688512.3324180003</v>
      </c>
      <c r="D3254" s="30">
        <v>12</v>
      </c>
      <c r="E3254" s="30" t="s">
        <v>61</v>
      </c>
      <c r="F3254" s="46">
        <v>2022</v>
      </c>
      <c r="G3254" s="47">
        <v>2.9554353749999998E-2</v>
      </c>
      <c r="H3254" s="47">
        <f t="shared" si="366"/>
        <v>6.6977885060245509E-3</v>
      </c>
      <c r="I3254" s="47">
        <v>1.560639975E-2</v>
      </c>
      <c r="J3254" s="47">
        <f t="shared" si="367"/>
        <v>4.5486660529583641E-3</v>
      </c>
      <c r="K3254" s="47">
        <v>3.9689300000000007E-3</v>
      </c>
      <c r="L3254" s="47">
        <f t="shared" si="364"/>
        <v>1.2745761109775491E-3</v>
      </c>
      <c r="M3254" s="47">
        <f>H3254-L3254</f>
        <v>5.4232123950470022E-3</v>
      </c>
      <c r="N3254" s="47">
        <v>6.8605789999999995E-3</v>
      </c>
      <c r="O3254" s="47">
        <f t="shared" si="365"/>
        <v>2.2922862886476515E-3</v>
      </c>
      <c r="P3254" s="92"/>
    </row>
    <row r="3255" spans="1:16" x14ac:dyDescent="0.25">
      <c r="A3255" s="29">
        <v>22</v>
      </c>
      <c r="B3255" s="30">
        <v>437573.10856199998</v>
      </c>
      <c r="C3255" s="30">
        <v>5688512.3324180003</v>
      </c>
      <c r="D3255" s="30">
        <v>12</v>
      </c>
      <c r="E3255" s="30" t="s">
        <v>61</v>
      </c>
      <c r="F3255" s="46">
        <v>2022</v>
      </c>
      <c r="G3255" s="47">
        <v>0.21211095900000002</v>
      </c>
      <c r="H3255" s="47">
        <f t="shared" si="366"/>
        <v>4.806988355115175E-2</v>
      </c>
      <c r="I3255" s="47">
        <v>2.1460571500000001E-2</v>
      </c>
      <c r="J3255" s="47">
        <f t="shared" si="367"/>
        <v>6.2549322472106846E-3</v>
      </c>
      <c r="K3255" s="47">
        <v>2.5571248999999997E-2</v>
      </c>
      <c r="L3255" s="47">
        <f t="shared" si="364"/>
        <v>8.2119118007267788E-3</v>
      </c>
      <c r="M3255" s="47">
        <f t="shared" si="368"/>
        <v>3.9857971750424971E-2</v>
      </c>
      <c r="N3255" s="47">
        <v>5.2588322500000005E-3</v>
      </c>
      <c r="O3255" s="47">
        <f t="shared" si="365"/>
        <v>1.7571037460501629E-3</v>
      </c>
      <c r="P3255" s="92"/>
    </row>
    <row r="3256" spans="1:16" x14ac:dyDescent="0.25">
      <c r="A3256" s="29">
        <v>23</v>
      </c>
      <c r="B3256" s="30">
        <v>437692.10856199998</v>
      </c>
      <c r="C3256" s="30">
        <v>5688512.3324180003</v>
      </c>
      <c r="D3256" s="30">
        <v>12</v>
      </c>
      <c r="E3256" s="30" t="s">
        <v>61</v>
      </c>
      <c r="F3256" s="46">
        <v>2022</v>
      </c>
      <c r="G3256" s="47">
        <v>5.8017251749999998E-2</v>
      </c>
      <c r="H3256" s="47">
        <f t="shared" si="366"/>
        <v>1.3148224630771458E-2</v>
      </c>
      <c r="I3256" s="47">
        <v>5.0972401000000001E-2</v>
      </c>
      <c r="J3256" s="47">
        <f t="shared" si="367"/>
        <v>1.4856496935911243E-2</v>
      </c>
      <c r="K3256" s="47">
        <v>8.8025197499999996E-3</v>
      </c>
      <c r="L3256" s="47">
        <f t="shared" si="364"/>
        <v>2.826827731846635E-3</v>
      </c>
      <c r="M3256" s="47">
        <f t="shared" si="368"/>
        <v>1.0321396898924824E-2</v>
      </c>
      <c r="N3256" s="47">
        <v>2.4366395249999999E-2</v>
      </c>
      <c r="O3256" s="47">
        <f t="shared" si="365"/>
        <v>8.1414052276556053E-3</v>
      </c>
      <c r="P3256" s="92"/>
    </row>
    <row r="3257" spans="1:16" x14ac:dyDescent="0.25">
      <c r="A3257" s="29">
        <v>24</v>
      </c>
      <c r="B3257" s="30">
        <v>437811.10856199998</v>
      </c>
      <c r="C3257" s="30">
        <v>5688512.3324180003</v>
      </c>
      <c r="D3257" s="30">
        <v>12</v>
      </c>
      <c r="E3257" s="30" t="s">
        <v>61</v>
      </c>
      <c r="F3257" s="46">
        <v>2022</v>
      </c>
      <c r="G3257" s="47">
        <v>8.7061314500000014E-2</v>
      </c>
      <c r="H3257" s="47">
        <f t="shared" si="366"/>
        <v>1.9730367867627243E-2</v>
      </c>
      <c r="I3257" s="47">
        <v>3.3665031249999998E-2</v>
      </c>
      <c r="J3257" s="47">
        <f t="shared" si="367"/>
        <v>9.8120634657367072E-3</v>
      </c>
      <c r="K3257" s="47">
        <v>2.1092027999999999E-2</v>
      </c>
      <c r="L3257" s="47">
        <f t="shared" si="364"/>
        <v>6.7734616183378312E-3</v>
      </c>
      <c r="M3257" s="47">
        <f t="shared" si="368"/>
        <v>1.2956906249289413E-2</v>
      </c>
      <c r="N3257" s="47">
        <v>0</v>
      </c>
      <c r="O3257" s="47">
        <f t="shared" si="365"/>
        <v>0</v>
      </c>
      <c r="P3257" s="92"/>
    </row>
    <row r="3258" spans="1:16" x14ac:dyDescent="0.25">
      <c r="A3258" s="29">
        <v>25</v>
      </c>
      <c r="B3258" s="46">
        <v>437995</v>
      </c>
      <c r="C3258" s="46">
        <v>5688493</v>
      </c>
      <c r="D3258" s="30">
        <v>12</v>
      </c>
      <c r="E3258" s="30" t="s">
        <v>61</v>
      </c>
      <c r="F3258" s="46">
        <v>2022</v>
      </c>
      <c r="G3258" s="47">
        <v>3.5862117499999999E-2</v>
      </c>
      <c r="H3258" s="47">
        <f t="shared" si="366"/>
        <v>8.1272925276940598E-3</v>
      </c>
      <c r="I3258" s="47">
        <v>0</v>
      </c>
      <c r="J3258" s="47">
        <f t="shared" si="367"/>
        <v>0</v>
      </c>
      <c r="K3258" s="47">
        <v>7.7535882500000004E-3</v>
      </c>
      <c r="L3258" s="47">
        <f t="shared" si="364"/>
        <v>2.489975473945426E-3</v>
      </c>
      <c r="M3258" s="47">
        <f t="shared" si="368"/>
        <v>5.6373170537486333E-3</v>
      </c>
      <c r="N3258" s="47">
        <v>0</v>
      </c>
      <c r="O3258" s="47">
        <f t="shared" si="365"/>
        <v>0</v>
      </c>
      <c r="P3258" s="92"/>
    </row>
    <row r="3259" spans="1:16" x14ac:dyDescent="0.25">
      <c r="A3259" s="29">
        <v>26</v>
      </c>
      <c r="B3259" s="46">
        <v>438112</v>
      </c>
      <c r="C3259" s="46">
        <v>5688567</v>
      </c>
      <c r="D3259" s="30">
        <v>12</v>
      </c>
      <c r="E3259" s="30" t="s">
        <v>61</v>
      </c>
      <c r="F3259" s="46">
        <v>2022</v>
      </c>
      <c r="G3259" s="47">
        <v>5.6174534249999998E-2</v>
      </c>
      <c r="H3259" s="47">
        <f t="shared" si="366"/>
        <v>1.273061671432868E-2</v>
      </c>
      <c r="I3259" s="47">
        <v>0</v>
      </c>
      <c r="J3259" s="47">
        <f t="shared" si="367"/>
        <v>0</v>
      </c>
      <c r="K3259" s="47">
        <v>1.8115330499999999E-2</v>
      </c>
      <c r="L3259" s="47">
        <f t="shared" si="364"/>
        <v>5.817529535104669E-3</v>
      </c>
      <c r="M3259" s="47">
        <f t="shared" si="368"/>
        <v>6.9130871792240107E-3</v>
      </c>
      <c r="N3259" s="47">
        <v>0</v>
      </c>
      <c r="O3259" s="47">
        <f t="shared" si="365"/>
        <v>0</v>
      </c>
      <c r="P3259" s="92"/>
    </row>
    <row r="3260" spans="1:16" x14ac:dyDescent="0.25">
      <c r="A3260" s="32">
        <v>27</v>
      </c>
      <c r="B3260" s="33">
        <v>438168.10856199998</v>
      </c>
      <c r="C3260" s="33">
        <v>5688512.3324180003</v>
      </c>
      <c r="D3260" s="48">
        <v>12</v>
      </c>
      <c r="E3260" s="48" t="s">
        <v>61</v>
      </c>
      <c r="F3260" s="48">
        <v>2022</v>
      </c>
      <c r="G3260" s="48" t="s">
        <v>18</v>
      </c>
      <c r="H3260" s="48" t="s">
        <v>18</v>
      </c>
      <c r="I3260" s="48" t="s">
        <v>18</v>
      </c>
      <c r="J3260" s="48" t="s">
        <v>18</v>
      </c>
      <c r="K3260" s="48" t="s">
        <v>18</v>
      </c>
      <c r="L3260" s="48" t="s">
        <v>18</v>
      </c>
      <c r="M3260" s="48" t="s">
        <v>18</v>
      </c>
      <c r="N3260" s="48" t="s">
        <v>18</v>
      </c>
      <c r="O3260" s="48" t="s">
        <v>18</v>
      </c>
      <c r="P3260" s="103" t="s">
        <v>89</v>
      </c>
    </row>
    <row r="3261" spans="1:16" x14ac:dyDescent="0.25">
      <c r="A3261" s="32">
        <v>28</v>
      </c>
      <c r="B3261" s="33">
        <v>438287.10856199998</v>
      </c>
      <c r="C3261" s="33">
        <v>5688512.3324180003</v>
      </c>
      <c r="D3261" s="48">
        <v>12</v>
      </c>
      <c r="E3261" s="48" t="s">
        <v>61</v>
      </c>
      <c r="F3261" s="48">
        <v>2022</v>
      </c>
      <c r="G3261" s="48" t="s">
        <v>18</v>
      </c>
      <c r="H3261" s="48" t="s">
        <v>18</v>
      </c>
      <c r="I3261" s="48" t="s">
        <v>18</v>
      </c>
      <c r="J3261" s="48" t="s">
        <v>18</v>
      </c>
      <c r="K3261" s="48" t="s">
        <v>18</v>
      </c>
      <c r="L3261" s="48" t="s">
        <v>18</v>
      </c>
      <c r="M3261" s="48" t="s">
        <v>18</v>
      </c>
      <c r="N3261" s="48" t="s">
        <v>18</v>
      </c>
      <c r="O3261" s="48" t="s">
        <v>18</v>
      </c>
      <c r="P3261" s="103" t="s">
        <v>89</v>
      </c>
    </row>
    <row r="3262" spans="1:16" x14ac:dyDescent="0.25">
      <c r="A3262" s="29">
        <v>29</v>
      </c>
      <c r="B3262" s="30">
        <v>438381</v>
      </c>
      <c r="C3262" s="30">
        <v>5688526</v>
      </c>
      <c r="D3262" s="30">
        <v>12</v>
      </c>
      <c r="E3262" s="30" t="s">
        <v>61</v>
      </c>
      <c r="F3262" s="46">
        <v>2022</v>
      </c>
      <c r="G3262" s="71">
        <v>4.4962307E-2</v>
      </c>
      <c r="H3262" s="47">
        <f t="shared" si="366"/>
        <v>1.0189633161203778E-2</v>
      </c>
      <c r="I3262" s="47">
        <v>0</v>
      </c>
      <c r="J3262" s="47">
        <f t="shared" si="367"/>
        <v>0</v>
      </c>
      <c r="K3262" s="47">
        <v>8.4339762499999991E-3</v>
      </c>
      <c r="L3262" s="47">
        <f t="shared" si="364"/>
        <v>2.7084742358272911E-3</v>
      </c>
      <c r="M3262" s="47">
        <f t="shared" si="368"/>
        <v>7.4811589253764871E-3</v>
      </c>
      <c r="N3262" s="47">
        <v>0</v>
      </c>
      <c r="O3262" s="47">
        <f t="shared" si="365"/>
        <v>0</v>
      </c>
      <c r="P3262" s="92"/>
    </row>
    <row r="3263" spans="1:16" x14ac:dyDescent="0.25">
      <c r="A3263" s="29">
        <v>30</v>
      </c>
      <c r="B3263" s="30">
        <v>438525.10856199998</v>
      </c>
      <c r="C3263" s="30">
        <v>5688512.3324180003</v>
      </c>
      <c r="D3263" s="30">
        <v>12</v>
      </c>
      <c r="E3263" s="30" t="s">
        <v>61</v>
      </c>
      <c r="F3263" s="46">
        <v>2022</v>
      </c>
      <c r="G3263" s="47">
        <v>2.7825034250000002E-2</v>
      </c>
      <c r="H3263" s="47">
        <f t="shared" si="366"/>
        <v>6.3058795382859457E-3</v>
      </c>
      <c r="I3263" s="47">
        <v>0</v>
      </c>
      <c r="J3263" s="47">
        <f t="shared" si="367"/>
        <v>0</v>
      </c>
      <c r="K3263" s="47">
        <v>2.093610575E-2</v>
      </c>
      <c r="L3263" s="47">
        <f t="shared" si="364"/>
        <v>6.72338898540657E-3</v>
      </c>
      <c r="M3263" s="47">
        <f t="shared" si="368"/>
        <v>-4.1750944712062431E-4</v>
      </c>
      <c r="N3263" s="47">
        <v>0</v>
      </c>
      <c r="O3263" s="47">
        <f t="shared" si="365"/>
        <v>0</v>
      </c>
      <c r="P3263" s="92"/>
    </row>
    <row r="3264" spans="1:16" x14ac:dyDescent="0.25">
      <c r="A3264" s="29">
        <v>31</v>
      </c>
      <c r="B3264" s="30">
        <v>437335.10856199998</v>
      </c>
      <c r="C3264" s="30">
        <v>5688631.3324180003</v>
      </c>
      <c r="D3264" s="30">
        <v>12</v>
      </c>
      <c r="E3264" s="30" t="s">
        <v>61</v>
      </c>
      <c r="F3264" s="46">
        <v>2022</v>
      </c>
      <c r="G3264" s="47">
        <v>0.14910419525000002</v>
      </c>
      <c r="H3264" s="47">
        <f t="shared" si="366"/>
        <v>3.3790905177396774E-2</v>
      </c>
      <c r="I3264" s="47">
        <v>0</v>
      </c>
      <c r="J3264" s="47">
        <f t="shared" si="367"/>
        <v>0</v>
      </c>
      <c r="K3264" s="47">
        <v>7.1568312750000002E-2</v>
      </c>
      <c r="L3264" s="47">
        <f t="shared" si="364"/>
        <v>2.2983338515448731E-2</v>
      </c>
      <c r="M3264" s="47">
        <f t="shared" si="368"/>
        <v>1.0807566661948043E-2</v>
      </c>
      <c r="N3264" s="47">
        <v>0</v>
      </c>
      <c r="O3264" s="47">
        <f t="shared" si="365"/>
        <v>0</v>
      </c>
      <c r="P3264" s="92"/>
    </row>
    <row r="3265" spans="1:16" x14ac:dyDescent="0.25">
      <c r="A3265" s="29">
        <v>32</v>
      </c>
      <c r="B3265" s="30">
        <v>437454.10856199998</v>
      </c>
      <c r="C3265" s="30">
        <v>5688631.3324180003</v>
      </c>
      <c r="D3265" s="30">
        <v>12</v>
      </c>
      <c r="E3265" s="30" t="s">
        <v>61</v>
      </c>
      <c r="F3265" s="46">
        <v>2022</v>
      </c>
      <c r="G3265" s="47">
        <v>6.0483658250000003E-2</v>
      </c>
      <c r="H3265" s="47">
        <f t="shared" si="366"/>
        <v>1.3707176765087177E-2</v>
      </c>
      <c r="I3265" s="47">
        <v>0</v>
      </c>
      <c r="J3265" s="47">
        <f t="shared" si="367"/>
        <v>0</v>
      </c>
      <c r="K3265" s="47">
        <v>3.5436875E-3</v>
      </c>
      <c r="L3265" s="47">
        <f t="shared" si="364"/>
        <v>1.1380143848013829E-3</v>
      </c>
      <c r="M3265" s="47">
        <f t="shared" si="368"/>
        <v>1.2569162380285794E-2</v>
      </c>
      <c r="N3265" s="47">
        <v>0</v>
      </c>
      <c r="O3265" s="47">
        <f t="shared" si="365"/>
        <v>0</v>
      </c>
      <c r="P3265" s="92"/>
    </row>
    <row r="3266" spans="1:16" x14ac:dyDescent="0.25">
      <c r="A3266" s="29">
        <v>33</v>
      </c>
      <c r="B3266" s="30">
        <v>437573.10856199998</v>
      </c>
      <c r="C3266" s="30">
        <v>5688631.3324180003</v>
      </c>
      <c r="D3266" s="30">
        <v>12</v>
      </c>
      <c r="E3266" s="30" t="s">
        <v>61</v>
      </c>
      <c r="F3266" s="46">
        <v>2022</v>
      </c>
      <c r="G3266" s="47">
        <v>0.11881275449999999</v>
      </c>
      <c r="H3266" s="47">
        <f t="shared" si="366"/>
        <v>2.6926073504795103E-2</v>
      </c>
      <c r="I3266" s="47">
        <v>0</v>
      </c>
      <c r="J3266" s="47">
        <f t="shared" si="367"/>
        <v>0</v>
      </c>
      <c r="K3266" s="47">
        <v>1.0446790750000001E-2</v>
      </c>
      <c r="L3266" s="47">
        <f t="shared" si="364"/>
        <v>3.3548664063944768E-3</v>
      </c>
      <c r="M3266" s="47">
        <f t="shared" si="368"/>
        <v>2.3571207098400625E-2</v>
      </c>
      <c r="N3266" s="47">
        <v>0</v>
      </c>
      <c r="O3266" s="47">
        <f t="shared" si="365"/>
        <v>0</v>
      </c>
      <c r="P3266" s="92"/>
    </row>
    <row r="3267" spans="1:16" x14ac:dyDescent="0.25">
      <c r="A3267" s="29">
        <v>34</v>
      </c>
      <c r="B3267" s="30">
        <v>437692.10856199998</v>
      </c>
      <c r="C3267" s="30">
        <v>5688631.3324180003</v>
      </c>
      <c r="D3267" s="30">
        <v>12</v>
      </c>
      <c r="E3267" s="30" t="s">
        <v>61</v>
      </c>
      <c r="F3267" s="46">
        <v>2022</v>
      </c>
      <c r="G3267" s="47">
        <v>5.6727349499999996E-2</v>
      </c>
      <c r="H3267" s="47">
        <f t="shared" si="366"/>
        <v>1.2855899089261514E-2</v>
      </c>
      <c r="I3267" s="47">
        <v>0</v>
      </c>
      <c r="J3267" s="47">
        <f t="shared" si="367"/>
        <v>0</v>
      </c>
      <c r="K3267" s="47">
        <v>4.7060169999999998E-3</v>
      </c>
      <c r="L3267" s="47">
        <f t="shared" si="364"/>
        <v>1.5112831030162364E-3</v>
      </c>
      <c r="M3267" s="47">
        <f t="shared" si="368"/>
        <v>1.1344615986245277E-2</v>
      </c>
      <c r="N3267" s="47">
        <v>2.87747425E-3</v>
      </c>
      <c r="O3267" s="47">
        <f t="shared" si="365"/>
        <v>9.6143412519725886E-4</v>
      </c>
      <c r="P3267" s="92"/>
    </row>
    <row r="3268" spans="1:16" x14ac:dyDescent="0.25">
      <c r="A3268" s="29">
        <v>35</v>
      </c>
      <c r="B3268" s="30">
        <v>437893</v>
      </c>
      <c r="C3268" s="30">
        <v>5688620</v>
      </c>
      <c r="D3268" s="30">
        <v>12</v>
      </c>
      <c r="E3268" s="30" t="s">
        <v>61</v>
      </c>
      <c r="F3268" s="46">
        <v>2022</v>
      </c>
      <c r="G3268" s="47">
        <v>2.394115275E-2</v>
      </c>
      <c r="H3268" s="47">
        <f t="shared" si="366"/>
        <v>5.4256905451680899E-3</v>
      </c>
      <c r="I3268" s="47">
        <v>0</v>
      </c>
      <c r="J3268" s="47">
        <f t="shared" si="367"/>
        <v>0</v>
      </c>
      <c r="K3268" s="47">
        <v>1.21052365E-2</v>
      </c>
      <c r="L3268" s="47">
        <f t="shared" si="364"/>
        <v>3.887457138481524E-3</v>
      </c>
      <c r="M3268" s="47">
        <f t="shared" si="368"/>
        <v>1.5382334066865659E-3</v>
      </c>
      <c r="N3268" s="47">
        <v>0</v>
      </c>
      <c r="O3268" s="47">
        <f t="shared" si="365"/>
        <v>0</v>
      </c>
      <c r="P3268" s="92"/>
    </row>
    <row r="3269" spans="1:16" x14ac:dyDescent="0.25">
      <c r="A3269" s="29">
        <v>36</v>
      </c>
      <c r="B3269" s="30">
        <v>437930.10856199998</v>
      </c>
      <c r="C3269" s="30">
        <v>5688631.3324180003</v>
      </c>
      <c r="D3269" s="30">
        <v>12</v>
      </c>
      <c r="E3269" s="30" t="s">
        <v>61</v>
      </c>
      <c r="F3269" s="46">
        <v>2022</v>
      </c>
      <c r="G3269" s="47">
        <v>6.7301713000000013E-2</v>
      </c>
      <c r="H3269" s="47">
        <f t="shared" si="366"/>
        <v>1.5252326055925457E-2</v>
      </c>
      <c r="I3269" s="47">
        <v>0</v>
      </c>
      <c r="J3269" s="47">
        <f t="shared" si="367"/>
        <v>0</v>
      </c>
      <c r="K3269" s="47">
        <v>1.3097469E-2</v>
      </c>
      <c r="L3269" s="47">
        <f t="shared" si="364"/>
        <v>4.2061011662259118E-3</v>
      </c>
      <c r="M3269" s="47">
        <f t="shared" si="368"/>
        <v>1.1046224889699545E-2</v>
      </c>
      <c r="N3269" s="47">
        <v>0</v>
      </c>
      <c r="O3269" s="47">
        <f t="shared" si="365"/>
        <v>0</v>
      </c>
      <c r="P3269" s="92"/>
    </row>
    <row r="3270" spans="1:16" x14ac:dyDescent="0.25">
      <c r="A3270" s="32">
        <v>37</v>
      </c>
      <c r="B3270" s="33">
        <v>438049.10856199998</v>
      </c>
      <c r="C3270" s="33">
        <v>5688631.3324180003</v>
      </c>
      <c r="D3270" s="48">
        <v>12</v>
      </c>
      <c r="E3270" s="48" t="s">
        <v>61</v>
      </c>
      <c r="F3270" s="48">
        <v>2022</v>
      </c>
      <c r="G3270" s="48" t="s">
        <v>18</v>
      </c>
      <c r="H3270" s="48" t="s">
        <v>18</v>
      </c>
      <c r="I3270" s="48" t="s">
        <v>18</v>
      </c>
      <c r="J3270" s="48" t="s">
        <v>18</v>
      </c>
      <c r="K3270" s="48" t="s">
        <v>18</v>
      </c>
      <c r="L3270" s="48" t="s">
        <v>18</v>
      </c>
      <c r="M3270" s="48" t="s">
        <v>18</v>
      </c>
      <c r="N3270" s="48" t="s">
        <v>18</v>
      </c>
      <c r="O3270" s="48" t="s">
        <v>18</v>
      </c>
      <c r="P3270" s="103" t="s">
        <v>89</v>
      </c>
    </row>
    <row r="3271" spans="1:16" x14ac:dyDescent="0.25">
      <c r="A3271" s="29">
        <v>38</v>
      </c>
      <c r="B3271" s="30">
        <v>438067</v>
      </c>
      <c r="C3271" s="30">
        <v>5688710</v>
      </c>
      <c r="D3271" s="30">
        <v>12</v>
      </c>
      <c r="E3271" s="30" t="s">
        <v>61</v>
      </c>
      <c r="F3271" s="46">
        <v>2022</v>
      </c>
      <c r="G3271" s="47">
        <v>9.5566164499999995E-2</v>
      </c>
      <c r="H3271" s="47">
        <f t="shared" si="366"/>
        <v>2.165778902044006E-2</v>
      </c>
      <c r="I3271" s="47">
        <v>0</v>
      </c>
      <c r="J3271" s="47">
        <f t="shared" si="367"/>
        <v>0</v>
      </c>
      <c r="K3271" s="47">
        <v>6.7330062499999996E-3</v>
      </c>
      <c r="L3271" s="47">
        <f t="shared" si="364"/>
        <v>2.1622273311226272E-3</v>
      </c>
      <c r="M3271" s="47">
        <f t="shared" si="368"/>
        <v>1.9495561689317431E-2</v>
      </c>
      <c r="N3271" s="47">
        <v>0</v>
      </c>
      <c r="O3271" s="47">
        <f t="shared" si="365"/>
        <v>0</v>
      </c>
      <c r="P3271" s="92"/>
    </row>
    <row r="3272" spans="1:16" x14ac:dyDescent="0.25">
      <c r="A3272" s="32">
        <v>39</v>
      </c>
      <c r="B3272" s="33">
        <v>438287.10856199998</v>
      </c>
      <c r="C3272" s="33">
        <v>5688631.3324180003</v>
      </c>
      <c r="D3272" s="48">
        <v>12</v>
      </c>
      <c r="E3272" s="48" t="s">
        <v>61</v>
      </c>
      <c r="F3272" s="48">
        <v>2022</v>
      </c>
      <c r="G3272" s="48" t="s">
        <v>18</v>
      </c>
      <c r="H3272" s="48" t="s">
        <v>18</v>
      </c>
      <c r="I3272" s="48" t="s">
        <v>18</v>
      </c>
      <c r="J3272" s="48" t="s">
        <v>18</v>
      </c>
      <c r="K3272" s="48" t="s">
        <v>18</v>
      </c>
      <c r="L3272" s="48" t="s">
        <v>18</v>
      </c>
      <c r="M3272" s="48" t="s">
        <v>18</v>
      </c>
      <c r="N3272" s="48" t="s">
        <v>18</v>
      </c>
      <c r="O3272" s="48" t="s">
        <v>18</v>
      </c>
      <c r="P3272" s="94" t="s">
        <v>22</v>
      </c>
    </row>
    <row r="3273" spans="1:16" x14ac:dyDescent="0.25">
      <c r="A3273" s="89">
        <v>40</v>
      </c>
      <c r="B3273" s="90">
        <v>438406.10856199998</v>
      </c>
      <c r="C3273" s="90">
        <v>5688631.3324180003</v>
      </c>
      <c r="D3273" s="90">
        <v>12</v>
      </c>
      <c r="E3273" s="90" t="s">
        <v>61</v>
      </c>
      <c r="F3273" s="90">
        <v>2022</v>
      </c>
      <c r="G3273" s="90" t="s">
        <v>18</v>
      </c>
      <c r="H3273" s="90" t="s">
        <v>18</v>
      </c>
      <c r="I3273" s="90" t="s">
        <v>18</v>
      </c>
      <c r="J3273" s="90" t="s">
        <v>18</v>
      </c>
      <c r="K3273" s="90" t="s">
        <v>18</v>
      </c>
      <c r="L3273" s="90" t="s">
        <v>18</v>
      </c>
      <c r="M3273" s="90" t="s">
        <v>18</v>
      </c>
      <c r="N3273" s="90" t="s">
        <v>18</v>
      </c>
      <c r="O3273" s="90" t="s">
        <v>18</v>
      </c>
      <c r="P3273" s="113" t="s">
        <v>174</v>
      </c>
    </row>
    <row r="3274" spans="1:16" x14ac:dyDescent="0.25">
      <c r="A3274" s="29">
        <v>41</v>
      </c>
      <c r="B3274" s="30">
        <v>437310</v>
      </c>
      <c r="C3274" s="30">
        <v>5688729</v>
      </c>
      <c r="D3274" s="30">
        <v>12</v>
      </c>
      <c r="E3274" s="30" t="s">
        <v>61</v>
      </c>
      <c r="F3274" s="46">
        <v>2022</v>
      </c>
      <c r="G3274" s="72" t="s">
        <v>18</v>
      </c>
      <c r="H3274" s="72" t="s">
        <v>18</v>
      </c>
      <c r="I3274" s="72" t="s">
        <v>18</v>
      </c>
      <c r="J3274" s="72" t="s">
        <v>18</v>
      </c>
      <c r="K3274" s="84">
        <v>0</v>
      </c>
      <c r="L3274" s="47">
        <f>K3274*0.334124319339177</f>
        <v>0</v>
      </c>
      <c r="M3274" s="72" t="s">
        <v>18</v>
      </c>
      <c r="N3274" s="16">
        <v>0</v>
      </c>
      <c r="O3274" s="16">
        <v>0</v>
      </c>
      <c r="P3274" s="92" t="s">
        <v>180</v>
      </c>
    </row>
    <row r="3275" spans="1:16" x14ac:dyDescent="0.25">
      <c r="A3275" s="29">
        <v>42</v>
      </c>
      <c r="B3275" s="30">
        <v>437454.10856199998</v>
      </c>
      <c r="C3275" s="30">
        <v>5688750.3324180003</v>
      </c>
      <c r="D3275" s="30">
        <v>12</v>
      </c>
      <c r="E3275" s="30" t="s">
        <v>61</v>
      </c>
      <c r="F3275" s="46">
        <v>2022</v>
      </c>
      <c r="G3275" s="47">
        <v>7.9463648499999998E-2</v>
      </c>
      <c r="H3275" s="47">
        <f t="shared" si="366"/>
        <v>1.8008538304447787E-2</v>
      </c>
      <c r="I3275" s="47">
        <v>3.6854349999999999E-4</v>
      </c>
      <c r="J3275" s="47">
        <f t="shared" si="367"/>
        <v>1.0741627373017027E-4</v>
      </c>
      <c r="K3275" s="47">
        <v>3.644328225E-2</v>
      </c>
      <c r="L3275" s="47">
        <f t="shared" si="364"/>
        <v>1.1703339933297422E-2</v>
      </c>
      <c r="M3275" s="47">
        <f t="shared" si="368"/>
        <v>6.3051983711503654E-3</v>
      </c>
      <c r="N3275" s="47">
        <v>2.6932024999999997E-3</v>
      </c>
      <c r="O3275" s="47">
        <f t="shared" si="365"/>
        <v>8.9986445215506979E-4</v>
      </c>
      <c r="P3275" s="92"/>
    </row>
    <row r="3276" spans="1:16" x14ac:dyDescent="0.25">
      <c r="A3276" s="29">
        <v>43</v>
      </c>
      <c r="B3276" s="30">
        <v>437573.10856199998</v>
      </c>
      <c r="C3276" s="30">
        <v>5688750.3324180003</v>
      </c>
      <c r="D3276" s="30">
        <v>12</v>
      </c>
      <c r="E3276" s="30" t="s">
        <v>61</v>
      </c>
      <c r="F3276" s="46">
        <v>2022</v>
      </c>
      <c r="G3276" s="47">
        <v>7.1625011749999995E-2</v>
      </c>
      <c r="H3276" s="47">
        <f t="shared" si="366"/>
        <v>1.6232098475271971E-2</v>
      </c>
      <c r="I3276" s="47">
        <v>0</v>
      </c>
      <c r="J3276" s="47">
        <f t="shared" si="367"/>
        <v>0</v>
      </c>
      <c r="K3276" s="47">
        <v>5.3722302499999994E-3</v>
      </c>
      <c r="L3276" s="47">
        <f t="shared" si="364"/>
        <v>1.7252298073588963E-3</v>
      </c>
      <c r="M3276" s="47">
        <f t="shared" si="368"/>
        <v>1.4506868667913075E-2</v>
      </c>
      <c r="N3276" s="47">
        <v>0</v>
      </c>
      <c r="O3276" s="47">
        <f t="shared" si="365"/>
        <v>0</v>
      </c>
      <c r="P3276" s="92"/>
    </row>
    <row r="3277" spans="1:16" x14ac:dyDescent="0.25">
      <c r="A3277" s="29">
        <v>44</v>
      </c>
      <c r="B3277" s="30">
        <v>437692.10856199998</v>
      </c>
      <c r="C3277" s="30">
        <v>5688750.3324180003</v>
      </c>
      <c r="D3277" s="30">
        <v>12</v>
      </c>
      <c r="E3277" s="30" t="s">
        <v>61</v>
      </c>
      <c r="F3277" s="46">
        <v>2022</v>
      </c>
      <c r="G3277" s="47">
        <v>6.3942297250000002E-2</v>
      </c>
      <c r="H3277" s="47">
        <f t="shared" si="366"/>
        <v>1.449099470056439E-2</v>
      </c>
      <c r="I3277" s="47">
        <v>0</v>
      </c>
      <c r="J3277" s="47">
        <f t="shared" si="367"/>
        <v>0</v>
      </c>
      <c r="K3277" s="47">
        <v>2.4352220499999997E-2</v>
      </c>
      <c r="L3277" s="47">
        <f t="shared" si="364"/>
        <v>7.8204348523551025E-3</v>
      </c>
      <c r="M3277" s="47">
        <f t="shared" si="368"/>
        <v>6.670559848209287E-3</v>
      </c>
      <c r="N3277" s="47">
        <v>0</v>
      </c>
      <c r="O3277" s="47">
        <f t="shared" si="365"/>
        <v>0</v>
      </c>
      <c r="P3277" s="92"/>
    </row>
    <row r="3278" spans="1:16" x14ac:dyDescent="0.25">
      <c r="A3278" s="29">
        <v>45</v>
      </c>
      <c r="B3278" s="30">
        <v>437811.10856199998</v>
      </c>
      <c r="C3278" s="30">
        <v>5688750.3324180003</v>
      </c>
      <c r="D3278" s="30">
        <v>12</v>
      </c>
      <c r="E3278" s="30" t="s">
        <v>61</v>
      </c>
      <c r="F3278" s="46">
        <v>2022</v>
      </c>
      <c r="G3278" s="47">
        <v>4.8647742000000001E-2</v>
      </c>
      <c r="H3278" s="47">
        <f t="shared" si="366"/>
        <v>1.1024848994089334E-2</v>
      </c>
      <c r="I3278" s="47">
        <v>2.0907756250000003E-2</v>
      </c>
      <c r="J3278" s="47">
        <f t="shared" si="367"/>
        <v>6.0938078366154294E-3</v>
      </c>
      <c r="K3278" s="47">
        <v>1.9135912500000001E-2</v>
      </c>
      <c r="L3278" s="47">
        <f t="shared" si="364"/>
        <v>6.1452776779274678E-3</v>
      </c>
      <c r="M3278" s="47">
        <f t="shared" si="368"/>
        <v>4.8795713161618659E-3</v>
      </c>
      <c r="N3278" s="47">
        <v>3.2375128999999996E-2</v>
      </c>
      <c r="O3278" s="47">
        <f t="shared" si="365"/>
        <v>1.0817317940643049E-2</v>
      </c>
      <c r="P3278" s="92"/>
    </row>
    <row r="3279" spans="1:16" x14ac:dyDescent="0.25">
      <c r="A3279" s="65">
        <v>46</v>
      </c>
      <c r="B3279" s="66">
        <v>437930.10856199998</v>
      </c>
      <c r="C3279" s="66">
        <v>5688750.3324180003</v>
      </c>
      <c r="D3279" s="66">
        <v>12</v>
      </c>
      <c r="E3279" s="66" t="s">
        <v>61</v>
      </c>
      <c r="F3279" s="66">
        <v>2022</v>
      </c>
      <c r="G3279" s="66" t="s">
        <v>18</v>
      </c>
      <c r="H3279" s="66" t="s">
        <v>18</v>
      </c>
      <c r="I3279" s="66" t="s">
        <v>18</v>
      </c>
      <c r="J3279" s="66" t="s">
        <v>18</v>
      </c>
      <c r="K3279" s="66" t="s">
        <v>18</v>
      </c>
      <c r="L3279" s="66" t="s">
        <v>18</v>
      </c>
      <c r="M3279" s="66" t="s">
        <v>18</v>
      </c>
      <c r="N3279" s="66" t="s">
        <v>18</v>
      </c>
      <c r="O3279" s="66" t="s">
        <v>18</v>
      </c>
      <c r="P3279" s="105" t="s">
        <v>166</v>
      </c>
    </row>
    <row r="3280" spans="1:16" x14ac:dyDescent="0.25">
      <c r="A3280" s="29">
        <v>47</v>
      </c>
      <c r="B3280" s="30">
        <v>438061</v>
      </c>
      <c r="C3280" s="30">
        <v>5688779</v>
      </c>
      <c r="D3280" s="30">
        <v>12</v>
      </c>
      <c r="E3280" s="30" t="s">
        <v>61</v>
      </c>
      <c r="F3280" s="46">
        <v>2022</v>
      </c>
      <c r="G3280" s="47">
        <v>0.104723053</v>
      </c>
      <c r="H3280" s="47">
        <f t="shared" si="366"/>
        <v>2.3732979128301863E-2</v>
      </c>
      <c r="I3280" s="47">
        <v>0</v>
      </c>
      <c r="J3280" s="47">
        <f t="shared" si="367"/>
        <v>0</v>
      </c>
      <c r="K3280" s="47">
        <v>1.3877080249999998E-2</v>
      </c>
      <c r="L3280" s="47">
        <f t="shared" si="364"/>
        <v>4.4564643308822151E-3</v>
      </c>
      <c r="M3280" s="47">
        <f t="shared" si="368"/>
        <v>1.9276514797419649E-2</v>
      </c>
      <c r="N3280" s="47">
        <v>0</v>
      </c>
      <c r="O3280" s="47">
        <f t="shared" si="365"/>
        <v>0</v>
      </c>
      <c r="P3280" s="92"/>
    </row>
    <row r="3281" spans="1:19" x14ac:dyDescent="0.25">
      <c r="A3281" s="32">
        <v>48</v>
      </c>
      <c r="B3281" s="33">
        <v>438168.10856199998</v>
      </c>
      <c r="C3281" s="33">
        <v>5688750.3324180003</v>
      </c>
      <c r="D3281" s="48">
        <v>12</v>
      </c>
      <c r="E3281" s="48" t="s">
        <v>61</v>
      </c>
      <c r="F3281" s="48">
        <v>2022</v>
      </c>
      <c r="G3281" s="48" t="s">
        <v>18</v>
      </c>
      <c r="H3281" s="48" t="s">
        <v>18</v>
      </c>
      <c r="I3281" s="48" t="s">
        <v>18</v>
      </c>
      <c r="J3281" s="48" t="s">
        <v>18</v>
      </c>
      <c r="K3281" s="48" t="s">
        <v>18</v>
      </c>
      <c r="L3281" s="48" t="s">
        <v>18</v>
      </c>
      <c r="M3281" s="48" t="s">
        <v>18</v>
      </c>
      <c r="N3281" s="48" t="s">
        <v>18</v>
      </c>
      <c r="O3281" s="48" t="s">
        <v>18</v>
      </c>
      <c r="P3281" s="103" t="s">
        <v>89</v>
      </c>
    </row>
    <row r="3282" spans="1:19" x14ac:dyDescent="0.25">
      <c r="A3282" s="89">
        <v>49</v>
      </c>
      <c r="B3282" s="90">
        <v>437454.10856199998</v>
      </c>
      <c r="C3282" s="90">
        <v>5688869.3324180003</v>
      </c>
      <c r="D3282" s="90">
        <v>12</v>
      </c>
      <c r="E3282" s="90" t="s">
        <v>61</v>
      </c>
      <c r="F3282" s="90">
        <v>2022</v>
      </c>
      <c r="G3282" s="90" t="s">
        <v>18</v>
      </c>
      <c r="H3282" s="90" t="s">
        <v>18</v>
      </c>
      <c r="I3282" s="90" t="s">
        <v>18</v>
      </c>
      <c r="J3282" s="90" t="s">
        <v>18</v>
      </c>
      <c r="K3282" s="90" t="s">
        <v>18</v>
      </c>
      <c r="L3282" s="90" t="s">
        <v>18</v>
      </c>
      <c r="M3282" s="90" t="s">
        <v>18</v>
      </c>
      <c r="N3282" s="90" t="s">
        <v>18</v>
      </c>
      <c r="O3282" s="90" t="s">
        <v>18</v>
      </c>
      <c r="P3282" s="113" t="s">
        <v>174</v>
      </c>
    </row>
    <row r="3283" spans="1:19" x14ac:dyDescent="0.25">
      <c r="A3283" s="29">
        <v>50</v>
      </c>
      <c r="B3283" s="30">
        <v>437811.10856199998</v>
      </c>
      <c r="C3283" s="30">
        <v>5688869.3324180003</v>
      </c>
      <c r="D3283" s="30">
        <v>12</v>
      </c>
      <c r="E3283" s="30" t="s">
        <v>61</v>
      </c>
      <c r="F3283" s="46">
        <v>2022</v>
      </c>
      <c r="G3283" s="47">
        <v>8.9499371499999994E-2</v>
      </c>
      <c r="H3283" s="47">
        <f t="shared" si="366"/>
        <v>2.0282895264766915E-2</v>
      </c>
      <c r="I3283" s="47">
        <v>0</v>
      </c>
      <c r="J3283" s="47">
        <f t="shared" si="367"/>
        <v>0</v>
      </c>
      <c r="K3283" s="47">
        <v>1.26722265E-2</v>
      </c>
      <c r="L3283" s="47">
        <f t="shared" si="364"/>
        <v>4.0695394400497454E-3</v>
      </c>
      <c r="M3283" s="47">
        <f t="shared" si="368"/>
        <v>1.6213355824717168E-2</v>
      </c>
      <c r="N3283" s="47">
        <v>0</v>
      </c>
      <c r="O3283" s="47">
        <f t="shared" si="365"/>
        <v>0</v>
      </c>
      <c r="P3283" s="92"/>
    </row>
    <row r="3284" spans="1:19" x14ac:dyDescent="0.25">
      <c r="A3284" s="29">
        <v>51</v>
      </c>
      <c r="B3284" s="30">
        <v>437930.10856199998</v>
      </c>
      <c r="C3284" s="30">
        <v>5688869.3324180003</v>
      </c>
      <c r="D3284" s="30">
        <v>12</v>
      </c>
      <c r="E3284" s="30" t="s">
        <v>61</v>
      </c>
      <c r="F3284" s="46">
        <v>2022</v>
      </c>
      <c r="G3284" s="47">
        <v>7.1171419749999992E-2</v>
      </c>
      <c r="H3284" s="47">
        <f t="shared" si="366"/>
        <v>1.6129302680455284E-2</v>
      </c>
      <c r="I3284" s="47">
        <v>8.4424811000000002E-2</v>
      </c>
      <c r="J3284" s="47">
        <f t="shared" si="367"/>
        <v>2.460658947449593E-2</v>
      </c>
      <c r="K3284" s="47">
        <v>1.1694168749999999E-2</v>
      </c>
      <c r="L3284" s="47">
        <f t="shared" si="364"/>
        <v>3.7554474698445633E-3</v>
      </c>
      <c r="M3284" s="47">
        <f t="shared" si="368"/>
        <v>1.2373855210610721E-2</v>
      </c>
      <c r="N3284" s="47">
        <v>5.5097253249999999E-2</v>
      </c>
      <c r="O3284" s="47">
        <f t="shared" si="365"/>
        <v>1.8409332239614509E-2</v>
      </c>
      <c r="P3284" s="92"/>
    </row>
    <row r="3285" spans="1:19" x14ac:dyDescent="0.25">
      <c r="A3285" s="65">
        <v>52</v>
      </c>
      <c r="B3285" s="66">
        <v>438049.10856199998</v>
      </c>
      <c r="C3285" s="66">
        <v>5688869.3324180003</v>
      </c>
      <c r="D3285" s="66">
        <v>12</v>
      </c>
      <c r="E3285" s="66" t="s">
        <v>61</v>
      </c>
      <c r="F3285" s="66">
        <v>2022</v>
      </c>
      <c r="G3285" s="66" t="s">
        <v>18</v>
      </c>
      <c r="H3285" s="66" t="s">
        <v>18</v>
      </c>
      <c r="I3285" s="66" t="s">
        <v>18</v>
      </c>
      <c r="J3285" s="66" t="s">
        <v>18</v>
      </c>
      <c r="K3285" s="66" t="s">
        <v>18</v>
      </c>
      <c r="L3285" s="66" t="s">
        <v>18</v>
      </c>
      <c r="M3285" s="66" t="s">
        <v>18</v>
      </c>
      <c r="N3285" s="66" t="s">
        <v>18</v>
      </c>
      <c r="O3285" s="66" t="s">
        <v>18</v>
      </c>
      <c r="P3285" s="105" t="s">
        <v>166</v>
      </c>
    </row>
    <row r="3286" spans="1:19" x14ac:dyDescent="0.25">
      <c r="A3286" s="89">
        <v>53</v>
      </c>
      <c r="B3286" s="90">
        <v>438287.10856199998</v>
      </c>
      <c r="C3286" s="90">
        <v>5688869.3324180003</v>
      </c>
      <c r="D3286" s="90">
        <v>12</v>
      </c>
      <c r="E3286" s="90" t="s">
        <v>61</v>
      </c>
      <c r="F3286" s="90">
        <v>2022</v>
      </c>
      <c r="G3286" s="90" t="s">
        <v>18</v>
      </c>
      <c r="H3286" s="90" t="s">
        <v>18</v>
      </c>
      <c r="I3286" s="90" t="s">
        <v>18</v>
      </c>
      <c r="J3286" s="90" t="s">
        <v>18</v>
      </c>
      <c r="K3286" s="90" t="s">
        <v>18</v>
      </c>
      <c r="L3286" s="90" t="s">
        <v>18</v>
      </c>
      <c r="M3286" s="90" t="s">
        <v>18</v>
      </c>
      <c r="N3286" s="90" t="s">
        <v>18</v>
      </c>
      <c r="O3286" s="90" t="s">
        <v>18</v>
      </c>
      <c r="P3286" s="113" t="s">
        <v>174</v>
      </c>
    </row>
    <row r="3287" spans="1:19" x14ac:dyDescent="0.25">
      <c r="A3287" s="89">
        <v>54</v>
      </c>
      <c r="B3287" s="90">
        <v>437454.10856199998</v>
      </c>
      <c r="C3287" s="90">
        <v>5688988.3324180003</v>
      </c>
      <c r="D3287" s="90">
        <v>12</v>
      </c>
      <c r="E3287" s="90" t="s">
        <v>61</v>
      </c>
      <c r="F3287" s="90">
        <v>2022</v>
      </c>
      <c r="G3287" s="90" t="s">
        <v>18</v>
      </c>
      <c r="H3287" s="90" t="s">
        <v>18</v>
      </c>
      <c r="I3287" s="90" t="s">
        <v>18</v>
      </c>
      <c r="J3287" s="90" t="s">
        <v>18</v>
      </c>
      <c r="K3287" s="90" t="s">
        <v>18</v>
      </c>
      <c r="L3287" s="90" t="s">
        <v>18</v>
      </c>
      <c r="M3287" s="90" t="s">
        <v>18</v>
      </c>
      <c r="N3287" s="90" t="s">
        <v>18</v>
      </c>
      <c r="O3287" s="90" t="s">
        <v>18</v>
      </c>
      <c r="P3287" s="113" t="s">
        <v>174</v>
      </c>
    </row>
    <row r="3288" spans="1:19" x14ac:dyDescent="0.25">
      <c r="A3288" s="89">
        <v>55</v>
      </c>
      <c r="B3288" s="90">
        <v>438049.10856199998</v>
      </c>
      <c r="C3288" s="90">
        <v>5688988.3324180003</v>
      </c>
      <c r="D3288" s="90">
        <v>12</v>
      </c>
      <c r="E3288" s="90" t="s">
        <v>61</v>
      </c>
      <c r="F3288" s="90">
        <v>2022</v>
      </c>
      <c r="G3288" s="90" t="s">
        <v>18</v>
      </c>
      <c r="H3288" s="90" t="s">
        <v>18</v>
      </c>
      <c r="I3288" s="90" t="s">
        <v>18</v>
      </c>
      <c r="J3288" s="90" t="s">
        <v>18</v>
      </c>
      <c r="K3288" s="90" t="s">
        <v>18</v>
      </c>
      <c r="L3288" s="90" t="s">
        <v>18</v>
      </c>
      <c r="M3288" s="90" t="s">
        <v>18</v>
      </c>
      <c r="N3288" s="90" t="s">
        <v>18</v>
      </c>
      <c r="O3288" s="90" t="s">
        <v>18</v>
      </c>
      <c r="P3288" s="113" t="s">
        <v>174</v>
      </c>
    </row>
    <row r="3289" spans="1:19" x14ac:dyDescent="0.25">
      <c r="A3289" s="29">
        <v>56</v>
      </c>
      <c r="B3289" s="30">
        <v>438168.10856199998</v>
      </c>
      <c r="C3289" s="30">
        <v>5688988.3324180003</v>
      </c>
      <c r="D3289" s="30">
        <v>12</v>
      </c>
      <c r="E3289" s="30" t="s">
        <v>61</v>
      </c>
      <c r="F3289" s="46">
        <v>2022</v>
      </c>
      <c r="G3289" s="47">
        <v>4.3303861250000006E-2</v>
      </c>
      <c r="H3289" s="47">
        <f t="shared" si="366"/>
        <v>9.8137860364052795E-3</v>
      </c>
      <c r="I3289" s="47">
        <v>0</v>
      </c>
      <c r="J3289" s="47">
        <f t="shared" si="367"/>
        <v>0</v>
      </c>
      <c r="K3289" s="47">
        <v>3.4019399999999996E-3</v>
      </c>
      <c r="L3289" s="47">
        <f t="shared" si="364"/>
        <v>1.0924938094093275E-3</v>
      </c>
      <c r="M3289" s="47">
        <f t="shared" si="368"/>
        <v>8.7212922269959518E-3</v>
      </c>
      <c r="N3289" s="47">
        <v>0</v>
      </c>
      <c r="O3289" s="47">
        <f t="shared" si="365"/>
        <v>0</v>
      </c>
      <c r="P3289" s="92"/>
    </row>
    <row r="3290" spans="1:19" x14ac:dyDescent="0.25">
      <c r="A3290" s="40">
        <v>57</v>
      </c>
      <c r="B3290" s="41">
        <v>438146</v>
      </c>
      <c r="C3290" s="41">
        <v>5688977</v>
      </c>
      <c r="D3290" s="41">
        <v>12</v>
      </c>
      <c r="E3290" s="41" t="s">
        <v>61</v>
      </c>
      <c r="F3290" s="50">
        <v>2022</v>
      </c>
      <c r="G3290" s="51">
        <v>9.6572571749999989E-2</v>
      </c>
      <c r="H3290" s="51">
        <f t="shared" si="366"/>
        <v>2.1885867190189576E-2</v>
      </c>
      <c r="I3290" s="51">
        <v>0</v>
      </c>
      <c r="J3290" s="51">
        <f t="shared" si="367"/>
        <v>0</v>
      </c>
      <c r="K3290" s="51">
        <v>2.25378525E-2</v>
      </c>
      <c r="L3290" s="51">
        <f t="shared" si="364"/>
        <v>7.2377714873367955E-3</v>
      </c>
      <c r="M3290" s="51">
        <f t="shared" si="368"/>
        <v>1.4648095702852779E-2</v>
      </c>
      <c r="N3290" s="51">
        <v>0</v>
      </c>
      <c r="O3290" s="51">
        <f t="shared" si="365"/>
        <v>0</v>
      </c>
      <c r="P3290" s="101"/>
    </row>
    <row r="3291" spans="1:19" x14ac:dyDescent="0.25">
      <c r="A3291" s="40">
        <v>58</v>
      </c>
      <c r="B3291" s="41">
        <v>438131</v>
      </c>
      <c r="C3291" s="41">
        <v>5688972</v>
      </c>
      <c r="D3291" s="41">
        <v>12</v>
      </c>
      <c r="E3291" s="41" t="s">
        <v>61</v>
      </c>
      <c r="F3291" s="50">
        <v>2022</v>
      </c>
      <c r="G3291" s="51">
        <v>0.22423037025000001</v>
      </c>
      <c r="H3291" s="51">
        <f t="shared" si="366"/>
        <v>5.0816458693910015E-2</v>
      </c>
      <c r="I3291" s="51">
        <v>0</v>
      </c>
      <c r="J3291" s="51">
        <f t="shared" si="367"/>
        <v>0</v>
      </c>
      <c r="K3291" s="51">
        <v>6.5770840000000004E-3</v>
      </c>
      <c r="L3291" s="51">
        <f t="shared" si="364"/>
        <v>2.1121546981913669E-3</v>
      </c>
      <c r="M3291" s="51">
        <f t="shared" si="368"/>
        <v>4.8704303995718651E-2</v>
      </c>
      <c r="N3291" s="51">
        <v>0</v>
      </c>
      <c r="O3291" s="51">
        <f t="shared" si="365"/>
        <v>0</v>
      </c>
      <c r="P3291" s="101"/>
    </row>
    <row r="3292" spans="1:19" x14ac:dyDescent="0.25">
      <c r="A3292" s="40">
        <v>59</v>
      </c>
      <c r="B3292" s="41">
        <v>438089</v>
      </c>
      <c r="C3292" s="41">
        <v>5688713</v>
      </c>
      <c r="D3292" s="41">
        <v>12</v>
      </c>
      <c r="E3292" s="41" t="s">
        <v>61</v>
      </c>
      <c r="F3292" s="50">
        <v>2022</v>
      </c>
      <c r="G3292" s="51">
        <v>0.20329426449999999</v>
      </c>
      <c r="H3292" s="51">
        <f t="shared" si="366"/>
        <v>4.6071790289402455E-2</v>
      </c>
      <c r="I3292" s="51">
        <v>0</v>
      </c>
      <c r="J3292" s="51">
        <f t="shared" si="367"/>
        <v>0</v>
      </c>
      <c r="K3292" s="51">
        <v>1.474174E-2</v>
      </c>
      <c r="L3292" s="51">
        <f t="shared" si="364"/>
        <v>4.7341398407737528E-3</v>
      </c>
      <c r="M3292" s="51">
        <f t="shared" si="368"/>
        <v>4.13376504486287E-2</v>
      </c>
      <c r="N3292" s="51">
        <v>0</v>
      </c>
      <c r="O3292" s="51">
        <f t="shared" si="365"/>
        <v>0</v>
      </c>
      <c r="P3292" s="101"/>
    </row>
    <row r="3293" spans="1:19" x14ac:dyDescent="0.25">
      <c r="A3293" s="40">
        <v>60</v>
      </c>
      <c r="B3293" s="41">
        <v>438099</v>
      </c>
      <c r="C3293" s="41">
        <v>5688719</v>
      </c>
      <c r="D3293" s="41">
        <v>12</v>
      </c>
      <c r="E3293" s="41" t="s">
        <v>61</v>
      </c>
      <c r="F3293" s="50">
        <v>2022</v>
      </c>
      <c r="G3293" s="51">
        <v>9.3553349999999993E-2</v>
      </c>
      <c r="H3293" s="51">
        <f t="shared" si="366"/>
        <v>2.1201632680941024E-2</v>
      </c>
      <c r="I3293" s="51">
        <v>0</v>
      </c>
      <c r="J3293" s="51">
        <f t="shared" si="367"/>
        <v>0</v>
      </c>
      <c r="K3293" s="51">
        <v>8.8733934999999983E-3</v>
      </c>
      <c r="L3293" s="51">
        <f t="shared" si="364"/>
        <v>2.8495880195426623E-3</v>
      </c>
      <c r="M3293" s="51">
        <f t="shared" si="368"/>
        <v>1.8352044661398361E-2</v>
      </c>
      <c r="N3293" s="51">
        <v>0</v>
      </c>
      <c r="O3293" s="51">
        <f t="shared" si="365"/>
        <v>0</v>
      </c>
      <c r="P3293" s="101"/>
    </row>
    <row r="3294" spans="1:19" x14ac:dyDescent="0.25">
      <c r="A3294" s="42">
        <v>1</v>
      </c>
      <c r="B3294" s="43">
        <v>437930.10856199998</v>
      </c>
      <c r="C3294" s="43">
        <v>5688036.3324180003</v>
      </c>
      <c r="D3294" s="44">
        <v>29</v>
      </c>
      <c r="E3294" s="44" t="s">
        <v>40</v>
      </c>
      <c r="F3294" s="44">
        <v>2023</v>
      </c>
      <c r="G3294" s="44" t="s">
        <v>18</v>
      </c>
      <c r="H3294" s="44" t="s">
        <v>18</v>
      </c>
      <c r="I3294" s="44" t="s">
        <v>18</v>
      </c>
      <c r="J3294" s="44" t="s">
        <v>18</v>
      </c>
      <c r="K3294" s="44" t="s">
        <v>18</v>
      </c>
      <c r="L3294" s="44" t="s">
        <v>18</v>
      </c>
      <c r="M3294" s="44" t="s">
        <v>18</v>
      </c>
      <c r="N3294" s="44" t="s">
        <v>18</v>
      </c>
      <c r="O3294" s="44" t="s">
        <v>18</v>
      </c>
      <c r="P3294" s="102" t="s">
        <v>109</v>
      </c>
      <c r="R3294" s="5">
        <f>AVERAGE(M3294:M3353)</f>
        <v>6.5801825495931544E-3</v>
      </c>
      <c r="S3294" s="5">
        <f>AVERAGE(H3294:H3353)</f>
        <v>1.2489865518651241E-2</v>
      </c>
    </row>
    <row r="3295" spans="1:19" x14ac:dyDescent="0.25">
      <c r="A3295" s="42">
        <v>2</v>
      </c>
      <c r="B3295" s="43">
        <v>437811.10856199998</v>
      </c>
      <c r="C3295" s="43">
        <v>5688155.3324180003</v>
      </c>
      <c r="D3295" s="44">
        <v>29</v>
      </c>
      <c r="E3295" s="44" t="s">
        <v>40</v>
      </c>
      <c r="F3295" s="44">
        <v>2023</v>
      </c>
      <c r="G3295" s="44" t="s">
        <v>18</v>
      </c>
      <c r="H3295" s="44" t="s">
        <v>18</v>
      </c>
      <c r="I3295" s="44" t="s">
        <v>18</v>
      </c>
      <c r="J3295" s="44" t="s">
        <v>18</v>
      </c>
      <c r="K3295" s="44" t="s">
        <v>18</v>
      </c>
      <c r="L3295" s="44" t="s">
        <v>18</v>
      </c>
      <c r="M3295" s="44" t="s">
        <v>18</v>
      </c>
      <c r="N3295" s="44" t="s">
        <v>18</v>
      </c>
      <c r="O3295" s="44" t="s">
        <v>18</v>
      </c>
      <c r="P3295" s="102" t="s">
        <v>109</v>
      </c>
    </row>
    <row r="3296" spans="1:19" x14ac:dyDescent="0.25">
      <c r="A3296" s="65">
        <v>3</v>
      </c>
      <c r="B3296" s="66">
        <v>437930.10856199998</v>
      </c>
      <c r="C3296" s="66">
        <v>5688155.3324180003</v>
      </c>
      <c r="D3296" s="66">
        <v>29</v>
      </c>
      <c r="E3296" s="66" t="s">
        <v>40</v>
      </c>
      <c r="F3296" s="66">
        <v>2023</v>
      </c>
      <c r="G3296" s="66" t="s">
        <v>18</v>
      </c>
      <c r="H3296" s="66" t="s">
        <v>18</v>
      </c>
      <c r="I3296" s="66" t="s">
        <v>18</v>
      </c>
      <c r="J3296" s="66" t="s">
        <v>18</v>
      </c>
      <c r="K3296" s="66" t="s">
        <v>18</v>
      </c>
      <c r="L3296" s="66" t="s">
        <v>18</v>
      </c>
      <c r="M3296" s="66" t="s">
        <v>18</v>
      </c>
      <c r="N3296" s="66" t="s">
        <v>18</v>
      </c>
      <c r="O3296" s="66" t="s">
        <v>18</v>
      </c>
      <c r="P3296" s="105" t="s">
        <v>166</v>
      </c>
    </row>
    <row r="3297" spans="1:16" x14ac:dyDescent="0.25">
      <c r="A3297" s="42">
        <v>4</v>
      </c>
      <c r="B3297" s="43">
        <v>438049.10856199998</v>
      </c>
      <c r="C3297" s="43">
        <v>5688155.3324180003</v>
      </c>
      <c r="D3297" s="44">
        <v>29</v>
      </c>
      <c r="E3297" s="44" t="s">
        <v>40</v>
      </c>
      <c r="F3297" s="44">
        <v>2023</v>
      </c>
      <c r="G3297" s="44" t="s">
        <v>18</v>
      </c>
      <c r="H3297" s="44" t="s">
        <v>18</v>
      </c>
      <c r="I3297" s="44" t="s">
        <v>18</v>
      </c>
      <c r="J3297" s="44" t="s">
        <v>18</v>
      </c>
      <c r="K3297" s="44" t="s">
        <v>18</v>
      </c>
      <c r="L3297" s="44" t="s">
        <v>18</v>
      </c>
      <c r="M3297" s="44" t="s">
        <v>18</v>
      </c>
      <c r="N3297" s="44" t="s">
        <v>18</v>
      </c>
      <c r="O3297" s="44" t="s">
        <v>18</v>
      </c>
      <c r="P3297" s="102" t="s">
        <v>109</v>
      </c>
    </row>
    <row r="3298" spans="1:16" x14ac:dyDescent="0.25">
      <c r="A3298" s="42">
        <v>5</v>
      </c>
      <c r="B3298" s="43">
        <v>437573.10856199998</v>
      </c>
      <c r="C3298" s="43">
        <v>5688274.3324180003</v>
      </c>
      <c r="D3298" s="44">
        <v>29</v>
      </c>
      <c r="E3298" s="44" t="s">
        <v>40</v>
      </c>
      <c r="F3298" s="44">
        <v>2023</v>
      </c>
      <c r="G3298" s="44" t="s">
        <v>18</v>
      </c>
      <c r="H3298" s="44" t="s">
        <v>18</v>
      </c>
      <c r="I3298" s="44" t="s">
        <v>18</v>
      </c>
      <c r="J3298" s="44" t="s">
        <v>18</v>
      </c>
      <c r="K3298" s="44" t="s">
        <v>18</v>
      </c>
      <c r="L3298" s="44" t="s">
        <v>18</v>
      </c>
      <c r="M3298" s="44" t="s">
        <v>18</v>
      </c>
      <c r="N3298" s="44" t="s">
        <v>18</v>
      </c>
      <c r="O3298" s="44" t="s">
        <v>18</v>
      </c>
      <c r="P3298" s="102" t="s">
        <v>109</v>
      </c>
    </row>
    <row r="3299" spans="1:16" x14ac:dyDescent="0.25">
      <c r="A3299" s="89">
        <v>6</v>
      </c>
      <c r="B3299" s="90">
        <v>437692.10856199998</v>
      </c>
      <c r="C3299" s="90">
        <v>5688274.3324180003</v>
      </c>
      <c r="D3299" s="90">
        <v>29</v>
      </c>
      <c r="E3299" s="90" t="s">
        <v>40</v>
      </c>
      <c r="F3299" s="90">
        <v>2023</v>
      </c>
      <c r="G3299" s="90" t="s">
        <v>18</v>
      </c>
      <c r="H3299" s="90" t="s">
        <v>18</v>
      </c>
      <c r="I3299" s="90" t="s">
        <v>18</v>
      </c>
      <c r="J3299" s="90" t="s">
        <v>18</v>
      </c>
      <c r="K3299" s="90" t="s">
        <v>18</v>
      </c>
      <c r="L3299" s="90" t="s">
        <v>18</v>
      </c>
      <c r="M3299" s="90" t="s">
        <v>18</v>
      </c>
      <c r="N3299" s="90" t="s">
        <v>18</v>
      </c>
      <c r="O3299" s="90" t="s">
        <v>18</v>
      </c>
      <c r="P3299" s="113" t="s">
        <v>174</v>
      </c>
    </row>
    <row r="3300" spans="1:16" x14ac:dyDescent="0.25">
      <c r="A3300" s="65">
        <v>7</v>
      </c>
      <c r="B3300" s="66">
        <v>437811.10856199998</v>
      </c>
      <c r="C3300" s="66">
        <v>5688274.3324180003</v>
      </c>
      <c r="D3300" s="66">
        <v>29</v>
      </c>
      <c r="E3300" s="66" t="s">
        <v>40</v>
      </c>
      <c r="F3300" s="66">
        <v>2023</v>
      </c>
      <c r="G3300" s="66" t="s">
        <v>18</v>
      </c>
      <c r="H3300" s="66" t="s">
        <v>18</v>
      </c>
      <c r="I3300" s="66" t="s">
        <v>18</v>
      </c>
      <c r="J3300" s="66" t="s">
        <v>18</v>
      </c>
      <c r="K3300" s="66" t="s">
        <v>18</v>
      </c>
      <c r="L3300" s="66" t="s">
        <v>18</v>
      </c>
      <c r="M3300" s="66" t="s">
        <v>18</v>
      </c>
      <c r="N3300" s="66" t="s">
        <v>18</v>
      </c>
      <c r="O3300" s="66" t="s">
        <v>18</v>
      </c>
      <c r="P3300" s="105" t="s">
        <v>166</v>
      </c>
    </row>
    <row r="3301" spans="1:16" x14ac:dyDescent="0.25">
      <c r="A3301" s="42">
        <v>8</v>
      </c>
      <c r="B3301" s="43">
        <v>437930.10856199998</v>
      </c>
      <c r="C3301" s="43">
        <v>5688274.3324180003</v>
      </c>
      <c r="D3301" s="44">
        <v>29</v>
      </c>
      <c r="E3301" s="44" t="s">
        <v>40</v>
      </c>
      <c r="F3301" s="44">
        <v>2023</v>
      </c>
      <c r="G3301" s="44" t="s">
        <v>18</v>
      </c>
      <c r="H3301" s="44" t="s">
        <v>18</v>
      </c>
      <c r="I3301" s="44" t="s">
        <v>18</v>
      </c>
      <c r="J3301" s="44" t="s">
        <v>18</v>
      </c>
      <c r="K3301" s="44" t="s">
        <v>18</v>
      </c>
      <c r="L3301" s="44" t="s">
        <v>18</v>
      </c>
      <c r="M3301" s="44" t="s">
        <v>18</v>
      </c>
      <c r="N3301" s="44" t="s">
        <v>18</v>
      </c>
      <c r="O3301" s="44" t="s">
        <v>18</v>
      </c>
      <c r="P3301" s="102" t="s">
        <v>109</v>
      </c>
    </row>
    <row r="3302" spans="1:16" x14ac:dyDescent="0.25">
      <c r="A3302" s="89">
        <v>9</v>
      </c>
      <c r="B3302" s="90">
        <v>438287.10856199998</v>
      </c>
      <c r="C3302" s="90">
        <v>5688274.3324180003</v>
      </c>
      <c r="D3302" s="90">
        <v>29</v>
      </c>
      <c r="E3302" s="90" t="s">
        <v>40</v>
      </c>
      <c r="F3302" s="90">
        <v>2023</v>
      </c>
      <c r="G3302" s="90" t="s">
        <v>18</v>
      </c>
      <c r="H3302" s="90" t="s">
        <v>18</v>
      </c>
      <c r="I3302" s="90" t="s">
        <v>18</v>
      </c>
      <c r="J3302" s="90" t="s">
        <v>18</v>
      </c>
      <c r="K3302" s="90" t="s">
        <v>18</v>
      </c>
      <c r="L3302" s="90" t="s">
        <v>18</v>
      </c>
      <c r="M3302" s="90" t="s">
        <v>18</v>
      </c>
      <c r="N3302" s="90" t="s">
        <v>18</v>
      </c>
      <c r="O3302" s="90" t="s">
        <v>18</v>
      </c>
      <c r="P3302" s="113" t="s">
        <v>174</v>
      </c>
    </row>
    <row r="3303" spans="1:16" x14ac:dyDescent="0.25">
      <c r="A3303" s="29">
        <v>10</v>
      </c>
      <c r="B3303" s="30">
        <v>438406.10856199998</v>
      </c>
      <c r="C3303" s="30">
        <v>5688274.3324180003</v>
      </c>
      <c r="D3303" s="30">
        <v>29</v>
      </c>
      <c r="E3303" s="30" t="s">
        <v>40</v>
      </c>
      <c r="F3303" s="46">
        <v>2023</v>
      </c>
      <c r="G3303" s="47">
        <v>0.11582188225000001</v>
      </c>
      <c r="H3303" s="47">
        <f>G3303*0.418370520065534</f>
        <v>4.8456461111901543E-2</v>
      </c>
      <c r="I3303" s="47">
        <v>3.2091634000000001E-2</v>
      </c>
      <c r="J3303" s="47">
        <f>I3303*0.430150237581764</f>
        <v>1.3804223989487016E-2</v>
      </c>
      <c r="K3303" s="47">
        <v>1.9972222750000001E-2</v>
      </c>
      <c r="L3303" s="47">
        <f>K3303*0.508176176071689</f>
        <v>1.0149407784746992E-2</v>
      </c>
      <c r="M3303" s="47">
        <f>H3303-L3303</f>
        <v>3.8307053327154547E-2</v>
      </c>
      <c r="N3303" s="47">
        <v>4.1248522499999999E-3</v>
      </c>
      <c r="O3303" s="47">
        <f>N3303*0.407434536474628</f>
        <v>1.6806072645050765E-3</v>
      </c>
      <c r="P3303" s="92"/>
    </row>
    <row r="3304" spans="1:16" x14ac:dyDescent="0.25">
      <c r="A3304" s="42">
        <v>11</v>
      </c>
      <c r="B3304" s="43">
        <v>437454.10856199998</v>
      </c>
      <c r="C3304" s="43">
        <v>5688393.3324180003</v>
      </c>
      <c r="D3304" s="44">
        <v>29</v>
      </c>
      <c r="E3304" s="44" t="s">
        <v>40</v>
      </c>
      <c r="F3304" s="44">
        <v>2023</v>
      </c>
      <c r="G3304" s="44" t="s">
        <v>18</v>
      </c>
      <c r="H3304" s="44" t="s">
        <v>18</v>
      </c>
      <c r="I3304" s="44" t="s">
        <v>18</v>
      </c>
      <c r="J3304" s="44" t="s">
        <v>18</v>
      </c>
      <c r="K3304" s="44" t="s">
        <v>18</v>
      </c>
      <c r="L3304" s="44" t="s">
        <v>18</v>
      </c>
      <c r="M3304" s="44" t="s">
        <v>18</v>
      </c>
      <c r="N3304" s="44" t="s">
        <v>18</v>
      </c>
      <c r="O3304" s="44" t="s">
        <v>18</v>
      </c>
      <c r="P3304" s="102" t="s">
        <v>109</v>
      </c>
    </row>
    <row r="3305" spans="1:16" x14ac:dyDescent="0.25">
      <c r="A3305" s="29">
        <v>12</v>
      </c>
      <c r="B3305" s="30">
        <v>437573.10856199998</v>
      </c>
      <c r="C3305" s="30">
        <v>5688393.3324180003</v>
      </c>
      <c r="D3305" s="30">
        <v>29</v>
      </c>
      <c r="E3305" s="30" t="s">
        <v>40</v>
      </c>
      <c r="F3305" s="46">
        <v>2023</v>
      </c>
      <c r="G3305" s="47">
        <v>1.82854275E-2</v>
      </c>
      <c r="H3305" s="47">
        <f t="shared" ref="H3305:H3353" si="369">G3305*0.418370520065534</f>
        <v>7.6500838127956166E-3</v>
      </c>
      <c r="I3305" s="47">
        <v>3.1850663249999994E-2</v>
      </c>
      <c r="J3305" s="47">
        <f t="shared" ref="J3305:J3353" si="370">I3305*0.430150237581764</f>
        <v>1.3700570364124257E-2</v>
      </c>
      <c r="K3305" s="47">
        <v>1.4302322749999999E-2</v>
      </c>
      <c r="L3305" s="47">
        <f t="shared" ref="L3305:L3353" si="371">K3305*0.508176176071689</f>
        <v>7.2680996840381222E-3</v>
      </c>
      <c r="M3305" s="47">
        <f>H3305-L3305</f>
        <v>3.8198412875749439E-4</v>
      </c>
      <c r="N3305" s="47">
        <v>7.3297632250000008E-2</v>
      </c>
      <c r="O3305" s="47">
        <f t="shared" ref="O3305:O3353" si="372">N3305*0.407434536474628</f>
        <v>2.9863986820466499E-2</v>
      </c>
      <c r="P3305" s="92"/>
    </row>
    <row r="3306" spans="1:16" x14ac:dyDescent="0.25">
      <c r="A3306" s="29">
        <v>13</v>
      </c>
      <c r="B3306" s="30">
        <v>437692.10856199998</v>
      </c>
      <c r="C3306" s="30">
        <v>5688393.3324180003</v>
      </c>
      <c r="D3306" s="30">
        <v>29</v>
      </c>
      <c r="E3306" s="30" t="s">
        <v>40</v>
      </c>
      <c r="F3306" s="46">
        <v>2023</v>
      </c>
      <c r="G3306" s="47">
        <v>5.5465796749999997E-2</v>
      </c>
      <c r="H3306" s="47">
        <f t="shared" si="369"/>
        <v>2.3205254232146703E-2</v>
      </c>
      <c r="I3306" s="47">
        <v>2.9426780999999999E-2</v>
      </c>
      <c r="J3306" s="47">
        <f t="shared" si="370"/>
        <v>1.2657936838416539E-2</v>
      </c>
      <c r="K3306" s="47">
        <v>2.3487560750000001E-2</v>
      </c>
      <c r="L3306" s="47">
        <f t="shared" si="371"/>
        <v>1.1935818807186492E-2</v>
      </c>
      <c r="M3306" s="47">
        <f>H3306-L3306</f>
        <v>1.1269435424960211E-2</v>
      </c>
      <c r="N3306" s="47">
        <v>1.5648924000000002E-2</v>
      </c>
      <c r="O3306" s="47">
        <f t="shared" si="372"/>
        <v>6.3759120962666822E-3</v>
      </c>
      <c r="P3306" s="92"/>
    </row>
    <row r="3307" spans="1:16" x14ac:dyDescent="0.25">
      <c r="A3307" s="32">
        <v>14</v>
      </c>
      <c r="B3307" s="33">
        <v>437811.10856199998</v>
      </c>
      <c r="C3307" s="33">
        <v>5688393.3324180003</v>
      </c>
      <c r="D3307" s="48">
        <v>29</v>
      </c>
      <c r="E3307" s="48" t="s">
        <v>40</v>
      </c>
      <c r="F3307" s="48">
        <v>2023</v>
      </c>
      <c r="G3307" s="48" t="s">
        <v>18</v>
      </c>
      <c r="H3307" s="48" t="s">
        <v>18</v>
      </c>
      <c r="I3307" s="48" t="s">
        <v>18</v>
      </c>
      <c r="J3307" s="48" t="s">
        <v>18</v>
      </c>
      <c r="K3307" s="48" t="s">
        <v>18</v>
      </c>
      <c r="L3307" s="48" t="s">
        <v>18</v>
      </c>
      <c r="M3307" s="48" t="s">
        <v>18</v>
      </c>
      <c r="N3307" s="48" t="s">
        <v>18</v>
      </c>
      <c r="O3307" s="48" t="s">
        <v>18</v>
      </c>
      <c r="P3307" s="103" t="s">
        <v>89</v>
      </c>
    </row>
    <row r="3308" spans="1:16" x14ac:dyDescent="0.25">
      <c r="A3308" s="29">
        <v>15</v>
      </c>
      <c r="B3308" s="30">
        <v>437930.10856199998</v>
      </c>
      <c r="C3308" s="30">
        <v>5688393.3324180003</v>
      </c>
      <c r="D3308" s="30">
        <v>29</v>
      </c>
      <c r="E3308" s="30" t="s">
        <v>40</v>
      </c>
      <c r="F3308" s="46">
        <v>2023</v>
      </c>
      <c r="G3308" s="47">
        <v>2.5798044999999999E-2</v>
      </c>
      <c r="H3308" s="47">
        <f t="shared" si="369"/>
        <v>1.0793141503324048E-2</v>
      </c>
      <c r="I3308" s="47">
        <v>1.6811253499999998E-2</v>
      </c>
      <c r="J3308" s="47">
        <f t="shared" si="370"/>
        <v>7.2313646870722607E-3</v>
      </c>
      <c r="K3308" s="47">
        <v>3.9816872750000003E-2</v>
      </c>
      <c r="L3308" s="47">
        <f t="shared" si="371"/>
        <v>2.0233986137228037E-2</v>
      </c>
      <c r="M3308" s="47">
        <f>H3308-L3308</f>
        <v>-9.4408446339039886E-3</v>
      </c>
      <c r="N3308" s="47">
        <v>1.0064072499999998E-3</v>
      </c>
      <c r="O3308" s="47">
        <f t="shared" si="372"/>
        <v>4.1004507140845499E-4</v>
      </c>
      <c r="P3308" s="92"/>
    </row>
    <row r="3309" spans="1:16" x14ac:dyDescent="0.25">
      <c r="A3309" s="29">
        <v>16</v>
      </c>
      <c r="B3309" s="30">
        <v>438049.10856199998</v>
      </c>
      <c r="C3309" s="30">
        <v>5688393.3324180003</v>
      </c>
      <c r="D3309" s="30">
        <v>29</v>
      </c>
      <c r="E3309" s="30" t="s">
        <v>40</v>
      </c>
      <c r="F3309" s="46">
        <v>2023</v>
      </c>
      <c r="G3309" s="47">
        <v>3.6967748000000002E-2</v>
      </c>
      <c r="H3309" s="47">
        <f t="shared" si="369"/>
        <v>1.5466215956411605E-2</v>
      </c>
      <c r="I3309" s="47">
        <v>1.3990478249999999E-2</v>
      </c>
      <c r="J3309" s="47">
        <f t="shared" si="370"/>
        <v>6.0180075431200018E-3</v>
      </c>
      <c r="K3309" s="47">
        <v>5.3864049999999995E-3</v>
      </c>
      <c r="L3309" s="47">
        <f t="shared" si="371"/>
        <v>2.7372426956734255E-3</v>
      </c>
      <c r="M3309" s="47">
        <f>H3309-L3309</f>
        <v>1.2728973260738179E-2</v>
      </c>
      <c r="N3309" s="47">
        <v>4.0965027499999997E-3</v>
      </c>
      <c r="O3309" s="47">
        <f t="shared" si="372"/>
        <v>1.6690566991132889E-3</v>
      </c>
      <c r="P3309" s="92"/>
    </row>
    <row r="3310" spans="1:16" x14ac:dyDescent="0.25">
      <c r="A3310" s="29">
        <v>17</v>
      </c>
      <c r="B3310" s="30">
        <v>438168.10856199998</v>
      </c>
      <c r="C3310" s="30">
        <v>5688393.3324180003</v>
      </c>
      <c r="D3310" s="30">
        <v>29</v>
      </c>
      <c r="E3310" s="30" t="s">
        <v>40</v>
      </c>
      <c r="F3310" s="46">
        <v>2023</v>
      </c>
      <c r="G3310" s="47">
        <v>3.6797651000000001E-2</v>
      </c>
      <c r="H3310" s="47">
        <f t="shared" si="369"/>
        <v>1.5395052386060017E-2</v>
      </c>
      <c r="I3310" s="47">
        <v>6.6181907749999991E-2</v>
      </c>
      <c r="J3310" s="47">
        <f t="shared" si="370"/>
        <v>2.8468163342276885E-2</v>
      </c>
      <c r="K3310" s="47">
        <v>3.96609505E-2</v>
      </c>
      <c r="L3310" s="47">
        <f t="shared" si="371"/>
        <v>2.015475016445854E-2</v>
      </c>
      <c r="M3310" s="47">
        <f>H3310-L3310</f>
        <v>-4.759697778398523E-3</v>
      </c>
      <c r="N3310" s="47">
        <v>0.22014804225000001</v>
      </c>
      <c r="O3310" s="47">
        <f t="shared" si="372"/>
        <v>8.9695915549925578E-2</v>
      </c>
      <c r="P3310" s="92"/>
    </row>
    <row r="3311" spans="1:16" x14ac:dyDescent="0.25">
      <c r="A3311" s="29">
        <v>18</v>
      </c>
      <c r="B3311" s="30">
        <v>438287.10856199998</v>
      </c>
      <c r="C3311" s="30">
        <v>5688393.3324180003</v>
      </c>
      <c r="D3311" s="30">
        <v>29</v>
      </c>
      <c r="E3311" s="30" t="s">
        <v>40</v>
      </c>
      <c r="F3311" s="46">
        <v>2023</v>
      </c>
      <c r="G3311" s="47">
        <v>1.1509897E-2</v>
      </c>
      <c r="H3311" s="47">
        <f t="shared" si="369"/>
        <v>4.8154015937907297E-3</v>
      </c>
      <c r="I3311" s="47">
        <v>0</v>
      </c>
      <c r="J3311" s="47">
        <f t="shared" si="370"/>
        <v>0</v>
      </c>
      <c r="K3311" s="47">
        <v>9.1994127500000002E-3</v>
      </c>
      <c r="L3311" s="47">
        <f t="shared" si="371"/>
        <v>4.6749223934001403E-3</v>
      </c>
      <c r="M3311" s="47">
        <f>H3311-L3311</f>
        <v>1.4047920039058932E-4</v>
      </c>
      <c r="N3311" s="47">
        <v>0</v>
      </c>
      <c r="O3311" s="47">
        <f t="shared" si="372"/>
        <v>0</v>
      </c>
      <c r="P3311" s="92"/>
    </row>
    <row r="3312" spans="1:16" x14ac:dyDescent="0.25">
      <c r="A3312" s="29">
        <v>19</v>
      </c>
      <c r="B3312" s="30">
        <v>438406.10856199998</v>
      </c>
      <c r="C3312" s="30">
        <v>5688393.3324180003</v>
      </c>
      <c r="D3312" s="30">
        <v>29</v>
      </c>
      <c r="E3312" s="30" t="s">
        <v>40</v>
      </c>
      <c r="F3312" s="46">
        <v>2023</v>
      </c>
      <c r="G3312" s="47">
        <v>2.5018433749999996E-2</v>
      </c>
      <c r="H3312" s="47">
        <f t="shared" si="369"/>
        <v>1.0466975139212607E-2</v>
      </c>
      <c r="I3312" s="47">
        <v>0</v>
      </c>
      <c r="J3312" s="47">
        <f t="shared" si="370"/>
        <v>0</v>
      </c>
      <c r="K3312" s="47">
        <v>1.1027955499999999E-2</v>
      </c>
      <c r="L3312" s="47">
        <f t="shared" si="371"/>
        <v>5.6041442558787498E-3</v>
      </c>
      <c r="M3312" s="47">
        <f>H3312-L3312</f>
        <v>4.8628308833338569E-3</v>
      </c>
      <c r="N3312" s="47">
        <v>0</v>
      </c>
      <c r="O3312" s="47">
        <f t="shared" si="372"/>
        <v>0</v>
      </c>
      <c r="P3312" s="92"/>
    </row>
    <row r="3313" spans="1:16" x14ac:dyDescent="0.25">
      <c r="A3313" s="42">
        <v>20</v>
      </c>
      <c r="B3313" s="43">
        <v>437335.10856199998</v>
      </c>
      <c r="C3313" s="43">
        <v>5688512.3324180003</v>
      </c>
      <c r="D3313" s="44">
        <v>29</v>
      </c>
      <c r="E3313" s="44" t="s">
        <v>40</v>
      </c>
      <c r="F3313" s="44">
        <v>2023</v>
      </c>
      <c r="G3313" s="44" t="s">
        <v>18</v>
      </c>
      <c r="H3313" s="44" t="s">
        <v>18</v>
      </c>
      <c r="I3313" s="44" t="s">
        <v>18</v>
      </c>
      <c r="J3313" s="44" t="s">
        <v>18</v>
      </c>
      <c r="K3313" s="44" t="s">
        <v>18</v>
      </c>
      <c r="L3313" s="44" t="s">
        <v>18</v>
      </c>
      <c r="M3313" s="44" t="s">
        <v>18</v>
      </c>
      <c r="N3313" s="44" t="s">
        <v>18</v>
      </c>
      <c r="O3313" s="44" t="s">
        <v>18</v>
      </c>
      <c r="P3313" s="102" t="s">
        <v>109</v>
      </c>
    </row>
    <row r="3314" spans="1:16" x14ac:dyDescent="0.25">
      <c r="A3314" s="29">
        <v>21</v>
      </c>
      <c r="B3314" s="30">
        <v>437454.10856199998</v>
      </c>
      <c r="C3314" s="30">
        <v>5688512.3324180003</v>
      </c>
      <c r="D3314" s="30">
        <v>29</v>
      </c>
      <c r="E3314" s="30" t="s">
        <v>40</v>
      </c>
      <c r="F3314" s="46">
        <v>2023</v>
      </c>
      <c r="G3314" s="47">
        <v>6.2227152499999992E-3</v>
      </c>
      <c r="H3314" s="47">
        <f t="shared" si="369"/>
        <v>2.6034006153622291E-3</v>
      </c>
      <c r="I3314" s="47">
        <v>8.1646559999999993E-3</v>
      </c>
      <c r="J3314" s="47">
        <f t="shared" si="370"/>
        <v>3.5120287181733749E-3</v>
      </c>
      <c r="K3314" s="47">
        <v>8.0796074999999997E-4</v>
      </c>
      <c r="L3314" s="47">
        <f t="shared" si="371"/>
        <v>4.1058640435101383E-4</v>
      </c>
      <c r="M3314" s="47">
        <f t="shared" ref="M3314:M3319" si="373">H3314-L3314</f>
        <v>2.1928142110112154E-3</v>
      </c>
      <c r="N3314" s="47">
        <v>1.3891254999999999E-3</v>
      </c>
      <c r="O3314" s="47">
        <f t="shared" si="372"/>
        <v>5.6597770419758583E-4</v>
      </c>
      <c r="P3314" s="92"/>
    </row>
    <row r="3315" spans="1:16" x14ac:dyDescent="0.25">
      <c r="A3315" s="29">
        <v>22</v>
      </c>
      <c r="B3315" s="30">
        <v>437573.10856199998</v>
      </c>
      <c r="C3315" s="30">
        <v>5688512.3324180003</v>
      </c>
      <c r="D3315" s="30">
        <v>29</v>
      </c>
      <c r="E3315" s="30" t="s">
        <v>40</v>
      </c>
      <c r="F3315" s="46">
        <v>2023</v>
      </c>
      <c r="G3315" s="47">
        <v>4.6705801249999998E-2</v>
      </c>
      <c r="H3315" s="47">
        <f t="shared" si="369"/>
        <v>1.9540330359039966E-2</v>
      </c>
      <c r="I3315" s="47">
        <v>2.8916489999999996E-3</v>
      </c>
      <c r="J3315" s="47">
        <f t="shared" si="370"/>
        <v>1.2438435043530703E-3</v>
      </c>
      <c r="K3315" s="47">
        <v>1.9943873250000001E-2</v>
      </c>
      <c r="L3315" s="47">
        <f t="shared" si="371"/>
        <v>1.0135001244243448E-2</v>
      </c>
      <c r="M3315" s="47">
        <f t="shared" si="373"/>
        <v>9.4053291147965182E-3</v>
      </c>
      <c r="N3315" s="47">
        <v>6.0710454250000004E-2</v>
      </c>
      <c r="O3315" s="47">
        <f t="shared" si="372"/>
        <v>2.4735535786512861E-2</v>
      </c>
      <c r="P3315" s="92"/>
    </row>
    <row r="3316" spans="1:16" x14ac:dyDescent="0.25">
      <c r="A3316" s="29">
        <v>23</v>
      </c>
      <c r="B3316" s="30">
        <v>437692.10856199998</v>
      </c>
      <c r="C3316" s="30">
        <v>5688512.3324180003</v>
      </c>
      <c r="D3316" s="30">
        <v>29</v>
      </c>
      <c r="E3316" s="30" t="s">
        <v>40</v>
      </c>
      <c r="F3316" s="46">
        <v>2023</v>
      </c>
      <c r="G3316" s="47">
        <v>3.6429107499999995E-2</v>
      </c>
      <c r="H3316" s="47">
        <f t="shared" si="369"/>
        <v>1.5240864650298242E-2</v>
      </c>
      <c r="I3316" s="47">
        <v>3.4118623250000001E-2</v>
      </c>
      <c r="J3316" s="47">
        <f t="shared" si="370"/>
        <v>1.4676133896950197E-2</v>
      </c>
      <c r="K3316" s="47">
        <v>1.1509897E-2</v>
      </c>
      <c r="L3316" s="47">
        <f t="shared" si="371"/>
        <v>5.8490554444390044E-3</v>
      </c>
      <c r="M3316" s="47">
        <f t="shared" si="373"/>
        <v>9.3918092058592369E-3</v>
      </c>
      <c r="N3316" s="47">
        <v>4.4225219999999999E-3</v>
      </c>
      <c r="O3316" s="47">
        <f t="shared" si="372"/>
        <v>1.8018882011188449E-3</v>
      </c>
      <c r="P3316" s="92"/>
    </row>
    <row r="3317" spans="1:16" x14ac:dyDescent="0.25">
      <c r="A3317" s="29">
        <v>24</v>
      </c>
      <c r="B3317" s="30">
        <v>437811.10856199998</v>
      </c>
      <c r="C3317" s="30">
        <v>5688512.3324180003</v>
      </c>
      <c r="D3317" s="30">
        <v>29</v>
      </c>
      <c r="E3317" s="30" t="s">
        <v>40</v>
      </c>
      <c r="F3317" s="46">
        <v>2023</v>
      </c>
      <c r="G3317" s="47">
        <v>3.9292406999999994E-2</v>
      </c>
      <c r="H3317" s="47">
        <f t="shared" si="369"/>
        <v>1.6438784751216625E-2</v>
      </c>
      <c r="I3317" s="47">
        <v>0</v>
      </c>
      <c r="J3317" s="47">
        <f t="shared" si="370"/>
        <v>0</v>
      </c>
      <c r="K3317" s="47">
        <v>3.1850663249999994E-2</v>
      </c>
      <c r="L3317" s="47">
        <f t="shared" si="371"/>
        <v>1.6185748255732071E-2</v>
      </c>
      <c r="M3317" s="47">
        <f t="shared" si="373"/>
        <v>2.5303649548455431E-4</v>
      </c>
      <c r="N3317" s="47">
        <v>5.5281524999999999E-4</v>
      </c>
      <c r="O3317" s="47">
        <f t="shared" si="372"/>
        <v>2.2523602513985561E-4</v>
      </c>
      <c r="P3317" s="92"/>
    </row>
    <row r="3318" spans="1:16" x14ac:dyDescent="0.25">
      <c r="A3318" s="29">
        <v>25</v>
      </c>
      <c r="B3318" s="46">
        <v>437995</v>
      </c>
      <c r="C3318" s="46">
        <v>5688493</v>
      </c>
      <c r="D3318" s="30">
        <v>27</v>
      </c>
      <c r="E3318" s="30" t="s">
        <v>40</v>
      </c>
      <c r="F3318" s="46">
        <v>2023</v>
      </c>
      <c r="G3318" s="47">
        <v>1.5464652249999999E-2</v>
      </c>
      <c r="H3318" s="47">
        <f t="shared" si="369"/>
        <v>6.4699546044651298E-3</v>
      </c>
      <c r="I3318" s="47">
        <v>0</v>
      </c>
      <c r="J3318" s="47">
        <f t="shared" si="370"/>
        <v>0</v>
      </c>
      <c r="K3318" s="47">
        <v>4.4792210000000002E-3</v>
      </c>
      <c r="L3318" s="47">
        <f t="shared" si="371"/>
        <v>2.2762333995600069E-3</v>
      </c>
      <c r="M3318" s="47">
        <f t="shared" si="373"/>
        <v>4.1937212049051233E-3</v>
      </c>
      <c r="N3318" s="47">
        <v>0</v>
      </c>
      <c r="O3318" s="47">
        <f t="shared" si="372"/>
        <v>0</v>
      </c>
      <c r="P3318" s="92"/>
    </row>
    <row r="3319" spans="1:16" x14ac:dyDescent="0.25">
      <c r="A3319" s="29">
        <v>26</v>
      </c>
      <c r="B3319" s="46">
        <v>438112</v>
      </c>
      <c r="C3319" s="46">
        <v>5688567</v>
      </c>
      <c r="D3319" s="30">
        <v>29</v>
      </c>
      <c r="E3319" s="30" t="s">
        <v>40</v>
      </c>
      <c r="F3319" s="46">
        <v>2023</v>
      </c>
      <c r="G3319" s="47">
        <v>3.2063284500000004E-2</v>
      </c>
      <c r="H3319" s="47">
        <f t="shared" si="369"/>
        <v>1.3414333011274177E-2</v>
      </c>
      <c r="I3319" s="47">
        <v>1.9603679249999999E-2</v>
      </c>
      <c r="J3319" s="47">
        <f t="shared" si="370"/>
        <v>8.432527286864196E-3</v>
      </c>
      <c r="K3319" s="47">
        <v>1.8568922499999998E-2</v>
      </c>
      <c r="L3319" s="47">
        <f t="shared" si="371"/>
        <v>9.4362840298215459E-3</v>
      </c>
      <c r="M3319" s="47">
        <f t="shared" si="373"/>
        <v>3.9780489814526306E-3</v>
      </c>
      <c r="N3319" s="47">
        <v>5.3438807499999992E-3</v>
      </c>
      <c r="O3319" s="47">
        <f t="shared" si="372"/>
        <v>2.1772815763519372E-3</v>
      </c>
      <c r="P3319" s="92"/>
    </row>
    <row r="3320" spans="1:16" x14ac:dyDescent="0.25">
      <c r="A3320" s="32">
        <v>27</v>
      </c>
      <c r="B3320" s="33">
        <v>438168.10856199998</v>
      </c>
      <c r="C3320" s="33">
        <v>5688512.3324180003</v>
      </c>
      <c r="D3320" s="48">
        <v>29</v>
      </c>
      <c r="E3320" s="48" t="s">
        <v>40</v>
      </c>
      <c r="F3320" s="48">
        <v>2023</v>
      </c>
      <c r="G3320" s="48" t="s">
        <v>18</v>
      </c>
      <c r="H3320" s="48" t="s">
        <v>18</v>
      </c>
      <c r="I3320" s="48" t="s">
        <v>18</v>
      </c>
      <c r="J3320" s="48" t="s">
        <v>18</v>
      </c>
      <c r="K3320" s="48" t="s">
        <v>18</v>
      </c>
      <c r="L3320" s="48" t="s">
        <v>18</v>
      </c>
      <c r="M3320" s="48" t="s">
        <v>18</v>
      </c>
      <c r="N3320" s="48" t="s">
        <v>18</v>
      </c>
      <c r="O3320" s="48" t="s">
        <v>18</v>
      </c>
      <c r="P3320" s="103" t="s">
        <v>89</v>
      </c>
    </row>
    <row r="3321" spans="1:16" x14ac:dyDescent="0.25">
      <c r="A3321" s="32">
        <v>28</v>
      </c>
      <c r="B3321" s="33">
        <v>438287.10856199998</v>
      </c>
      <c r="C3321" s="33">
        <v>5688512.3324180003</v>
      </c>
      <c r="D3321" s="48">
        <v>29</v>
      </c>
      <c r="E3321" s="48" t="s">
        <v>40</v>
      </c>
      <c r="F3321" s="48">
        <v>2023</v>
      </c>
      <c r="G3321" s="48" t="s">
        <v>18</v>
      </c>
      <c r="H3321" s="48" t="s">
        <v>18</v>
      </c>
      <c r="I3321" s="48" t="s">
        <v>18</v>
      </c>
      <c r="J3321" s="48" t="s">
        <v>18</v>
      </c>
      <c r="K3321" s="48" t="s">
        <v>18</v>
      </c>
      <c r="L3321" s="48" t="s">
        <v>18</v>
      </c>
      <c r="M3321" s="48" t="s">
        <v>18</v>
      </c>
      <c r="N3321" s="48" t="s">
        <v>18</v>
      </c>
      <c r="O3321" s="48" t="s">
        <v>18</v>
      </c>
      <c r="P3321" s="103" t="s">
        <v>89</v>
      </c>
    </row>
    <row r="3322" spans="1:16" x14ac:dyDescent="0.25">
      <c r="A3322" s="29">
        <v>29</v>
      </c>
      <c r="B3322" s="30">
        <v>438381</v>
      </c>
      <c r="C3322" s="30">
        <v>5688526</v>
      </c>
      <c r="D3322" s="30">
        <v>29</v>
      </c>
      <c r="E3322" s="30" t="s">
        <v>40</v>
      </c>
      <c r="F3322" s="46">
        <v>2023</v>
      </c>
      <c r="G3322" s="47">
        <v>2.6790277499999997E-2</v>
      </c>
      <c r="H3322" s="47">
        <f t="shared" si="369"/>
        <v>1.1208262330374972E-2</v>
      </c>
      <c r="I3322" s="47">
        <v>1.95328055E-2</v>
      </c>
      <c r="J3322" s="47">
        <f t="shared" si="370"/>
        <v>8.4020409264633864E-3</v>
      </c>
      <c r="K3322" s="47">
        <v>1.4954361249999997E-2</v>
      </c>
      <c r="L3322" s="47">
        <f t="shared" si="371"/>
        <v>7.5994501156196412E-3</v>
      </c>
      <c r="M3322" s="47">
        <f t="shared" ref="M3322:M3329" si="374">H3322-L3322</f>
        <v>3.608812214755331E-3</v>
      </c>
      <c r="N3322" s="47">
        <v>2.59397925E-3</v>
      </c>
      <c r="O3322" s="47">
        <f t="shared" si="372"/>
        <v>1.0568767333485533E-3</v>
      </c>
      <c r="P3322" s="92"/>
    </row>
    <row r="3323" spans="1:16" x14ac:dyDescent="0.25">
      <c r="A3323" s="29">
        <v>30</v>
      </c>
      <c r="B3323" s="30">
        <v>438525.10856199998</v>
      </c>
      <c r="C3323" s="30">
        <v>5688512.3324180003</v>
      </c>
      <c r="D3323" s="30">
        <v>29</v>
      </c>
      <c r="E3323" s="30" t="s">
        <v>40</v>
      </c>
      <c r="F3323" s="46">
        <v>2023</v>
      </c>
      <c r="G3323" s="47">
        <v>1.4458245E-2</v>
      </c>
      <c r="H3323" s="47">
        <f t="shared" si="369"/>
        <v>6.0489034798849066E-3</v>
      </c>
      <c r="I3323" s="47">
        <v>0</v>
      </c>
      <c r="J3323" s="47">
        <f t="shared" si="370"/>
        <v>0</v>
      </c>
      <c r="K3323" s="47">
        <v>9.1285389999999998E-3</v>
      </c>
      <c r="L3323" s="47">
        <f t="shared" si="371"/>
        <v>4.6389060421412791E-3</v>
      </c>
      <c r="M3323" s="47">
        <f t="shared" si="374"/>
        <v>1.4099974377436274E-3</v>
      </c>
      <c r="N3323" s="47">
        <v>0</v>
      </c>
      <c r="O3323" s="47">
        <f t="shared" si="372"/>
        <v>0</v>
      </c>
      <c r="P3323" s="92"/>
    </row>
    <row r="3324" spans="1:16" x14ac:dyDescent="0.25">
      <c r="A3324" s="29">
        <v>31</v>
      </c>
      <c r="B3324" s="30">
        <v>437335.10856199998</v>
      </c>
      <c r="C3324" s="30">
        <v>5688631.3324180003</v>
      </c>
      <c r="D3324" s="30">
        <v>29</v>
      </c>
      <c r="E3324" s="30" t="s">
        <v>40</v>
      </c>
      <c r="F3324" s="46">
        <v>2023</v>
      </c>
      <c r="G3324" s="47">
        <v>2.07801835E-2</v>
      </c>
      <c r="H3324" s="47">
        <f t="shared" si="369"/>
        <v>8.6938161779522294E-3</v>
      </c>
      <c r="I3324" s="47">
        <v>1.417475E-5</v>
      </c>
      <c r="J3324" s="47">
        <f t="shared" si="370"/>
        <v>6.0972720801621098E-6</v>
      </c>
      <c r="K3324" s="47">
        <v>1.9702902500000003E-3</v>
      </c>
      <c r="L3324" s="47">
        <f t="shared" si="371"/>
        <v>1.0012545649963323E-3</v>
      </c>
      <c r="M3324" s="47">
        <f t="shared" si="374"/>
        <v>7.6925616129558966E-3</v>
      </c>
      <c r="N3324" s="47">
        <v>2.0978629999999997E-3</v>
      </c>
      <c r="O3324" s="47">
        <f t="shared" si="372"/>
        <v>8.5474183899227247E-4</v>
      </c>
      <c r="P3324" s="92"/>
    </row>
    <row r="3325" spans="1:16" x14ac:dyDescent="0.25">
      <c r="A3325" s="29">
        <v>32</v>
      </c>
      <c r="B3325" s="30">
        <v>437454.10856199998</v>
      </c>
      <c r="C3325" s="30">
        <v>5688631.3324180003</v>
      </c>
      <c r="D3325" s="30">
        <v>29</v>
      </c>
      <c r="E3325" s="30" t="s">
        <v>40</v>
      </c>
      <c r="F3325" s="46">
        <v>2023</v>
      </c>
      <c r="G3325" s="47">
        <v>1.7987757749999996E-2</v>
      </c>
      <c r="H3325" s="47">
        <f t="shared" si="369"/>
        <v>7.5255475646803377E-3</v>
      </c>
      <c r="I3325" s="47">
        <v>0</v>
      </c>
      <c r="J3325" s="47">
        <f t="shared" si="370"/>
        <v>0</v>
      </c>
      <c r="K3325" s="47">
        <v>7.4984427499999997E-3</v>
      </c>
      <c r="L3325" s="47">
        <f t="shared" si="371"/>
        <v>3.8105299631874794E-3</v>
      </c>
      <c r="M3325" s="47">
        <f t="shared" si="374"/>
        <v>3.7150176014928583E-3</v>
      </c>
      <c r="N3325" s="47">
        <v>0</v>
      </c>
      <c r="O3325" s="47">
        <f t="shared" si="372"/>
        <v>0</v>
      </c>
      <c r="P3325" s="92"/>
    </row>
    <row r="3326" spans="1:16" x14ac:dyDescent="0.25">
      <c r="A3326" s="29">
        <v>33</v>
      </c>
      <c r="B3326" s="30">
        <v>437573.10856199998</v>
      </c>
      <c r="C3326" s="30">
        <v>5688631.3324180003</v>
      </c>
      <c r="D3326" s="30">
        <v>29</v>
      </c>
      <c r="E3326" s="30" t="s">
        <v>40</v>
      </c>
      <c r="F3326" s="46">
        <v>2023</v>
      </c>
      <c r="G3326" s="47">
        <v>1.6116690749999999E-2</v>
      </c>
      <c r="H3326" s="47">
        <f t="shared" si="369"/>
        <v>6.7427482908128805E-3</v>
      </c>
      <c r="I3326" s="47">
        <v>0</v>
      </c>
      <c r="J3326" s="47">
        <f t="shared" si="370"/>
        <v>0</v>
      </c>
      <c r="K3326" s="47">
        <v>7.2999962499999994E-3</v>
      </c>
      <c r="L3326" s="47">
        <f t="shared" si="371"/>
        <v>3.7096841796626688E-3</v>
      </c>
      <c r="M3326" s="47">
        <f t="shared" si="374"/>
        <v>3.0330641111502117E-3</v>
      </c>
      <c r="N3326" s="47">
        <v>0</v>
      </c>
      <c r="O3326" s="47">
        <f t="shared" si="372"/>
        <v>0</v>
      </c>
      <c r="P3326" s="92"/>
    </row>
    <row r="3327" spans="1:16" x14ac:dyDescent="0.25">
      <c r="A3327" s="29">
        <v>34</v>
      </c>
      <c r="B3327" s="30">
        <v>437692.10856199998</v>
      </c>
      <c r="C3327" s="30">
        <v>5688631.3324180003</v>
      </c>
      <c r="D3327" s="30">
        <v>29</v>
      </c>
      <c r="E3327" s="30" t="s">
        <v>40</v>
      </c>
      <c r="F3327" s="46">
        <v>2023</v>
      </c>
      <c r="G3327" s="47">
        <v>1.571979775E-2</v>
      </c>
      <c r="H3327" s="47">
        <f t="shared" si="369"/>
        <v>6.5766999599925109E-3</v>
      </c>
      <c r="I3327" s="47">
        <v>0</v>
      </c>
      <c r="J3327" s="47">
        <f t="shared" si="370"/>
        <v>0</v>
      </c>
      <c r="K3327" s="47">
        <v>6.4636859999999997E-3</v>
      </c>
      <c r="L3327" s="47">
        <f t="shared" si="371"/>
        <v>3.2846912348081106E-3</v>
      </c>
      <c r="M3327" s="47">
        <f t="shared" si="374"/>
        <v>3.2920087251844003E-3</v>
      </c>
      <c r="N3327" s="47">
        <v>0</v>
      </c>
      <c r="O3327" s="47">
        <f t="shared" si="372"/>
        <v>0</v>
      </c>
      <c r="P3327" s="92"/>
    </row>
    <row r="3328" spans="1:16" x14ac:dyDescent="0.25">
      <c r="A3328" s="29">
        <v>35</v>
      </c>
      <c r="B3328" s="30">
        <v>437893</v>
      </c>
      <c r="C3328" s="30">
        <v>5688620</v>
      </c>
      <c r="D3328" s="30">
        <v>29</v>
      </c>
      <c r="E3328" s="30" t="s">
        <v>40</v>
      </c>
      <c r="F3328" s="46">
        <v>2023</v>
      </c>
      <c r="G3328" s="47">
        <v>2.927085875E-2</v>
      </c>
      <c r="H3328" s="47">
        <f t="shared" si="369"/>
        <v>1.2246064398002287E-2</v>
      </c>
      <c r="I3328" s="47">
        <v>0</v>
      </c>
      <c r="J3328" s="47">
        <f t="shared" si="370"/>
        <v>0</v>
      </c>
      <c r="K3328" s="47">
        <v>1.8157854749999997E-2</v>
      </c>
      <c r="L3328" s="47">
        <f t="shared" si="371"/>
        <v>9.2273891925201516E-3</v>
      </c>
      <c r="M3328" s="47">
        <f t="shared" si="374"/>
        <v>3.018675205482135E-3</v>
      </c>
      <c r="N3328" s="47">
        <v>0</v>
      </c>
      <c r="O3328" s="47">
        <f t="shared" si="372"/>
        <v>0</v>
      </c>
      <c r="P3328" s="92"/>
    </row>
    <row r="3329" spans="1:16" x14ac:dyDescent="0.25">
      <c r="A3329" s="29">
        <v>36</v>
      </c>
      <c r="B3329" s="30">
        <v>437930.10856199998</v>
      </c>
      <c r="C3329" s="30">
        <v>5688631.3324180003</v>
      </c>
      <c r="D3329" s="30">
        <v>28</v>
      </c>
      <c r="E3329" s="30" t="s">
        <v>40</v>
      </c>
      <c r="F3329" s="46">
        <v>2023</v>
      </c>
      <c r="G3329" s="47">
        <v>9.7522279999999982E-3</v>
      </c>
      <c r="H3329" s="47">
        <f t="shared" si="369"/>
        <v>4.0800447001576616E-3</v>
      </c>
      <c r="I3329" s="47">
        <v>1.2870673000000001E-2</v>
      </c>
      <c r="J3329" s="47">
        <f t="shared" si="370"/>
        <v>5.5363230487871957E-3</v>
      </c>
      <c r="K3329" s="47">
        <v>2.5656297499999999E-3</v>
      </c>
      <c r="L3329" s="47">
        <f t="shared" si="371"/>
        <v>1.3037919155707632E-3</v>
      </c>
      <c r="M3329" s="47">
        <f t="shared" si="374"/>
        <v>2.7762527845868984E-3</v>
      </c>
      <c r="N3329" s="47">
        <v>0</v>
      </c>
      <c r="O3329" s="47">
        <f t="shared" si="372"/>
        <v>0</v>
      </c>
      <c r="P3329" s="92"/>
    </row>
    <row r="3330" spans="1:16" x14ac:dyDescent="0.25">
      <c r="A3330" s="32">
        <v>37</v>
      </c>
      <c r="B3330" s="33">
        <v>438049.10856199998</v>
      </c>
      <c r="C3330" s="33">
        <v>5688631.3324180003</v>
      </c>
      <c r="D3330" s="48">
        <v>29</v>
      </c>
      <c r="E3330" s="48" t="s">
        <v>40</v>
      </c>
      <c r="F3330" s="48">
        <v>2023</v>
      </c>
      <c r="G3330" s="48" t="s">
        <v>18</v>
      </c>
      <c r="H3330" s="48" t="s">
        <v>18</v>
      </c>
      <c r="I3330" s="48" t="s">
        <v>18</v>
      </c>
      <c r="J3330" s="48" t="s">
        <v>18</v>
      </c>
      <c r="K3330" s="48" t="s">
        <v>18</v>
      </c>
      <c r="L3330" s="48" t="s">
        <v>18</v>
      </c>
      <c r="M3330" s="48" t="s">
        <v>18</v>
      </c>
      <c r="N3330" s="48" t="s">
        <v>18</v>
      </c>
      <c r="O3330" s="48" t="s">
        <v>18</v>
      </c>
      <c r="P3330" s="103" t="s">
        <v>89</v>
      </c>
    </row>
    <row r="3331" spans="1:16" x14ac:dyDescent="0.25">
      <c r="A3331" s="29">
        <v>38</v>
      </c>
      <c r="B3331" s="30">
        <v>438067</v>
      </c>
      <c r="C3331" s="30">
        <v>5688710</v>
      </c>
      <c r="D3331" s="30">
        <v>27</v>
      </c>
      <c r="E3331" s="30" t="s">
        <v>40</v>
      </c>
      <c r="F3331" s="46">
        <v>2023</v>
      </c>
      <c r="G3331" s="47">
        <v>3.1184450000000002E-2</v>
      </c>
      <c r="H3331" s="47">
        <f t="shared" si="369"/>
        <v>1.3046654564457642E-2</v>
      </c>
      <c r="I3331" s="47">
        <v>0</v>
      </c>
      <c r="J3331" s="47">
        <f t="shared" si="370"/>
        <v>0</v>
      </c>
      <c r="K3331" s="47">
        <v>5.4147544999999997E-3</v>
      </c>
      <c r="L3331" s="47">
        <f t="shared" si="371"/>
        <v>2.75164923617697E-3</v>
      </c>
      <c r="M3331" s="47">
        <f>H3331-L3331</f>
        <v>1.0295005328280671E-2</v>
      </c>
      <c r="N3331" s="47">
        <v>0</v>
      </c>
      <c r="O3331" s="47">
        <f t="shared" si="372"/>
        <v>0</v>
      </c>
      <c r="P3331" s="92"/>
    </row>
    <row r="3332" spans="1:16" x14ac:dyDescent="0.25">
      <c r="A3332" s="32">
        <v>39</v>
      </c>
      <c r="B3332" s="33">
        <v>438287.10856199998</v>
      </c>
      <c r="C3332" s="33">
        <v>5688631.3324180003</v>
      </c>
      <c r="D3332" s="48">
        <v>29</v>
      </c>
      <c r="E3332" s="48" t="s">
        <v>40</v>
      </c>
      <c r="F3332" s="48">
        <v>2023</v>
      </c>
      <c r="G3332" s="48" t="s">
        <v>18</v>
      </c>
      <c r="H3332" s="48" t="s">
        <v>18</v>
      </c>
      <c r="I3332" s="48" t="s">
        <v>18</v>
      </c>
      <c r="J3332" s="48" t="s">
        <v>18</v>
      </c>
      <c r="K3332" s="48" t="s">
        <v>18</v>
      </c>
      <c r="L3332" s="48" t="s">
        <v>18</v>
      </c>
      <c r="M3332" s="48" t="s">
        <v>18</v>
      </c>
      <c r="N3332" s="48" t="s">
        <v>18</v>
      </c>
      <c r="O3332" s="48" t="s">
        <v>18</v>
      </c>
      <c r="P3332" s="94" t="s">
        <v>22</v>
      </c>
    </row>
    <row r="3333" spans="1:16" x14ac:dyDescent="0.25">
      <c r="A3333" s="89">
        <v>40</v>
      </c>
      <c r="B3333" s="90">
        <v>438406.10856199998</v>
      </c>
      <c r="C3333" s="90">
        <v>5688631.3324180003</v>
      </c>
      <c r="D3333" s="90">
        <v>29</v>
      </c>
      <c r="E3333" s="90" t="s">
        <v>40</v>
      </c>
      <c r="F3333" s="90">
        <v>2023</v>
      </c>
      <c r="G3333" s="90" t="s">
        <v>18</v>
      </c>
      <c r="H3333" s="90" t="s">
        <v>18</v>
      </c>
      <c r="I3333" s="90" t="s">
        <v>18</v>
      </c>
      <c r="J3333" s="90" t="s">
        <v>18</v>
      </c>
      <c r="K3333" s="90" t="s">
        <v>18</v>
      </c>
      <c r="L3333" s="90" t="s">
        <v>18</v>
      </c>
      <c r="M3333" s="90" t="s">
        <v>18</v>
      </c>
      <c r="N3333" s="90" t="s">
        <v>18</v>
      </c>
      <c r="O3333" s="90" t="s">
        <v>18</v>
      </c>
      <c r="P3333" s="113" t="s">
        <v>174</v>
      </c>
    </row>
    <row r="3334" spans="1:16" x14ac:dyDescent="0.25">
      <c r="A3334" s="29">
        <v>41</v>
      </c>
      <c r="B3334" s="30">
        <v>437310</v>
      </c>
      <c r="C3334" s="30">
        <v>5688729</v>
      </c>
      <c r="D3334" s="30">
        <v>28</v>
      </c>
      <c r="E3334" s="30" t="s">
        <v>40</v>
      </c>
      <c r="F3334" s="46">
        <v>2023</v>
      </c>
      <c r="G3334" s="47">
        <v>7.9435299000000001E-2</v>
      </c>
      <c r="H3334" s="47">
        <f t="shared" si="369"/>
        <v>3.3233387354191193E-2</v>
      </c>
      <c r="I3334" s="47">
        <v>2.5642122749999999E-2</v>
      </c>
      <c r="J3334" s="47">
        <f t="shared" si="370"/>
        <v>1.1029965193013256E-2</v>
      </c>
      <c r="K3334" s="47">
        <v>8.8592187499999999E-3</v>
      </c>
      <c r="L3334" s="47">
        <f t="shared" si="371"/>
        <v>4.5020439073576082E-3</v>
      </c>
      <c r="M3334" s="47">
        <f>H3334-L3334</f>
        <v>2.8731343446833583E-2</v>
      </c>
      <c r="N3334" s="47">
        <v>2.1205425999999999E-2</v>
      </c>
      <c r="O3334" s="47">
        <f t="shared" si="372"/>
        <v>8.6398229130570242E-3</v>
      </c>
      <c r="P3334" s="92"/>
    </row>
    <row r="3335" spans="1:16" x14ac:dyDescent="0.25">
      <c r="A3335" s="29">
        <v>42</v>
      </c>
      <c r="B3335" s="30">
        <v>437454.10856199998</v>
      </c>
      <c r="C3335" s="30">
        <v>5688750.3324180003</v>
      </c>
      <c r="D3335" s="30">
        <v>28</v>
      </c>
      <c r="E3335" s="30" t="s">
        <v>40</v>
      </c>
      <c r="F3335" s="46">
        <v>2023</v>
      </c>
      <c r="G3335" s="47">
        <v>1.6726205000000001E-2</v>
      </c>
      <c r="H3335" s="47">
        <f t="shared" si="369"/>
        <v>6.9977510845727351E-3</v>
      </c>
      <c r="I3335" s="47">
        <v>1.8824067999999999E-2</v>
      </c>
      <c r="J3335" s="47">
        <f t="shared" si="370"/>
        <v>8.0971773224552818E-3</v>
      </c>
      <c r="K3335" s="47">
        <v>4.3516482500000004E-3</v>
      </c>
      <c r="L3335" s="47">
        <f t="shared" si="371"/>
        <v>2.2114039672940572E-3</v>
      </c>
      <c r="M3335" s="47">
        <f>H3335-L3335</f>
        <v>4.7863471172786779E-3</v>
      </c>
      <c r="N3335" s="47">
        <v>0</v>
      </c>
      <c r="O3335" s="47">
        <f t="shared" si="372"/>
        <v>0</v>
      </c>
      <c r="P3335" s="92"/>
    </row>
    <row r="3336" spans="1:16" x14ac:dyDescent="0.25">
      <c r="A3336" s="29">
        <v>43</v>
      </c>
      <c r="B3336" s="30">
        <v>437573.10856199998</v>
      </c>
      <c r="C3336" s="30">
        <v>5688750.3324180003</v>
      </c>
      <c r="D3336" s="30">
        <v>28</v>
      </c>
      <c r="E3336" s="30" t="s">
        <v>40</v>
      </c>
      <c r="F3336" s="46">
        <v>2023</v>
      </c>
      <c r="G3336" s="47">
        <v>8.8592187499999999E-3</v>
      </c>
      <c r="H3336" s="47">
        <f t="shared" si="369"/>
        <v>3.70643595581183E-3</v>
      </c>
      <c r="I3336" s="47">
        <v>2.0496688499999999E-2</v>
      </c>
      <c r="J3336" s="47">
        <f t="shared" si="370"/>
        <v>8.8166554279144101E-3</v>
      </c>
      <c r="K3336" s="47">
        <v>3.7563087499999999E-3</v>
      </c>
      <c r="L3336" s="47">
        <f t="shared" si="371"/>
        <v>1.9088666167196258E-3</v>
      </c>
      <c r="M3336" s="47">
        <f>H3336-L3336</f>
        <v>1.7975693390922041E-3</v>
      </c>
      <c r="N3336" s="47">
        <v>3.4161147499999996E-3</v>
      </c>
      <c r="O3336" s="47">
        <f t="shared" si="372"/>
        <v>1.3918431297103896E-3</v>
      </c>
      <c r="P3336" s="92"/>
    </row>
    <row r="3337" spans="1:16" x14ac:dyDescent="0.25">
      <c r="A3337" s="29">
        <v>44</v>
      </c>
      <c r="B3337" s="30">
        <v>437692.10856199998</v>
      </c>
      <c r="C3337" s="30">
        <v>5688750.3324180003</v>
      </c>
      <c r="D3337" s="30">
        <v>28</v>
      </c>
      <c r="E3337" s="30" t="s">
        <v>40</v>
      </c>
      <c r="F3337" s="46">
        <v>2023</v>
      </c>
      <c r="G3337" s="47">
        <v>1.4387371249999998E-2</v>
      </c>
      <c r="H3337" s="47">
        <f t="shared" si="369"/>
        <v>6.019251992238411E-3</v>
      </c>
      <c r="I3337" s="47">
        <v>0</v>
      </c>
      <c r="J3337" s="47">
        <f t="shared" si="370"/>
        <v>0</v>
      </c>
      <c r="K3337" s="47">
        <v>6.95980225E-3</v>
      </c>
      <c r="L3337" s="47">
        <f t="shared" si="371"/>
        <v>3.5368056936201371E-3</v>
      </c>
      <c r="M3337" s="47">
        <f>H3337-L3337</f>
        <v>2.4824462986182739E-3</v>
      </c>
      <c r="N3337" s="47">
        <v>0</v>
      </c>
      <c r="O3337" s="47">
        <f t="shared" si="372"/>
        <v>0</v>
      </c>
      <c r="P3337" s="92"/>
    </row>
    <row r="3338" spans="1:16" x14ac:dyDescent="0.25">
      <c r="A3338" s="29">
        <v>45</v>
      </c>
      <c r="B3338" s="30">
        <v>437811.10856199998</v>
      </c>
      <c r="C3338" s="30">
        <v>5688750.3324180003</v>
      </c>
      <c r="D3338" s="30">
        <v>28</v>
      </c>
      <c r="E3338" s="30" t="s">
        <v>40</v>
      </c>
      <c r="F3338" s="46">
        <v>2023</v>
      </c>
      <c r="G3338" s="47">
        <v>1.1509897E-2</v>
      </c>
      <c r="H3338" s="47">
        <f t="shared" si="369"/>
        <v>4.8154015937907297E-3</v>
      </c>
      <c r="I3338" s="47">
        <v>8.6891217499999993E-2</v>
      </c>
      <c r="J3338" s="47">
        <f t="shared" si="370"/>
        <v>3.7376277851393726E-2</v>
      </c>
      <c r="K3338" s="47">
        <v>5.1454342499999998E-3</v>
      </c>
      <c r="L3338" s="47">
        <f t="shared" si="371"/>
        <v>2.6147871013932986E-3</v>
      </c>
      <c r="M3338" s="47">
        <f>H3338-L3338</f>
        <v>2.200614492397431E-3</v>
      </c>
      <c r="N3338" s="47">
        <v>2.6804452249999999E-2</v>
      </c>
      <c r="O3338" s="47">
        <f t="shared" si="372"/>
        <v>1.0921059577935049E-2</v>
      </c>
      <c r="P3338" s="92"/>
    </row>
    <row r="3339" spans="1:16" x14ac:dyDescent="0.25">
      <c r="A3339" s="65">
        <v>46</v>
      </c>
      <c r="B3339" s="66">
        <v>437930.10856199998</v>
      </c>
      <c r="C3339" s="66">
        <v>5688750.3324180003</v>
      </c>
      <c r="D3339" s="66">
        <v>29</v>
      </c>
      <c r="E3339" s="66" t="s">
        <v>40</v>
      </c>
      <c r="F3339" s="66">
        <v>2023</v>
      </c>
      <c r="G3339" s="66" t="s">
        <v>18</v>
      </c>
      <c r="H3339" s="66" t="s">
        <v>18</v>
      </c>
      <c r="I3339" s="66" t="s">
        <v>18</v>
      </c>
      <c r="J3339" s="66" t="s">
        <v>18</v>
      </c>
      <c r="K3339" s="66" t="s">
        <v>18</v>
      </c>
      <c r="L3339" s="66" t="s">
        <v>18</v>
      </c>
      <c r="M3339" s="66" t="s">
        <v>18</v>
      </c>
      <c r="N3339" s="66" t="s">
        <v>18</v>
      </c>
      <c r="O3339" s="66" t="s">
        <v>18</v>
      </c>
      <c r="P3339" s="105" t="s">
        <v>166</v>
      </c>
    </row>
    <row r="3340" spans="1:16" x14ac:dyDescent="0.25">
      <c r="A3340" s="29">
        <v>47</v>
      </c>
      <c r="B3340" s="30">
        <v>438061</v>
      </c>
      <c r="C3340" s="30">
        <v>5688779</v>
      </c>
      <c r="D3340" s="30">
        <v>27</v>
      </c>
      <c r="E3340" s="30" t="s">
        <v>40</v>
      </c>
      <c r="F3340" s="46">
        <v>2023</v>
      </c>
      <c r="G3340" s="47">
        <v>5.4983855249999998E-2</v>
      </c>
      <c r="H3340" s="47">
        <f t="shared" si="369"/>
        <v>2.3003624116150541E-2</v>
      </c>
      <c r="I3340" s="47">
        <v>0</v>
      </c>
      <c r="J3340" s="47">
        <f t="shared" si="370"/>
        <v>0</v>
      </c>
      <c r="K3340" s="47">
        <v>1.6400185749999997E-2</v>
      </c>
      <c r="L3340" s="47">
        <f t="shared" si="371"/>
        <v>8.3341836813004035E-3</v>
      </c>
      <c r="M3340" s="47">
        <f>H3340-L3340</f>
        <v>1.4669440434850137E-2</v>
      </c>
      <c r="N3340" s="47">
        <v>0</v>
      </c>
      <c r="O3340" s="47">
        <f t="shared" si="372"/>
        <v>0</v>
      </c>
      <c r="P3340" s="92"/>
    </row>
    <row r="3341" spans="1:16" x14ac:dyDescent="0.25">
      <c r="A3341" s="32">
        <v>48</v>
      </c>
      <c r="B3341" s="33">
        <v>438168.10856199998</v>
      </c>
      <c r="C3341" s="33">
        <v>5688750.3324180003</v>
      </c>
      <c r="D3341" s="48">
        <v>29</v>
      </c>
      <c r="E3341" s="48" t="s">
        <v>40</v>
      </c>
      <c r="F3341" s="48">
        <v>2023</v>
      </c>
      <c r="G3341" s="48" t="s">
        <v>18</v>
      </c>
      <c r="H3341" s="48" t="s">
        <v>18</v>
      </c>
      <c r="I3341" s="48" t="s">
        <v>18</v>
      </c>
      <c r="J3341" s="48" t="s">
        <v>18</v>
      </c>
      <c r="K3341" s="48" t="s">
        <v>18</v>
      </c>
      <c r="L3341" s="48" t="s">
        <v>18</v>
      </c>
      <c r="M3341" s="48" t="s">
        <v>18</v>
      </c>
      <c r="N3341" s="48" t="s">
        <v>18</v>
      </c>
      <c r="O3341" s="48" t="s">
        <v>18</v>
      </c>
      <c r="P3341" s="103" t="s">
        <v>89</v>
      </c>
    </row>
    <row r="3342" spans="1:16" x14ac:dyDescent="0.25">
      <c r="A3342" s="89">
        <v>49</v>
      </c>
      <c r="B3342" s="90">
        <v>437454.10856199998</v>
      </c>
      <c r="C3342" s="90">
        <v>5688869.3324180003</v>
      </c>
      <c r="D3342" s="90">
        <v>29</v>
      </c>
      <c r="E3342" s="90" t="s">
        <v>40</v>
      </c>
      <c r="F3342" s="90">
        <v>2023</v>
      </c>
      <c r="G3342" s="90" t="s">
        <v>18</v>
      </c>
      <c r="H3342" s="90" t="s">
        <v>18</v>
      </c>
      <c r="I3342" s="90" t="s">
        <v>18</v>
      </c>
      <c r="J3342" s="90" t="s">
        <v>18</v>
      </c>
      <c r="K3342" s="90" t="s">
        <v>18</v>
      </c>
      <c r="L3342" s="90" t="s">
        <v>18</v>
      </c>
      <c r="M3342" s="90" t="s">
        <v>18</v>
      </c>
      <c r="N3342" s="90" t="s">
        <v>18</v>
      </c>
      <c r="O3342" s="90" t="s">
        <v>18</v>
      </c>
      <c r="P3342" s="113" t="s">
        <v>174</v>
      </c>
    </row>
    <row r="3343" spans="1:16" x14ac:dyDescent="0.25">
      <c r="A3343" s="29">
        <v>50</v>
      </c>
      <c r="B3343" s="30">
        <v>437811.10856199998</v>
      </c>
      <c r="C3343" s="30">
        <v>5688869.3324180003</v>
      </c>
      <c r="D3343" s="30">
        <v>29</v>
      </c>
      <c r="E3343" s="30" t="s">
        <v>40</v>
      </c>
      <c r="F3343" s="46">
        <v>2023</v>
      </c>
      <c r="G3343" s="47">
        <v>2.337416275E-2</v>
      </c>
      <c r="H3343" s="47">
        <f t="shared" si="369"/>
        <v>9.7790606258139328E-3</v>
      </c>
      <c r="I3343" s="47">
        <v>0</v>
      </c>
      <c r="J3343" s="47">
        <f t="shared" si="370"/>
        <v>0</v>
      </c>
      <c r="K3343" s="47">
        <v>1.2317857749999999E-2</v>
      </c>
      <c r="L3343" s="47">
        <f t="shared" si="371"/>
        <v>6.2596418487900181E-3</v>
      </c>
      <c r="M3343" s="47">
        <f>H3343-L3343</f>
        <v>3.5194187770239147E-3</v>
      </c>
      <c r="N3343" s="47">
        <v>0</v>
      </c>
      <c r="O3343" s="47">
        <f t="shared" si="372"/>
        <v>0</v>
      </c>
      <c r="P3343" s="92"/>
    </row>
    <row r="3344" spans="1:16" x14ac:dyDescent="0.25">
      <c r="A3344" s="29">
        <v>51</v>
      </c>
      <c r="B3344" s="30">
        <v>437930.10856199998</v>
      </c>
      <c r="C3344" s="30">
        <v>5688869.3324180003</v>
      </c>
      <c r="D3344" s="30">
        <v>29</v>
      </c>
      <c r="E3344" s="30" t="s">
        <v>40</v>
      </c>
      <c r="F3344" s="46">
        <v>2023</v>
      </c>
      <c r="G3344" s="47">
        <v>8.278054E-3</v>
      </c>
      <c r="H3344" s="47">
        <f t="shared" si="369"/>
        <v>3.463293757110574E-3</v>
      </c>
      <c r="I3344" s="47">
        <v>0</v>
      </c>
      <c r="J3344" s="47">
        <f t="shared" si="370"/>
        <v>0</v>
      </c>
      <c r="K3344" s="47">
        <v>7.7535882500000004E-3</v>
      </c>
      <c r="L3344" s="47">
        <f t="shared" si="371"/>
        <v>3.940188827719379E-3</v>
      </c>
      <c r="M3344" s="47">
        <f>H3344-L3344</f>
        <v>-4.7689507060880501E-4</v>
      </c>
      <c r="N3344" s="47">
        <v>0</v>
      </c>
      <c r="O3344" s="47">
        <f t="shared" si="372"/>
        <v>0</v>
      </c>
      <c r="P3344" s="92"/>
    </row>
    <row r="3345" spans="1:19" x14ac:dyDescent="0.25">
      <c r="A3345" s="65">
        <v>52</v>
      </c>
      <c r="B3345" s="66">
        <v>438049.10856199998</v>
      </c>
      <c r="C3345" s="66">
        <v>5688869.3324180003</v>
      </c>
      <c r="D3345" s="66">
        <v>29</v>
      </c>
      <c r="E3345" s="66" t="s">
        <v>40</v>
      </c>
      <c r="F3345" s="66">
        <v>2023</v>
      </c>
      <c r="G3345" s="66" t="s">
        <v>18</v>
      </c>
      <c r="H3345" s="66" t="s">
        <v>18</v>
      </c>
      <c r="I3345" s="66" t="s">
        <v>18</v>
      </c>
      <c r="J3345" s="66" t="s">
        <v>18</v>
      </c>
      <c r="K3345" s="66" t="s">
        <v>18</v>
      </c>
      <c r="L3345" s="66" t="s">
        <v>18</v>
      </c>
      <c r="M3345" s="66" t="s">
        <v>18</v>
      </c>
      <c r="N3345" s="66" t="s">
        <v>18</v>
      </c>
      <c r="O3345" s="66" t="s">
        <v>18</v>
      </c>
      <c r="P3345" s="105" t="s">
        <v>166</v>
      </c>
    </row>
    <row r="3346" spans="1:19" x14ac:dyDescent="0.25">
      <c r="A3346" s="89">
        <v>53</v>
      </c>
      <c r="B3346" s="90">
        <v>438287.10856199998</v>
      </c>
      <c r="C3346" s="90">
        <v>5688869.3324180003</v>
      </c>
      <c r="D3346" s="90">
        <v>29</v>
      </c>
      <c r="E3346" s="90" t="s">
        <v>40</v>
      </c>
      <c r="F3346" s="90">
        <v>2023</v>
      </c>
      <c r="G3346" s="90" t="s">
        <v>18</v>
      </c>
      <c r="H3346" s="90" t="s">
        <v>18</v>
      </c>
      <c r="I3346" s="90" t="s">
        <v>18</v>
      </c>
      <c r="J3346" s="90" t="s">
        <v>18</v>
      </c>
      <c r="K3346" s="90" t="s">
        <v>18</v>
      </c>
      <c r="L3346" s="90" t="s">
        <v>18</v>
      </c>
      <c r="M3346" s="90" t="s">
        <v>18</v>
      </c>
      <c r="N3346" s="90" t="s">
        <v>18</v>
      </c>
      <c r="O3346" s="90" t="s">
        <v>18</v>
      </c>
      <c r="P3346" s="113" t="s">
        <v>174</v>
      </c>
    </row>
    <row r="3347" spans="1:19" x14ac:dyDescent="0.25">
      <c r="A3347" s="89">
        <v>54</v>
      </c>
      <c r="B3347" s="90">
        <v>437454.10856199998</v>
      </c>
      <c r="C3347" s="90">
        <v>5688988.3324180003</v>
      </c>
      <c r="D3347" s="90">
        <v>29</v>
      </c>
      <c r="E3347" s="90" t="s">
        <v>40</v>
      </c>
      <c r="F3347" s="90">
        <v>2023</v>
      </c>
      <c r="G3347" s="90" t="s">
        <v>18</v>
      </c>
      <c r="H3347" s="90" t="s">
        <v>18</v>
      </c>
      <c r="I3347" s="90" t="s">
        <v>18</v>
      </c>
      <c r="J3347" s="90" t="s">
        <v>18</v>
      </c>
      <c r="K3347" s="90" t="s">
        <v>18</v>
      </c>
      <c r="L3347" s="90" t="s">
        <v>18</v>
      </c>
      <c r="M3347" s="90" t="s">
        <v>18</v>
      </c>
      <c r="N3347" s="90" t="s">
        <v>18</v>
      </c>
      <c r="O3347" s="90" t="s">
        <v>18</v>
      </c>
      <c r="P3347" s="113" t="s">
        <v>174</v>
      </c>
    </row>
    <row r="3348" spans="1:19" x14ac:dyDescent="0.25">
      <c r="A3348" s="89">
        <v>55</v>
      </c>
      <c r="B3348" s="90">
        <v>438049.10856199998</v>
      </c>
      <c r="C3348" s="90">
        <v>5688988.3324180003</v>
      </c>
      <c r="D3348" s="90">
        <v>29</v>
      </c>
      <c r="E3348" s="90" t="s">
        <v>40</v>
      </c>
      <c r="F3348" s="90">
        <v>2023</v>
      </c>
      <c r="G3348" s="90" t="s">
        <v>18</v>
      </c>
      <c r="H3348" s="90" t="s">
        <v>18</v>
      </c>
      <c r="I3348" s="90" t="s">
        <v>18</v>
      </c>
      <c r="J3348" s="90" t="s">
        <v>18</v>
      </c>
      <c r="K3348" s="90" t="s">
        <v>18</v>
      </c>
      <c r="L3348" s="90" t="s">
        <v>18</v>
      </c>
      <c r="M3348" s="90" t="s">
        <v>18</v>
      </c>
      <c r="N3348" s="90" t="s">
        <v>18</v>
      </c>
      <c r="O3348" s="90" t="s">
        <v>18</v>
      </c>
      <c r="P3348" s="113" t="s">
        <v>174</v>
      </c>
    </row>
    <row r="3349" spans="1:19" x14ac:dyDescent="0.25">
      <c r="A3349" s="29">
        <v>56</v>
      </c>
      <c r="B3349" s="30">
        <v>438168.10856199998</v>
      </c>
      <c r="C3349" s="30">
        <v>5688988.3324180003</v>
      </c>
      <c r="D3349" s="30">
        <v>27</v>
      </c>
      <c r="E3349" s="30" t="s">
        <v>40</v>
      </c>
      <c r="F3349" s="46">
        <v>2023</v>
      </c>
      <c r="G3349" s="47">
        <v>4.5302501000000002E-2</v>
      </c>
      <c r="H3349" s="47">
        <f t="shared" si="369"/>
        <v>1.8953230903639373E-2</v>
      </c>
      <c r="I3349" s="47">
        <v>0</v>
      </c>
      <c r="J3349" s="47">
        <f t="shared" si="370"/>
        <v>0</v>
      </c>
      <c r="K3349" s="47">
        <v>4.0114542500000001E-3</v>
      </c>
      <c r="L3349" s="47">
        <f t="shared" si="371"/>
        <v>2.038525481251525E-3</v>
      </c>
      <c r="M3349" s="47">
        <f>H3349-L3349</f>
        <v>1.6914705422387849E-2</v>
      </c>
      <c r="N3349" s="47">
        <v>0</v>
      </c>
      <c r="O3349" s="47">
        <f t="shared" si="372"/>
        <v>0</v>
      </c>
      <c r="P3349" s="92"/>
    </row>
    <row r="3350" spans="1:19" x14ac:dyDescent="0.25">
      <c r="A3350" s="40">
        <v>57</v>
      </c>
      <c r="B3350" s="41">
        <v>438146</v>
      </c>
      <c r="C3350" s="41">
        <v>5688977</v>
      </c>
      <c r="D3350" s="41">
        <v>27</v>
      </c>
      <c r="E3350" s="41" t="s">
        <v>40</v>
      </c>
      <c r="F3350" s="50">
        <v>2023</v>
      </c>
      <c r="G3350" s="51">
        <v>2.5273579249999997E-2</v>
      </c>
      <c r="H3350" s="51">
        <f t="shared" si="369"/>
        <v>1.0573720494739987E-2</v>
      </c>
      <c r="I3350" s="51">
        <v>0</v>
      </c>
      <c r="J3350" s="51">
        <f t="shared" si="370"/>
        <v>0</v>
      </c>
      <c r="K3350" s="51">
        <v>4.1532017500000001E-3</v>
      </c>
      <c r="L3350" s="51">
        <f t="shared" si="371"/>
        <v>2.1105581837692466E-3</v>
      </c>
      <c r="M3350" s="51">
        <f>H3350-L3350</f>
        <v>8.4631623109707402E-3</v>
      </c>
      <c r="N3350" s="51">
        <v>0</v>
      </c>
      <c r="O3350" s="51">
        <f t="shared" si="372"/>
        <v>0</v>
      </c>
      <c r="P3350" s="101"/>
    </row>
    <row r="3351" spans="1:19" x14ac:dyDescent="0.25">
      <c r="A3351" s="40">
        <v>58</v>
      </c>
      <c r="B3351" s="41">
        <v>438131</v>
      </c>
      <c r="C3351" s="41">
        <v>5688972</v>
      </c>
      <c r="D3351" s="41">
        <v>27</v>
      </c>
      <c r="E3351" s="41" t="s">
        <v>40</v>
      </c>
      <c r="F3351" s="50">
        <v>2023</v>
      </c>
      <c r="G3351" s="51">
        <v>4.8449295499999996E-2</v>
      </c>
      <c r="H3351" s="51">
        <f t="shared" si="369"/>
        <v>2.0269756955143735E-2</v>
      </c>
      <c r="I3351" s="51">
        <v>0</v>
      </c>
      <c r="J3351" s="51">
        <f t="shared" si="370"/>
        <v>0</v>
      </c>
      <c r="K3351" s="51">
        <v>1.587572E-3</v>
      </c>
      <c r="L3351" s="51">
        <f t="shared" si="371"/>
        <v>8.0676626819848338E-4</v>
      </c>
      <c r="M3351" s="51">
        <f>H3351-L3351</f>
        <v>1.946299068694525E-2</v>
      </c>
      <c r="N3351" s="51">
        <v>0</v>
      </c>
      <c r="O3351" s="51">
        <f t="shared" si="372"/>
        <v>0</v>
      </c>
      <c r="P3351" s="101"/>
    </row>
    <row r="3352" spans="1:19" x14ac:dyDescent="0.25">
      <c r="A3352" s="40">
        <v>59</v>
      </c>
      <c r="B3352" s="41">
        <v>438089</v>
      </c>
      <c r="C3352" s="41">
        <v>5688713</v>
      </c>
      <c r="D3352" s="41">
        <v>29</v>
      </c>
      <c r="E3352" s="41" t="s">
        <v>40</v>
      </c>
      <c r="F3352" s="50">
        <v>2023</v>
      </c>
      <c r="G3352" s="51">
        <v>3.552192349999999E-2</v>
      </c>
      <c r="H3352" s="51">
        <f t="shared" si="369"/>
        <v>1.4861325608423109E-2</v>
      </c>
      <c r="I3352" s="51">
        <v>0</v>
      </c>
      <c r="J3352" s="51">
        <f t="shared" si="370"/>
        <v>0</v>
      </c>
      <c r="K3352" s="51">
        <v>1.4344846999999999E-2</v>
      </c>
      <c r="L3352" s="51">
        <f t="shared" si="371"/>
        <v>7.289709494793439E-3</v>
      </c>
      <c r="M3352" s="51">
        <f>H3352-L3352</f>
        <v>7.5716161136296697E-3</v>
      </c>
      <c r="N3352" s="51">
        <v>0</v>
      </c>
      <c r="O3352" s="51">
        <f t="shared" si="372"/>
        <v>0</v>
      </c>
      <c r="P3352" s="101"/>
    </row>
    <row r="3353" spans="1:19" x14ac:dyDescent="0.25">
      <c r="A3353" s="40">
        <v>60</v>
      </c>
      <c r="B3353" s="41">
        <v>438099</v>
      </c>
      <c r="C3353" s="41">
        <v>5688719</v>
      </c>
      <c r="D3353" s="41">
        <v>29</v>
      </c>
      <c r="E3353" s="41" t="s">
        <v>40</v>
      </c>
      <c r="F3353" s="50">
        <v>2023</v>
      </c>
      <c r="G3353" s="51">
        <v>1.8724844750000001E-2</v>
      </c>
      <c r="H3353" s="51">
        <f t="shared" si="369"/>
        <v>7.8339230362038832E-3</v>
      </c>
      <c r="I3353" s="51">
        <v>0</v>
      </c>
      <c r="J3353" s="51">
        <f t="shared" si="370"/>
        <v>0</v>
      </c>
      <c r="K3353" s="51">
        <v>5.5423272499999995E-3</v>
      </c>
      <c r="L3353" s="51">
        <f t="shared" si="371"/>
        <v>2.8164786684429194E-3</v>
      </c>
      <c r="M3353" s="51">
        <f>H3353-L3353</f>
        <v>5.0174443677609634E-3</v>
      </c>
      <c r="N3353" s="51">
        <v>0</v>
      </c>
      <c r="O3353" s="51">
        <f t="shared" si="372"/>
        <v>0</v>
      </c>
      <c r="P3353" s="101"/>
    </row>
    <row r="3354" spans="1:19" x14ac:dyDescent="0.25">
      <c r="A3354" s="42">
        <v>1</v>
      </c>
      <c r="B3354" s="43">
        <v>437930.10856199998</v>
      </c>
      <c r="C3354" s="43">
        <v>5688036.3324180003</v>
      </c>
      <c r="D3354" s="44">
        <v>1</v>
      </c>
      <c r="E3354" s="44" t="s">
        <v>96</v>
      </c>
      <c r="F3354" s="44">
        <v>2023</v>
      </c>
      <c r="G3354" s="44" t="s">
        <v>18</v>
      </c>
      <c r="H3354" s="44" t="s">
        <v>18</v>
      </c>
      <c r="I3354" s="44" t="s">
        <v>18</v>
      </c>
      <c r="J3354" s="44" t="s">
        <v>18</v>
      </c>
      <c r="K3354" s="44" t="s">
        <v>18</v>
      </c>
      <c r="L3354" s="44" t="s">
        <v>18</v>
      </c>
      <c r="M3354" s="44" t="s">
        <v>18</v>
      </c>
      <c r="N3354" s="44" t="s">
        <v>18</v>
      </c>
      <c r="O3354" s="44" t="s">
        <v>18</v>
      </c>
      <c r="P3354" s="102" t="s">
        <v>109</v>
      </c>
      <c r="R3354" s="5">
        <f>AVERAGE(M3354:M3413)</f>
        <v>1.3949434583733199E-2</v>
      </c>
      <c r="S3354" s="5">
        <f>AVERAGE(H3354:H3413)</f>
        <v>1.6965597626171676E-2</v>
      </c>
    </row>
    <row r="3355" spans="1:19" x14ac:dyDescent="0.25">
      <c r="A3355" s="42">
        <v>2</v>
      </c>
      <c r="B3355" s="43">
        <v>437811.10856199998</v>
      </c>
      <c r="C3355" s="43">
        <v>5688155.3324180003</v>
      </c>
      <c r="D3355" s="44">
        <v>1</v>
      </c>
      <c r="E3355" s="44" t="s">
        <v>96</v>
      </c>
      <c r="F3355" s="44">
        <v>2023</v>
      </c>
      <c r="G3355" s="44" t="s">
        <v>18</v>
      </c>
      <c r="H3355" s="44" t="s">
        <v>18</v>
      </c>
      <c r="I3355" s="44" t="s">
        <v>18</v>
      </c>
      <c r="J3355" s="44" t="s">
        <v>18</v>
      </c>
      <c r="K3355" s="44" t="s">
        <v>18</v>
      </c>
      <c r="L3355" s="44" t="s">
        <v>18</v>
      </c>
      <c r="M3355" s="44" t="s">
        <v>18</v>
      </c>
      <c r="N3355" s="44" t="s">
        <v>18</v>
      </c>
      <c r="O3355" s="44" t="s">
        <v>18</v>
      </c>
      <c r="P3355" s="102" t="s">
        <v>109</v>
      </c>
    </row>
    <row r="3356" spans="1:19" x14ac:dyDescent="0.25">
      <c r="A3356" s="65">
        <v>3</v>
      </c>
      <c r="B3356" s="66">
        <v>437930.10856199998</v>
      </c>
      <c r="C3356" s="66">
        <v>5688155.3324180003</v>
      </c>
      <c r="D3356" s="66">
        <v>1</v>
      </c>
      <c r="E3356" s="66" t="s">
        <v>96</v>
      </c>
      <c r="F3356" s="66">
        <v>2023</v>
      </c>
      <c r="G3356" s="66" t="s">
        <v>18</v>
      </c>
      <c r="H3356" s="66" t="s">
        <v>18</v>
      </c>
      <c r="I3356" s="66" t="s">
        <v>18</v>
      </c>
      <c r="J3356" s="66" t="s">
        <v>18</v>
      </c>
      <c r="K3356" s="66" t="s">
        <v>18</v>
      </c>
      <c r="L3356" s="66" t="s">
        <v>18</v>
      </c>
      <c r="M3356" s="66" t="s">
        <v>18</v>
      </c>
      <c r="N3356" s="66" t="s">
        <v>18</v>
      </c>
      <c r="O3356" s="66" t="s">
        <v>18</v>
      </c>
      <c r="P3356" s="105" t="s">
        <v>166</v>
      </c>
    </row>
    <row r="3357" spans="1:19" x14ac:dyDescent="0.25">
      <c r="A3357" s="42">
        <v>4</v>
      </c>
      <c r="B3357" s="43">
        <v>438049.10856199998</v>
      </c>
      <c r="C3357" s="43">
        <v>5688155.3324180003</v>
      </c>
      <c r="D3357" s="44">
        <v>1</v>
      </c>
      <c r="E3357" s="44" t="s">
        <v>96</v>
      </c>
      <c r="F3357" s="44">
        <v>2023</v>
      </c>
      <c r="G3357" s="44" t="s">
        <v>18</v>
      </c>
      <c r="H3357" s="44" t="s">
        <v>18</v>
      </c>
      <c r="I3357" s="44" t="s">
        <v>18</v>
      </c>
      <c r="J3357" s="44" t="s">
        <v>18</v>
      </c>
      <c r="K3357" s="44" t="s">
        <v>18</v>
      </c>
      <c r="L3357" s="44" t="s">
        <v>18</v>
      </c>
      <c r="M3357" s="44" t="s">
        <v>18</v>
      </c>
      <c r="N3357" s="44" t="s">
        <v>18</v>
      </c>
      <c r="O3357" s="44" t="s">
        <v>18</v>
      </c>
      <c r="P3357" s="102" t="s">
        <v>109</v>
      </c>
    </row>
    <row r="3358" spans="1:19" x14ac:dyDescent="0.25">
      <c r="A3358" s="42">
        <v>5</v>
      </c>
      <c r="B3358" s="43">
        <v>437573.10856199998</v>
      </c>
      <c r="C3358" s="43">
        <v>5688274.3324180003</v>
      </c>
      <c r="D3358" s="44">
        <v>1</v>
      </c>
      <c r="E3358" s="44" t="s">
        <v>96</v>
      </c>
      <c r="F3358" s="44">
        <v>2023</v>
      </c>
      <c r="G3358" s="44" t="s">
        <v>18</v>
      </c>
      <c r="H3358" s="44" t="s">
        <v>18</v>
      </c>
      <c r="I3358" s="44" t="s">
        <v>18</v>
      </c>
      <c r="J3358" s="44" t="s">
        <v>18</v>
      </c>
      <c r="K3358" s="44" t="s">
        <v>18</v>
      </c>
      <c r="L3358" s="44" t="s">
        <v>18</v>
      </c>
      <c r="M3358" s="44" t="s">
        <v>18</v>
      </c>
      <c r="N3358" s="44" t="s">
        <v>18</v>
      </c>
      <c r="O3358" s="44" t="s">
        <v>18</v>
      </c>
      <c r="P3358" s="102" t="s">
        <v>109</v>
      </c>
    </row>
    <row r="3359" spans="1:19" x14ac:dyDescent="0.25">
      <c r="A3359" s="89">
        <v>6</v>
      </c>
      <c r="B3359" s="90">
        <v>437692.10856199998</v>
      </c>
      <c r="C3359" s="90">
        <v>5688274.3324180003</v>
      </c>
      <c r="D3359" s="90">
        <v>1</v>
      </c>
      <c r="E3359" s="90" t="s">
        <v>96</v>
      </c>
      <c r="F3359" s="90">
        <v>2023</v>
      </c>
      <c r="G3359" s="90" t="s">
        <v>18</v>
      </c>
      <c r="H3359" s="90" t="s">
        <v>18</v>
      </c>
      <c r="I3359" s="90" t="s">
        <v>18</v>
      </c>
      <c r="J3359" s="90" t="s">
        <v>18</v>
      </c>
      <c r="K3359" s="90" t="s">
        <v>18</v>
      </c>
      <c r="L3359" s="90" t="s">
        <v>18</v>
      </c>
      <c r="M3359" s="90" t="s">
        <v>18</v>
      </c>
      <c r="N3359" s="90" t="s">
        <v>18</v>
      </c>
      <c r="O3359" s="90" t="s">
        <v>18</v>
      </c>
      <c r="P3359" s="113" t="s">
        <v>174</v>
      </c>
    </row>
    <row r="3360" spans="1:19" x14ac:dyDescent="0.25">
      <c r="A3360" s="65">
        <v>7</v>
      </c>
      <c r="B3360" s="66">
        <v>437811.10856199998</v>
      </c>
      <c r="C3360" s="66">
        <v>5688274.3324180003</v>
      </c>
      <c r="D3360" s="66">
        <v>1</v>
      </c>
      <c r="E3360" s="66" t="s">
        <v>96</v>
      </c>
      <c r="F3360" s="66">
        <v>2023</v>
      </c>
      <c r="G3360" s="66" t="s">
        <v>18</v>
      </c>
      <c r="H3360" s="66" t="s">
        <v>18</v>
      </c>
      <c r="I3360" s="66" t="s">
        <v>18</v>
      </c>
      <c r="J3360" s="66" t="s">
        <v>18</v>
      </c>
      <c r="K3360" s="66" t="s">
        <v>18</v>
      </c>
      <c r="L3360" s="66" t="s">
        <v>18</v>
      </c>
      <c r="M3360" s="66" t="s">
        <v>18</v>
      </c>
      <c r="N3360" s="66" t="s">
        <v>18</v>
      </c>
      <c r="O3360" s="66" t="s">
        <v>18</v>
      </c>
      <c r="P3360" s="105" t="s">
        <v>166</v>
      </c>
    </row>
    <row r="3361" spans="1:16" x14ac:dyDescent="0.25">
      <c r="A3361" s="42">
        <v>8</v>
      </c>
      <c r="B3361" s="43">
        <v>437930.10856199998</v>
      </c>
      <c r="C3361" s="43">
        <v>5688274.3324180003</v>
      </c>
      <c r="D3361" s="44">
        <v>1</v>
      </c>
      <c r="E3361" s="44" t="s">
        <v>96</v>
      </c>
      <c r="F3361" s="44">
        <v>2023</v>
      </c>
      <c r="G3361" s="44" t="s">
        <v>18</v>
      </c>
      <c r="H3361" s="44" t="s">
        <v>18</v>
      </c>
      <c r="I3361" s="44" t="s">
        <v>18</v>
      </c>
      <c r="J3361" s="44" t="s">
        <v>18</v>
      </c>
      <c r="K3361" s="44" t="s">
        <v>18</v>
      </c>
      <c r="L3361" s="44" t="s">
        <v>18</v>
      </c>
      <c r="M3361" s="44" t="s">
        <v>18</v>
      </c>
      <c r="N3361" s="44" t="s">
        <v>18</v>
      </c>
      <c r="O3361" s="44" t="s">
        <v>18</v>
      </c>
      <c r="P3361" s="102" t="s">
        <v>109</v>
      </c>
    </row>
    <row r="3362" spans="1:16" x14ac:dyDescent="0.25">
      <c r="A3362" s="89">
        <v>9</v>
      </c>
      <c r="B3362" s="90">
        <v>438287.10856199998</v>
      </c>
      <c r="C3362" s="90">
        <v>5688274.3324180003</v>
      </c>
      <c r="D3362" s="90">
        <v>1</v>
      </c>
      <c r="E3362" s="90" t="s">
        <v>96</v>
      </c>
      <c r="F3362" s="90">
        <v>2023</v>
      </c>
      <c r="G3362" s="90" t="s">
        <v>18</v>
      </c>
      <c r="H3362" s="90" t="s">
        <v>18</v>
      </c>
      <c r="I3362" s="90" t="s">
        <v>18</v>
      </c>
      <c r="J3362" s="90" t="s">
        <v>18</v>
      </c>
      <c r="K3362" s="90" t="s">
        <v>18</v>
      </c>
      <c r="L3362" s="90" t="s">
        <v>18</v>
      </c>
      <c r="M3362" s="90" t="s">
        <v>18</v>
      </c>
      <c r="N3362" s="90" t="s">
        <v>18</v>
      </c>
      <c r="O3362" s="90" t="s">
        <v>18</v>
      </c>
      <c r="P3362" s="113" t="s">
        <v>174</v>
      </c>
    </row>
    <row r="3363" spans="1:16" x14ac:dyDescent="0.25">
      <c r="A3363" s="29">
        <v>10</v>
      </c>
      <c r="B3363" s="30">
        <v>438406.10856199998</v>
      </c>
      <c r="C3363" s="30">
        <v>5688274.3324180003</v>
      </c>
      <c r="D3363" s="30">
        <v>1</v>
      </c>
      <c r="E3363" s="30" t="s">
        <v>96</v>
      </c>
      <c r="F3363" s="46">
        <v>2023</v>
      </c>
      <c r="G3363" s="47">
        <v>1.7336025000000001E-2</v>
      </c>
      <c r="H3363" s="47">
        <f>G3363*0.243868522778443</f>
        <v>4.2277108076001577E-3</v>
      </c>
      <c r="I3363" s="47">
        <v>5.0888249999999999E-3</v>
      </c>
      <c r="J3363" s="47">
        <f>I3363*0.435336016633452</f>
        <v>2.2153488048447263E-3</v>
      </c>
      <c r="K3363" s="47">
        <v>1.5989400000000001E-2</v>
      </c>
      <c r="L3363" s="47">
        <f>K3363*0.332002848009183</f>
        <v>5.3085263379580314E-3</v>
      </c>
      <c r="M3363" s="47">
        <f>H3363-L3363</f>
        <v>-1.0808155303578737E-3</v>
      </c>
      <c r="N3363" s="47">
        <v>0</v>
      </c>
      <c r="O3363" s="47">
        <f>N3363*0.478183545585042</f>
        <v>0</v>
      </c>
      <c r="P3363" s="92"/>
    </row>
    <row r="3364" spans="1:16" x14ac:dyDescent="0.25">
      <c r="A3364" s="42">
        <v>11</v>
      </c>
      <c r="B3364" s="43">
        <v>437454.10856199998</v>
      </c>
      <c r="C3364" s="43">
        <v>5688393.3324180003</v>
      </c>
      <c r="D3364" s="44">
        <v>1</v>
      </c>
      <c r="E3364" s="44" t="s">
        <v>96</v>
      </c>
      <c r="F3364" s="44">
        <v>2023</v>
      </c>
      <c r="G3364" s="44" t="s">
        <v>18</v>
      </c>
      <c r="H3364" s="44" t="s">
        <v>18</v>
      </c>
      <c r="I3364" s="44" t="s">
        <v>18</v>
      </c>
      <c r="J3364" s="44" t="s">
        <v>18</v>
      </c>
      <c r="K3364" s="44" t="s">
        <v>18</v>
      </c>
      <c r="L3364" s="44" t="s">
        <v>18</v>
      </c>
      <c r="M3364" s="44" t="s">
        <v>18</v>
      </c>
      <c r="N3364" s="44" t="s">
        <v>18</v>
      </c>
      <c r="O3364" s="44" t="s">
        <v>18</v>
      </c>
      <c r="P3364" s="102" t="s">
        <v>109</v>
      </c>
    </row>
    <row r="3365" spans="1:16" x14ac:dyDescent="0.25">
      <c r="A3365" s="29">
        <v>12</v>
      </c>
      <c r="B3365" s="30">
        <v>437573.10856199998</v>
      </c>
      <c r="C3365" s="30">
        <v>5688393.3324180003</v>
      </c>
      <c r="D3365" s="30">
        <v>1</v>
      </c>
      <c r="E3365" s="30" t="s">
        <v>96</v>
      </c>
      <c r="F3365" s="46">
        <v>2023</v>
      </c>
      <c r="G3365" s="72" t="s">
        <v>18</v>
      </c>
      <c r="H3365" s="72" t="s">
        <v>18</v>
      </c>
      <c r="I3365" s="72" t="s">
        <v>18</v>
      </c>
      <c r="J3365" s="72" t="s">
        <v>18</v>
      </c>
      <c r="K3365" s="47">
        <v>1.1609325E-2</v>
      </c>
      <c r="L3365" s="47">
        <f t="shared" ref="L3365:L3385" si="375">K3365*0.332002848009183</f>
        <v>3.8543289634642088E-3</v>
      </c>
      <c r="M3365" s="72" t="s">
        <v>18</v>
      </c>
      <c r="N3365" s="47">
        <v>2.0993174999999999E-2</v>
      </c>
      <c r="O3365" s="47">
        <f t="shared" ref="O3365:O3385" si="376">N3365*0.478183545585042</f>
        <v>1.0038590854587264E-2</v>
      </c>
      <c r="P3365" s="92" t="s">
        <v>103</v>
      </c>
    </row>
    <row r="3366" spans="1:16" x14ac:dyDescent="0.25">
      <c r="A3366" s="29">
        <v>13</v>
      </c>
      <c r="B3366" s="30">
        <v>437692.10856199998</v>
      </c>
      <c r="C3366" s="30">
        <v>5688393.3324180003</v>
      </c>
      <c r="D3366" s="30">
        <v>1</v>
      </c>
      <c r="E3366" s="30" t="s">
        <v>96</v>
      </c>
      <c r="F3366" s="46">
        <v>2023</v>
      </c>
      <c r="G3366" s="47">
        <v>2.7159300000000001E-2</v>
      </c>
      <c r="H3366" s="47">
        <f t="shared" ref="H3366:H3385" si="377">G3366*0.243868522778443</f>
        <v>6.6232983706965677E-3</v>
      </c>
      <c r="I3366" s="47">
        <v>0</v>
      </c>
      <c r="J3366" s="47">
        <f t="shared" ref="J3366:J3385" si="378">I3366*0.435336016633452</f>
        <v>0</v>
      </c>
      <c r="K3366" s="47">
        <v>5.0817375000000005E-2</v>
      </c>
      <c r="L3366" s="47">
        <f t="shared" si="375"/>
        <v>1.6871513228350659E-2</v>
      </c>
      <c r="M3366" s="47">
        <f>H3366-L3366</f>
        <v>-1.0248214857654092E-2</v>
      </c>
      <c r="N3366" s="47">
        <v>1.0645425000000002E-2</v>
      </c>
      <c r="O3366" s="47">
        <f t="shared" si="376"/>
        <v>5.0904670707596468E-3</v>
      </c>
      <c r="P3366" s="92"/>
    </row>
    <row r="3367" spans="1:16" x14ac:dyDescent="0.25">
      <c r="A3367" s="32">
        <v>14</v>
      </c>
      <c r="B3367" s="33">
        <v>437811.10856199998</v>
      </c>
      <c r="C3367" s="33">
        <v>5688393.3324180003</v>
      </c>
      <c r="D3367" s="48">
        <v>1</v>
      </c>
      <c r="E3367" s="48" t="s">
        <v>96</v>
      </c>
      <c r="F3367" s="48">
        <v>2023</v>
      </c>
      <c r="G3367" s="48" t="s">
        <v>18</v>
      </c>
      <c r="H3367" s="48" t="s">
        <v>18</v>
      </c>
      <c r="I3367" s="48" t="s">
        <v>18</v>
      </c>
      <c r="J3367" s="48" t="s">
        <v>18</v>
      </c>
      <c r="K3367" s="48" t="s">
        <v>18</v>
      </c>
      <c r="L3367" s="48" t="s">
        <v>18</v>
      </c>
      <c r="M3367" s="48" t="s">
        <v>18</v>
      </c>
      <c r="N3367" s="48" t="s">
        <v>18</v>
      </c>
      <c r="O3367" s="48" t="s">
        <v>18</v>
      </c>
      <c r="P3367" s="103" t="s">
        <v>89</v>
      </c>
    </row>
    <row r="3368" spans="1:16" x14ac:dyDescent="0.25">
      <c r="A3368" s="29">
        <v>15</v>
      </c>
      <c r="B3368" s="30">
        <v>437930.10856199998</v>
      </c>
      <c r="C3368" s="30">
        <v>5688393.3324180003</v>
      </c>
      <c r="D3368" s="30">
        <v>1</v>
      </c>
      <c r="E3368" s="30" t="s">
        <v>96</v>
      </c>
      <c r="F3368" s="46">
        <v>2023</v>
      </c>
      <c r="G3368" s="47">
        <v>5.6487374999999999E-2</v>
      </c>
      <c r="H3368" s="47">
        <f t="shared" si="377"/>
        <v>1.3775492696881952E-2</v>
      </c>
      <c r="I3368" s="47">
        <v>7.1838899999999997E-2</v>
      </c>
      <c r="J3368" s="47">
        <f t="shared" si="378"/>
        <v>3.1274060565328894E-2</v>
      </c>
      <c r="K3368" s="47">
        <v>9.341325000000001E-3</v>
      </c>
      <c r="L3368" s="47">
        <f t="shared" si="375"/>
        <v>3.1013465041793819E-3</v>
      </c>
      <c r="M3368" s="47">
        <f>H3368-L3368</f>
        <v>1.067414619270257E-2</v>
      </c>
      <c r="N3368" s="47">
        <v>8.9727750000000005E-3</v>
      </c>
      <c r="O3368" s="47">
        <f t="shared" si="376"/>
        <v>4.2906333632368255E-3</v>
      </c>
      <c r="P3368" s="92"/>
    </row>
    <row r="3369" spans="1:16" x14ac:dyDescent="0.25">
      <c r="A3369" s="29">
        <v>16</v>
      </c>
      <c r="B3369" s="30">
        <v>438049.10856199998</v>
      </c>
      <c r="C3369" s="30">
        <v>5688393.3324180003</v>
      </c>
      <c r="D3369" s="30">
        <v>1</v>
      </c>
      <c r="E3369" s="30" t="s">
        <v>96</v>
      </c>
      <c r="F3369" s="46">
        <v>2023</v>
      </c>
      <c r="G3369" s="47">
        <v>7.1654625E-2</v>
      </c>
      <c r="H3369" s="47">
        <f t="shared" si="377"/>
        <v>1.7474307548993293E-2</v>
      </c>
      <c r="I3369" s="47">
        <v>1.5068025000000001E-2</v>
      </c>
      <c r="J3369" s="47">
        <f t="shared" si="378"/>
        <v>6.559653982033271E-3</v>
      </c>
      <c r="K3369" s="47">
        <v>1.9703250000000002E-3</v>
      </c>
      <c r="L3369" s="47">
        <f t="shared" si="375"/>
        <v>6.5415351150369355E-4</v>
      </c>
      <c r="M3369" s="47">
        <f>H3369-L3369</f>
        <v>1.6820154037489599E-2</v>
      </c>
      <c r="N3369" s="47">
        <v>1.6584750000000002E-3</v>
      </c>
      <c r="O3369" s="47">
        <f t="shared" si="376"/>
        <v>7.9305545576415263E-4</v>
      </c>
      <c r="P3369" s="92"/>
    </row>
    <row r="3370" spans="1:16" x14ac:dyDescent="0.25">
      <c r="A3370" s="29">
        <v>17</v>
      </c>
      <c r="B3370" s="30">
        <v>438168.10856199998</v>
      </c>
      <c r="C3370" s="30">
        <v>5688393.3324180003</v>
      </c>
      <c r="D3370" s="30">
        <v>1</v>
      </c>
      <c r="E3370" s="30" t="s">
        <v>96</v>
      </c>
      <c r="F3370" s="46">
        <v>2023</v>
      </c>
      <c r="G3370" s="72" t="s">
        <v>18</v>
      </c>
      <c r="H3370" s="72" t="s">
        <v>18</v>
      </c>
      <c r="I3370" s="72" t="s">
        <v>18</v>
      </c>
      <c r="J3370" s="72" t="s">
        <v>18</v>
      </c>
      <c r="K3370" s="47">
        <v>1.9292175000000002E-2</v>
      </c>
      <c r="L3370" s="47">
        <f t="shared" si="375"/>
        <v>6.4050570442915605E-3</v>
      </c>
      <c r="M3370" s="72" t="s">
        <v>18</v>
      </c>
      <c r="N3370" s="47">
        <v>9.142875E-3</v>
      </c>
      <c r="O3370" s="47">
        <f t="shared" si="376"/>
        <v>4.3719723843408413E-3</v>
      </c>
      <c r="P3370" s="92" t="s">
        <v>103</v>
      </c>
    </row>
    <row r="3371" spans="1:16" x14ac:dyDescent="0.25">
      <c r="A3371" s="29">
        <v>18</v>
      </c>
      <c r="B3371" s="30">
        <v>438287.10856199998</v>
      </c>
      <c r="C3371" s="30">
        <v>5688393.3324180003</v>
      </c>
      <c r="D3371" s="30">
        <v>1</v>
      </c>
      <c r="E3371" s="30" t="s">
        <v>96</v>
      </c>
      <c r="F3371" s="46">
        <v>2023</v>
      </c>
      <c r="G3371" s="47">
        <v>6.1009200000000006E-2</v>
      </c>
      <c r="H3371" s="47">
        <f t="shared" si="377"/>
        <v>1.4878223479894587E-2</v>
      </c>
      <c r="I3371" s="47">
        <v>0</v>
      </c>
      <c r="J3371" s="47">
        <f t="shared" si="378"/>
        <v>0</v>
      </c>
      <c r="K3371" s="47">
        <v>1.3608000000000001E-3</v>
      </c>
      <c r="L3371" s="47">
        <f t="shared" si="375"/>
        <v>4.5178947557089627E-4</v>
      </c>
      <c r="M3371" s="47">
        <f>H3371-L3371</f>
        <v>1.4426434004323691E-2</v>
      </c>
      <c r="N3371" s="47">
        <v>0</v>
      </c>
      <c r="O3371" s="47">
        <f t="shared" si="376"/>
        <v>0</v>
      </c>
      <c r="P3371" s="92"/>
    </row>
    <row r="3372" spans="1:16" x14ac:dyDescent="0.25">
      <c r="A3372" s="29">
        <v>19</v>
      </c>
      <c r="B3372" s="30">
        <v>438406.10856199998</v>
      </c>
      <c r="C3372" s="30">
        <v>5688393.3324180003</v>
      </c>
      <c r="D3372" s="30">
        <v>1</v>
      </c>
      <c r="E3372" s="30" t="s">
        <v>96</v>
      </c>
      <c r="F3372" s="46">
        <v>2023</v>
      </c>
      <c r="G3372" s="47">
        <v>4.1858775000000001E-2</v>
      </c>
      <c r="H3372" s="47">
        <f t="shared" si="377"/>
        <v>1.020803762456522E-2</v>
      </c>
      <c r="I3372" s="47">
        <v>0</v>
      </c>
      <c r="J3372" s="47">
        <f t="shared" si="378"/>
        <v>0</v>
      </c>
      <c r="K3372" s="47">
        <v>3.1043250000000002E-3</v>
      </c>
      <c r="L3372" s="47">
        <f t="shared" si="375"/>
        <v>1.0306447411461072E-3</v>
      </c>
      <c r="M3372" s="47">
        <f>H3372-L3372</f>
        <v>9.1773928834191134E-3</v>
      </c>
      <c r="N3372" s="47">
        <v>0</v>
      </c>
      <c r="O3372" s="47">
        <f t="shared" si="376"/>
        <v>0</v>
      </c>
      <c r="P3372" s="92"/>
    </row>
    <row r="3373" spans="1:16" x14ac:dyDescent="0.25">
      <c r="A3373" s="42">
        <v>20</v>
      </c>
      <c r="B3373" s="43">
        <v>437335.10856199998</v>
      </c>
      <c r="C3373" s="43">
        <v>5688512.3324180003</v>
      </c>
      <c r="D3373" s="44">
        <v>1</v>
      </c>
      <c r="E3373" s="44" t="s">
        <v>96</v>
      </c>
      <c r="F3373" s="44">
        <v>2023</v>
      </c>
      <c r="G3373" s="44" t="s">
        <v>18</v>
      </c>
      <c r="H3373" s="44" t="s">
        <v>18</v>
      </c>
      <c r="I3373" s="44" t="s">
        <v>18</v>
      </c>
      <c r="J3373" s="44" t="s">
        <v>18</v>
      </c>
      <c r="K3373" s="44" t="s">
        <v>18</v>
      </c>
      <c r="L3373" s="44" t="s">
        <v>18</v>
      </c>
      <c r="M3373" s="44" t="s">
        <v>18</v>
      </c>
      <c r="N3373" s="44" t="s">
        <v>18</v>
      </c>
      <c r="O3373" s="44" t="s">
        <v>18</v>
      </c>
      <c r="P3373" s="102" t="s">
        <v>109</v>
      </c>
    </row>
    <row r="3374" spans="1:16" x14ac:dyDescent="0.25">
      <c r="A3374" s="29">
        <v>21</v>
      </c>
      <c r="B3374" s="30">
        <v>437454.10856199998</v>
      </c>
      <c r="C3374" s="30">
        <v>5688512.3324180003</v>
      </c>
      <c r="D3374" s="30">
        <v>1</v>
      </c>
      <c r="E3374" s="30" t="s">
        <v>96</v>
      </c>
      <c r="F3374" s="46">
        <v>2023</v>
      </c>
      <c r="G3374" s="47">
        <v>1.1609325E-2</v>
      </c>
      <c r="H3374" s="47">
        <f t="shared" si="377"/>
        <v>2.8311489382048479E-3</v>
      </c>
      <c r="I3374" s="47">
        <v>0</v>
      </c>
      <c r="J3374" s="47">
        <f t="shared" si="378"/>
        <v>0</v>
      </c>
      <c r="K3374" s="47">
        <v>1.7293499999999999E-3</v>
      </c>
      <c r="L3374" s="47">
        <f t="shared" si="375"/>
        <v>5.7414912520468064E-4</v>
      </c>
      <c r="M3374" s="47">
        <f t="shared" ref="M3374:M3379" si="379">H3374-L3374</f>
        <v>2.2569998130001672E-3</v>
      </c>
      <c r="N3374" s="47">
        <v>0</v>
      </c>
      <c r="O3374" s="47">
        <f t="shared" si="376"/>
        <v>0</v>
      </c>
      <c r="P3374" s="92"/>
    </row>
    <row r="3375" spans="1:16" x14ac:dyDescent="0.25">
      <c r="A3375" s="29">
        <v>22</v>
      </c>
      <c r="B3375" s="30">
        <v>437573.10856199998</v>
      </c>
      <c r="C3375" s="30">
        <v>5688512.3324180003</v>
      </c>
      <c r="D3375" s="30">
        <v>1</v>
      </c>
      <c r="E3375" s="30" t="s">
        <v>96</v>
      </c>
      <c r="F3375" s="46">
        <v>2023</v>
      </c>
      <c r="G3375" s="47">
        <v>6.6338999999999995E-2</v>
      </c>
      <c r="H3375" s="47">
        <f t="shared" si="377"/>
        <v>1.6177993932599128E-2</v>
      </c>
      <c r="I3375" s="47">
        <v>0</v>
      </c>
      <c r="J3375" s="47">
        <f t="shared" si="378"/>
        <v>0</v>
      </c>
      <c r="K3375" s="47">
        <v>1.0773E-3</v>
      </c>
      <c r="L3375" s="47">
        <f t="shared" si="375"/>
        <v>3.5766666816029286E-4</v>
      </c>
      <c r="M3375" s="47">
        <f t="shared" si="379"/>
        <v>1.5820327264438834E-2</v>
      </c>
      <c r="N3375" s="47">
        <v>2.9909250000000002E-2</v>
      </c>
      <c r="O3375" s="47">
        <f t="shared" si="376"/>
        <v>1.4302111210789418E-2</v>
      </c>
      <c r="P3375" s="92"/>
    </row>
    <row r="3376" spans="1:16" x14ac:dyDescent="0.25">
      <c r="A3376" s="29">
        <v>23</v>
      </c>
      <c r="B3376" s="30">
        <v>437692.10856199998</v>
      </c>
      <c r="C3376" s="30">
        <v>5688512.3324180003</v>
      </c>
      <c r="D3376" s="30">
        <v>1</v>
      </c>
      <c r="E3376" s="30" t="s">
        <v>96</v>
      </c>
      <c r="F3376" s="46">
        <v>2023</v>
      </c>
      <c r="G3376" s="47">
        <v>1.4897924999999999E-2</v>
      </c>
      <c r="H3376" s="47">
        <f t="shared" si="377"/>
        <v>3.6331349622140355E-3</v>
      </c>
      <c r="I3376" s="47">
        <v>0</v>
      </c>
      <c r="J3376" s="47">
        <f t="shared" si="378"/>
        <v>0</v>
      </c>
      <c r="K3376" s="47">
        <v>4.8195000000000003E-4</v>
      </c>
      <c r="L3376" s="47">
        <f t="shared" si="375"/>
        <v>1.6000877259802576E-4</v>
      </c>
      <c r="M3376" s="47">
        <f t="shared" si="379"/>
        <v>3.47312618961601E-3</v>
      </c>
      <c r="N3376" s="47">
        <v>0</v>
      </c>
      <c r="O3376" s="47">
        <f t="shared" si="376"/>
        <v>0</v>
      </c>
      <c r="P3376" s="92"/>
    </row>
    <row r="3377" spans="1:16" x14ac:dyDescent="0.25">
      <c r="A3377" s="29">
        <v>24</v>
      </c>
      <c r="B3377" s="30">
        <v>437811.10856199998</v>
      </c>
      <c r="C3377" s="30">
        <v>5688512.3324180003</v>
      </c>
      <c r="D3377" s="30">
        <v>1</v>
      </c>
      <c r="E3377" s="30" t="s">
        <v>96</v>
      </c>
      <c r="F3377" s="46">
        <v>2023</v>
      </c>
      <c r="G3377" s="47">
        <v>9.9650250000000006E-3</v>
      </c>
      <c r="H3377" s="47">
        <f t="shared" si="377"/>
        <v>2.4301559262002543E-3</v>
      </c>
      <c r="I3377" s="47">
        <v>1.7860500000000002E-3</v>
      </c>
      <c r="J3377" s="47">
        <f t="shared" si="378"/>
        <v>7.7753189250817699E-4</v>
      </c>
      <c r="K3377" s="47">
        <v>1.2445650000000001E-2</v>
      </c>
      <c r="L3377" s="47">
        <f t="shared" si="375"/>
        <v>4.1319912453254889E-3</v>
      </c>
      <c r="M3377" s="47">
        <f t="shared" si="379"/>
        <v>-1.7018353191252346E-3</v>
      </c>
      <c r="N3377" s="47">
        <v>1.0021725E-2</v>
      </c>
      <c r="O3377" s="47">
        <f t="shared" si="376"/>
        <v>4.7922239933782555E-3</v>
      </c>
      <c r="P3377" s="92"/>
    </row>
    <row r="3378" spans="1:16" x14ac:dyDescent="0.25">
      <c r="A3378" s="29">
        <v>25</v>
      </c>
      <c r="B3378" s="46">
        <v>437995</v>
      </c>
      <c r="C3378" s="46">
        <v>5688493</v>
      </c>
      <c r="D3378" s="30">
        <v>1</v>
      </c>
      <c r="E3378" s="30" t="s">
        <v>96</v>
      </c>
      <c r="F3378" s="46">
        <v>2023</v>
      </c>
      <c r="G3378" s="47">
        <v>5.6147175000000007E-2</v>
      </c>
      <c r="H3378" s="47">
        <f t="shared" si="377"/>
        <v>1.3692528625432727E-2</v>
      </c>
      <c r="I3378" s="47">
        <v>0</v>
      </c>
      <c r="J3378" s="47">
        <f t="shared" si="378"/>
        <v>0</v>
      </c>
      <c r="K3378" s="47">
        <v>1.9703250000000002E-3</v>
      </c>
      <c r="L3378" s="47">
        <f t="shared" si="375"/>
        <v>6.5415351150369355E-4</v>
      </c>
      <c r="M3378" s="47">
        <f t="shared" si="379"/>
        <v>1.3038375113929034E-2</v>
      </c>
      <c r="N3378" s="47">
        <v>0</v>
      </c>
      <c r="O3378" s="47">
        <f t="shared" si="376"/>
        <v>0</v>
      </c>
      <c r="P3378" s="92"/>
    </row>
    <row r="3379" spans="1:16" x14ac:dyDescent="0.25">
      <c r="A3379" s="29">
        <v>26</v>
      </c>
      <c r="B3379" s="46">
        <v>438112</v>
      </c>
      <c r="C3379" s="46">
        <v>5688567</v>
      </c>
      <c r="D3379" s="30">
        <v>1</v>
      </c>
      <c r="E3379" s="30" t="s">
        <v>96</v>
      </c>
      <c r="F3379" s="46">
        <v>2023</v>
      </c>
      <c r="G3379" s="47">
        <v>8.4100275000000002E-2</v>
      </c>
      <c r="H3379" s="47">
        <f t="shared" si="377"/>
        <v>2.050940982951082E-2</v>
      </c>
      <c r="I3379" s="47">
        <v>0</v>
      </c>
      <c r="J3379" s="47">
        <f t="shared" si="378"/>
        <v>0</v>
      </c>
      <c r="K3379" s="47">
        <v>1.0191825000000002E-3</v>
      </c>
      <c r="L3379" s="47">
        <f t="shared" si="375"/>
        <v>3.3837149264111921E-4</v>
      </c>
      <c r="M3379" s="47">
        <f t="shared" si="379"/>
        <v>2.0171038336869701E-2</v>
      </c>
      <c r="N3379" s="47">
        <v>1.1254950000000001E-2</v>
      </c>
      <c r="O3379" s="47">
        <f t="shared" si="376"/>
        <v>5.3819318963823689E-3</v>
      </c>
      <c r="P3379" s="92"/>
    </row>
    <row r="3380" spans="1:16" x14ac:dyDescent="0.25">
      <c r="A3380" s="32">
        <v>27</v>
      </c>
      <c r="B3380" s="33">
        <v>438168.10856199998</v>
      </c>
      <c r="C3380" s="33">
        <v>5688512.3324180003</v>
      </c>
      <c r="D3380" s="48">
        <v>1</v>
      </c>
      <c r="E3380" s="48" t="s">
        <v>96</v>
      </c>
      <c r="F3380" s="48">
        <v>2023</v>
      </c>
      <c r="G3380" s="48" t="s">
        <v>18</v>
      </c>
      <c r="H3380" s="48" t="s">
        <v>18</v>
      </c>
      <c r="I3380" s="48" t="s">
        <v>18</v>
      </c>
      <c r="J3380" s="48" t="s">
        <v>18</v>
      </c>
      <c r="K3380" s="48" t="s">
        <v>18</v>
      </c>
      <c r="L3380" s="48" t="s">
        <v>18</v>
      </c>
      <c r="M3380" s="48" t="s">
        <v>18</v>
      </c>
      <c r="N3380" s="48" t="s">
        <v>18</v>
      </c>
      <c r="O3380" s="48" t="s">
        <v>18</v>
      </c>
      <c r="P3380" s="103" t="s">
        <v>89</v>
      </c>
    </row>
    <row r="3381" spans="1:16" x14ac:dyDescent="0.25">
      <c r="A3381" s="32">
        <v>28</v>
      </c>
      <c r="B3381" s="33">
        <v>438287.10856199998</v>
      </c>
      <c r="C3381" s="33">
        <v>5688512.3324180003</v>
      </c>
      <c r="D3381" s="48">
        <v>1</v>
      </c>
      <c r="E3381" s="48" t="s">
        <v>96</v>
      </c>
      <c r="F3381" s="48">
        <v>2023</v>
      </c>
      <c r="G3381" s="48" t="s">
        <v>18</v>
      </c>
      <c r="H3381" s="48" t="s">
        <v>18</v>
      </c>
      <c r="I3381" s="48" t="s">
        <v>18</v>
      </c>
      <c r="J3381" s="48" t="s">
        <v>18</v>
      </c>
      <c r="K3381" s="48" t="s">
        <v>18</v>
      </c>
      <c r="L3381" s="48" t="s">
        <v>18</v>
      </c>
      <c r="M3381" s="48" t="s">
        <v>18</v>
      </c>
      <c r="N3381" s="48" t="s">
        <v>18</v>
      </c>
      <c r="O3381" s="48" t="s">
        <v>18</v>
      </c>
      <c r="P3381" s="103" t="s">
        <v>89</v>
      </c>
    </row>
    <row r="3382" spans="1:16" x14ac:dyDescent="0.25">
      <c r="A3382" s="29">
        <v>29</v>
      </c>
      <c r="B3382" s="30">
        <v>438381</v>
      </c>
      <c r="C3382" s="30">
        <v>5688526</v>
      </c>
      <c r="D3382" s="30">
        <v>1</v>
      </c>
      <c r="E3382" s="30" t="s">
        <v>96</v>
      </c>
      <c r="F3382" s="46">
        <v>2023</v>
      </c>
      <c r="G3382" s="47">
        <v>5.2886925000000001E-2</v>
      </c>
      <c r="H3382" s="47">
        <f t="shared" si="377"/>
        <v>1.2897456274044308E-2</v>
      </c>
      <c r="I3382" s="47">
        <v>0</v>
      </c>
      <c r="J3382" s="47">
        <f t="shared" si="378"/>
        <v>0</v>
      </c>
      <c r="K3382" s="47">
        <v>5.4573750000000004E-3</v>
      </c>
      <c r="L3382" s="47">
        <f t="shared" si="375"/>
        <v>1.8118640426541153E-3</v>
      </c>
      <c r="M3382" s="47">
        <f t="shared" ref="M3382:M3389" si="380">H3382-L3382</f>
        <v>1.1085592231390193E-2</v>
      </c>
      <c r="N3382" s="47">
        <v>0</v>
      </c>
      <c r="O3382" s="47">
        <f t="shared" si="376"/>
        <v>0</v>
      </c>
      <c r="P3382" s="92"/>
    </row>
    <row r="3383" spans="1:16" x14ac:dyDescent="0.25">
      <c r="A3383" s="29">
        <v>30</v>
      </c>
      <c r="B3383" s="30">
        <v>438525.10856199998</v>
      </c>
      <c r="C3383" s="30">
        <v>5688512.3324180003</v>
      </c>
      <c r="D3383" s="30">
        <v>1</v>
      </c>
      <c r="E3383" s="30" t="s">
        <v>96</v>
      </c>
      <c r="F3383" s="46">
        <v>2023</v>
      </c>
      <c r="G3383" s="47">
        <v>2.2594949999999999E-2</v>
      </c>
      <c r="H3383" s="47">
        <f t="shared" si="377"/>
        <v>5.5101970787527809E-3</v>
      </c>
      <c r="I3383" s="47">
        <v>0</v>
      </c>
      <c r="J3383" s="47">
        <f t="shared" si="378"/>
        <v>0</v>
      </c>
      <c r="K3383" s="47">
        <v>8.4341250000000006E-3</v>
      </c>
      <c r="L3383" s="47">
        <f t="shared" si="375"/>
        <v>2.8001535204654508E-3</v>
      </c>
      <c r="M3383" s="47">
        <f t="shared" si="380"/>
        <v>2.7100435582873301E-3</v>
      </c>
      <c r="N3383" s="47">
        <v>2.9909249999999997E-3</v>
      </c>
      <c r="O3383" s="47">
        <f t="shared" si="376"/>
        <v>1.4302111210789416E-3</v>
      </c>
      <c r="P3383" s="92"/>
    </row>
    <row r="3384" spans="1:16" x14ac:dyDescent="0.25">
      <c r="A3384" s="29">
        <v>31</v>
      </c>
      <c r="B3384" s="30">
        <v>437335.10856199998</v>
      </c>
      <c r="C3384" s="30">
        <v>5688631.3324180003</v>
      </c>
      <c r="D3384" s="30">
        <v>1</v>
      </c>
      <c r="E3384" s="30" t="s">
        <v>96</v>
      </c>
      <c r="F3384" s="46">
        <v>2023</v>
      </c>
      <c r="G3384" s="47">
        <v>8.831025000000001E-3</v>
      </c>
      <c r="H3384" s="47">
        <f t="shared" si="377"/>
        <v>2.1536090213694998E-3</v>
      </c>
      <c r="I3384" s="47">
        <v>0</v>
      </c>
      <c r="J3384" s="47">
        <f t="shared" si="378"/>
        <v>0</v>
      </c>
      <c r="K3384" s="47">
        <v>1.0064249999999998E-3</v>
      </c>
      <c r="L3384" s="47">
        <f t="shared" si="375"/>
        <v>3.3413596630764192E-4</v>
      </c>
      <c r="M3384" s="47">
        <f t="shared" si="380"/>
        <v>1.8194730550618579E-3</v>
      </c>
      <c r="N3384" s="47">
        <v>0</v>
      </c>
      <c r="O3384" s="47">
        <f t="shared" si="376"/>
        <v>0</v>
      </c>
      <c r="P3384" s="92"/>
    </row>
    <row r="3385" spans="1:16" x14ac:dyDescent="0.25">
      <c r="A3385" s="29">
        <v>32</v>
      </c>
      <c r="B3385" s="30">
        <v>437454.10856199998</v>
      </c>
      <c r="C3385" s="30">
        <v>5688631.3324180003</v>
      </c>
      <c r="D3385" s="30">
        <v>1</v>
      </c>
      <c r="E3385" s="30" t="s">
        <v>96</v>
      </c>
      <c r="F3385" s="46">
        <v>2023</v>
      </c>
      <c r="G3385" s="47">
        <v>3.7010925000000007E-2</v>
      </c>
      <c r="H3385" s="47">
        <f t="shared" si="377"/>
        <v>9.0257996064137484E-3</v>
      </c>
      <c r="I3385" s="47">
        <v>0</v>
      </c>
      <c r="J3385" s="47">
        <f t="shared" si="378"/>
        <v>0</v>
      </c>
      <c r="K3385" s="47">
        <v>1.7577000000000001E-3</v>
      </c>
      <c r="L3385" s="47">
        <f t="shared" si="375"/>
        <v>5.8356140594574102E-4</v>
      </c>
      <c r="M3385" s="47">
        <f t="shared" si="380"/>
        <v>8.442238200468008E-3</v>
      </c>
      <c r="N3385" s="47">
        <v>0</v>
      </c>
      <c r="O3385" s="47">
        <f t="shared" si="376"/>
        <v>0</v>
      </c>
      <c r="P3385" s="92"/>
    </row>
    <row r="3386" spans="1:16" x14ac:dyDescent="0.25">
      <c r="A3386" s="29">
        <v>33</v>
      </c>
      <c r="B3386" s="30">
        <v>437573.10856199998</v>
      </c>
      <c r="C3386" s="30">
        <v>5688631.3324180003</v>
      </c>
      <c r="D3386" s="30">
        <v>30</v>
      </c>
      <c r="E3386" s="30" t="s">
        <v>24</v>
      </c>
      <c r="F3386" s="46">
        <v>2023</v>
      </c>
      <c r="G3386" s="47">
        <v>4.5274950000000001E-2</v>
      </c>
      <c r="H3386" s="47">
        <f t="shared" ref="H3386:H3413" si="381">G3386*0.418370520065534</f>
        <v>1.8941704377441047E-2</v>
      </c>
      <c r="I3386" s="47">
        <v>0</v>
      </c>
      <c r="J3386" s="47">
        <f t="shared" ref="J3386:J3413" si="382">I3386*0.420028476506882</f>
        <v>0</v>
      </c>
      <c r="K3386" s="47">
        <v>7.4418750000000006E-3</v>
      </c>
      <c r="L3386" s="47">
        <f t="shared" ref="L3386:L3413" si="383">K3386*0.32359928276704</f>
        <v>2.4081854124419657E-3</v>
      </c>
      <c r="M3386" s="47">
        <f t="shared" si="380"/>
        <v>1.6533518964999081E-2</v>
      </c>
      <c r="N3386" s="47">
        <v>0</v>
      </c>
      <c r="O3386" s="47">
        <f t="shared" ref="O3386:O3413" si="384">N3386*0.462733226364423</f>
        <v>0</v>
      </c>
      <c r="P3386" s="92"/>
    </row>
    <row r="3387" spans="1:16" x14ac:dyDescent="0.25">
      <c r="A3387" s="29">
        <v>34</v>
      </c>
      <c r="B3387" s="30">
        <v>437692.10856199998</v>
      </c>
      <c r="C3387" s="30">
        <v>5688631.3324180003</v>
      </c>
      <c r="D3387" s="30">
        <v>1</v>
      </c>
      <c r="E3387" s="30" t="s">
        <v>96</v>
      </c>
      <c r="F3387" s="46">
        <v>2023</v>
      </c>
      <c r="G3387" s="47">
        <v>4.05405E-2</v>
      </c>
      <c r="H3387" s="47">
        <f t="shared" ref="H3387:H3389" si="385">G3387*0.243868522778443</f>
        <v>9.8865518476994683E-3</v>
      </c>
      <c r="I3387" s="47">
        <v>1.6868250000000001E-3</v>
      </c>
      <c r="J3387" s="47">
        <f t="shared" ref="J3387:J3389" si="386">I3387*0.435336016633452</f>
        <v>7.3433567625772269E-4</v>
      </c>
      <c r="K3387" s="47">
        <v>3.6855000000000004E-3</v>
      </c>
      <c r="L3387" s="47">
        <f t="shared" ref="L3387:L3389" si="387">K3387*0.332002848009183</f>
        <v>1.2235964963378441E-3</v>
      </c>
      <c r="M3387" s="47">
        <f t="shared" si="380"/>
        <v>8.6629553513616238E-3</v>
      </c>
      <c r="N3387" s="47">
        <v>6.8748749999999999E-3</v>
      </c>
      <c r="O3387" s="47">
        <f t="shared" ref="O3387:O3389" si="388">N3387*0.478183545585042</f>
        <v>3.2874521029539654E-3</v>
      </c>
      <c r="P3387" s="92"/>
    </row>
    <row r="3388" spans="1:16" x14ac:dyDescent="0.25">
      <c r="A3388" s="29">
        <v>35</v>
      </c>
      <c r="B3388" s="30">
        <v>437893</v>
      </c>
      <c r="C3388" s="30">
        <v>5688620</v>
      </c>
      <c r="D3388" s="30">
        <v>1</v>
      </c>
      <c r="E3388" s="30" t="s">
        <v>96</v>
      </c>
      <c r="F3388" s="46">
        <v>2023</v>
      </c>
      <c r="G3388" s="47">
        <v>3.4105050000000005E-2</v>
      </c>
      <c r="H3388" s="47">
        <f t="shared" si="385"/>
        <v>8.3171481627849382E-3</v>
      </c>
      <c r="I3388" s="47">
        <v>0</v>
      </c>
      <c r="J3388" s="47">
        <f t="shared" si="386"/>
        <v>0</v>
      </c>
      <c r="K3388" s="47">
        <v>1.7491949999999999E-2</v>
      </c>
      <c r="L3388" s="47">
        <f t="shared" si="387"/>
        <v>5.8073772172342287E-3</v>
      </c>
      <c r="M3388" s="47">
        <f t="shared" si="380"/>
        <v>2.5097709455507095E-3</v>
      </c>
      <c r="N3388" s="47">
        <v>0</v>
      </c>
      <c r="O3388" s="47">
        <f t="shared" si="388"/>
        <v>0</v>
      </c>
      <c r="P3388" s="92"/>
    </row>
    <row r="3389" spans="1:16" x14ac:dyDescent="0.25">
      <c r="A3389" s="29">
        <v>36</v>
      </c>
      <c r="B3389" s="30">
        <v>437930.10856199998</v>
      </c>
      <c r="C3389" s="30">
        <v>5688631.3324180003</v>
      </c>
      <c r="D3389" s="30">
        <v>1</v>
      </c>
      <c r="E3389" s="30" t="s">
        <v>96</v>
      </c>
      <c r="F3389" s="46">
        <v>2023</v>
      </c>
      <c r="G3389" s="47">
        <v>7.5552750000000011E-3</v>
      </c>
      <c r="H3389" s="47">
        <f t="shared" si="385"/>
        <v>1.8424937534349012E-3</v>
      </c>
      <c r="I3389" s="47">
        <v>1.44585E-3</v>
      </c>
      <c r="J3389" s="47">
        <f t="shared" si="386"/>
        <v>6.2943057964947658E-4</v>
      </c>
      <c r="K3389" s="47">
        <v>7.5836250000000001E-3</v>
      </c>
      <c r="L3389" s="47">
        <f t="shared" si="387"/>
        <v>2.5177850982336407E-3</v>
      </c>
      <c r="M3389" s="47">
        <f t="shared" si="380"/>
        <v>-6.7529134479873943E-4</v>
      </c>
      <c r="N3389" s="47">
        <v>3.0901499999999998E-3</v>
      </c>
      <c r="O3389" s="47">
        <f t="shared" si="388"/>
        <v>1.4776588833896175E-3</v>
      </c>
      <c r="P3389" s="92"/>
    </row>
    <row r="3390" spans="1:16" x14ac:dyDescent="0.25">
      <c r="A3390" s="32">
        <v>37</v>
      </c>
      <c r="B3390" s="33">
        <v>438049.10856199998</v>
      </c>
      <c r="C3390" s="33">
        <v>5688631.3324180003</v>
      </c>
      <c r="D3390" s="48">
        <v>1</v>
      </c>
      <c r="E3390" s="48" t="s">
        <v>96</v>
      </c>
      <c r="F3390" s="48">
        <v>2023</v>
      </c>
      <c r="G3390" s="48" t="s">
        <v>18</v>
      </c>
      <c r="H3390" s="48" t="s">
        <v>18</v>
      </c>
      <c r="I3390" s="48" t="s">
        <v>18</v>
      </c>
      <c r="J3390" s="48" t="s">
        <v>18</v>
      </c>
      <c r="K3390" s="48" t="s">
        <v>18</v>
      </c>
      <c r="L3390" s="48" t="s">
        <v>18</v>
      </c>
      <c r="M3390" s="48" t="s">
        <v>18</v>
      </c>
      <c r="N3390" s="48" t="s">
        <v>18</v>
      </c>
      <c r="O3390" s="48" t="s">
        <v>18</v>
      </c>
      <c r="P3390" s="103" t="s">
        <v>89</v>
      </c>
    </row>
    <row r="3391" spans="1:16" x14ac:dyDescent="0.25">
      <c r="A3391" s="29">
        <v>38</v>
      </c>
      <c r="B3391" s="30">
        <v>438067</v>
      </c>
      <c r="C3391" s="30">
        <v>5688710</v>
      </c>
      <c r="D3391" s="30">
        <v>30</v>
      </c>
      <c r="E3391" s="30" t="s">
        <v>24</v>
      </c>
      <c r="F3391" s="46">
        <v>2023</v>
      </c>
      <c r="G3391" s="47">
        <v>0.11880067500000001</v>
      </c>
      <c r="H3391" s="47">
        <f t="shared" si="381"/>
        <v>4.9702700183886485E-2</v>
      </c>
      <c r="I3391" s="47">
        <v>1.8569250000000002E-3</v>
      </c>
      <c r="J3391" s="47">
        <f t="shared" si="382"/>
        <v>7.79961378737542E-4</v>
      </c>
      <c r="K3391" s="47">
        <v>5.8826249999999998E-3</v>
      </c>
      <c r="L3391" s="47">
        <f t="shared" si="383"/>
        <v>1.9036132307874586E-3</v>
      </c>
      <c r="M3391" s="47">
        <f>H3391-L3391</f>
        <v>4.7799086953099028E-2</v>
      </c>
      <c r="N3391" s="47">
        <v>0</v>
      </c>
      <c r="O3391" s="47">
        <f t="shared" si="384"/>
        <v>0</v>
      </c>
      <c r="P3391" s="92"/>
    </row>
    <row r="3392" spans="1:16" x14ac:dyDescent="0.25">
      <c r="A3392" s="32">
        <v>39</v>
      </c>
      <c r="B3392" s="33">
        <v>438287.10856199998</v>
      </c>
      <c r="C3392" s="33">
        <v>5688631.3324180003</v>
      </c>
      <c r="D3392" s="48">
        <v>1</v>
      </c>
      <c r="E3392" s="48" t="s">
        <v>96</v>
      </c>
      <c r="F3392" s="48">
        <v>2023</v>
      </c>
      <c r="G3392" s="48" t="s">
        <v>18</v>
      </c>
      <c r="H3392" s="48" t="s">
        <v>18</v>
      </c>
      <c r="I3392" s="48" t="s">
        <v>18</v>
      </c>
      <c r="J3392" s="48" t="s">
        <v>18</v>
      </c>
      <c r="K3392" s="48" t="s">
        <v>18</v>
      </c>
      <c r="L3392" s="48" t="s">
        <v>18</v>
      </c>
      <c r="M3392" s="48" t="s">
        <v>18</v>
      </c>
      <c r="N3392" s="48" t="s">
        <v>18</v>
      </c>
      <c r="O3392" s="48" t="s">
        <v>18</v>
      </c>
      <c r="P3392" s="94" t="s">
        <v>22</v>
      </c>
    </row>
    <row r="3393" spans="1:16" x14ac:dyDescent="0.25">
      <c r="A3393" s="89">
        <v>40</v>
      </c>
      <c r="B3393" s="90">
        <v>438406.10856199998</v>
      </c>
      <c r="C3393" s="90">
        <v>5688631.3324180003</v>
      </c>
      <c r="D3393" s="90">
        <v>1</v>
      </c>
      <c r="E3393" s="90" t="s">
        <v>96</v>
      </c>
      <c r="F3393" s="90">
        <v>2023</v>
      </c>
      <c r="G3393" s="90" t="s">
        <v>18</v>
      </c>
      <c r="H3393" s="90" t="s">
        <v>18</v>
      </c>
      <c r="I3393" s="90" t="s">
        <v>18</v>
      </c>
      <c r="J3393" s="90" t="s">
        <v>18</v>
      </c>
      <c r="K3393" s="90" t="s">
        <v>18</v>
      </c>
      <c r="L3393" s="90" t="s">
        <v>18</v>
      </c>
      <c r="M3393" s="90" t="s">
        <v>18</v>
      </c>
      <c r="N3393" s="90" t="s">
        <v>18</v>
      </c>
      <c r="O3393" s="90" t="s">
        <v>18</v>
      </c>
      <c r="P3393" s="113" t="s">
        <v>174</v>
      </c>
    </row>
    <row r="3394" spans="1:16" x14ac:dyDescent="0.25">
      <c r="A3394" s="29">
        <v>41</v>
      </c>
      <c r="B3394" s="30">
        <v>437310</v>
      </c>
      <c r="C3394" s="30">
        <v>5688729</v>
      </c>
      <c r="D3394" s="30">
        <v>1</v>
      </c>
      <c r="E3394" s="30" t="s">
        <v>96</v>
      </c>
      <c r="F3394" s="46">
        <v>2023</v>
      </c>
      <c r="G3394" s="47">
        <v>7.8019199999999997E-2</v>
      </c>
      <c r="H3394" s="47">
        <f t="shared" ref="H3394:H3395" si="389">G3394*0.243868522778443</f>
        <v>1.9026427052355899E-2</v>
      </c>
      <c r="I3394" s="47">
        <v>6.9599250000000005E-3</v>
      </c>
      <c r="J3394" s="47">
        <f t="shared" ref="J3394:J3395" si="390">I3394*0.435336016633452</f>
        <v>3.0299060255675786E-3</v>
      </c>
      <c r="K3394" s="47">
        <v>8.0372249999999985E-3</v>
      </c>
      <c r="L3394" s="47">
        <f t="shared" ref="L3394:L3395" si="391">K3394*0.332002848009183</f>
        <v>2.6683815900906053E-3</v>
      </c>
      <c r="M3394" s="47">
        <f>H3394-L3394</f>
        <v>1.6358045462265294E-2</v>
      </c>
      <c r="N3394" s="47">
        <v>2.338875E-2</v>
      </c>
      <c r="O3394" s="47">
        <f t="shared" ref="O3394:O3395" si="392">N3394*0.478183545585042</f>
        <v>1.118411540180215E-2</v>
      </c>
      <c r="P3394" s="92"/>
    </row>
    <row r="3395" spans="1:16" x14ac:dyDescent="0.25">
      <c r="A3395" s="29">
        <v>42</v>
      </c>
      <c r="B3395" s="30">
        <v>437454.10856199998</v>
      </c>
      <c r="C3395" s="30">
        <v>5688750.3324180003</v>
      </c>
      <c r="D3395" s="30">
        <v>1</v>
      </c>
      <c r="E3395" s="30" t="s">
        <v>96</v>
      </c>
      <c r="F3395" s="46">
        <v>2023</v>
      </c>
      <c r="G3395" s="47">
        <v>6.2937000000000002E-3</v>
      </c>
      <c r="H3395" s="47">
        <f t="shared" si="389"/>
        <v>1.5348353218106868E-3</v>
      </c>
      <c r="I3395" s="47">
        <v>1.2814200000000001E-2</v>
      </c>
      <c r="J3395" s="47">
        <f t="shared" si="390"/>
        <v>5.5784827843443812E-3</v>
      </c>
      <c r="K3395" s="47">
        <v>7.11585E-3</v>
      </c>
      <c r="L3395" s="47">
        <f t="shared" si="391"/>
        <v>2.3624824660061451E-3</v>
      </c>
      <c r="M3395" s="47">
        <f>H3395-L3395</f>
        <v>-8.2764714419545824E-4</v>
      </c>
      <c r="N3395" s="47">
        <v>2.6932500000000003E-3</v>
      </c>
      <c r="O3395" s="47">
        <f t="shared" si="392"/>
        <v>1.2878678341469146E-3</v>
      </c>
      <c r="P3395" s="92"/>
    </row>
    <row r="3396" spans="1:16" x14ac:dyDescent="0.25">
      <c r="A3396" s="29">
        <v>43</v>
      </c>
      <c r="B3396" s="30">
        <v>437573.10856199998</v>
      </c>
      <c r="C3396" s="30">
        <v>5688750.3324180003</v>
      </c>
      <c r="D3396" s="30">
        <v>30</v>
      </c>
      <c r="E3396" s="30" t="s">
        <v>24</v>
      </c>
      <c r="F3396" s="46">
        <v>2023</v>
      </c>
      <c r="G3396" s="47">
        <v>5.3142075000000004E-2</v>
      </c>
      <c r="H3396" s="47">
        <f t="shared" si="381"/>
        <v>2.2233077555111613E-2</v>
      </c>
      <c r="I3396" s="47">
        <v>7.5269250000000011E-3</v>
      </c>
      <c r="J3396" s="47">
        <f t="shared" si="382"/>
        <v>3.1615228405315636E-3</v>
      </c>
      <c r="K3396" s="47">
        <v>1.477035E-2</v>
      </c>
      <c r="L3396" s="47">
        <f t="shared" si="383"/>
        <v>4.7796746662181486E-3</v>
      </c>
      <c r="M3396" s="47">
        <f>H3396-L3396</f>
        <v>1.7453402888893466E-2</v>
      </c>
      <c r="N3396" s="47">
        <v>8.6325750000000017E-3</v>
      </c>
      <c r="O3396" s="47">
        <f t="shared" si="384"/>
        <v>3.9945792815828593E-3</v>
      </c>
      <c r="P3396" s="92"/>
    </row>
    <row r="3397" spans="1:16" x14ac:dyDescent="0.25">
      <c r="A3397" s="29">
        <v>44</v>
      </c>
      <c r="B3397" s="30">
        <v>437692.10856199998</v>
      </c>
      <c r="C3397" s="30">
        <v>5688750.3324180003</v>
      </c>
      <c r="D3397" s="30">
        <v>30</v>
      </c>
      <c r="E3397" s="30" t="s">
        <v>24</v>
      </c>
      <c r="F3397" s="46">
        <v>2023</v>
      </c>
      <c r="G3397" s="47">
        <v>2.1928725E-2</v>
      </c>
      <c r="H3397" s="47">
        <f t="shared" si="381"/>
        <v>9.1743320826240763E-3</v>
      </c>
      <c r="I3397" s="47">
        <v>5.2447500000000005E-4</v>
      </c>
      <c r="J3397" s="47">
        <f t="shared" si="382"/>
        <v>2.2029443521594697E-4</v>
      </c>
      <c r="K3397" s="47">
        <v>1.091475E-3</v>
      </c>
      <c r="L3397" s="47">
        <f t="shared" si="383"/>
        <v>3.5320052715815493E-4</v>
      </c>
      <c r="M3397" s="47">
        <f>H3397-L3397</f>
        <v>8.8211315554659209E-3</v>
      </c>
      <c r="N3397" s="47">
        <v>0</v>
      </c>
      <c r="O3397" s="47">
        <f t="shared" si="384"/>
        <v>0</v>
      </c>
      <c r="P3397" s="92"/>
    </row>
    <row r="3398" spans="1:16" x14ac:dyDescent="0.25">
      <c r="A3398" s="29">
        <v>45</v>
      </c>
      <c r="B3398" s="30">
        <v>437811.10856199998</v>
      </c>
      <c r="C3398" s="30">
        <v>5688750.3324180003</v>
      </c>
      <c r="D3398" s="30">
        <v>30</v>
      </c>
      <c r="E3398" s="30" t="s">
        <v>24</v>
      </c>
      <c r="F3398" s="46">
        <v>2023</v>
      </c>
      <c r="G3398" s="47">
        <v>3.7294424999999999E-2</v>
      </c>
      <c r="H3398" s="47">
        <f t="shared" si="381"/>
        <v>1.5602887982795053E-2</v>
      </c>
      <c r="I3398" s="47">
        <v>1.8441675000000001E-2</v>
      </c>
      <c r="J3398" s="47">
        <f t="shared" si="382"/>
        <v>7.7460286544850541E-3</v>
      </c>
      <c r="K3398" s="47">
        <v>4.1958000000000004E-3</v>
      </c>
      <c r="L3398" s="47">
        <f t="shared" si="383"/>
        <v>1.3577578706339465E-3</v>
      </c>
      <c r="M3398" s="47">
        <f>H3398-L3398</f>
        <v>1.4245130112161107E-2</v>
      </c>
      <c r="N3398" s="47">
        <v>5.1682050000000007E-2</v>
      </c>
      <c r="O3398" s="47">
        <f t="shared" si="384"/>
        <v>2.3915001741627431E-2</v>
      </c>
      <c r="P3398" s="92"/>
    </row>
    <row r="3399" spans="1:16" x14ac:dyDescent="0.25">
      <c r="A3399" s="65">
        <v>46</v>
      </c>
      <c r="B3399" s="66">
        <v>437930.10856199998</v>
      </c>
      <c r="C3399" s="66">
        <v>5688750.3324180003</v>
      </c>
      <c r="D3399" s="66">
        <v>1</v>
      </c>
      <c r="E3399" s="66" t="s">
        <v>96</v>
      </c>
      <c r="F3399" s="66">
        <v>2023</v>
      </c>
      <c r="G3399" s="66" t="s">
        <v>18</v>
      </c>
      <c r="H3399" s="66" t="s">
        <v>18</v>
      </c>
      <c r="I3399" s="66" t="s">
        <v>18</v>
      </c>
      <c r="J3399" s="66" t="s">
        <v>18</v>
      </c>
      <c r="K3399" s="66" t="s">
        <v>18</v>
      </c>
      <c r="L3399" s="66" t="s">
        <v>18</v>
      </c>
      <c r="M3399" s="66" t="s">
        <v>18</v>
      </c>
      <c r="N3399" s="66" t="s">
        <v>18</v>
      </c>
      <c r="O3399" s="66" t="s">
        <v>18</v>
      </c>
      <c r="P3399" s="105" t="s">
        <v>166</v>
      </c>
    </row>
    <row r="3400" spans="1:16" x14ac:dyDescent="0.25">
      <c r="A3400" s="29">
        <v>47</v>
      </c>
      <c r="B3400" s="30">
        <v>438061</v>
      </c>
      <c r="C3400" s="30">
        <v>5688779</v>
      </c>
      <c r="D3400" s="30">
        <v>30</v>
      </c>
      <c r="E3400" s="30" t="s">
        <v>24</v>
      </c>
      <c r="F3400" s="46">
        <v>2023</v>
      </c>
      <c r="G3400" s="47">
        <v>0.1266111</v>
      </c>
      <c r="H3400" s="47">
        <f t="shared" si="381"/>
        <v>5.2970351753069335E-2</v>
      </c>
      <c r="I3400" s="47">
        <v>0</v>
      </c>
      <c r="J3400" s="47">
        <f t="shared" si="382"/>
        <v>0</v>
      </c>
      <c r="K3400" s="47">
        <v>9.4830750000000005E-3</v>
      </c>
      <c r="L3400" s="47">
        <f t="shared" si="383"/>
        <v>3.0687162684260479E-3</v>
      </c>
      <c r="M3400" s="47">
        <f>H3400-L3400</f>
        <v>4.9901635484643284E-2</v>
      </c>
      <c r="N3400" s="47">
        <v>0</v>
      </c>
      <c r="O3400" s="47">
        <f t="shared" si="384"/>
        <v>0</v>
      </c>
      <c r="P3400" s="92"/>
    </row>
    <row r="3401" spans="1:16" x14ac:dyDescent="0.25">
      <c r="A3401" s="32">
        <v>48</v>
      </c>
      <c r="B3401" s="33">
        <v>438168.10856199998</v>
      </c>
      <c r="C3401" s="33">
        <v>5688750.3324180003</v>
      </c>
      <c r="D3401" s="48">
        <v>1</v>
      </c>
      <c r="E3401" s="48" t="s">
        <v>96</v>
      </c>
      <c r="F3401" s="48">
        <v>2023</v>
      </c>
      <c r="G3401" s="48" t="s">
        <v>18</v>
      </c>
      <c r="H3401" s="48" t="s">
        <v>18</v>
      </c>
      <c r="I3401" s="48" t="s">
        <v>18</v>
      </c>
      <c r="J3401" s="48" t="s">
        <v>18</v>
      </c>
      <c r="K3401" s="48" t="s">
        <v>18</v>
      </c>
      <c r="L3401" s="48" t="s">
        <v>18</v>
      </c>
      <c r="M3401" s="48" t="s">
        <v>18</v>
      </c>
      <c r="N3401" s="48" t="s">
        <v>18</v>
      </c>
      <c r="O3401" s="48" t="s">
        <v>18</v>
      </c>
      <c r="P3401" s="103" t="s">
        <v>89</v>
      </c>
    </row>
    <row r="3402" spans="1:16" x14ac:dyDescent="0.25">
      <c r="A3402" s="89">
        <v>49</v>
      </c>
      <c r="B3402" s="90">
        <v>437454.10856199998</v>
      </c>
      <c r="C3402" s="90">
        <v>5688869.3324180003</v>
      </c>
      <c r="D3402" s="90">
        <v>1</v>
      </c>
      <c r="E3402" s="90" t="s">
        <v>96</v>
      </c>
      <c r="F3402" s="90">
        <v>2023</v>
      </c>
      <c r="G3402" s="90" t="s">
        <v>18</v>
      </c>
      <c r="H3402" s="90" t="s">
        <v>18</v>
      </c>
      <c r="I3402" s="90" t="s">
        <v>18</v>
      </c>
      <c r="J3402" s="90" t="s">
        <v>18</v>
      </c>
      <c r="K3402" s="90" t="s">
        <v>18</v>
      </c>
      <c r="L3402" s="90" t="s">
        <v>18</v>
      </c>
      <c r="M3402" s="90" t="s">
        <v>18</v>
      </c>
      <c r="N3402" s="90" t="s">
        <v>18</v>
      </c>
      <c r="O3402" s="90" t="s">
        <v>18</v>
      </c>
      <c r="P3402" s="113" t="s">
        <v>174</v>
      </c>
    </row>
    <row r="3403" spans="1:16" x14ac:dyDescent="0.25">
      <c r="A3403" s="29">
        <v>50</v>
      </c>
      <c r="B3403" s="30">
        <v>437811.10856199998</v>
      </c>
      <c r="C3403" s="30">
        <v>5688869.3324180003</v>
      </c>
      <c r="D3403" s="30">
        <v>30</v>
      </c>
      <c r="E3403" s="30" t="s">
        <v>24</v>
      </c>
      <c r="F3403" s="46">
        <v>2023</v>
      </c>
      <c r="G3403" s="47">
        <v>7.8529500000000009E-3</v>
      </c>
      <c r="H3403" s="47">
        <f t="shared" si="381"/>
        <v>3.2854427755486357E-3</v>
      </c>
      <c r="I3403" s="47">
        <v>1.0914750000000001E-2</v>
      </c>
      <c r="J3403" s="47">
        <f t="shared" si="382"/>
        <v>4.5845058139534905E-3</v>
      </c>
      <c r="K3403" s="5">
        <v>1.4501025000000001E-2</v>
      </c>
      <c r="L3403" s="47">
        <f t="shared" si="383"/>
        <v>4.6925212893869162E-3</v>
      </c>
      <c r="M3403" s="47">
        <f>H3403-L3403</f>
        <v>-1.4070785138382805E-3</v>
      </c>
      <c r="N3403" s="47">
        <v>0</v>
      </c>
      <c r="O3403" s="47">
        <f t="shared" si="384"/>
        <v>0</v>
      </c>
      <c r="P3403" s="92"/>
    </row>
    <row r="3404" spans="1:16" x14ac:dyDescent="0.25">
      <c r="A3404" s="29">
        <v>51</v>
      </c>
      <c r="B3404" s="30">
        <v>437930.10856199998</v>
      </c>
      <c r="C3404" s="30">
        <v>5688869.3324180003</v>
      </c>
      <c r="D3404" s="30">
        <v>30</v>
      </c>
      <c r="E3404" s="30" t="s">
        <v>24</v>
      </c>
      <c r="F3404" s="46">
        <v>2023</v>
      </c>
      <c r="G3404" s="47">
        <v>5.3156250000000009E-3</v>
      </c>
      <c r="H3404" s="47">
        <f t="shared" si="381"/>
        <v>2.2239007957233544E-3</v>
      </c>
      <c r="I3404" s="47">
        <v>1.4175000000000001E-3</v>
      </c>
      <c r="J3404" s="47">
        <f t="shared" si="382"/>
        <v>5.9539036544850534E-4</v>
      </c>
      <c r="K3404" s="47">
        <v>1.732185E-2</v>
      </c>
      <c r="L3404" s="47">
        <f t="shared" si="383"/>
        <v>5.6053382361982516E-3</v>
      </c>
      <c r="M3404" s="47">
        <f>H3404-L3404</f>
        <v>-3.3814374404748972E-3</v>
      </c>
      <c r="N3404" s="47">
        <v>0</v>
      </c>
      <c r="O3404" s="47">
        <f t="shared" si="384"/>
        <v>0</v>
      </c>
      <c r="P3404" s="92"/>
    </row>
    <row r="3405" spans="1:16" x14ac:dyDescent="0.25">
      <c r="A3405" s="65">
        <v>52</v>
      </c>
      <c r="B3405" s="66">
        <v>438049.10856199998</v>
      </c>
      <c r="C3405" s="66">
        <v>5688869.3324180003</v>
      </c>
      <c r="D3405" s="66">
        <v>1</v>
      </c>
      <c r="E3405" s="66" t="s">
        <v>96</v>
      </c>
      <c r="F3405" s="66">
        <v>2023</v>
      </c>
      <c r="G3405" s="66" t="s">
        <v>18</v>
      </c>
      <c r="H3405" s="66" t="s">
        <v>18</v>
      </c>
      <c r="I3405" s="66" t="s">
        <v>18</v>
      </c>
      <c r="J3405" s="66" t="s">
        <v>18</v>
      </c>
      <c r="K3405" s="66" t="s">
        <v>18</v>
      </c>
      <c r="L3405" s="66" t="s">
        <v>18</v>
      </c>
      <c r="M3405" s="66" t="s">
        <v>18</v>
      </c>
      <c r="N3405" s="66" t="s">
        <v>18</v>
      </c>
      <c r="O3405" s="66" t="s">
        <v>18</v>
      </c>
      <c r="P3405" s="105" t="s">
        <v>166</v>
      </c>
    </row>
    <row r="3406" spans="1:16" x14ac:dyDescent="0.25">
      <c r="A3406" s="89">
        <v>53</v>
      </c>
      <c r="B3406" s="90">
        <v>438287.10856199998</v>
      </c>
      <c r="C3406" s="90">
        <v>5688869.3324180003</v>
      </c>
      <c r="D3406" s="90">
        <v>1</v>
      </c>
      <c r="E3406" s="90" t="s">
        <v>96</v>
      </c>
      <c r="F3406" s="90">
        <v>2023</v>
      </c>
      <c r="G3406" s="90" t="s">
        <v>18</v>
      </c>
      <c r="H3406" s="90" t="s">
        <v>18</v>
      </c>
      <c r="I3406" s="90" t="s">
        <v>18</v>
      </c>
      <c r="J3406" s="90" t="s">
        <v>18</v>
      </c>
      <c r="K3406" s="90" t="s">
        <v>18</v>
      </c>
      <c r="L3406" s="90" t="s">
        <v>18</v>
      </c>
      <c r="M3406" s="90" t="s">
        <v>18</v>
      </c>
      <c r="N3406" s="90" t="s">
        <v>18</v>
      </c>
      <c r="O3406" s="90" t="s">
        <v>18</v>
      </c>
      <c r="P3406" s="113" t="s">
        <v>174</v>
      </c>
    </row>
    <row r="3407" spans="1:16" x14ac:dyDescent="0.25">
      <c r="A3407" s="89">
        <v>54</v>
      </c>
      <c r="B3407" s="90">
        <v>437454.10856199998</v>
      </c>
      <c r="C3407" s="90">
        <v>5688988.3324180003</v>
      </c>
      <c r="D3407" s="90">
        <v>1</v>
      </c>
      <c r="E3407" s="90" t="s">
        <v>96</v>
      </c>
      <c r="F3407" s="90">
        <v>2023</v>
      </c>
      <c r="G3407" s="90" t="s">
        <v>18</v>
      </c>
      <c r="H3407" s="90" t="s">
        <v>18</v>
      </c>
      <c r="I3407" s="90" t="s">
        <v>18</v>
      </c>
      <c r="J3407" s="90" t="s">
        <v>18</v>
      </c>
      <c r="K3407" s="90" t="s">
        <v>18</v>
      </c>
      <c r="L3407" s="90" t="s">
        <v>18</v>
      </c>
      <c r="M3407" s="90" t="s">
        <v>18</v>
      </c>
      <c r="N3407" s="90" t="s">
        <v>18</v>
      </c>
      <c r="O3407" s="90" t="s">
        <v>18</v>
      </c>
      <c r="P3407" s="113" t="s">
        <v>174</v>
      </c>
    </row>
    <row r="3408" spans="1:16" x14ac:dyDescent="0.25">
      <c r="A3408" s="89">
        <v>55</v>
      </c>
      <c r="B3408" s="90">
        <v>438049.10856199998</v>
      </c>
      <c r="C3408" s="90">
        <v>5688988.3324180003</v>
      </c>
      <c r="D3408" s="90">
        <v>1</v>
      </c>
      <c r="E3408" s="90" t="s">
        <v>96</v>
      </c>
      <c r="F3408" s="90">
        <v>2023</v>
      </c>
      <c r="G3408" s="90" t="s">
        <v>18</v>
      </c>
      <c r="H3408" s="90" t="s">
        <v>18</v>
      </c>
      <c r="I3408" s="90" t="s">
        <v>18</v>
      </c>
      <c r="J3408" s="90" t="s">
        <v>18</v>
      </c>
      <c r="K3408" s="90" t="s">
        <v>18</v>
      </c>
      <c r="L3408" s="90" t="s">
        <v>18</v>
      </c>
      <c r="M3408" s="90" t="s">
        <v>18</v>
      </c>
      <c r="N3408" s="90" t="s">
        <v>18</v>
      </c>
      <c r="O3408" s="90" t="s">
        <v>18</v>
      </c>
      <c r="P3408" s="113" t="s">
        <v>174</v>
      </c>
    </row>
    <row r="3409" spans="1:19" x14ac:dyDescent="0.25">
      <c r="A3409" s="29">
        <v>56</v>
      </c>
      <c r="B3409" s="30">
        <v>438168.10856199998</v>
      </c>
      <c r="C3409" s="30">
        <v>5688988.3324180003</v>
      </c>
      <c r="D3409" s="30">
        <v>30</v>
      </c>
      <c r="E3409" s="30" t="s">
        <v>24</v>
      </c>
      <c r="F3409" s="46">
        <v>2023</v>
      </c>
      <c r="G3409" s="47">
        <v>1.8909450000000005E-2</v>
      </c>
      <c r="H3409" s="47">
        <f t="shared" si="381"/>
        <v>7.9111564306532135E-3</v>
      </c>
      <c r="I3409" s="47">
        <v>0</v>
      </c>
      <c r="J3409" s="47">
        <f t="shared" si="382"/>
        <v>0</v>
      </c>
      <c r="K3409" s="47">
        <v>7.2292500000000002E-4</v>
      </c>
      <c r="L3409" s="47">
        <f t="shared" si="383"/>
        <v>2.3393801149436237E-4</v>
      </c>
      <c r="M3409" s="47">
        <f>H3409-L3409</f>
        <v>7.6772184191588513E-3</v>
      </c>
      <c r="N3409" s="47">
        <v>0</v>
      </c>
      <c r="O3409" s="47">
        <f t="shared" si="384"/>
        <v>0</v>
      </c>
      <c r="P3409" s="92"/>
    </row>
    <row r="3410" spans="1:19" x14ac:dyDescent="0.25">
      <c r="A3410" s="40">
        <v>57</v>
      </c>
      <c r="B3410" s="41">
        <v>438146</v>
      </c>
      <c r="C3410" s="41">
        <v>5688977</v>
      </c>
      <c r="D3410" s="41">
        <v>30</v>
      </c>
      <c r="E3410" s="41" t="s">
        <v>24</v>
      </c>
      <c r="F3410" s="50">
        <v>2023</v>
      </c>
      <c r="G3410" s="51">
        <v>0.12045914999999999</v>
      </c>
      <c r="H3410" s="51">
        <f t="shared" si="381"/>
        <v>5.039655723215216E-2</v>
      </c>
      <c r="I3410" s="51">
        <v>0</v>
      </c>
      <c r="J3410" s="51">
        <f t="shared" si="382"/>
        <v>0</v>
      </c>
      <c r="K3410" s="51">
        <v>1.4260050000000002E-2</v>
      </c>
      <c r="L3410" s="51">
        <f t="shared" si="383"/>
        <v>4.6145419522221291E-3</v>
      </c>
      <c r="M3410" s="51">
        <f>H3410-L3410</f>
        <v>4.5782015279930033E-2</v>
      </c>
      <c r="N3410" s="51">
        <v>6.1236000000000007E-3</v>
      </c>
      <c r="O3410" s="51">
        <f t="shared" si="384"/>
        <v>2.8335931849651809E-3</v>
      </c>
      <c r="P3410" s="101"/>
    </row>
    <row r="3411" spans="1:19" x14ac:dyDescent="0.25">
      <c r="A3411" s="40">
        <v>58</v>
      </c>
      <c r="B3411" s="41">
        <v>438131</v>
      </c>
      <c r="C3411" s="41">
        <v>5688972</v>
      </c>
      <c r="D3411" s="41">
        <v>30</v>
      </c>
      <c r="E3411" s="41" t="s">
        <v>24</v>
      </c>
      <c r="F3411" s="50">
        <v>2023</v>
      </c>
      <c r="G3411" s="51">
        <v>0.18777622500000002</v>
      </c>
      <c r="H3411" s="51">
        <f t="shared" si="381"/>
        <v>7.8560036909192735E-2</v>
      </c>
      <c r="I3411" s="51">
        <v>0</v>
      </c>
      <c r="J3411" s="51">
        <f t="shared" si="382"/>
        <v>0</v>
      </c>
      <c r="K3411" s="51">
        <v>3.1468500000000001E-3</v>
      </c>
      <c r="L3411" s="51">
        <f t="shared" si="383"/>
        <v>1.0183184029754597E-3</v>
      </c>
      <c r="M3411" s="51">
        <f>H3411-L3411</f>
        <v>7.7541718506217272E-2</v>
      </c>
      <c r="N3411" s="51">
        <v>0</v>
      </c>
      <c r="O3411" s="51">
        <f t="shared" si="384"/>
        <v>0</v>
      </c>
      <c r="P3411" s="101"/>
    </row>
    <row r="3412" spans="1:19" x14ac:dyDescent="0.25">
      <c r="A3412" s="40">
        <v>59</v>
      </c>
      <c r="B3412" s="41">
        <v>438089</v>
      </c>
      <c r="C3412" s="41">
        <v>5688713</v>
      </c>
      <c r="D3412" s="41">
        <v>30</v>
      </c>
      <c r="E3412" s="41" t="s">
        <v>24</v>
      </c>
      <c r="F3412" s="50">
        <v>2023</v>
      </c>
      <c r="G3412" s="51">
        <v>0.12771675000000002</v>
      </c>
      <c r="H3412" s="51">
        <f t="shared" si="381"/>
        <v>5.3432923118579799E-2</v>
      </c>
      <c r="I3412" s="51">
        <v>0</v>
      </c>
      <c r="J3412" s="51">
        <f t="shared" si="382"/>
        <v>0</v>
      </c>
      <c r="K3412" s="51">
        <v>3.7606275000000002E-2</v>
      </c>
      <c r="L3412" s="51">
        <f t="shared" si="383"/>
        <v>1.2169363617540067E-2</v>
      </c>
      <c r="M3412" s="51">
        <f>H3412-L3412</f>
        <v>4.1263559501039729E-2</v>
      </c>
      <c r="N3412" s="51">
        <v>2.7074250000000003E-3</v>
      </c>
      <c r="O3412" s="51">
        <f t="shared" si="384"/>
        <v>1.252815505389698E-3</v>
      </c>
      <c r="P3412" s="101"/>
    </row>
    <row r="3413" spans="1:19" x14ac:dyDescent="0.25">
      <c r="A3413" s="40">
        <v>60</v>
      </c>
      <c r="B3413" s="41">
        <v>438099</v>
      </c>
      <c r="C3413" s="41">
        <v>5688719</v>
      </c>
      <c r="D3413" s="41">
        <v>30</v>
      </c>
      <c r="E3413" s="41" t="s">
        <v>24</v>
      </c>
      <c r="F3413" s="50">
        <v>2023</v>
      </c>
      <c r="G3413" s="51">
        <v>3.762045E-2</v>
      </c>
      <c r="H3413" s="51">
        <f t="shared" si="381"/>
        <v>1.5739287231599418E-2</v>
      </c>
      <c r="I3413" s="51">
        <v>0</v>
      </c>
      <c r="J3413" s="51">
        <f t="shared" si="382"/>
        <v>0</v>
      </c>
      <c r="K3413" s="51">
        <v>2.0397825000000001E-2</v>
      </c>
      <c r="L3413" s="51">
        <f t="shared" si="383"/>
        <v>6.600721540007598E-3</v>
      </c>
      <c r="M3413" s="51">
        <f>H3413-L3413</f>
        <v>9.1385656915918198E-3</v>
      </c>
      <c r="N3413" s="51">
        <v>0</v>
      </c>
      <c r="O3413" s="51">
        <f t="shared" si="384"/>
        <v>0</v>
      </c>
      <c r="P3413" s="101"/>
    </row>
    <row r="3414" spans="1:19" x14ac:dyDescent="0.25">
      <c r="A3414" s="42">
        <v>1</v>
      </c>
      <c r="B3414" s="43">
        <v>437930.10856199998</v>
      </c>
      <c r="C3414" s="43">
        <v>5688036.3324180003</v>
      </c>
      <c r="D3414" s="44">
        <v>18</v>
      </c>
      <c r="E3414" s="44" t="s">
        <v>33</v>
      </c>
      <c r="F3414" s="44">
        <v>2023</v>
      </c>
      <c r="G3414" s="44" t="s">
        <v>18</v>
      </c>
      <c r="H3414" s="44" t="s">
        <v>18</v>
      </c>
      <c r="I3414" s="44" t="s">
        <v>18</v>
      </c>
      <c r="J3414" s="44" t="s">
        <v>18</v>
      </c>
      <c r="K3414" s="44" t="s">
        <v>18</v>
      </c>
      <c r="L3414" s="44" t="s">
        <v>18</v>
      </c>
      <c r="M3414" s="44" t="s">
        <v>18</v>
      </c>
      <c r="N3414" s="44" t="s">
        <v>18</v>
      </c>
      <c r="O3414" s="44" t="s">
        <v>18</v>
      </c>
      <c r="P3414" s="102" t="s">
        <v>109</v>
      </c>
      <c r="R3414" s="5">
        <f>AVERAGE(M3414:M3473)</f>
        <v>7.9474711439675855E-3</v>
      </c>
      <c r="S3414" s="5">
        <f>AVERAGE(H3414:H3473)</f>
        <v>1.1825017315617515E-2</v>
      </c>
    </row>
    <row r="3415" spans="1:19" x14ac:dyDescent="0.25">
      <c r="A3415" s="42">
        <v>2</v>
      </c>
      <c r="B3415" s="43">
        <v>437811.10856199998</v>
      </c>
      <c r="C3415" s="43">
        <v>5688155.3324180003</v>
      </c>
      <c r="D3415" s="44">
        <v>18</v>
      </c>
      <c r="E3415" s="44" t="s">
        <v>33</v>
      </c>
      <c r="F3415" s="44">
        <v>2023</v>
      </c>
      <c r="G3415" s="44" t="s">
        <v>18</v>
      </c>
      <c r="H3415" s="44" t="s">
        <v>18</v>
      </c>
      <c r="I3415" s="44" t="s">
        <v>18</v>
      </c>
      <c r="J3415" s="44" t="s">
        <v>18</v>
      </c>
      <c r="K3415" s="44" t="s">
        <v>18</v>
      </c>
      <c r="L3415" s="44" t="s">
        <v>18</v>
      </c>
      <c r="M3415" s="44" t="s">
        <v>18</v>
      </c>
      <c r="N3415" s="44" t="s">
        <v>18</v>
      </c>
      <c r="O3415" s="44" t="s">
        <v>18</v>
      </c>
      <c r="P3415" s="102" t="s">
        <v>109</v>
      </c>
    </row>
    <row r="3416" spans="1:19" x14ac:dyDescent="0.25">
      <c r="A3416" s="65">
        <v>3</v>
      </c>
      <c r="B3416" s="66">
        <v>437930.10856199998</v>
      </c>
      <c r="C3416" s="66">
        <v>5688155.3324180003</v>
      </c>
      <c r="D3416" s="66">
        <v>18</v>
      </c>
      <c r="E3416" s="66" t="s">
        <v>33</v>
      </c>
      <c r="F3416" s="66">
        <v>2023</v>
      </c>
      <c r="G3416" s="66" t="s">
        <v>18</v>
      </c>
      <c r="H3416" s="66" t="s">
        <v>18</v>
      </c>
      <c r="I3416" s="66" t="s">
        <v>18</v>
      </c>
      <c r="J3416" s="66" t="s">
        <v>18</v>
      </c>
      <c r="K3416" s="66" t="s">
        <v>18</v>
      </c>
      <c r="L3416" s="66" t="s">
        <v>18</v>
      </c>
      <c r="M3416" s="66" t="s">
        <v>18</v>
      </c>
      <c r="N3416" s="66" t="s">
        <v>18</v>
      </c>
      <c r="O3416" s="66" t="s">
        <v>18</v>
      </c>
      <c r="P3416" s="105" t="s">
        <v>166</v>
      </c>
    </row>
    <row r="3417" spans="1:19" x14ac:dyDescent="0.25">
      <c r="A3417" s="42">
        <v>4</v>
      </c>
      <c r="B3417" s="43">
        <v>438049.10856199998</v>
      </c>
      <c r="C3417" s="43">
        <v>5688155.3324180003</v>
      </c>
      <c r="D3417" s="44">
        <v>18</v>
      </c>
      <c r="E3417" s="44" t="s">
        <v>33</v>
      </c>
      <c r="F3417" s="44">
        <v>2023</v>
      </c>
      <c r="G3417" s="44" t="s">
        <v>18</v>
      </c>
      <c r="H3417" s="44" t="s">
        <v>18</v>
      </c>
      <c r="I3417" s="44" t="s">
        <v>18</v>
      </c>
      <c r="J3417" s="44" t="s">
        <v>18</v>
      </c>
      <c r="K3417" s="44" t="s">
        <v>18</v>
      </c>
      <c r="L3417" s="44" t="s">
        <v>18</v>
      </c>
      <c r="M3417" s="44" t="s">
        <v>18</v>
      </c>
      <c r="N3417" s="44" t="s">
        <v>18</v>
      </c>
      <c r="O3417" s="44" t="s">
        <v>18</v>
      </c>
      <c r="P3417" s="102" t="s">
        <v>109</v>
      </c>
    </row>
    <row r="3418" spans="1:19" x14ac:dyDescent="0.25">
      <c r="A3418" s="42">
        <v>5</v>
      </c>
      <c r="B3418" s="43">
        <v>437573.10856199998</v>
      </c>
      <c r="C3418" s="43">
        <v>5688274.3324180003</v>
      </c>
      <c r="D3418" s="44">
        <v>18</v>
      </c>
      <c r="E3418" s="44" t="s">
        <v>33</v>
      </c>
      <c r="F3418" s="44">
        <v>2023</v>
      </c>
      <c r="G3418" s="44" t="s">
        <v>18</v>
      </c>
      <c r="H3418" s="44" t="s">
        <v>18</v>
      </c>
      <c r="I3418" s="44" t="s">
        <v>18</v>
      </c>
      <c r="J3418" s="44" t="s">
        <v>18</v>
      </c>
      <c r="K3418" s="44" t="s">
        <v>18</v>
      </c>
      <c r="L3418" s="44" t="s">
        <v>18</v>
      </c>
      <c r="M3418" s="44" t="s">
        <v>18</v>
      </c>
      <c r="N3418" s="44" t="s">
        <v>18</v>
      </c>
      <c r="O3418" s="44" t="s">
        <v>18</v>
      </c>
      <c r="P3418" s="102" t="s">
        <v>109</v>
      </c>
    </row>
    <row r="3419" spans="1:19" x14ac:dyDescent="0.25">
      <c r="A3419" s="89">
        <v>6</v>
      </c>
      <c r="B3419" s="90">
        <v>437692.10856199998</v>
      </c>
      <c r="C3419" s="90">
        <v>5688274.3324180003</v>
      </c>
      <c r="D3419" s="90">
        <v>18</v>
      </c>
      <c r="E3419" s="90" t="s">
        <v>33</v>
      </c>
      <c r="F3419" s="90">
        <v>2023</v>
      </c>
      <c r="G3419" s="90" t="s">
        <v>18</v>
      </c>
      <c r="H3419" s="90" t="s">
        <v>18</v>
      </c>
      <c r="I3419" s="90" t="s">
        <v>18</v>
      </c>
      <c r="J3419" s="90" t="s">
        <v>18</v>
      </c>
      <c r="K3419" s="90" t="s">
        <v>18</v>
      </c>
      <c r="L3419" s="90" t="s">
        <v>18</v>
      </c>
      <c r="M3419" s="90" t="s">
        <v>18</v>
      </c>
      <c r="N3419" s="90" t="s">
        <v>18</v>
      </c>
      <c r="O3419" s="90" t="s">
        <v>18</v>
      </c>
      <c r="P3419" s="113" t="s">
        <v>174</v>
      </c>
    </row>
    <row r="3420" spans="1:19" x14ac:dyDescent="0.25">
      <c r="A3420" s="65">
        <v>7</v>
      </c>
      <c r="B3420" s="66">
        <v>437811.10856199998</v>
      </c>
      <c r="C3420" s="66">
        <v>5688274.3324180003</v>
      </c>
      <c r="D3420" s="66">
        <v>18</v>
      </c>
      <c r="E3420" s="66" t="s">
        <v>33</v>
      </c>
      <c r="F3420" s="66">
        <v>2023</v>
      </c>
      <c r="G3420" s="66" t="s">
        <v>18</v>
      </c>
      <c r="H3420" s="66" t="s">
        <v>18</v>
      </c>
      <c r="I3420" s="66" t="s">
        <v>18</v>
      </c>
      <c r="J3420" s="66" t="s">
        <v>18</v>
      </c>
      <c r="K3420" s="66" t="s">
        <v>18</v>
      </c>
      <c r="L3420" s="66" t="s">
        <v>18</v>
      </c>
      <c r="M3420" s="66" t="s">
        <v>18</v>
      </c>
      <c r="N3420" s="66" t="s">
        <v>18</v>
      </c>
      <c r="O3420" s="66" t="s">
        <v>18</v>
      </c>
      <c r="P3420" s="105" t="s">
        <v>166</v>
      </c>
    </row>
    <row r="3421" spans="1:19" x14ac:dyDescent="0.25">
      <c r="A3421" s="42">
        <v>8</v>
      </c>
      <c r="B3421" s="43">
        <v>437930.10856199998</v>
      </c>
      <c r="C3421" s="43">
        <v>5688274.3324180003</v>
      </c>
      <c r="D3421" s="44">
        <v>18</v>
      </c>
      <c r="E3421" s="44" t="s">
        <v>33</v>
      </c>
      <c r="F3421" s="44">
        <v>2023</v>
      </c>
      <c r="G3421" s="44" t="s">
        <v>18</v>
      </c>
      <c r="H3421" s="44" t="s">
        <v>18</v>
      </c>
      <c r="I3421" s="44" t="s">
        <v>18</v>
      </c>
      <c r="J3421" s="44" t="s">
        <v>18</v>
      </c>
      <c r="K3421" s="44" t="s">
        <v>18</v>
      </c>
      <c r="L3421" s="44" t="s">
        <v>18</v>
      </c>
      <c r="M3421" s="44" t="s">
        <v>18</v>
      </c>
      <c r="N3421" s="44" t="s">
        <v>18</v>
      </c>
      <c r="O3421" s="44" t="s">
        <v>18</v>
      </c>
      <c r="P3421" s="102" t="s">
        <v>109</v>
      </c>
    </row>
    <row r="3422" spans="1:19" x14ac:dyDescent="0.25">
      <c r="A3422" s="89">
        <v>9</v>
      </c>
      <c r="B3422" s="90">
        <v>438287.10856199998</v>
      </c>
      <c r="C3422" s="90">
        <v>5688274.3324180003</v>
      </c>
      <c r="D3422" s="90">
        <v>18</v>
      </c>
      <c r="E3422" s="90" t="s">
        <v>33</v>
      </c>
      <c r="F3422" s="90">
        <v>2023</v>
      </c>
      <c r="G3422" s="90" t="s">
        <v>18</v>
      </c>
      <c r="H3422" s="90" t="s">
        <v>18</v>
      </c>
      <c r="I3422" s="90" t="s">
        <v>18</v>
      </c>
      <c r="J3422" s="90" t="s">
        <v>18</v>
      </c>
      <c r="K3422" s="90" t="s">
        <v>18</v>
      </c>
      <c r="L3422" s="90" t="s">
        <v>18</v>
      </c>
      <c r="M3422" s="90" t="s">
        <v>18</v>
      </c>
      <c r="N3422" s="90" t="s">
        <v>18</v>
      </c>
      <c r="O3422" s="90" t="s">
        <v>18</v>
      </c>
      <c r="P3422" s="113" t="s">
        <v>174</v>
      </c>
    </row>
    <row r="3423" spans="1:19" x14ac:dyDescent="0.25">
      <c r="A3423" s="29">
        <v>10</v>
      </c>
      <c r="B3423" s="30">
        <v>438406.10856199998</v>
      </c>
      <c r="C3423" s="30">
        <v>5688274.3324180003</v>
      </c>
      <c r="D3423" s="30">
        <v>18</v>
      </c>
      <c r="E3423" s="30" t="s">
        <v>33</v>
      </c>
      <c r="F3423" s="46">
        <v>2023</v>
      </c>
      <c r="G3423" s="72" t="s">
        <v>18</v>
      </c>
      <c r="H3423" s="46" t="s">
        <v>18</v>
      </c>
      <c r="I3423" s="46" t="s">
        <v>18</v>
      </c>
      <c r="J3423" s="46" t="s">
        <v>18</v>
      </c>
      <c r="K3423" s="47">
        <v>3.9023076486930881E-2</v>
      </c>
      <c r="L3423" s="47">
        <f>K3423*0.355535111260757</f>
        <v>1.3874073840518001E-2</v>
      </c>
      <c r="M3423" s="46" t="s">
        <v>18</v>
      </c>
      <c r="N3423" s="47">
        <v>0</v>
      </c>
      <c r="O3423" s="47">
        <f>N3423*0.510686528497409</f>
        <v>0</v>
      </c>
      <c r="P3423" s="92" t="s">
        <v>93</v>
      </c>
    </row>
    <row r="3424" spans="1:19" x14ac:dyDescent="0.25">
      <c r="A3424" s="42">
        <v>11</v>
      </c>
      <c r="B3424" s="43">
        <v>437454.10856199998</v>
      </c>
      <c r="C3424" s="43">
        <v>5688393.3324180003</v>
      </c>
      <c r="D3424" s="44">
        <v>18</v>
      </c>
      <c r="E3424" s="44" t="s">
        <v>33</v>
      </c>
      <c r="F3424" s="44">
        <v>2023</v>
      </c>
      <c r="G3424" s="44" t="s">
        <v>18</v>
      </c>
      <c r="H3424" s="44" t="s">
        <v>18</v>
      </c>
      <c r="I3424" s="44" t="s">
        <v>18</v>
      </c>
      <c r="J3424" s="44" t="s">
        <v>18</v>
      </c>
      <c r="K3424" s="44" t="s">
        <v>18</v>
      </c>
      <c r="L3424" s="44" t="s">
        <v>18</v>
      </c>
      <c r="M3424" s="44" t="s">
        <v>18</v>
      </c>
      <c r="N3424" s="44" t="s">
        <v>18</v>
      </c>
      <c r="O3424" s="44" t="s">
        <v>18</v>
      </c>
      <c r="P3424" s="102" t="s">
        <v>109</v>
      </c>
    </row>
    <row r="3425" spans="1:16" x14ac:dyDescent="0.25">
      <c r="A3425" s="29">
        <v>12</v>
      </c>
      <c r="B3425" s="30">
        <v>437573.10856199998</v>
      </c>
      <c r="C3425" s="30">
        <v>5688393.3324180003</v>
      </c>
      <c r="D3425" s="30">
        <v>18</v>
      </c>
      <c r="E3425" s="30" t="s">
        <v>33</v>
      </c>
      <c r="F3425" s="46">
        <v>2023</v>
      </c>
      <c r="G3425" s="84">
        <v>6.3120145149401827E-2</v>
      </c>
      <c r="H3425" s="84" t="s">
        <v>18</v>
      </c>
      <c r="I3425" s="5">
        <v>1.417474627204173E-5</v>
      </c>
      <c r="J3425" s="84" t="s">
        <v>18</v>
      </c>
      <c r="K3425" s="47">
        <v>5.6557237625446503E-3</v>
      </c>
      <c r="L3425" s="47">
        <f t="shared" ref="L3425:L3449" si="393">K3425*0.355535111260757</f>
        <v>2.0108083771764192E-3</v>
      </c>
      <c r="M3425" s="84" t="s">
        <v>18</v>
      </c>
      <c r="N3425" s="47">
        <v>1.3281737256903101E-2</v>
      </c>
      <c r="O3425" s="47">
        <f t="shared" ref="O3425:O3449" si="394">N3425*0.510686528497409</f>
        <v>6.7828042921425453E-3</v>
      </c>
      <c r="P3425" s="92"/>
    </row>
    <row r="3426" spans="1:16" x14ac:dyDescent="0.25">
      <c r="A3426" s="29">
        <v>13</v>
      </c>
      <c r="B3426" s="30">
        <v>437692.10856199998</v>
      </c>
      <c r="C3426" s="30">
        <v>5688393.3324180003</v>
      </c>
      <c r="D3426" s="30">
        <v>18</v>
      </c>
      <c r="E3426" s="30" t="s">
        <v>33</v>
      </c>
      <c r="F3426" s="46">
        <v>2023</v>
      </c>
      <c r="G3426" s="47">
        <v>0.18255655723762543</v>
      </c>
      <c r="H3426" s="47">
        <f>G3426*0.304989708553496</f>
        <v>5.5677871186432991E-2</v>
      </c>
      <c r="I3426" s="47">
        <v>0</v>
      </c>
      <c r="J3426" s="47">
        <f>I3426*0.455879648588714</f>
        <v>0</v>
      </c>
      <c r="K3426" s="47">
        <v>2.4111243408742985E-2</v>
      </c>
      <c r="L3426" s="47">
        <f t="shared" si="393"/>
        <v>8.572393607962631E-3</v>
      </c>
      <c r="M3426" s="47">
        <f>H3426-L3426</f>
        <v>4.7105477578470362E-2</v>
      </c>
      <c r="N3426" s="47">
        <v>0</v>
      </c>
      <c r="O3426" s="47">
        <f t="shared" si="394"/>
        <v>0</v>
      </c>
      <c r="P3426" s="92"/>
    </row>
    <row r="3427" spans="1:16" x14ac:dyDescent="0.25">
      <c r="A3427" s="32">
        <v>14</v>
      </c>
      <c r="B3427" s="33">
        <v>437811.10856199998</v>
      </c>
      <c r="C3427" s="33">
        <v>5688393.3324180003</v>
      </c>
      <c r="D3427" s="48">
        <v>18</v>
      </c>
      <c r="E3427" s="48" t="s">
        <v>33</v>
      </c>
      <c r="F3427" s="48">
        <v>2023</v>
      </c>
      <c r="G3427" s="48" t="s">
        <v>18</v>
      </c>
      <c r="H3427" s="48" t="s">
        <v>18</v>
      </c>
      <c r="I3427" s="48" t="s">
        <v>18</v>
      </c>
      <c r="J3427" s="48" t="s">
        <v>18</v>
      </c>
      <c r="K3427" s="48" t="s">
        <v>18</v>
      </c>
      <c r="L3427" s="48" t="s">
        <v>18</v>
      </c>
      <c r="M3427" s="48" t="s">
        <v>18</v>
      </c>
      <c r="N3427" s="48" t="s">
        <v>18</v>
      </c>
      <c r="O3427" s="48" t="s">
        <v>18</v>
      </c>
      <c r="P3427" s="103" t="s">
        <v>89</v>
      </c>
    </row>
    <row r="3428" spans="1:16" x14ac:dyDescent="0.25">
      <c r="A3428" s="29">
        <v>15</v>
      </c>
      <c r="B3428" s="30">
        <v>437930.10856199998</v>
      </c>
      <c r="C3428" s="30">
        <v>5688393.3324180003</v>
      </c>
      <c r="D3428" s="30">
        <v>18</v>
      </c>
      <c r="E3428" s="30" t="s">
        <v>33</v>
      </c>
      <c r="F3428" s="46">
        <v>2023</v>
      </c>
      <c r="G3428" s="47">
        <v>4.7542098996427966E-2</v>
      </c>
      <c r="H3428" s="47">
        <f t="shared" ref="H3428:H3449" si="395">G3428*0.304989708553496</f>
        <v>1.449985091694202E-2</v>
      </c>
      <c r="I3428" s="47">
        <v>8.2922265691444119E-3</v>
      </c>
      <c r="J3428" s="47">
        <f t="shared" ref="J3428:J3449" si="396">I3428*0.455879648588714</f>
        <v>3.7802573343595522E-3</v>
      </c>
      <c r="K3428" s="47">
        <v>3.2616091171968023E-2</v>
      </c>
      <c r="L3428" s="47">
        <f t="shared" si="393"/>
        <v>1.1596165603716645E-2</v>
      </c>
      <c r="M3428" s="47">
        <f>H3428-L3428</f>
        <v>2.9036853132253758E-3</v>
      </c>
      <c r="N3428" s="47">
        <v>0</v>
      </c>
      <c r="O3428" s="47">
        <f t="shared" si="394"/>
        <v>0</v>
      </c>
      <c r="P3428" s="92"/>
    </row>
    <row r="3429" spans="1:16" x14ac:dyDescent="0.25">
      <c r="A3429" s="29">
        <v>16</v>
      </c>
      <c r="B3429" s="30">
        <v>438049.10856199998</v>
      </c>
      <c r="C3429" s="30">
        <v>5688393.3324180003</v>
      </c>
      <c r="D3429" s="30">
        <v>18</v>
      </c>
      <c r="E3429" s="30" t="s">
        <v>33</v>
      </c>
      <c r="F3429" s="46">
        <v>2023</v>
      </c>
      <c r="G3429" s="47">
        <v>3.1496286216476724E-2</v>
      </c>
      <c r="H3429" s="47">
        <f t="shared" si="395"/>
        <v>9.6060431536807295E-3</v>
      </c>
      <c r="I3429" s="47">
        <v>0</v>
      </c>
      <c r="J3429" s="47">
        <f t="shared" si="396"/>
        <v>0</v>
      </c>
      <c r="K3429" s="47">
        <v>2.7683279469297498E-2</v>
      </c>
      <c r="L3429" s="47">
        <f t="shared" si="393"/>
        <v>9.8423778461793152E-3</v>
      </c>
      <c r="M3429" s="47">
        <f>H3429-L3429</f>
        <v>-2.3633469249858576E-4</v>
      </c>
      <c r="N3429" s="47">
        <v>0</v>
      </c>
      <c r="O3429" s="47">
        <f t="shared" si="394"/>
        <v>0</v>
      </c>
      <c r="P3429" s="92"/>
    </row>
    <row r="3430" spans="1:16" x14ac:dyDescent="0.25">
      <c r="A3430" s="29">
        <v>17</v>
      </c>
      <c r="B3430" s="30">
        <v>438168.10856199998</v>
      </c>
      <c r="C3430" s="30">
        <v>5688393.3324180003</v>
      </c>
      <c r="D3430" s="30">
        <v>18</v>
      </c>
      <c r="E3430" s="30" t="s">
        <v>33</v>
      </c>
      <c r="F3430" s="46">
        <v>2023</v>
      </c>
      <c r="G3430" s="47">
        <v>3.8895503770482509E-2</v>
      </c>
      <c r="H3430" s="47">
        <f t="shared" si="395"/>
        <v>1.1862728359000865E-2</v>
      </c>
      <c r="I3430" s="47">
        <v>0</v>
      </c>
      <c r="J3430" s="47">
        <f t="shared" si="396"/>
        <v>0</v>
      </c>
      <c r="K3430" s="47">
        <v>4.5968702160231328E-2</v>
      </c>
      <c r="L3430" s="47">
        <f t="shared" si="393"/>
        <v>1.6343487637050444E-2</v>
      </c>
      <c r="M3430" s="47" t="s">
        <v>18</v>
      </c>
      <c r="N3430" s="47">
        <v>0</v>
      </c>
      <c r="O3430" s="47">
        <f t="shared" si="394"/>
        <v>0</v>
      </c>
      <c r="P3430" s="92"/>
    </row>
    <row r="3431" spans="1:16" x14ac:dyDescent="0.25">
      <c r="A3431" s="29">
        <v>18</v>
      </c>
      <c r="B3431" s="30">
        <v>438287.10856199998</v>
      </c>
      <c r="C3431" s="30">
        <v>5688393.3324180003</v>
      </c>
      <c r="D3431" s="30">
        <v>18</v>
      </c>
      <c r="E3431" s="30" t="s">
        <v>33</v>
      </c>
      <c r="F3431" s="46">
        <v>2023</v>
      </c>
      <c r="G3431" s="47">
        <v>2.654929976753416E-2</v>
      </c>
      <c r="H3431" s="47">
        <f t="shared" si="395"/>
        <v>8.0972631983996426E-3</v>
      </c>
      <c r="I3431" s="47">
        <v>0</v>
      </c>
      <c r="J3431" s="47">
        <f t="shared" si="396"/>
        <v>0</v>
      </c>
      <c r="K3431" s="47">
        <v>7.4133923002778247E-3</v>
      </c>
      <c r="L3431" s="47">
        <f t="shared" si="393"/>
        <v>2.6357212562989154E-3</v>
      </c>
      <c r="M3431" s="47">
        <f>H3431-L3431</f>
        <v>5.4615419421007276E-3</v>
      </c>
      <c r="N3431" s="47">
        <v>0</v>
      </c>
      <c r="O3431" s="47">
        <f t="shared" si="394"/>
        <v>0</v>
      </c>
      <c r="P3431" s="92"/>
    </row>
    <row r="3432" spans="1:16" x14ac:dyDescent="0.25">
      <c r="A3432" s="29">
        <v>19</v>
      </c>
      <c r="B3432" s="30">
        <v>438406.10856199998</v>
      </c>
      <c r="C3432" s="30">
        <v>5688393.3324180003</v>
      </c>
      <c r="D3432" s="30">
        <v>18</v>
      </c>
      <c r="E3432" s="30" t="s">
        <v>33</v>
      </c>
      <c r="F3432" s="46">
        <v>2023</v>
      </c>
      <c r="G3432" s="47">
        <v>1.3338436241991268E-2</v>
      </c>
      <c r="H3432" s="47">
        <f t="shared" si="395"/>
        <v>4.068085782004305E-3</v>
      </c>
      <c r="I3432" s="47">
        <v>9.2135850768271244E-4</v>
      </c>
      <c r="J3432" s="47">
        <f t="shared" si="396"/>
        <v>4.2002859270661688E-4</v>
      </c>
      <c r="K3432" s="47">
        <v>9.0293133752905822E-3</v>
      </c>
      <c r="L3432" s="47">
        <f t="shared" si="393"/>
        <v>3.2102379354921784E-3</v>
      </c>
      <c r="M3432" s="47">
        <f>H3432-L3432</f>
        <v>8.5784784651212658E-4</v>
      </c>
      <c r="N3432" s="47">
        <v>0</v>
      </c>
      <c r="O3432" s="47">
        <f t="shared" si="394"/>
        <v>0</v>
      </c>
      <c r="P3432" s="92"/>
    </row>
    <row r="3433" spans="1:16" x14ac:dyDescent="0.25">
      <c r="A3433" s="42">
        <v>20</v>
      </c>
      <c r="B3433" s="43">
        <v>437335.10856199998</v>
      </c>
      <c r="C3433" s="43">
        <v>5688512.3324180003</v>
      </c>
      <c r="D3433" s="44">
        <v>18</v>
      </c>
      <c r="E3433" s="44" t="s">
        <v>33</v>
      </c>
      <c r="F3433" s="44">
        <v>2023</v>
      </c>
      <c r="G3433" s="44" t="s">
        <v>18</v>
      </c>
      <c r="H3433" s="44" t="s">
        <v>18</v>
      </c>
      <c r="I3433" s="44" t="s">
        <v>18</v>
      </c>
      <c r="J3433" s="44" t="s">
        <v>18</v>
      </c>
      <c r="K3433" s="44" t="s">
        <v>18</v>
      </c>
      <c r="L3433" s="44" t="s">
        <v>18</v>
      </c>
      <c r="M3433" s="44" t="s">
        <v>18</v>
      </c>
      <c r="N3433" s="44" t="s">
        <v>18</v>
      </c>
      <c r="O3433" s="44" t="s">
        <v>18</v>
      </c>
      <c r="P3433" s="102" t="s">
        <v>109</v>
      </c>
    </row>
    <row r="3434" spans="1:16" x14ac:dyDescent="0.25">
      <c r="A3434" s="29">
        <v>21</v>
      </c>
      <c r="B3434" s="30">
        <v>437454.10856199998</v>
      </c>
      <c r="C3434" s="30">
        <v>5688512.3324180003</v>
      </c>
      <c r="D3434" s="30">
        <v>18</v>
      </c>
      <c r="E3434" s="30" t="s">
        <v>33</v>
      </c>
      <c r="F3434" s="46">
        <v>2023</v>
      </c>
      <c r="G3434" s="47">
        <v>1.5790667347054487E-2</v>
      </c>
      <c r="H3434" s="47">
        <f t="shared" si="395"/>
        <v>4.8159910320433536E-3</v>
      </c>
      <c r="I3434" s="47">
        <v>0</v>
      </c>
      <c r="J3434" s="47">
        <f t="shared" si="396"/>
        <v>0</v>
      </c>
      <c r="K3434" s="47">
        <v>1.5181153257356693E-2</v>
      </c>
      <c r="L3434" s="47">
        <f t="shared" si="393"/>
        <v>5.3974330124209151E-3</v>
      </c>
      <c r="M3434" s="47">
        <f t="shared" ref="M3434:M3439" si="397">H3434-L3434</f>
        <v>-5.814419803775615E-4</v>
      </c>
      <c r="N3434" s="47">
        <v>0</v>
      </c>
      <c r="O3434" s="47">
        <f t="shared" si="394"/>
        <v>0</v>
      </c>
      <c r="P3434" s="92"/>
    </row>
    <row r="3435" spans="1:16" x14ac:dyDescent="0.25">
      <c r="A3435" s="29">
        <v>22</v>
      </c>
      <c r="B3435" s="30">
        <v>437573.10856199998</v>
      </c>
      <c r="C3435" s="30">
        <v>5688512.3324180003</v>
      </c>
      <c r="D3435" s="30">
        <v>18</v>
      </c>
      <c r="E3435" s="30" t="s">
        <v>33</v>
      </c>
      <c r="F3435" s="46">
        <v>2023</v>
      </c>
      <c r="G3435" s="47">
        <v>0.11643136587855078</v>
      </c>
      <c r="H3435" s="47">
        <f t="shared" si="395"/>
        <v>3.5510368345784658E-2</v>
      </c>
      <c r="I3435" s="47">
        <v>9.1427113454669168E-3</v>
      </c>
      <c r="J3435" s="47">
        <f t="shared" si="396"/>
        <v>4.1679760353195063E-3</v>
      </c>
      <c r="K3435" s="47">
        <v>1.2998242331462267E-2</v>
      </c>
      <c r="L3435" s="47">
        <f t="shared" si="393"/>
        <v>4.6213315335107185E-3</v>
      </c>
      <c r="M3435" s="47">
        <f t="shared" si="397"/>
        <v>3.0889036812273941E-2</v>
      </c>
      <c r="N3435" s="47">
        <v>6.9739751658445311E-3</v>
      </c>
      <c r="O3435" s="47">
        <f t="shared" si="394"/>
        <v>3.5615151672722862E-3</v>
      </c>
      <c r="P3435" s="92"/>
    </row>
    <row r="3436" spans="1:16" x14ac:dyDescent="0.25">
      <c r="A3436" s="29">
        <v>23</v>
      </c>
      <c r="B3436" s="30">
        <v>437692.10856199998</v>
      </c>
      <c r="C3436" s="30">
        <v>5688512.3324180003</v>
      </c>
      <c r="D3436" s="30">
        <v>18</v>
      </c>
      <c r="E3436" s="30" t="s">
        <v>33</v>
      </c>
      <c r="F3436" s="46">
        <v>2023</v>
      </c>
      <c r="G3436" s="47">
        <v>2.9993763111640301E-2</v>
      </c>
      <c r="H3436" s="47">
        <f t="shared" si="395"/>
        <v>9.1477890698417746E-3</v>
      </c>
      <c r="I3436" s="47">
        <v>1.0049895106877586E-2</v>
      </c>
      <c r="J3436" s="47">
        <f t="shared" si="396"/>
        <v>4.5815426496767899E-3</v>
      </c>
      <c r="K3436" s="47">
        <v>8.0711005273005607E-2</v>
      </c>
      <c r="L3436" s="47">
        <f t="shared" si="393"/>
        <v>2.8695596239705592E-2</v>
      </c>
      <c r="M3436" s="47">
        <f t="shared" si="397"/>
        <v>-1.9547807169863818E-2</v>
      </c>
      <c r="N3436" s="47">
        <v>5.1596076430231895E-3</v>
      </c>
      <c r="O3436" s="47">
        <f t="shared" si="394"/>
        <v>2.6349421156242115E-3</v>
      </c>
      <c r="P3436" s="92"/>
    </row>
    <row r="3437" spans="1:16" x14ac:dyDescent="0.25">
      <c r="A3437" s="29">
        <v>24</v>
      </c>
      <c r="B3437" s="30">
        <v>437811.10856199998</v>
      </c>
      <c r="C3437" s="30">
        <v>5688512.3324180003</v>
      </c>
      <c r="D3437" s="30">
        <v>18</v>
      </c>
      <c r="E3437" s="30" t="s">
        <v>33</v>
      </c>
      <c r="F3437" s="46">
        <v>2023</v>
      </c>
      <c r="G3437" s="47">
        <v>3.9689289561716842E-2</v>
      </c>
      <c r="H3437" s="47">
        <f t="shared" si="395"/>
        <v>1.210482485612333E-2</v>
      </c>
      <c r="I3437" s="47">
        <v>2.21126041843851E-3</v>
      </c>
      <c r="J3437" s="47">
        <f t="shared" si="396"/>
        <v>1.0080686224958806E-3</v>
      </c>
      <c r="K3437" s="47">
        <v>3.6996087770028918E-3</v>
      </c>
      <c r="L3437" s="47">
        <f t="shared" si="393"/>
        <v>1.3153408181529962E-3</v>
      </c>
      <c r="M3437" s="47">
        <f t="shared" si="397"/>
        <v>1.0789484037970334E-2</v>
      </c>
      <c r="N3437" s="47">
        <v>3.4869875829222656E-3</v>
      </c>
      <c r="O3437" s="47">
        <f t="shared" si="394"/>
        <v>1.7807575836361431E-3</v>
      </c>
      <c r="P3437" s="92"/>
    </row>
    <row r="3438" spans="1:16" x14ac:dyDescent="0.25">
      <c r="A3438" s="29">
        <v>25</v>
      </c>
      <c r="B3438" s="46">
        <v>437995</v>
      </c>
      <c r="C3438" s="46">
        <v>5688493</v>
      </c>
      <c r="D3438" s="30">
        <v>18</v>
      </c>
      <c r="E3438" s="30" t="s">
        <v>33</v>
      </c>
      <c r="F3438" s="46">
        <v>2023</v>
      </c>
      <c r="G3438" s="47">
        <v>2.5018427170153651E-2</v>
      </c>
      <c r="H3438" s="47">
        <f t="shared" si="395"/>
        <v>7.6303628110920277E-3</v>
      </c>
      <c r="I3438" s="47">
        <v>0</v>
      </c>
      <c r="J3438" s="47">
        <f t="shared" si="396"/>
        <v>0</v>
      </c>
      <c r="K3438" s="47">
        <v>6.7188297329477797E-3</v>
      </c>
      <c r="L3438" s="47">
        <f t="shared" si="393"/>
        <v>2.3887798766456711E-3</v>
      </c>
      <c r="M3438" s="47">
        <f t="shared" si="397"/>
        <v>5.2415829344463569E-3</v>
      </c>
      <c r="N3438" s="47">
        <v>0</v>
      </c>
      <c r="O3438" s="47">
        <f t="shared" si="394"/>
        <v>0</v>
      </c>
      <c r="P3438" s="92"/>
    </row>
    <row r="3439" spans="1:16" x14ac:dyDescent="0.25">
      <c r="A3439" s="29">
        <v>26</v>
      </c>
      <c r="B3439" s="46">
        <v>438112</v>
      </c>
      <c r="C3439" s="46">
        <v>5688567</v>
      </c>
      <c r="D3439" s="30">
        <v>18</v>
      </c>
      <c r="E3439" s="30" t="s">
        <v>33</v>
      </c>
      <c r="F3439" s="46">
        <v>2023</v>
      </c>
      <c r="G3439" s="47">
        <v>2.0780178034813176E-2</v>
      </c>
      <c r="H3439" s="47">
        <f t="shared" si="395"/>
        <v>6.3377404425274302E-3</v>
      </c>
      <c r="I3439" s="47">
        <v>3.5578613142824744E-3</v>
      </c>
      <c r="J3439" s="47">
        <f t="shared" si="396"/>
        <v>1.6219565656824745E-3</v>
      </c>
      <c r="K3439" s="47">
        <v>1.9192606452344503E-2</v>
      </c>
      <c r="L3439" s="47">
        <f t="shared" si="393"/>
        <v>6.8236454704182249E-3</v>
      </c>
      <c r="M3439" s="47">
        <f t="shared" si="397"/>
        <v>-4.8590502789079473E-4</v>
      </c>
      <c r="N3439" s="47">
        <v>9.4970800022679597E-4</v>
      </c>
      <c r="O3439" s="47">
        <f t="shared" si="394"/>
        <v>4.8500308172203898E-4</v>
      </c>
      <c r="P3439" s="92"/>
    </row>
    <row r="3440" spans="1:16" x14ac:dyDescent="0.25">
      <c r="A3440" s="32">
        <v>27</v>
      </c>
      <c r="B3440" s="33">
        <v>438168.10856199998</v>
      </c>
      <c r="C3440" s="33">
        <v>5688512.3324180003</v>
      </c>
      <c r="D3440" s="48">
        <v>18</v>
      </c>
      <c r="E3440" s="48" t="s">
        <v>33</v>
      </c>
      <c r="F3440" s="48">
        <v>2023</v>
      </c>
      <c r="G3440" s="48" t="s">
        <v>18</v>
      </c>
      <c r="H3440" s="48" t="s">
        <v>18</v>
      </c>
      <c r="I3440" s="48" t="s">
        <v>18</v>
      </c>
      <c r="J3440" s="48" t="s">
        <v>18</v>
      </c>
      <c r="K3440" s="48" t="s">
        <v>18</v>
      </c>
      <c r="L3440" s="48" t="s">
        <v>18</v>
      </c>
      <c r="M3440" s="48" t="s">
        <v>18</v>
      </c>
      <c r="N3440" s="48" t="s">
        <v>18</v>
      </c>
      <c r="O3440" s="48" t="s">
        <v>18</v>
      </c>
      <c r="P3440" s="103" t="s">
        <v>89</v>
      </c>
    </row>
    <row r="3441" spans="1:16" x14ac:dyDescent="0.25">
      <c r="A3441" s="32">
        <v>28</v>
      </c>
      <c r="B3441" s="33">
        <v>438287.10856199998</v>
      </c>
      <c r="C3441" s="33">
        <v>5688512.3324180003</v>
      </c>
      <c r="D3441" s="48">
        <v>18</v>
      </c>
      <c r="E3441" s="48" t="s">
        <v>33</v>
      </c>
      <c r="F3441" s="48">
        <v>2023</v>
      </c>
      <c r="G3441" s="48" t="s">
        <v>18</v>
      </c>
      <c r="H3441" s="48" t="s">
        <v>18</v>
      </c>
      <c r="I3441" s="48" t="s">
        <v>18</v>
      </c>
      <c r="J3441" s="48" t="s">
        <v>18</v>
      </c>
      <c r="K3441" s="48" t="s">
        <v>18</v>
      </c>
      <c r="L3441" s="48" t="s">
        <v>18</v>
      </c>
      <c r="M3441" s="48" t="s">
        <v>18</v>
      </c>
      <c r="N3441" s="48" t="s">
        <v>18</v>
      </c>
      <c r="O3441" s="48" t="s">
        <v>18</v>
      </c>
      <c r="P3441" s="103" t="s">
        <v>89</v>
      </c>
    </row>
    <row r="3442" spans="1:16" x14ac:dyDescent="0.25">
      <c r="A3442" s="29">
        <v>29</v>
      </c>
      <c r="B3442" s="30">
        <v>438381</v>
      </c>
      <c r="C3442" s="30">
        <v>5688526</v>
      </c>
      <c r="D3442" s="30">
        <v>18</v>
      </c>
      <c r="E3442" s="30" t="s">
        <v>33</v>
      </c>
      <c r="F3442" s="46">
        <v>2023</v>
      </c>
      <c r="G3442" s="47">
        <v>3.1779781141917561E-2</v>
      </c>
      <c r="H3442" s="47">
        <f t="shared" si="395"/>
        <v>9.6925061883673252E-3</v>
      </c>
      <c r="I3442" s="47">
        <v>0</v>
      </c>
      <c r="J3442" s="47">
        <f t="shared" si="396"/>
        <v>0</v>
      </c>
      <c r="K3442" s="47">
        <v>3.0900946873050972E-3</v>
      </c>
      <c r="L3442" s="47">
        <f t="shared" si="393"/>
        <v>1.0986371584572917E-3</v>
      </c>
      <c r="M3442" s="47">
        <f t="shared" ref="M3442:M3449" si="398">H3442-L3442</f>
        <v>8.5938690299100333E-3</v>
      </c>
      <c r="N3442" s="47">
        <v>0</v>
      </c>
      <c r="O3442" s="47">
        <f t="shared" si="394"/>
        <v>0</v>
      </c>
      <c r="P3442" s="92"/>
    </row>
    <row r="3443" spans="1:16" x14ac:dyDescent="0.25">
      <c r="A3443" s="29">
        <v>30</v>
      </c>
      <c r="B3443" s="30">
        <v>438525.10856199998</v>
      </c>
      <c r="C3443" s="30">
        <v>5688512.3324180003</v>
      </c>
      <c r="D3443" s="30">
        <v>18</v>
      </c>
      <c r="E3443" s="30" t="s">
        <v>33</v>
      </c>
      <c r="F3443" s="46">
        <v>2023</v>
      </c>
      <c r="G3443" s="47">
        <v>8.8450416737540401E-3</v>
      </c>
      <c r="H3443" s="47">
        <f t="shared" si="395"/>
        <v>2.697646682221771E-3</v>
      </c>
      <c r="I3443" s="47">
        <v>0</v>
      </c>
      <c r="J3443" s="47">
        <f t="shared" si="396"/>
        <v>0</v>
      </c>
      <c r="K3443" s="47">
        <v>2.8916482394965126E-3</v>
      </c>
      <c r="L3443" s="47">
        <f t="shared" si="393"/>
        <v>1.0280824785563647E-3</v>
      </c>
      <c r="M3443" s="47">
        <f t="shared" si="398"/>
        <v>1.6695642036654063E-3</v>
      </c>
      <c r="N3443" s="47">
        <v>0</v>
      </c>
      <c r="O3443" s="47">
        <f t="shared" si="394"/>
        <v>0</v>
      </c>
      <c r="P3443" s="92"/>
    </row>
    <row r="3444" spans="1:16" x14ac:dyDescent="0.25">
      <c r="A3444" s="29">
        <v>31</v>
      </c>
      <c r="B3444" s="30">
        <v>437335.10856199998</v>
      </c>
      <c r="C3444" s="30">
        <v>5688631.3324180003</v>
      </c>
      <c r="D3444" s="30">
        <v>18</v>
      </c>
      <c r="E3444" s="30" t="s">
        <v>33</v>
      </c>
      <c r="F3444" s="46">
        <v>2023</v>
      </c>
      <c r="G3444" s="46" t="s">
        <v>18</v>
      </c>
      <c r="H3444" s="46" t="s">
        <v>18</v>
      </c>
      <c r="I3444" s="46" t="s">
        <v>18</v>
      </c>
      <c r="J3444" s="46" t="s">
        <v>18</v>
      </c>
      <c r="K3444" s="47">
        <v>5.0532970459828769E-2</v>
      </c>
      <c r="L3444" s="47">
        <f t="shared" si="393"/>
        <v>1.7966245274771767E-2</v>
      </c>
      <c r="M3444" s="72" t="s">
        <v>18</v>
      </c>
      <c r="N3444" s="47">
        <v>0</v>
      </c>
      <c r="O3444" s="47">
        <f t="shared" si="394"/>
        <v>0</v>
      </c>
      <c r="P3444" s="92" t="s">
        <v>93</v>
      </c>
    </row>
    <row r="3445" spans="1:16" x14ac:dyDescent="0.25">
      <c r="A3445" s="29">
        <v>32</v>
      </c>
      <c r="B3445" s="30">
        <v>437454.10856199998</v>
      </c>
      <c r="C3445" s="30">
        <v>5688631.3324180003</v>
      </c>
      <c r="D3445" s="30">
        <v>18</v>
      </c>
      <c r="E3445" s="30" t="s">
        <v>33</v>
      </c>
      <c r="F3445" s="46">
        <v>2023</v>
      </c>
      <c r="G3445" s="47">
        <v>2.0269887169019674E-2</v>
      </c>
      <c r="H3445" s="47">
        <f t="shared" si="395"/>
        <v>6.182106980091558E-3</v>
      </c>
      <c r="I3445" s="47">
        <v>0</v>
      </c>
      <c r="J3445" s="47">
        <f t="shared" si="396"/>
        <v>0</v>
      </c>
      <c r="K3445" s="47">
        <v>1.6088337018767364E-2</v>
      </c>
      <c r="L3445" s="47">
        <f t="shared" si="393"/>
        <v>5.7199686919680104E-3</v>
      </c>
      <c r="M3445" s="47">
        <f t="shared" si="398"/>
        <v>4.6213828812354755E-4</v>
      </c>
      <c r="N3445" s="47">
        <v>0</v>
      </c>
      <c r="O3445" s="47">
        <f t="shared" si="394"/>
        <v>0</v>
      </c>
      <c r="P3445" s="92"/>
    </row>
    <row r="3446" spans="1:16" x14ac:dyDescent="0.25">
      <c r="A3446" s="29">
        <v>33</v>
      </c>
      <c r="B3446" s="30">
        <v>437573.10856199998</v>
      </c>
      <c r="C3446" s="30">
        <v>5688631.3324180003</v>
      </c>
      <c r="D3446" s="30">
        <v>18</v>
      </c>
      <c r="E3446" s="30" t="s">
        <v>33</v>
      </c>
      <c r="F3446" s="46">
        <v>2023</v>
      </c>
      <c r="G3446" s="47">
        <v>1.7491636899699493E-2</v>
      </c>
      <c r="H3446" s="47">
        <f t="shared" si="395"/>
        <v>5.3347692401629248E-3</v>
      </c>
      <c r="I3446" s="47">
        <v>0</v>
      </c>
      <c r="J3446" s="47">
        <f t="shared" si="396"/>
        <v>0</v>
      </c>
      <c r="K3446" s="47">
        <v>3.6570845381867665E-3</v>
      </c>
      <c r="L3446" s="47">
        <f t="shared" si="393"/>
        <v>1.3002219581742262E-3</v>
      </c>
      <c r="M3446" s="47">
        <f t="shared" si="398"/>
        <v>4.0345472819886983E-3</v>
      </c>
      <c r="N3446" s="47">
        <v>0</v>
      </c>
      <c r="O3446" s="47">
        <f t="shared" si="394"/>
        <v>0</v>
      </c>
      <c r="P3446" s="92"/>
    </row>
    <row r="3447" spans="1:16" x14ac:dyDescent="0.25">
      <c r="A3447" s="29">
        <v>34</v>
      </c>
      <c r="B3447" s="30">
        <v>437692.10856199998</v>
      </c>
      <c r="C3447" s="30">
        <v>5688631.3324180003</v>
      </c>
      <c r="D3447" s="30">
        <v>18</v>
      </c>
      <c r="E3447" s="30" t="s">
        <v>33</v>
      </c>
      <c r="F3447" s="46">
        <v>2023</v>
      </c>
      <c r="G3447" s="47">
        <v>6.8378976016329307E-2</v>
      </c>
      <c r="H3447" s="47">
        <f t="shared" si="395"/>
        <v>2.0854883966406768E-2</v>
      </c>
      <c r="I3447" s="47">
        <v>1.7576685377331746E-3</v>
      </c>
      <c r="J3447" s="47">
        <f t="shared" si="396"/>
        <v>8.0128531531723846E-4</v>
      </c>
      <c r="K3447" s="47">
        <v>5.6557237625446503E-3</v>
      </c>
      <c r="L3447" s="47">
        <f t="shared" si="393"/>
        <v>2.0108083771764192E-3</v>
      </c>
      <c r="M3447" s="47">
        <f t="shared" si="398"/>
        <v>1.884407558923035E-2</v>
      </c>
      <c r="N3447" s="47">
        <v>1.0064069853149627E-3</v>
      </c>
      <c r="O3447" s="47">
        <f t="shared" si="394"/>
        <v>5.1395848958604121E-4</v>
      </c>
      <c r="P3447" s="92"/>
    </row>
    <row r="3448" spans="1:16" x14ac:dyDescent="0.25">
      <c r="A3448" s="29">
        <v>35</v>
      </c>
      <c r="B3448" s="30">
        <v>437893</v>
      </c>
      <c r="C3448" s="30">
        <v>5688620</v>
      </c>
      <c r="D3448" s="30">
        <v>18</v>
      </c>
      <c r="E3448" s="30" t="s">
        <v>33</v>
      </c>
      <c r="F3448" s="46">
        <v>2023</v>
      </c>
      <c r="G3448" s="47">
        <v>3.8640358337585758E-2</v>
      </c>
      <c r="H3448" s="47">
        <f t="shared" si="395"/>
        <v>1.178491162778293E-2</v>
      </c>
      <c r="I3448" s="47">
        <v>0</v>
      </c>
      <c r="J3448" s="47">
        <f t="shared" si="396"/>
        <v>0</v>
      </c>
      <c r="K3448" s="47">
        <v>9.0718376141067075E-3</v>
      </c>
      <c r="L3448" s="47">
        <f t="shared" si="393"/>
        <v>3.2253567954709486E-3</v>
      </c>
      <c r="M3448" s="47">
        <f t="shared" si="398"/>
        <v>8.559554832311982E-3</v>
      </c>
      <c r="N3448" s="47">
        <v>0</v>
      </c>
      <c r="O3448" s="47">
        <f t="shared" si="394"/>
        <v>0</v>
      </c>
      <c r="P3448" s="92"/>
    </row>
    <row r="3449" spans="1:16" x14ac:dyDescent="0.25">
      <c r="A3449" s="29">
        <v>36</v>
      </c>
      <c r="B3449" s="30">
        <v>437930.10856199998</v>
      </c>
      <c r="C3449" s="30">
        <v>5688631.3324180003</v>
      </c>
      <c r="D3449" s="30">
        <v>18</v>
      </c>
      <c r="E3449" s="30" t="s">
        <v>33</v>
      </c>
      <c r="F3449" s="46">
        <v>2023</v>
      </c>
      <c r="G3449" s="47">
        <v>2.3657651528037647E-2</v>
      </c>
      <c r="H3449" s="47">
        <f t="shared" si="395"/>
        <v>7.2153402445963707E-3</v>
      </c>
      <c r="I3449" s="47">
        <v>0</v>
      </c>
      <c r="J3449" s="47">
        <f t="shared" si="396"/>
        <v>0</v>
      </c>
      <c r="K3449" s="47">
        <v>5.5281510460962746E-3</v>
      </c>
      <c r="L3449" s="47">
        <f t="shared" si="393"/>
        <v>1.965451797240109E-3</v>
      </c>
      <c r="M3449" s="47">
        <f t="shared" si="398"/>
        <v>5.2498884473562617E-3</v>
      </c>
      <c r="N3449" s="47">
        <v>0</v>
      </c>
      <c r="O3449" s="47">
        <f t="shared" si="394"/>
        <v>0</v>
      </c>
      <c r="P3449" s="92"/>
    </row>
    <row r="3450" spans="1:16" x14ac:dyDescent="0.25">
      <c r="A3450" s="32">
        <v>37</v>
      </c>
      <c r="B3450" s="33">
        <v>438049.10856199998</v>
      </c>
      <c r="C3450" s="33">
        <v>5688631.3324180003</v>
      </c>
      <c r="D3450" s="48">
        <v>18</v>
      </c>
      <c r="E3450" s="48" t="s">
        <v>33</v>
      </c>
      <c r="F3450" s="48">
        <v>2023</v>
      </c>
      <c r="G3450" s="48" t="s">
        <v>18</v>
      </c>
      <c r="H3450" s="48" t="s">
        <v>18</v>
      </c>
      <c r="I3450" s="48" t="s">
        <v>18</v>
      </c>
      <c r="J3450" s="48" t="s">
        <v>18</v>
      </c>
      <c r="K3450" s="48" t="s">
        <v>18</v>
      </c>
      <c r="L3450" s="48" t="s">
        <v>18</v>
      </c>
      <c r="M3450" s="48" t="s">
        <v>18</v>
      </c>
      <c r="N3450" s="48" t="s">
        <v>18</v>
      </c>
      <c r="O3450" s="48" t="s">
        <v>18</v>
      </c>
      <c r="P3450" s="103" t="s">
        <v>89</v>
      </c>
    </row>
    <row r="3451" spans="1:16" x14ac:dyDescent="0.25">
      <c r="A3451" s="29">
        <v>38</v>
      </c>
      <c r="B3451" s="30">
        <v>438067</v>
      </c>
      <c r="C3451" s="30">
        <v>5688710</v>
      </c>
      <c r="D3451" s="30">
        <v>17</v>
      </c>
      <c r="E3451" s="30" t="s">
        <v>33</v>
      </c>
      <c r="F3451" s="46">
        <v>2023</v>
      </c>
      <c r="G3451" s="47">
        <v>2.9256676305494132E-2</v>
      </c>
      <c r="H3451" s="47">
        <f t="shared" ref="H3451:H3473" si="399">G3451*0.260128153212545</f>
        <v>7.6104851764854133E-3</v>
      </c>
      <c r="I3451" s="47">
        <v>0</v>
      </c>
      <c r="J3451" s="47">
        <f t="shared" ref="J3451:J3473" si="400">I3451*0.492444788841534</f>
        <v>0</v>
      </c>
      <c r="K3451" s="47">
        <v>1.1013777853376424E-2</v>
      </c>
      <c r="L3451" s="47">
        <f t="shared" ref="L3451:L3473" si="401">K3451*0.342670401493931</f>
        <v>3.7740956789814651E-3</v>
      </c>
      <c r="M3451" s="47">
        <f>H3451-L3451</f>
        <v>3.8363894975039481E-3</v>
      </c>
      <c r="N3451" s="47">
        <v>0</v>
      </c>
      <c r="O3451" s="47">
        <f t="shared" ref="O3451:O3473" si="402">N3451*0.532338308457711</f>
        <v>0</v>
      </c>
      <c r="P3451" s="92"/>
    </row>
    <row r="3452" spans="1:16" x14ac:dyDescent="0.25">
      <c r="A3452" s="32">
        <v>39</v>
      </c>
      <c r="B3452" s="33">
        <v>438287.10856199998</v>
      </c>
      <c r="C3452" s="33">
        <v>5688631.3324180003</v>
      </c>
      <c r="D3452" s="48">
        <v>18</v>
      </c>
      <c r="E3452" s="48" t="s">
        <v>33</v>
      </c>
      <c r="F3452" s="48">
        <v>2023</v>
      </c>
      <c r="G3452" s="48" t="s">
        <v>18</v>
      </c>
      <c r="H3452" s="48" t="s">
        <v>18</v>
      </c>
      <c r="I3452" s="48" t="s">
        <v>18</v>
      </c>
      <c r="J3452" s="48" t="s">
        <v>18</v>
      </c>
      <c r="K3452" s="48" t="s">
        <v>18</v>
      </c>
      <c r="L3452" s="48" t="s">
        <v>18</v>
      </c>
      <c r="M3452" s="48" t="s">
        <v>18</v>
      </c>
      <c r="N3452" s="48" t="s">
        <v>18</v>
      </c>
      <c r="O3452" s="48" t="s">
        <v>18</v>
      </c>
      <c r="P3452" s="94" t="s">
        <v>22</v>
      </c>
    </row>
    <row r="3453" spans="1:16" x14ac:dyDescent="0.25">
      <c r="A3453" s="89">
        <v>40</v>
      </c>
      <c r="B3453" s="90">
        <v>438406.10856199998</v>
      </c>
      <c r="C3453" s="90">
        <v>5688631.3324180003</v>
      </c>
      <c r="D3453" s="90">
        <v>18</v>
      </c>
      <c r="E3453" s="90" t="s">
        <v>33</v>
      </c>
      <c r="F3453" s="90">
        <v>2023</v>
      </c>
      <c r="G3453" s="90" t="s">
        <v>18</v>
      </c>
      <c r="H3453" s="90" t="s">
        <v>18</v>
      </c>
      <c r="I3453" s="90" t="s">
        <v>18</v>
      </c>
      <c r="J3453" s="90" t="s">
        <v>18</v>
      </c>
      <c r="K3453" s="90" t="s">
        <v>18</v>
      </c>
      <c r="L3453" s="90" t="s">
        <v>18</v>
      </c>
      <c r="M3453" s="90" t="s">
        <v>18</v>
      </c>
      <c r="N3453" s="90" t="s">
        <v>18</v>
      </c>
      <c r="O3453" s="90" t="s">
        <v>18</v>
      </c>
      <c r="P3453" s="113" t="s">
        <v>174</v>
      </c>
    </row>
    <row r="3454" spans="1:16" x14ac:dyDescent="0.25">
      <c r="A3454" s="29">
        <v>41</v>
      </c>
      <c r="B3454" s="30">
        <v>437310</v>
      </c>
      <c r="C3454" s="30">
        <v>5688729</v>
      </c>
      <c r="D3454" s="30">
        <v>18</v>
      </c>
      <c r="E3454" s="30" t="s">
        <v>33</v>
      </c>
      <c r="F3454" s="46">
        <v>2023</v>
      </c>
      <c r="G3454" s="47">
        <v>8.3602653512502123E-2</v>
      </c>
      <c r="H3454" s="47">
        <f t="shared" ref="H3454:H3456" si="403">G3454*0.304989708553496</f>
        <v>2.5497948929076929E-2</v>
      </c>
      <c r="I3454" s="47">
        <v>2.8632987469524297E-2</v>
      </c>
      <c r="J3454" s="47">
        <f t="shared" ref="J3454:J3456" si="404">I3454*0.455879648588714</f>
        <v>1.3053196265651787E-2</v>
      </c>
      <c r="K3454" s="47">
        <v>3.8130067471792255E-3</v>
      </c>
      <c r="L3454" s="47">
        <f t="shared" ref="L3454:L3456" si="405">K3454*0.355535111260757</f>
        <v>1.355657778096383E-3</v>
      </c>
      <c r="M3454" s="47">
        <f>H3454-L3454</f>
        <v>2.4142291150980547E-2</v>
      </c>
      <c r="N3454" s="47">
        <v>1.1339797017633384E-3</v>
      </c>
      <c r="O3454" s="47">
        <f t="shared" ref="O3454:O3456" si="406">N3454*0.510686528497409</f>
        <v>5.7910815728004657E-4</v>
      </c>
      <c r="P3454" s="92"/>
    </row>
    <row r="3455" spans="1:16" x14ac:dyDescent="0.25">
      <c r="A3455" s="29">
        <v>42</v>
      </c>
      <c r="B3455" s="30">
        <v>437454.10856199998</v>
      </c>
      <c r="C3455" s="30">
        <v>5688750.3324180003</v>
      </c>
      <c r="D3455" s="30">
        <v>18</v>
      </c>
      <c r="E3455" s="30" t="s">
        <v>33</v>
      </c>
      <c r="F3455" s="46">
        <v>2023</v>
      </c>
      <c r="G3455" s="47">
        <v>4.6960934399274255E-2</v>
      </c>
      <c r="H3455" s="47">
        <f t="shared" si="403"/>
        <v>1.43226016958345E-2</v>
      </c>
      <c r="I3455" s="47">
        <v>7.0448488972047396E-3</v>
      </c>
      <c r="J3455" s="47">
        <f t="shared" si="404"/>
        <v>3.2116032396182861E-3</v>
      </c>
      <c r="K3455" s="47">
        <v>8.4764982706809541E-3</v>
      </c>
      <c r="L3455" s="47">
        <f t="shared" si="405"/>
        <v>3.0136927557681673E-3</v>
      </c>
      <c r="M3455" s="47">
        <f>H3455-L3455</f>
        <v>1.1308908940066333E-2</v>
      </c>
      <c r="N3455" s="47">
        <v>8.3772750467766624E-3</v>
      </c>
      <c r="O3455" s="47">
        <f t="shared" si="406"/>
        <v>4.2781615119063436E-3</v>
      </c>
      <c r="P3455" s="92"/>
    </row>
    <row r="3456" spans="1:16" x14ac:dyDescent="0.25">
      <c r="A3456" s="29">
        <v>43</v>
      </c>
      <c r="B3456" s="30">
        <v>437573.10856199998</v>
      </c>
      <c r="C3456" s="30">
        <v>5688750.3324180003</v>
      </c>
      <c r="D3456" s="30">
        <v>18</v>
      </c>
      <c r="E3456" s="30" t="s">
        <v>33</v>
      </c>
      <c r="F3456" s="46">
        <v>2023</v>
      </c>
      <c r="G3456" s="47">
        <v>4.3842490219425073E-2</v>
      </c>
      <c r="H3456" s="47">
        <f t="shared" si="403"/>
        <v>1.3371508314281952E-2</v>
      </c>
      <c r="I3456" s="47">
        <v>4.0256279412598508E-3</v>
      </c>
      <c r="J3456" s="47">
        <f t="shared" si="404"/>
        <v>1.835201851210449E-3</v>
      </c>
      <c r="K3456" s="47">
        <v>6.6054317627714468E-3</v>
      </c>
      <c r="L3456" s="47">
        <f t="shared" si="405"/>
        <v>2.3484629167022843E-3</v>
      </c>
      <c r="M3456" s="47">
        <f>H3456-L3456</f>
        <v>1.1023045397579668E-2</v>
      </c>
      <c r="N3456" s="47">
        <v>2.5514543289675115E-3</v>
      </c>
      <c r="O3456" s="47">
        <f t="shared" si="406"/>
        <v>1.3029933538801048E-3</v>
      </c>
      <c r="P3456" s="92"/>
    </row>
    <row r="3457" spans="1:16" x14ac:dyDescent="0.25">
      <c r="A3457" s="29">
        <v>44</v>
      </c>
      <c r="B3457" s="30">
        <v>437692.10856199998</v>
      </c>
      <c r="C3457" s="30">
        <v>5688750.3324180003</v>
      </c>
      <c r="D3457" s="30">
        <v>17</v>
      </c>
      <c r="E3457" s="30" t="s">
        <v>33</v>
      </c>
      <c r="F3457" s="46">
        <v>2023</v>
      </c>
      <c r="G3457" s="47">
        <v>1.7519986392243579E-2</v>
      </c>
      <c r="H3457" s="47">
        <f t="shared" si="399"/>
        <v>4.5574417045232416E-3</v>
      </c>
      <c r="I3457" s="47">
        <v>0</v>
      </c>
      <c r="J3457" s="47">
        <f t="shared" si="400"/>
        <v>0</v>
      </c>
      <c r="K3457" s="47">
        <v>3.0900946873050972E-3</v>
      </c>
      <c r="L3457" s="47">
        <f t="shared" si="401"/>
        <v>1.0588839871531008E-3</v>
      </c>
      <c r="M3457" s="47">
        <f>H3457-L3457</f>
        <v>3.498557717370141E-3</v>
      </c>
      <c r="N3457" s="47">
        <v>0</v>
      </c>
      <c r="O3457" s="47">
        <f t="shared" si="402"/>
        <v>0</v>
      </c>
      <c r="P3457" s="92"/>
    </row>
    <row r="3458" spans="1:16" x14ac:dyDescent="0.25">
      <c r="A3458" s="29">
        <v>45</v>
      </c>
      <c r="B3458" s="30">
        <v>437811.10856199998</v>
      </c>
      <c r="C3458" s="30">
        <v>5688750.3324180003</v>
      </c>
      <c r="D3458" s="30">
        <v>17</v>
      </c>
      <c r="E3458" s="30" t="s">
        <v>33</v>
      </c>
      <c r="F3458" s="46">
        <v>2023</v>
      </c>
      <c r="G3458" s="47">
        <v>1.6378919317344219E-2</v>
      </c>
      <c r="H3458" s="47">
        <f t="shared" si="399"/>
        <v>4.2606180336380297E-3</v>
      </c>
      <c r="I3458" s="47">
        <v>1.5450473436525487E-2</v>
      </c>
      <c r="J3458" s="47">
        <f t="shared" si="400"/>
        <v>7.6085051289515229E-3</v>
      </c>
      <c r="K3458" s="47">
        <v>6.6337812553155301E-3</v>
      </c>
      <c r="L3458" s="47">
        <f t="shared" si="401"/>
        <v>2.2732004861818864E-3</v>
      </c>
      <c r="M3458" s="47">
        <f>H3458-L3458</f>
        <v>1.9874175474561434E-3</v>
      </c>
      <c r="N3458" s="47">
        <v>1.750581164597154E-2</v>
      </c>
      <c r="O3458" s="47">
        <f t="shared" si="402"/>
        <v>9.3190141597957882E-3</v>
      </c>
      <c r="P3458" s="92"/>
    </row>
    <row r="3459" spans="1:16" x14ac:dyDescent="0.25">
      <c r="A3459" s="65">
        <v>46</v>
      </c>
      <c r="B3459" s="66">
        <v>437930.10856199998</v>
      </c>
      <c r="C3459" s="66">
        <v>5688750.3324180003</v>
      </c>
      <c r="D3459" s="66">
        <v>18</v>
      </c>
      <c r="E3459" s="66" t="s">
        <v>33</v>
      </c>
      <c r="F3459" s="66">
        <v>2023</v>
      </c>
      <c r="G3459" s="66" t="s">
        <v>18</v>
      </c>
      <c r="H3459" s="66" t="s">
        <v>18</v>
      </c>
      <c r="I3459" s="66" t="s">
        <v>18</v>
      </c>
      <c r="J3459" s="66" t="s">
        <v>18</v>
      </c>
      <c r="K3459" s="66" t="s">
        <v>18</v>
      </c>
      <c r="L3459" s="66" t="s">
        <v>18</v>
      </c>
      <c r="M3459" s="66" t="s">
        <v>18</v>
      </c>
      <c r="N3459" s="66" t="s">
        <v>18</v>
      </c>
      <c r="O3459" s="66" t="s">
        <v>18</v>
      </c>
      <c r="P3459" s="105" t="s">
        <v>166</v>
      </c>
    </row>
    <row r="3460" spans="1:16" x14ac:dyDescent="0.25">
      <c r="A3460" s="29">
        <v>47</v>
      </c>
      <c r="B3460" s="30">
        <v>438061</v>
      </c>
      <c r="C3460" s="30">
        <v>5688779</v>
      </c>
      <c r="D3460" s="30">
        <v>17</v>
      </c>
      <c r="E3460" s="30" t="s">
        <v>33</v>
      </c>
      <c r="F3460" s="46">
        <v>2023</v>
      </c>
      <c r="G3460" s="47">
        <v>3.8314339173328792E-2</v>
      </c>
      <c r="H3460" s="47">
        <f t="shared" si="399"/>
        <v>9.9666382907170874E-3</v>
      </c>
      <c r="I3460" s="47">
        <v>0</v>
      </c>
      <c r="J3460" s="47">
        <f t="shared" si="400"/>
        <v>0</v>
      </c>
      <c r="K3460" s="47">
        <v>5.0036854340307305E-3</v>
      </c>
      <c r="L3460" s="47">
        <f t="shared" si="401"/>
        <v>1.714614896628645E-3</v>
      </c>
      <c r="M3460" s="47">
        <f>H3460-L3460</f>
        <v>8.2520233940884431E-3</v>
      </c>
      <c r="N3460" s="47">
        <v>0</v>
      </c>
      <c r="O3460" s="47">
        <f t="shared" si="402"/>
        <v>0</v>
      </c>
      <c r="P3460" s="92"/>
    </row>
    <row r="3461" spans="1:16" x14ac:dyDescent="0.25">
      <c r="A3461" s="32">
        <v>48</v>
      </c>
      <c r="B3461" s="33">
        <v>438168.10856199998</v>
      </c>
      <c r="C3461" s="33">
        <v>5688750.3324180003</v>
      </c>
      <c r="D3461" s="48">
        <v>18</v>
      </c>
      <c r="E3461" s="48" t="s">
        <v>33</v>
      </c>
      <c r="F3461" s="48">
        <v>2023</v>
      </c>
      <c r="G3461" s="48" t="s">
        <v>18</v>
      </c>
      <c r="H3461" s="48" t="s">
        <v>18</v>
      </c>
      <c r="I3461" s="48" t="s">
        <v>18</v>
      </c>
      <c r="J3461" s="48" t="s">
        <v>18</v>
      </c>
      <c r="K3461" s="48" t="s">
        <v>18</v>
      </c>
      <c r="L3461" s="48" t="s">
        <v>18</v>
      </c>
      <c r="M3461" s="48" t="s">
        <v>18</v>
      </c>
      <c r="N3461" s="48" t="s">
        <v>18</v>
      </c>
      <c r="O3461" s="48" t="s">
        <v>18</v>
      </c>
      <c r="P3461" s="103" t="s">
        <v>89</v>
      </c>
    </row>
    <row r="3462" spans="1:16" x14ac:dyDescent="0.25">
      <c r="A3462" s="89">
        <v>49</v>
      </c>
      <c r="B3462" s="90">
        <v>437454.10856199998</v>
      </c>
      <c r="C3462" s="90">
        <v>5688869.3324180003</v>
      </c>
      <c r="D3462" s="90">
        <v>18</v>
      </c>
      <c r="E3462" s="90" t="s">
        <v>33</v>
      </c>
      <c r="F3462" s="90">
        <v>2023</v>
      </c>
      <c r="G3462" s="90" t="s">
        <v>18</v>
      </c>
      <c r="H3462" s="90" t="s">
        <v>18</v>
      </c>
      <c r="I3462" s="90" t="s">
        <v>18</v>
      </c>
      <c r="J3462" s="90" t="s">
        <v>18</v>
      </c>
      <c r="K3462" s="90" t="s">
        <v>18</v>
      </c>
      <c r="L3462" s="90" t="s">
        <v>18</v>
      </c>
      <c r="M3462" s="90" t="s">
        <v>18</v>
      </c>
      <c r="N3462" s="90" t="s">
        <v>18</v>
      </c>
      <c r="O3462" s="90" t="s">
        <v>18</v>
      </c>
      <c r="P3462" s="113" t="s">
        <v>174</v>
      </c>
    </row>
    <row r="3463" spans="1:16" x14ac:dyDescent="0.25">
      <c r="A3463" s="29">
        <v>50</v>
      </c>
      <c r="B3463" s="30">
        <v>437811.10856199998</v>
      </c>
      <c r="C3463" s="30">
        <v>5688869.3324180003</v>
      </c>
      <c r="D3463" s="30">
        <v>17</v>
      </c>
      <c r="E3463" s="30" t="s">
        <v>33</v>
      </c>
      <c r="F3463" s="46">
        <v>2023</v>
      </c>
      <c r="G3463" s="47">
        <v>2.2707943527810852E-2</v>
      </c>
      <c r="H3463" s="47">
        <f t="shared" si="399"/>
        <v>5.9069754131442012E-3</v>
      </c>
      <c r="I3463" s="47">
        <v>0</v>
      </c>
      <c r="J3463" s="47">
        <f t="shared" si="400"/>
        <v>0</v>
      </c>
      <c r="K3463" s="5">
        <v>3.5720360605545161E-3</v>
      </c>
      <c r="L3463" s="47">
        <f t="shared" si="401"/>
        <v>1.2240310310210156E-3</v>
      </c>
      <c r="M3463" s="47">
        <f>H3463-L3463</f>
        <v>4.6829443821231852E-3</v>
      </c>
      <c r="N3463" s="47">
        <v>0</v>
      </c>
      <c r="O3463" s="47">
        <f t="shared" si="402"/>
        <v>0</v>
      </c>
      <c r="P3463" s="92"/>
    </row>
    <row r="3464" spans="1:16" x14ac:dyDescent="0.25">
      <c r="A3464" s="29">
        <v>51</v>
      </c>
      <c r="B3464" s="30">
        <v>437930.10856199998</v>
      </c>
      <c r="C3464" s="30">
        <v>5688869.3324180003</v>
      </c>
      <c r="D3464" s="30">
        <v>17</v>
      </c>
      <c r="E3464" s="30" t="s">
        <v>33</v>
      </c>
      <c r="F3464" s="46">
        <v>2023</v>
      </c>
      <c r="G3464" s="47">
        <v>2.3487554572773146E-2</v>
      </c>
      <c r="H3464" s="47">
        <f t="shared" si="399"/>
        <v>6.1097741944943452E-3</v>
      </c>
      <c r="I3464" s="47">
        <v>2.1545614333503431E-2</v>
      </c>
      <c r="J3464" s="47">
        <f t="shared" si="400"/>
        <v>1.0610025500923225E-2</v>
      </c>
      <c r="K3464" s="47">
        <v>3.2460168962975561E-3</v>
      </c>
      <c r="L3464" s="47">
        <f t="shared" si="401"/>
        <v>1.1123139131103675E-3</v>
      </c>
      <c r="M3464" s="47">
        <f>H3464-L3464</f>
        <v>4.9974602813839773E-3</v>
      </c>
      <c r="N3464" s="47">
        <v>0</v>
      </c>
      <c r="O3464" s="47">
        <f t="shared" si="402"/>
        <v>0</v>
      </c>
      <c r="P3464" s="92"/>
    </row>
    <row r="3465" spans="1:16" x14ac:dyDescent="0.25">
      <c r="A3465" s="65">
        <v>52</v>
      </c>
      <c r="B3465" s="66">
        <v>438049.10856199998</v>
      </c>
      <c r="C3465" s="66">
        <v>5688869.3324180003</v>
      </c>
      <c r="D3465" s="66">
        <v>18</v>
      </c>
      <c r="E3465" s="66" t="s">
        <v>33</v>
      </c>
      <c r="F3465" s="66">
        <v>2023</v>
      </c>
      <c r="G3465" s="66" t="s">
        <v>18</v>
      </c>
      <c r="H3465" s="66" t="s">
        <v>18</v>
      </c>
      <c r="I3465" s="66" t="s">
        <v>18</v>
      </c>
      <c r="J3465" s="66" t="s">
        <v>18</v>
      </c>
      <c r="K3465" s="66" t="s">
        <v>18</v>
      </c>
      <c r="L3465" s="66" t="s">
        <v>18</v>
      </c>
      <c r="M3465" s="66" t="s">
        <v>18</v>
      </c>
      <c r="N3465" s="66" t="s">
        <v>18</v>
      </c>
      <c r="O3465" s="66" t="s">
        <v>18</v>
      </c>
      <c r="P3465" s="105" t="s">
        <v>166</v>
      </c>
    </row>
    <row r="3466" spans="1:16" x14ac:dyDescent="0.25">
      <c r="A3466" s="89">
        <v>53</v>
      </c>
      <c r="B3466" s="90">
        <v>438287.10856199998</v>
      </c>
      <c r="C3466" s="90">
        <v>5688869.3324180003</v>
      </c>
      <c r="D3466" s="90">
        <v>18</v>
      </c>
      <c r="E3466" s="90" t="s">
        <v>33</v>
      </c>
      <c r="F3466" s="90">
        <v>2023</v>
      </c>
      <c r="G3466" s="90" t="s">
        <v>18</v>
      </c>
      <c r="H3466" s="90" t="s">
        <v>18</v>
      </c>
      <c r="I3466" s="90" t="s">
        <v>18</v>
      </c>
      <c r="J3466" s="90" t="s">
        <v>18</v>
      </c>
      <c r="K3466" s="90" t="s">
        <v>18</v>
      </c>
      <c r="L3466" s="90" t="s">
        <v>18</v>
      </c>
      <c r="M3466" s="90" t="s">
        <v>18</v>
      </c>
      <c r="N3466" s="90" t="s">
        <v>18</v>
      </c>
      <c r="O3466" s="90" t="s">
        <v>18</v>
      </c>
      <c r="P3466" s="113" t="s">
        <v>174</v>
      </c>
    </row>
    <row r="3467" spans="1:16" x14ac:dyDescent="0.25">
      <c r="A3467" s="89">
        <v>54</v>
      </c>
      <c r="B3467" s="90">
        <v>437454.10856199998</v>
      </c>
      <c r="C3467" s="90">
        <v>5688988.3324180003</v>
      </c>
      <c r="D3467" s="90">
        <v>18</v>
      </c>
      <c r="E3467" s="90" t="s">
        <v>33</v>
      </c>
      <c r="F3467" s="90">
        <v>2023</v>
      </c>
      <c r="G3467" s="90" t="s">
        <v>18</v>
      </c>
      <c r="H3467" s="90" t="s">
        <v>18</v>
      </c>
      <c r="I3467" s="90" t="s">
        <v>18</v>
      </c>
      <c r="J3467" s="90" t="s">
        <v>18</v>
      </c>
      <c r="K3467" s="90" t="s">
        <v>18</v>
      </c>
      <c r="L3467" s="90" t="s">
        <v>18</v>
      </c>
      <c r="M3467" s="90" t="s">
        <v>18</v>
      </c>
      <c r="N3467" s="90" t="s">
        <v>18</v>
      </c>
      <c r="O3467" s="90" t="s">
        <v>18</v>
      </c>
      <c r="P3467" s="113" t="s">
        <v>174</v>
      </c>
    </row>
    <row r="3468" spans="1:16" x14ac:dyDescent="0.25">
      <c r="A3468" s="89">
        <v>55</v>
      </c>
      <c r="B3468" s="90">
        <v>438049.10856199998</v>
      </c>
      <c r="C3468" s="90">
        <v>5688988.3324180003</v>
      </c>
      <c r="D3468" s="90">
        <v>18</v>
      </c>
      <c r="E3468" s="90" t="s">
        <v>33</v>
      </c>
      <c r="F3468" s="90">
        <v>2023</v>
      </c>
      <c r="G3468" s="90" t="s">
        <v>18</v>
      </c>
      <c r="H3468" s="90" t="s">
        <v>18</v>
      </c>
      <c r="I3468" s="90" t="s">
        <v>18</v>
      </c>
      <c r="J3468" s="90" t="s">
        <v>18</v>
      </c>
      <c r="K3468" s="90" t="s">
        <v>18</v>
      </c>
      <c r="L3468" s="90" t="s">
        <v>18</v>
      </c>
      <c r="M3468" s="90" t="s">
        <v>18</v>
      </c>
      <c r="N3468" s="90" t="s">
        <v>18</v>
      </c>
      <c r="O3468" s="90" t="s">
        <v>18</v>
      </c>
      <c r="P3468" s="113" t="s">
        <v>174</v>
      </c>
    </row>
    <row r="3469" spans="1:16" x14ac:dyDescent="0.25">
      <c r="A3469" s="29">
        <v>56</v>
      </c>
      <c r="B3469" s="30">
        <v>438168.10856199998</v>
      </c>
      <c r="C3469" s="30">
        <v>5688988.3324180003</v>
      </c>
      <c r="D3469" s="30">
        <v>17</v>
      </c>
      <c r="E3469" s="30" t="s">
        <v>33</v>
      </c>
      <c r="F3469" s="46">
        <v>2023</v>
      </c>
      <c r="G3469" s="47">
        <v>6.9881499121165732E-3</v>
      </c>
      <c r="H3469" s="47">
        <f t="shared" si="399"/>
        <v>1.8178145310112929E-3</v>
      </c>
      <c r="I3469" s="47">
        <v>0</v>
      </c>
      <c r="J3469" s="47">
        <f t="shared" si="400"/>
        <v>0</v>
      </c>
      <c r="K3469" s="47">
        <v>2.1120371945342175E-3</v>
      </c>
      <c r="L3469" s="47">
        <f t="shared" si="401"/>
        <v>7.2373263342115596E-4</v>
      </c>
      <c r="M3469" s="47">
        <f>H3469-L3469</f>
        <v>1.094081897590137E-3</v>
      </c>
      <c r="N3469" s="47">
        <v>0</v>
      </c>
      <c r="O3469" s="47">
        <f t="shared" si="402"/>
        <v>0</v>
      </c>
      <c r="P3469" s="92"/>
    </row>
    <row r="3470" spans="1:16" x14ac:dyDescent="0.25">
      <c r="A3470" s="40">
        <v>57</v>
      </c>
      <c r="B3470" s="41">
        <v>438146</v>
      </c>
      <c r="C3470" s="41">
        <v>5688977</v>
      </c>
      <c r="D3470" s="41">
        <v>17</v>
      </c>
      <c r="E3470" s="41" t="s">
        <v>33</v>
      </c>
      <c r="F3470" s="50">
        <v>2023</v>
      </c>
      <c r="G3470" s="51">
        <v>1.8894936780631626E-2</v>
      </c>
      <c r="H3470" s="51">
        <f t="shared" si="399"/>
        <v>4.9151050098134958E-3</v>
      </c>
      <c r="I3470" s="51">
        <v>0</v>
      </c>
      <c r="J3470" s="51">
        <f t="shared" si="400"/>
        <v>0</v>
      </c>
      <c r="K3470" s="51">
        <v>1.0205817315870045E-3</v>
      </c>
      <c r="L3470" s="51">
        <f t="shared" si="401"/>
        <v>3.4972315172029017E-4</v>
      </c>
      <c r="M3470" s="51">
        <f>H3470-L3470</f>
        <v>4.5653818580932053E-3</v>
      </c>
      <c r="N3470" s="51">
        <v>0</v>
      </c>
      <c r="O3470" s="51">
        <f t="shared" si="402"/>
        <v>0</v>
      </c>
      <c r="P3470" s="101"/>
    </row>
    <row r="3471" spans="1:16" x14ac:dyDescent="0.25">
      <c r="A3471" s="40">
        <v>58</v>
      </c>
      <c r="B3471" s="41">
        <v>438131</v>
      </c>
      <c r="C3471" s="41">
        <v>5688972</v>
      </c>
      <c r="D3471" s="41">
        <v>17</v>
      </c>
      <c r="E3471" s="41" t="s">
        <v>33</v>
      </c>
      <c r="F3471" s="50">
        <v>2023</v>
      </c>
      <c r="G3471" s="51">
        <v>7.6784600555650048E-2</v>
      </c>
      <c r="H3471" s="51">
        <f t="shared" si="399"/>
        <v>1.9973836337704203E-2</v>
      </c>
      <c r="I3471" s="51">
        <v>0</v>
      </c>
      <c r="J3471" s="51">
        <f t="shared" si="400"/>
        <v>0</v>
      </c>
      <c r="K3471" s="51">
        <v>3.8413562397233091E-3</v>
      </c>
      <c r="L3471" s="51">
        <f t="shared" si="401"/>
        <v>1.3163190849472034E-3</v>
      </c>
      <c r="M3471" s="51">
        <f>H3471-L3471</f>
        <v>1.8657517252757001E-2</v>
      </c>
      <c r="N3471" s="51">
        <v>0</v>
      </c>
      <c r="O3471" s="51">
        <f t="shared" si="402"/>
        <v>0</v>
      </c>
      <c r="P3471" s="101"/>
    </row>
    <row r="3472" spans="1:16" x14ac:dyDescent="0.25">
      <c r="A3472" s="40">
        <v>59</v>
      </c>
      <c r="B3472" s="41">
        <v>438089</v>
      </c>
      <c r="C3472" s="41">
        <v>5688713</v>
      </c>
      <c r="D3472" s="41">
        <v>17</v>
      </c>
      <c r="E3472" s="41" t="s">
        <v>33</v>
      </c>
      <c r="F3472" s="50">
        <v>2023</v>
      </c>
      <c r="G3472" s="51">
        <v>8.4013721154391333E-2</v>
      </c>
      <c r="H3472" s="51">
        <f t="shared" si="399"/>
        <v>2.1854334128405543E-2</v>
      </c>
      <c r="I3472" s="51">
        <v>0</v>
      </c>
      <c r="J3472" s="51">
        <f t="shared" si="400"/>
        <v>0</v>
      </c>
      <c r="K3472" s="51">
        <v>2.5798038215115947E-3</v>
      </c>
      <c r="L3472" s="51">
        <f t="shared" si="401"/>
        <v>8.8402241129295568E-4</v>
      </c>
      <c r="M3472" s="51">
        <f>H3472-L3472</f>
        <v>2.0970311717112586E-2</v>
      </c>
      <c r="N3472" s="51">
        <v>0</v>
      </c>
      <c r="O3472" s="51">
        <f t="shared" si="402"/>
        <v>0</v>
      </c>
      <c r="P3472" s="101"/>
    </row>
    <row r="3473" spans="1:19" x14ac:dyDescent="0.25">
      <c r="A3473" s="40">
        <v>60</v>
      </c>
      <c r="B3473" s="41">
        <v>438099</v>
      </c>
      <c r="C3473" s="41">
        <v>5688719</v>
      </c>
      <c r="D3473" s="41">
        <v>17</v>
      </c>
      <c r="E3473" s="41" t="s">
        <v>33</v>
      </c>
      <c r="F3473" s="50">
        <v>2023</v>
      </c>
      <c r="G3473" s="51">
        <v>2.6676872483982535E-2</v>
      </c>
      <c r="H3473" s="51">
        <f t="shared" si="399"/>
        <v>6.9394055727449349E-3</v>
      </c>
      <c r="I3473" s="51">
        <v>0</v>
      </c>
      <c r="J3473" s="51">
        <f t="shared" si="400"/>
        <v>0</v>
      </c>
      <c r="K3473" s="51">
        <v>4.224074389068435E-3</v>
      </c>
      <c r="L3473" s="51">
        <f t="shared" si="401"/>
        <v>1.4474652668423119E-3</v>
      </c>
      <c r="M3473" s="51">
        <f>H3473-L3473</f>
        <v>5.4919403059026234E-3</v>
      </c>
      <c r="N3473" s="51">
        <v>0</v>
      </c>
      <c r="O3473" s="51">
        <f t="shared" si="402"/>
        <v>0</v>
      </c>
      <c r="P3473" s="101"/>
    </row>
    <row r="3474" spans="1:19" x14ac:dyDescent="0.25">
      <c r="A3474" s="42">
        <v>1</v>
      </c>
      <c r="B3474" s="43">
        <v>437930.10856199998</v>
      </c>
      <c r="C3474" s="43">
        <v>5688036.3324180003</v>
      </c>
      <c r="D3474" s="44">
        <v>24</v>
      </c>
      <c r="E3474" s="44" t="s">
        <v>36</v>
      </c>
      <c r="F3474" s="44">
        <v>2023</v>
      </c>
      <c r="G3474" s="45" t="s">
        <v>18</v>
      </c>
      <c r="H3474" s="45" t="s">
        <v>18</v>
      </c>
      <c r="I3474" s="45" t="s">
        <v>18</v>
      </c>
      <c r="J3474" s="45" t="s">
        <v>18</v>
      </c>
      <c r="K3474" s="45" t="s">
        <v>18</v>
      </c>
      <c r="L3474" s="45" t="s">
        <v>18</v>
      </c>
      <c r="M3474" s="45" t="s">
        <v>18</v>
      </c>
      <c r="N3474" s="45" t="s">
        <v>18</v>
      </c>
      <c r="O3474" s="45" t="s">
        <v>18</v>
      </c>
      <c r="P3474" s="102" t="s">
        <v>109</v>
      </c>
      <c r="R3474" s="5">
        <f>AVERAGE(M3474:M3533)</f>
        <v>1.2651981595513789E-2</v>
      </c>
      <c r="S3474" s="5">
        <f>AVERAGE(H3474:H3533)</f>
        <v>1.6307539869333722E-2</v>
      </c>
    </row>
    <row r="3475" spans="1:19" x14ac:dyDescent="0.25">
      <c r="A3475" s="42">
        <v>2</v>
      </c>
      <c r="B3475" s="43">
        <v>437811.10856199998</v>
      </c>
      <c r="C3475" s="43">
        <v>5688155.3324180003</v>
      </c>
      <c r="D3475" s="44">
        <v>24</v>
      </c>
      <c r="E3475" s="44" t="s">
        <v>36</v>
      </c>
      <c r="F3475" s="44">
        <v>2023</v>
      </c>
      <c r="G3475" s="45" t="s">
        <v>18</v>
      </c>
      <c r="H3475" s="45" t="s">
        <v>18</v>
      </c>
      <c r="I3475" s="45" t="s">
        <v>18</v>
      </c>
      <c r="J3475" s="45" t="s">
        <v>18</v>
      </c>
      <c r="K3475" s="45" t="s">
        <v>18</v>
      </c>
      <c r="L3475" s="45" t="s">
        <v>18</v>
      </c>
      <c r="M3475" s="45" t="s">
        <v>18</v>
      </c>
      <c r="N3475" s="45" t="s">
        <v>18</v>
      </c>
      <c r="O3475" s="45" t="s">
        <v>18</v>
      </c>
      <c r="P3475" s="102" t="s">
        <v>109</v>
      </c>
    </row>
    <row r="3476" spans="1:19" x14ac:dyDescent="0.25">
      <c r="A3476" s="65">
        <v>3</v>
      </c>
      <c r="B3476" s="66">
        <v>437930.10856199998</v>
      </c>
      <c r="C3476" s="66">
        <v>5688155.3324180003</v>
      </c>
      <c r="D3476" s="66">
        <v>24</v>
      </c>
      <c r="E3476" s="66" t="s">
        <v>36</v>
      </c>
      <c r="F3476" s="66">
        <v>2023</v>
      </c>
      <c r="G3476" s="66" t="s">
        <v>18</v>
      </c>
      <c r="H3476" s="66" t="s">
        <v>18</v>
      </c>
      <c r="I3476" s="66" t="s">
        <v>18</v>
      </c>
      <c r="J3476" s="66" t="s">
        <v>18</v>
      </c>
      <c r="K3476" s="66" t="s">
        <v>18</v>
      </c>
      <c r="L3476" s="66" t="s">
        <v>18</v>
      </c>
      <c r="M3476" s="66" t="s">
        <v>18</v>
      </c>
      <c r="N3476" s="66" t="s">
        <v>18</v>
      </c>
      <c r="O3476" s="66" t="s">
        <v>18</v>
      </c>
      <c r="P3476" s="105" t="s">
        <v>166</v>
      </c>
    </row>
    <row r="3477" spans="1:19" x14ac:dyDescent="0.25">
      <c r="A3477" s="42">
        <v>4</v>
      </c>
      <c r="B3477" s="43">
        <v>438049.10856199998</v>
      </c>
      <c r="C3477" s="43">
        <v>5688155.3324180003</v>
      </c>
      <c r="D3477" s="44">
        <v>24</v>
      </c>
      <c r="E3477" s="44" t="s">
        <v>36</v>
      </c>
      <c r="F3477" s="44">
        <v>2023</v>
      </c>
      <c r="G3477" s="45" t="s">
        <v>18</v>
      </c>
      <c r="H3477" s="45" t="s">
        <v>18</v>
      </c>
      <c r="I3477" s="45" t="s">
        <v>18</v>
      </c>
      <c r="J3477" s="45" t="s">
        <v>18</v>
      </c>
      <c r="K3477" s="45" t="s">
        <v>18</v>
      </c>
      <c r="L3477" s="45" t="s">
        <v>18</v>
      </c>
      <c r="M3477" s="45" t="s">
        <v>18</v>
      </c>
      <c r="N3477" s="45" t="s">
        <v>18</v>
      </c>
      <c r="O3477" s="45" t="s">
        <v>18</v>
      </c>
      <c r="P3477" s="102" t="s">
        <v>109</v>
      </c>
    </row>
    <row r="3478" spans="1:19" x14ac:dyDescent="0.25">
      <c r="A3478" s="42">
        <v>5</v>
      </c>
      <c r="B3478" s="43">
        <v>437573.10856199998</v>
      </c>
      <c r="C3478" s="43">
        <v>5688274.3324180003</v>
      </c>
      <c r="D3478" s="44">
        <v>24</v>
      </c>
      <c r="E3478" s="44" t="s">
        <v>36</v>
      </c>
      <c r="F3478" s="44">
        <v>2023</v>
      </c>
      <c r="G3478" s="45" t="s">
        <v>18</v>
      </c>
      <c r="H3478" s="45" t="s">
        <v>18</v>
      </c>
      <c r="I3478" s="45" t="s">
        <v>18</v>
      </c>
      <c r="J3478" s="45" t="s">
        <v>18</v>
      </c>
      <c r="K3478" s="45" t="s">
        <v>18</v>
      </c>
      <c r="L3478" s="45" t="s">
        <v>18</v>
      </c>
      <c r="M3478" s="45" t="s">
        <v>18</v>
      </c>
      <c r="N3478" s="45" t="s">
        <v>18</v>
      </c>
      <c r="O3478" s="45" t="s">
        <v>18</v>
      </c>
      <c r="P3478" s="102" t="s">
        <v>109</v>
      </c>
    </row>
    <row r="3479" spans="1:19" x14ac:dyDescent="0.25">
      <c r="A3479" s="89">
        <v>6</v>
      </c>
      <c r="B3479" s="90">
        <v>437692.10856199998</v>
      </c>
      <c r="C3479" s="90">
        <v>5688274.3324180003</v>
      </c>
      <c r="D3479" s="90">
        <v>24</v>
      </c>
      <c r="E3479" s="90" t="s">
        <v>36</v>
      </c>
      <c r="F3479" s="90">
        <v>2023</v>
      </c>
      <c r="G3479" s="90" t="s">
        <v>18</v>
      </c>
      <c r="H3479" s="90" t="s">
        <v>18</v>
      </c>
      <c r="I3479" s="90" t="s">
        <v>18</v>
      </c>
      <c r="J3479" s="90" t="s">
        <v>18</v>
      </c>
      <c r="K3479" s="90" t="s">
        <v>18</v>
      </c>
      <c r="L3479" s="90" t="s">
        <v>18</v>
      </c>
      <c r="M3479" s="90" t="s">
        <v>18</v>
      </c>
      <c r="N3479" s="90" t="s">
        <v>18</v>
      </c>
      <c r="O3479" s="90" t="s">
        <v>18</v>
      </c>
      <c r="P3479" s="115" t="s">
        <v>18</v>
      </c>
    </row>
    <row r="3480" spans="1:19" x14ac:dyDescent="0.25">
      <c r="A3480" s="65">
        <v>7</v>
      </c>
      <c r="B3480" s="66">
        <v>437811.10856199998</v>
      </c>
      <c r="C3480" s="66">
        <v>5688274.3324180003</v>
      </c>
      <c r="D3480" s="66">
        <v>24</v>
      </c>
      <c r="E3480" s="66" t="s">
        <v>36</v>
      </c>
      <c r="F3480" s="66">
        <v>2023</v>
      </c>
      <c r="G3480" s="66" t="s">
        <v>18</v>
      </c>
      <c r="H3480" s="66" t="s">
        <v>18</v>
      </c>
      <c r="I3480" s="66" t="s">
        <v>18</v>
      </c>
      <c r="J3480" s="66" t="s">
        <v>18</v>
      </c>
      <c r="K3480" s="66" t="s">
        <v>18</v>
      </c>
      <c r="L3480" s="66" t="s">
        <v>18</v>
      </c>
      <c r="M3480" s="66" t="s">
        <v>18</v>
      </c>
      <c r="N3480" s="66" t="s">
        <v>18</v>
      </c>
      <c r="O3480" s="66" t="s">
        <v>18</v>
      </c>
      <c r="P3480" s="105" t="s">
        <v>166</v>
      </c>
    </row>
    <row r="3481" spans="1:19" x14ac:dyDescent="0.25">
      <c r="A3481" s="42">
        <v>8</v>
      </c>
      <c r="B3481" s="43">
        <v>437930.10856199998</v>
      </c>
      <c r="C3481" s="43">
        <v>5688274.3324180003</v>
      </c>
      <c r="D3481" s="44">
        <v>24</v>
      </c>
      <c r="E3481" s="44" t="s">
        <v>36</v>
      </c>
      <c r="F3481" s="44">
        <v>2023</v>
      </c>
      <c r="G3481" s="45" t="s">
        <v>18</v>
      </c>
      <c r="H3481" s="45" t="s">
        <v>18</v>
      </c>
      <c r="I3481" s="45" t="s">
        <v>18</v>
      </c>
      <c r="J3481" s="45" t="s">
        <v>18</v>
      </c>
      <c r="K3481" s="45" t="s">
        <v>18</v>
      </c>
      <c r="L3481" s="45" t="s">
        <v>18</v>
      </c>
      <c r="M3481" s="45" t="s">
        <v>18</v>
      </c>
      <c r="N3481" s="45" t="s">
        <v>18</v>
      </c>
      <c r="O3481" s="45" t="s">
        <v>18</v>
      </c>
      <c r="P3481" s="102" t="s">
        <v>109</v>
      </c>
    </row>
    <row r="3482" spans="1:19" x14ac:dyDescent="0.25">
      <c r="A3482" s="89">
        <v>9</v>
      </c>
      <c r="B3482" s="90">
        <v>438287.10856199998</v>
      </c>
      <c r="C3482" s="90">
        <v>5688274.3324180003</v>
      </c>
      <c r="D3482" s="90">
        <v>24</v>
      </c>
      <c r="E3482" s="90" t="s">
        <v>36</v>
      </c>
      <c r="F3482" s="90">
        <v>2023</v>
      </c>
      <c r="G3482" s="90" t="s">
        <v>18</v>
      </c>
      <c r="H3482" s="90" t="s">
        <v>18</v>
      </c>
      <c r="I3482" s="90" t="s">
        <v>18</v>
      </c>
      <c r="J3482" s="90" t="s">
        <v>18</v>
      </c>
      <c r="K3482" s="90" t="s">
        <v>18</v>
      </c>
      <c r="L3482" s="90" t="s">
        <v>18</v>
      </c>
      <c r="M3482" s="90" t="s">
        <v>18</v>
      </c>
      <c r="N3482" s="90" t="s">
        <v>18</v>
      </c>
      <c r="O3482" s="90" t="s">
        <v>18</v>
      </c>
      <c r="P3482" s="115" t="s">
        <v>18</v>
      </c>
    </row>
    <row r="3483" spans="1:19" x14ac:dyDescent="0.25">
      <c r="A3483" s="29">
        <v>10</v>
      </c>
      <c r="B3483" s="30">
        <v>438406.10856199998</v>
      </c>
      <c r="C3483" s="30">
        <v>5688274.3324180003</v>
      </c>
      <c r="D3483" s="30">
        <v>25</v>
      </c>
      <c r="E3483" s="30" t="s">
        <v>36</v>
      </c>
      <c r="F3483" s="46">
        <v>2023</v>
      </c>
      <c r="G3483" s="84">
        <v>8.139139309406361E-2</v>
      </c>
      <c r="H3483" s="47">
        <f>G3483*0.232714649264217</f>
        <v>1.8940969497011028E-2</v>
      </c>
      <c r="I3483" s="47">
        <v>7.6827124794466182E-3</v>
      </c>
      <c r="J3483" s="47">
        <f>I3483*0.376538218450485</f>
        <v>2.8928348698781382E-3</v>
      </c>
      <c r="K3483" s="47">
        <v>4.7641322220332259E-2</v>
      </c>
      <c r="L3483" s="47">
        <f>K3483*0.278470156935589</f>
        <v>1.3266686475314888E-2</v>
      </c>
      <c r="M3483" s="47">
        <f>H3483-L3483</f>
        <v>5.6742830216961401E-3</v>
      </c>
      <c r="N3483" s="47">
        <v>4.9611611952146053E-3</v>
      </c>
      <c r="O3483" s="47">
        <f>N3483*0.354372342392309</f>
        <v>1.7580983137340271E-3</v>
      </c>
      <c r="P3483" s="92"/>
    </row>
    <row r="3484" spans="1:19" x14ac:dyDescent="0.25">
      <c r="A3484" s="42">
        <v>11</v>
      </c>
      <c r="B3484" s="43">
        <v>437454.10856199998</v>
      </c>
      <c r="C3484" s="43">
        <v>5688393.3324180003</v>
      </c>
      <c r="D3484" s="44">
        <v>24</v>
      </c>
      <c r="E3484" s="44" t="s">
        <v>36</v>
      </c>
      <c r="F3484" s="44">
        <v>2023</v>
      </c>
      <c r="G3484" s="45" t="s">
        <v>18</v>
      </c>
      <c r="H3484" s="45" t="s">
        <v>18</v>
      </c>
      <c r="I3484" s="45" t="s">
        <v>18</v>
      </c>
      <c r="J3484" s="45" t="s">
        <v>18</v>
      </c>
      <c r="K3484" s="45" t="s">
        <v>18</v>
      </c>
      <c r="L3484" s="45" t="s">
        <v>18</v>
      </c>
      <c r="M3484" s="45" t="s">
        <v>18</v>
      </c>
      <c r="N3484" s="45" t="s">
        <v>18</v>
      </c>
      <c r="O3484" s="45" t="s">
        <v>18</v>
      </c>
      <c r="P3484" s="102" t="s">
        <v>109</v>
      </c>
    </row>
    <row r="3485" spans="1:19" x14ac:dyDescent="0.25">
      <c r="A3485" s="29">
        <v>12</v>
      </c>
      <c r="B3485" s="30">
        <v>437573.10856199998</v>
      </c>
      <c r="C3485" s="30">
        <v>5688393.3324180003</v>
      </c>
      <c r="D3485" s="30">
        <v>26</v>
      </c>
      <c r="E3485" s="30" t="s">
        <v>36</v>
      </c>
      <c r="F3485" s="46">
        <v>2023</v>
      </c>
      <c r="G3485" s="84">
        <v>4.083744400975222E-2</v>
      </c>
      <c r="H3485" s="47">
        <f>G3485*0.211116399111575</f>
        <v>8.6214541282594471E-3</v>
      </c>
      <c r="I3485" s="47">
        <v>8.6040709871293308E-2</v>
      </c>
      <c r="J3485" s="47">
        <f>I3485*0.282600660892444</f>
        <v>2.4315161473282519E-2</v>
      </c>
      <c r="K3485" s="47">
        <v>8.5615467483132045E-3</v>
      </c>
      <c r="L3485" s="47">
        <f>K3485*0.248128937108032</f>
        <v>2.1243674946596828E-3</v>
      </c>
      <c r="M3485" s="47">
        <f t="shared" ref="M3485:M3533" si="407">H3485-L3485</f>
        <v>6.4970866335997638E-3</v>
      </c>
      <c r="N3485" s="47">
        <v>0</v>
      </c>
      <c r="O3485" s="47">
        <f>N3485*0.262820512820513</f>
        <v>0</v>
      </c>
      <c r="P3485" s="92"/>
    </row>
    <row r="3486" spans="1:19" x14ac:dyDescent="0.25">
      <c r="A3486" s="29">
        <v>13</v>
      </c>
      <c r="B3486" s="30">
        <v>437692.10856199998</v>
      </c>
      <c r="C3486" s="30">
        <v>5688393.3324180003</v>
      </c>
      <c r="D3486" s="30">
        <v>26</v>
      </c>
      <c r="E3486" s="30" t="s">
        <v>36</v>
      </c>
      <c r="F3486" s="46">
        <v>2023</v>
      </c>
      <c r="G3486" s="84">
        <v>0.24104156035606961</v>
      </c>
      <c r="H3486" s="47">
        <f>G3486*0.211116399111575</f>
        <v>5.0887826258608784E-2</v>
      </c>
      <c r="I3486" s="47">
        <v>3.2417644724159436E-2</v>
      </c>
      <c r="J3486" s="47">
        <f>I3486*0.282600660892444</f>
        <v>9.1612478236239078E-3</v>
      </c>
      <c r="K3486" s="47">
        <v>2.7881725917106085E-2</v>
      </c>
      <c r="L3486" s="47">
        <f>K3486*0.248128937108032</f>
        <v>6.9182630165490018E-3</v>
      </c>
      <c r="M3486" s="47">
        <f t="shared" si="407"/>
        <v>4.3969563242059785E-2</v>
      </c>
      <c r="N3486" s="47">
        <v>2.4366388841639736E-2</v>
      </c>
      <c r="O3486" s="47">
        <f>N3486*0.262820512820513</f>
        <v>6.4039868109437813E-3</v>
      </c>
      <c r="P3486" s="92"/>
    </row>
    <row r="3487" spans="1:19" x14ac:dyDescent="0.25">
      <c r="A3487" s="32">
        <v>14</v>
      </c>
      <c r="B3487" s="33">
        <v>437811.10856199998</v>
      </c>
      <c r="C3487" s="33">
        <v>5688393.3324180003</v>
      </c>
      <c r="D3487" s="48">
        <v>24</v>
      </c>
      <c r="E3487" s="48" t="s">
        <v>36</v>
      </c>
      <c r="F3487" s="48">
        <v>2023</v>
      </c>
      <c r="G3487" s="49" t="s">
        <v>18</v>
      </c>
      <c r="H3487" s="49" t="s">
        <v>18</v>
      </c>
      <c r="I3487" s="49" t="s">
        <v>18</v>
      </c>
      <c r="J3487" s="49" t="s">
        <v>18</v>
      </c>
      <c r="K3487" s="49" t="s">
        <v>18</v>
      </c>
      <c r="L3487" s="49" t="s">
        <v>18</v>
      </c>
      <c r="M3487" s="49" t="s">
        <v>18</v>
      </c>
      <c r="N3487" s="49" t="s">
        <v>18</v>
      </c>
      <c r="O3487" s="49" t="s">
        <v>18</v>
      </c>
      <c r="P3487" s="103" t="s">
        <v>18</v>
      </c>
    </row>
    <row r="3488" spans="1:19" x14ac:dyDescent="0.25">
      <c r="A3488" s="29">
        <v>15</v>
      </c>
      <c r="B3488" s="30">
        <v>437930.10856199998</v>
      </c>
      <c r="C3488" s="30">
        <v>5688393.3324180003</v>
      </c>
      <c r="D3488" s="30">
        <v>25</v>
      </c>
      <c r="E3488" s="30" t="s">
        <v>36</v>
      </c>
      <c r="F3488" s="46">
        <v>2023</v>
      </c>
      <c r="G3488" s="84">
        <v>0.10893292510064069</v>
      </c>
      <c r="H3488" s="47">
        <f t="shared" ref="H3488:H3492" si="408">G3488*0.232714649264217</f>
        <v>2.5350287458120818E-2</v>
      </c>
      <c r="I3488" s="47">
        <v>4.09650167262006E-2</v>
      </c>
      <c r="J3488" s="47">
        <f>I3488*0.376538218450485</f>
        <v>1.5424894416877895E-2</v>
      </c>
      <c r="K3488" s="47">
        <v>2.6832794692974997E-2</v>
      </c>
      <c r="L3488" s="47">
        <f t="shared" ref="L3488:L3492" si="409">K3488*0.278470156935589</f>
        <v>7.4721325491731872E-3</v>
      </c>
      <c r="M3488" s="47">
        <f t="shared" si="407"/>
        <v>1.7878154908947633E-2</v>
      </c>
      <c r="N3488" s="47">
        <v>5.528151046096275E-4</v>
      </c>
      <c r="O3488" s="47">
        <f>N3488*0.354372342392309</f>
        <v>1.9590238353036306E-4</v>
      </c>
      <c r="P3488" s="92"/>
    </row>
    <row r="3489" spans="1:16" x14ac:dyDescent="0.25">
      <c r="A3489" s="29">
        <v>16</v>
      </c>
      <c r="B3489" s="30">
        <v>438049.10856199998</v>
      </c>
      <c r="C3489" s="30">
        <v>5688393.3324180003</v>
      </c>
      <c r="D3489" s="30">
        <v>25</v>
      </c>
      <c r="E3489" s="30" t="s">
        <v>36</v>
      </c>
      <c r="F3489" s="46">
        <v>2023</v>
      </c>
      <c r="G3489" s="84">
        <v>0.13426319668877926</v>
      </c>
      <c r="H3489" s="47">
        <f t="shared" si="408"/>
        <v>3.1245012726521845E-2</v>
      </c>
      <c r="I3489" s="47">
        <v>2.7711628961841584E-2</v>
      </c>
      <c r="J3489" s="47">
        <f>I3489*0.376538218450485</f>
        <v>1.0434487399652694E-2</v>
      </c>
      <c r="K3489" s="47">
        <v>7.1015478822929069E-3</v>
      </c>
      <c r="L3489" s="47">
        <f t="shared" si="409"/>
        <v>1.9775691532677056E-3</v>
      </c>
      <c r="M3489" s="47">
        <f t="shared" si="407"/>
        <v>2.9267443573254139E-2</v>
      </c>
      <c r="N3489" s="47">
        <v>9.0718376141067075E-3</v>
      </c>
      <c r="O3489" s="47">
        <f>N3489*0.354372342392309</f>
        <v>3.2148083451136499E-3</v>
      </c>
      <c r="P3489" s="92"/>
    </row>
    <row r="3490" spans="1:16" x14ac:dyDescent="0.25">
      <c r="A3490" s="29">
        <v>17</v>
      </c>
      <c r="B3490" s="30">
        <v>438168.10856199998</v>
      </c>
      <c r="C3490" s="30">
        <v>5688393.3324180003</v>
      </c>
      <c r="D3490" s="30">
        <v>25</v>
      </c>
      <c r="E3490" s="30" t="s">
        <v>36</v>
      </c>
      <c r="F3490" s="46">
        <v>2023</v>
      </c>
      <c r="G3490" s="84">
        <v>4.0383852129046889E-2</v>
      </c>
      <c r="H3490" s="47">
        <f t="shared" si="408"/>
        <v>9.3979139841491501E-3</v>
      </c>
      <c r="I3490" s="47">
        <v>1.2757271644837557E-2</v>
      </c>
      <c r="J3490" s="47">
        <f>I3490*0.376538218450485</f>
        <v>4.8036003374360226E-3</v>
      </c>
      <c r="K3490" s="47">
        <v>1.5918240063502863E-2</v>
      </c>
      <c r="L3490" s="47">
        <f t="shared" si="409"/>
        <v>4.4327548086220223E-3</v>
      </c>
      <c r="M3490" s="47">
        <f t="shared" si="407"/>
        <v>4.9651591755271278E-3</v>
      </c>
      <c r="N3490" s="47">
        <v>3.9632590576628678E-2</v>
      </c>
      <c r="O3490" s="47">
        <f>N3490*0.354372342392309</f>
        <v>1.4044693957715258E-2</v>
      </c>
      <c r="P3490" s="92" t="s">
        <v>182</v>
      </c>
    </row>
    <row r="3491" spans="1:16" x14ac:dyDescent="0.25">
      <c r="A3491" s="29">
        <v>18</v>
      </c>
      <c r="B3491" s="30">
        <v>438287.10856199998</v>
      </c>
      <c r="C3491" s="30">
        <v>5688393.3324180003</v>
      </c>
      <c r="D3491" s="30">
        <v>25</v>
      </c>
      <c r="E3491" s="30" t="s">
        <v>36</v>
      </c>
      <c r="F3491" s="46">
        <v>2023</v>
      </c>
      <c r="G3491" s="84">
        <v>9.0505754946986441E-2</v>
      </c>
      <c r="H3491" s="47">
        <f t="shared" si="408"/>
        <v>2.1062015018881122E-2</v>
      </c>
      <c r="I3491" s="47">
        <v>0</v>
      </c>
      <c r="J3491" s="47">
        <f>I3491*0.376538218450485</f>
        <v>0</v>
      </c>
      <c r="K3491" s="47">
        <v>1.1949311107331178E-2</v>
      </c>
      <c r="L3491" s="47">
        <f t="shared" si="409"/>
        <v>3.3275265393306898E-3</v>
      </c>
      <c r="M3491" s="47">
        <f t="shared" si="407"/>
        <v>1.7734488479550434E-2</v>
      </c>
      <c r="N3491" s="47">
        <v>0</v>
      </c>
      <c r="O3491" s="47">
        <f>N3491*0.354372342392309</f>
        <v>0</v>
      </c>
      <c r="P3491" s="92"/>
    </row>
    <row r="3492" spans="1:16" x14ac:dyDescent="0.25">
      <c r="A3492" s="29">
        <v>19</v>
      </c>
      <c r="B3492" s="30">
        <v>438406.10856199998</v>
      </c>
      <c r="C3492" s="30">
        <v>5688393.3324180003</v>
      </c>
      <c r="D3492" s="30">
        <v>25</v>
      </c>
      <c r="E3492" s="30" t="s">
        <v>36</v>
      </c>
      <c r="F3492" s="46">
        <v>2023</v>
      </c>
      <c r="G3492" s="84">
        <v>3.8895503770482509E-2</v>
      </c>
      <c r="H3492" s="47">
        <f t="shared" si="408"/>
        <v>9.0515535179028668E-3</v>
      </c>
      <c r="I3492" s="47">
        <v>0</v>
      </c>
      <c r="J3492" s="47">
        <f>I3492*0.376538218450485</f>
        <v>0</v>
      </c>
      <c r="K3492" s="47">
        <v>1.0375914271134545E-2</v>
      </c>
      <c r="L3492" s="47">
        <f t="shared" si="409"/>
        <v>2.8893824754330547E-3</v>
      </c>
      <c r="M3492" s="47">
        <f t="shared" si="407"/>
        <v>6.1621710424698117E-3</v>
      </c>
      <c r="N3492" s="47">
        <v>0</v>
      </c>
      <c r="O3492" s="47">
        <f>N3492*0.354372342392309</f>
        <v>0</v>
      </c>
      <c r="P3492" s="92"/>
    </row>
    <row r="3493" spans="1:16" x14ac:dyDescent="0.25">
      <c r="A3493" s="42">
        <v>20</v>
      </c>
      <c r="B3493" s="43">
        <v>437335.10856199998</v>
      </c>
      <c r="C3493" s="43">
        <v>5688512.3324180003</v>
      </c>
      <c r="D3493" s="44">
        <v>24</v>
      </c>
      <c r="E3493" s="44" t="s">
        <v>36</v>
      </c>
      <c r="F3493" s="44">
        <v>2023</v>
      </c>
      <c r="G3493" s="45" t="s">
        <v>18</v>
      </c>
      <c r="H3493" s="45" t="s">
        <v>18</v>
      </c>
      <c r="I3493" s="45" t="s">
        <v>18</v>
      </c>
      <c r="J3493" s="45" t="s">
        <v>18</v>
      </c>
      <c r="K3493" s="45" t="s">
        <v>18</v>
      </c>
      <c r="L3493" s="45" t="s">
        <v>18</v>
      </c>
      <c r="M3493" s="45" t="s">
        <v>18</v>
      </c>
      <c r="N3493" s="45" t="s">
        <v>18</v>
      </c>
      <c r="O3493" s="45" t="s">
        <v>18</v>
      </c>
      <c r="P3493" s="102" t="s">
        <v>109</v>
      </c>
    </row>
    <row r="3494" spans="1:16" x14ac:dyDescent="0.25">
      <c r="A3494" s="29">
        <v>21</v>
      </c>
      <c r="B3494" s="30">
        <v>437454.10856199998</v>
      </c>
      <c r="C3494" s="30">
        <v>5688512.3324180003</v>
      </c>
      <c r="D3494" s="30">
        <v>26</v>
      </c>
      <c r="E3494" s="30" t="s">
        <v>36</v>
      </c>
      <c r="F3494" s="46">
        <v>2023</v>
      </c>
      <c r="G3494" s="84">
        <v>9.0009638827464981E-3</v>
      </c>
      <c r="H3494" s="47">
        <f>G3494*0.211116399111575</f>
        <v>1.9002510834587815E-3</v>
      </c>
      <c r="I3494" s="47">
        <v>6.9456256733004479E-3</v>
      </c>
      <c r="J3494" s="47">
        <f>I3494*0.282600660892444</f>
        <v>1.9628384055862332E-3</v>
      </c>
      <c r="K3494" s="47">
        <v>6.6621307478596124E-3</v>
      </c>
      <c r="L3494" s="47">
        <f>K3494*0.248128937108032</f>
        <v>1.6530674213411439E-3</v>
      </c>
      <c r="M3494" s="47">
        <f t="shared" si="407"/>
        <v>2.4718366211763762E-4</v>
      </c>
      <c r="N3494" s="47">
        <v>4.8194137324941884E-4</v>
      </c>
      <c r="O3494" s="47">
        <f t="shared" ref="O3494:O3497" si="410">N3494*0.262820512820513</f>
        <v>1.2666407886683452E-4</v>
      </c>
      <c r="P3494" s="92"/>
    </row>
    <row r="3495" spans="1:16" x14ac:dyDescent="0.25">
      <c r="A3495" s="29">
        <v>22</v>
      </c>
      <c r="B3495" s="30">
        <v>437573.10856199998</v>
      </c>
      <c r="C3495" s="30">
        <v>5688512.3324180003</v>
      </c>
      <c r="D3495" s="30">
        <v>26</v>
      </c>
      <c r="E3495" s="30" t="s">
        <v>36</v>
      </c>
      <c r="F3495" s="46">
        <v>2023</v>
      </c>
      <c r="G3495" s="84">
        <v>8.2312751601746337E-2</v>
      </c>
      <c r="H3495" s="47">
        <f>G3495*0.211116399111575</f>
        <v>1.7377571719126215E-2</v>
      </c>
      <c r="I3495" s="47">
        <v>1.245960197312468E-2</v>
      </c>
      <c r="J3495" s="47">
        <f>I3495*0.282600660892444</f>
        <v>3.5210917520618343E-3</v>
      </c>
      <c r="K3495" s="47">
        <v>8.9159154051142477E-3</v>
      </c>
      <c r="L3495" s="47">
        <f>K3495*0.248128937108032</f>
        <v>2.2122966128161267E-3</v>
      </c>
      <c r="M3495" s="47">
        <f t="shared" si="407"/>
        <v>1.5165275106310088E-2</v>
      </c>
      <c r="N3495" s="47">
        <v>9.355332539547543E-3</v>
      </c>
      <c r="O3495" s="47">
        <f t="shared" si="410"/>
        <v>2.4587732956503176E-3</v>
      </c>
      <c r="P3495" s="92"/>
    </row>
    <row r="3496" spans="1:16" x14ac:dyDescent="0.25">
      <c r="A3496" s="29">
        <v>23</v>
      </c>
      <c r="B3496" s="30">
        <v>437692.10856199998</v>
      </c>
      <c r="C3496" s="30">
        <v>5688512.3324180003</v>
      </c>
      <c r="D3496" s="30">
        <v>26</v>
      </c>
      <c r="E3496" s="30" t="s">
        <v>36</v>
      </c>
      <c r="F3496" s="46">
        <v>2023</v>
      </c>
      <c r="G3496" s="84">
        <v>2.42529908714634E-2</v>
      </c>
      <c r="H3496" s="47">
        <f>G3496*0.211116399111575</f>
        <v>5.1202041004692524E-3</v>
      </c>
      <c r="I3496" s="47">
        <v>4.4792198219651864E-3</v>
      </c>
      <c r="J3496" s="47">
        <f>I3496*0.282600660892444</f>
        <v>1.2658304819698971E-3</v>
      </c>
      <c r="K3496" s="47">
        <v>8.9442648976583317E-3</v>
      </c>
      <c r="L3496" s="47">
        <f>K3496*0.248128937108032</f>
        <v>2.2193309422686423E-3</v>
      </c>
      <c r="M3496" s="47">
        <f t="shared" si="407"/>
        <v>2.9008731582006102E-3</v>
      </c>
      <c r="N3496" s="47">
        <v>2.5939785677836363E-3</v>
      </c>
      <c r="O3496" s="47">
        <f t="shared" si="410"/>
        <v>6.8175077743031518E-4</v>
      </c>
      <c r="P3496" s="92"/>
    </row>
    <row r="3497" spans="1:16" x14ac:dyDescent="0.25">
      <c r="A3497" s="29">
        <v>24</v>
      </c>
      <c r="B3497" s="30">
        <v>437811.10856199998</v>
      </c>
      <c r="C3497" s="30">
        <v>5688512.3324180003</v>
      </c>
      <c r="D3497" s="30">
        <v>26</v>
      </c>
      <c r="E3497" s="30" t="s">
        <v>36</v>
      </c>
      <c r="F3497" s="46">
        <v>2023</v>
      </c>
      <c r="G3497" s="84">
        <v>4.9129670578896639E-2</v>
      </c>
      <c r="H3497" s="47">
        <f>G3497*0.211116399111575</f>
        <v>1.0372079142154548E-2</v>
      </c>
      <c r="I3497" s="47">
        <v>0</v>
      </c>
      <c r="J3497" s="47">
        <f>I3497*0.282600660892444</f>
        <v>0</v>
      </c>
      <c r="K3497" s="47">
        <v>1.129727277881726E-2</v>
      </c>
      <c r="L3497" s="47">
        <f>K3497*0.248128937108032</f>
        <v>2.8031802868274296E-3</v>
      </c>
      <c r="M3497" s="47">
        <f t="shared" si="407"/>
        <v>7.5688988553271183E-3</v>
      </c>
      <c r="N3497" s="47">
        <v>0</v>
      </c>
      <c r="O3497" s="47">
        <f t="shared" si="410"/>
        <v>0</v>
      </c>
      <c r="P3497" s="92"/>
    </row>
    <row r="3498" spans="1:16" x14ac:dyDescent="0.25">
      <c r="A3498" s="29">
        <v>25</v>
      </c>
      <c r="B3498" s="46">
        <v>437995</v>
      </c>
      <c r="C3498" s="46">
        <v>5688493</v>
      </c>
      <c r="D3498" s="30">
        <v>25</v>
      </c>
      <c r="E3498" s="30" t="s">
        <v>36</v>
      </c>
      <c r="F3498" s="46">
        <v>2023</v>
      </c>
      <c r="G3498" s="84">
        <v>1.2020184838691387E-2</v>
      </c>
      <c r="H3498" s="47">
        <f t="shared" ref="H3498:H3502" si="411">G3498*0.232714649264217</f>
        <v>2.7972730988271252E-3</v>
      </c>
      <c r="I3498" s="47">
        <v>1.0205817315870045E-3</v>
      </c>
      <c r="J3498" s="47">
        <f t="shared" ref="J3498:J3502" si="412">I3498*0.376538218450485</f>
        <v>3.842880269948818E-4</v>
      </c>
      <c r="K3498" s="47">
        <v>1.6428530929296366E-2</v>
      </c>
      <c r="L3498" s="47">
        <f t="shared" ref="L3498:L3503" si="413">K3498*0.278470156935589</f>
        <v>4.5748555861023369E-3</v>
      </c>
      <c r="M3498" s="47">
        <f t="shared" si="407"/>
        <v>-1.7775824872752117E-3</v>
      </c>
      <c r="N3498" s="47">
        <v>0</v>
      </c>
      <c r="O3498" s="47">
        <f t="shared" ref="O3498:O3503" si="414">N3498*0.354372342392309</f>
        <v>0</v>
      </c>
      <c r="P3498" s="92"/>
    </row>
    <row r="3499" spans="1:16" x14ac:dyDescent="0.25">
      <c r="A3499" s="29">
        <v>26</v>
      </c>
      <c r="B3499" s="46">
        <v>438112</v>
      </c>
      <c r="C3499" s="46">
        <v>5688567</v>
      </c>
      <c r="D3499" s="30">
        <v>25</v>
      </c>
      <c r="E3499" s="30" t="s">
        <v>36</v>
      </c>
      <c r="F3499" s="46">
        <v>2023</v>
      </c>
      <c r="G3499" s="84">
        <v>5.4459375177184327E-2</v>
      </c>
      <c r="H3499" s="47">
        <f t="shared" si="411"/>
        <v>1.2673494393506856E-2</v>
      </c>
      <c r="I3499" s="47">
        <v>0</v>
      </c>
      <c r="J3499" s="47">
        <f t="shared" si="412"/>
        <v>0</v>
      </c>
      <c r="K3499" s="47">
        <v>2.3289108124964562E-2</v>
      </c>
      <c r="L3499" s="47">
        <f t="shared" si="413"/>
        <v>6.4853215944487832E-3</v>
      </c>
      <c r="M3499" s="47">
        <f t="shared" si="407"/>
        <v>6.1881727990580728E-3</v>
      </c>
      <c r="N3499" s="47">
        <v>2.0836877019901343E-3</v>
      </c>
      <c r="O3499" s="47">
        <f t="shared" si="414"/>
        <v>7.3840129176829146E-4</v>
      </c>
      <c r="P3499" s="92"/>
    </row>
    <row r="3500" spans="1:16" x14ac:dyDescent="0.25">
      <c r="A3500" s="32">
        <v>27</v>
      </c>
      <c r="B3500" s="33">
        <v>438168.10856199998</v>
      </c>
      <c r="C3500" s="33">
        <v>5688512.3324180003</v>
      </c>
      <c r="D3500" s="48">
        <v>24</v>
      </c>
      <c r="E3500" s="48" t="s">
        <v>36</v>
      </c>
      <c r="F3500" s="48">
        <v>2023</v>
      </c>
      <c r="G3500" s="49" t="s">
        <v>18</v>
      </c>
      <c r="H3500" s="49" t="s">
        <v>18</v>
      </c>
      <c r="I3500" s="49" t="s">
        <v>18</v>
      </c>
      <c r="J3500" s="49" t="s">
        <v>18</v>
      </c>
      <c r="K3500" s="49" t="s">
        <v>18</v>
      </c>
      <c r="L3500" s="49" t="s">
        <v>18</v>
      </c>
      <c r="M3500" s="49" t="s">
        <v>18</v>
      </c>
      <c r="N3500" s="49" t="s">
        <v>18</v>
      </c>
      <c r="O3500" s="49" t="s">
        <v>18</v>
      </c>
      <c r="P3500" s="103" t="s">
        <v>18</v>
      </c>
    </row>
    <row r="3501" spans="1:16" x14ac:dyDescent="0.25">
      <c r="A3501" s="32">
        <v>28</v>
      </c>
      <c r="B3501" s="33">
        <v>438287.10856199998</v>
      </c>
      <c r="C3501" s="33">
        <v>5688512.3324180003</v>
      </c>
      <c r="D3501" s="48">
        <v>24</v>
      </c>
      <c r="E3501" s="48" t="s">
        <v>36</v>
      </c>
      <c r="F3501" s="48">
        <v>2023</v>
      </c>
      <c r="G3501" s="49" t="s">
        <v>18</v>
      </c>
      <c r="H3501" s="49" t="s">
        <v>18</v>
      </c>
      <c r="I3501" s="49" t="s">
        <v>18</v>
      </c>
      <c r="J3501" s="49" t="s">
        <v>18</v>
      </c>
      <c r="K3501" s="49" t="s">
        <v>18</v>
      </c>
      <c r="L3501" s="49" t="s">
        <v>18</v>
      </c>
      <c r="M3501" s="49" t="s">
        <v>18</v>
      </c>
      <c r="N3501" s="49" t="s">
        <v>18</v>
      </c>
      <c r="O3501" s="49" t="s">
        <v>18</v>
      </c>
      <c r="P3501" s="103" t="s">
        <v>18</v>
      </c>
    </row>
    <row r="3502" spans="1:16" x14ac:dyDescent="0.25">
      <c r="A3502" s="29">
        <v>29</v>
      </c>
      <c r="B3502" s="30">
        <v>438381</v>
      </c>
      <c r="C3502" s="30">
        <v>5688526</v>
      </c>
      <c r="D3502" s="30">
        <v>25</v>
      </c>
      <c r="E3502" s="30" t="s">
        <v>36</v>
      </c>
      <c r="F3502" s="46">
        <v>2023</v>
      </c>
      <c r="G3502" s="84">
        <v>4.3048704428190733E-2</v>
      </c>
      <c r="H3502" s="47">
        <f t="shared" si="411"/>
        <v>1.0018064152285351E-2</v>
      </c>
      <c r="I3502" s="47">
        <v>0</v>
      </c>
      <c r="J3502" s="47">
        <f t="shared" si="412"/>
        <v>0</v>
      </c>
      <c r="K3502" s="47">
        <v>1.3792028122696602E-2</v>
      </c>
      <c r="L3502" s="47">
        <f t="shared" si="413"/>
        <v>3.8406682357873803E-3</v>
      </c>
      <c r="M3502" s="47">
        <f t="shared" si="407"/>
        <v>6.1773959164979709E-3</v>
      </c>
      <c r="N3502" s="47">
        <v>0</v>
      </c>
      <c r="O3502" s="47">
        <f t="shared" si="414"/>
        <v>0</v>
      </c>
      <c r="P3502" s="92"/>
    </row>
    <row r="3503" spans="1:16" x14ac:dyDescent="0.25">
      <c r="A3503" s="29">
        <v>30</v>
      </c>
      <c r="B3503" s="30">
        <v>438525.10856199998</v>
      </c>
      <c r="C3503" s="30">
        <v>5688512.3324180003</v>
      </c>
      <c r="D3503" s="30">
        <v>25</v>
      </c>
      <c r="E3503" s="30" t="s">
        <v>36</v>
      </c>
      <c r="F3503" s="46">
        <v>2023</v>
      </c>
      <c r="G3503" s="84" t="s">
        <v>18</v>
      </c>
      <c r="H3503" s="84" t="s">
        <v>18</v>
      </c>
      <c r="I3503" s="84" t="s">
        <v>18</v>
      </c>
      <c r="J3503" s="84" t="s">
        <v>18</v>
      </c>
      <c r="K3503" s="47">
        <v>2.0723479049725008E-2</v>
      </c>
      <c r="L3503" s="47">
        <f t="shared" si="413"/>
        <v>5.7708704632283142E-3</v>
      </c>
      <c r="M3503" s="84" t="s">
        <v>18</v>
      </c>
      <c r="N3503" s="47">
        <v>8.1646538526960362E-3</v>
      </c>
      <c r="O3503" s="47">
        <f t="shared" si="414"/>
        <v>2.8933275106022846E-3</v>
      </c>
      <c r="P3503" s="92" t="s">
        <v>93</v>
      </c>
    </row>
    <row r="3504" spans="1:16" x14ac:dyDescent="0.25">
      <c r="A3504" s="29">
        <v>31</v>
      </c>
      <c r="B3504" s="30">
        <v>437335.10856199998</v>
      </c>
      <c r="C3504" s="30">
        <v>5688631.3324180003</v>
      </c>
      <c r="D3504" s="30">
        <v>26</v>
      </c>
      <c r="E3504" s="30" t="s">
        <v>36</v>
      </c>
      <c r="F3504" s="46">
        <v>2023</v>
      </c>
      <c r="G3504" s="47">
        <v>0.15273289108124966</v>
      </c>
      <c r="H3504" s="47">
        <f>G3504*0.211116399111575</f>
        <v>3.2244417990973814E-2</v>
      </c>
      <c r="I3504" s="47">
        <v>0</v>
      </c>
      <c r="J3504" s="47">
        <f>I3504*0.282600660892444</f>
        <v>0</v>
      </c>
      <c r="K3504" s="47">
        <v>1.9405227646425129E-2</v>
      </c>
      <c r="L3504" s="47">
        <f>K3504*0.248128937108032</f>
        <v>4.8149985102468647E-3</v>
      </c>
      <c r="M3504" s="47">
        <f t="shared" si="407"/>
        <v>2.7429419480726948E-2</v>
      </c>
      <c r="N3504" s="47">
        <v>0</v>
      </c>
      <c r="O3504" s="47">
        <f t="shared" ref="O3504:O3505" si="415">N3504*0.262820512820513</f>
        <v>0</v>
      </c>
      <c r="P3504" s="92"/>
    </row>
    <row r="3505" spans="1:16" x14ac:dyDescent="0.25">
      <c r="A3505" s="29">
        <v>32</v>
      </c>
      <c r="B3505" s="30">
        <v>437454.10856199998</v>
      </c>
      <c r="C3505" s="30">
        <v>5688631.3324180003</v>
      </c>
      <c r="D3505" s="30">
        <v>26</v>
      </c>
      <c r="E3505" s="30" t="s">
        <v>36</v>
      </c>
      <c r="F3505" s="46">
        <v>2023</v>
      </c>
      <c r="G3505" s="84">
        <v>4.2765209502749896E-2</v>
      </c>
      <c r="H3505" s="47">
        <f>G3505*0.211116399111575</f>
        <v>9.0284370374726676E-3</v>
      </c>
      <c r="I3505" s="47">
        <v>3.0730849917786473E-2</v>
      </c>
      <c r="J3505" s="47">
        <f>I3505*0.282600660892444</f>
        <v>8.6845584965529656E-3</v>
      </c>
      <c r="K3505" s="47">
        <v>2.0695129557180923E-3</v>
      </c>
      <c r="L3505" s="47">
        <f>K3505*0.248128937108032</f>
        <v>5.1350605003363191E-4</v>
      </c>
      <c r="M3505" s="47">
        <f t="shared" si="407"/>
        <v>8.5149309874390355E-3</v>
      </c>
      <c r="N3505" s="47">
        <v>0</v>
      </c>
      <c r="O3505" s="47">
        <f t="shared" si="415"/>
        <v>0</v>
      </c>
      <c r="P3505" s="92"/>
    </row>
    <row r="3506" spans="1:16" x14ac:dyDescent="0.25">
      <c r="A3506" s="29">
        <v>33</v>
      </c>
      <c r="B3506" s="30">
        <v>437573.10856199998</v>
      </c>
      <c r="C3506" s="30">
        <v>5688631.3324180003</v>
      </c>
      <c r="D3506" s="30">
        <v>25</v>
      </c>
      <c r="E3506" s="30" t="s">
        <v>36</v>
      </c>
      <c r="F3506" s="46">
        <v>2023</v>
      </c>
      <c r="G3506" s="84">
        <v>4.6634915235017289E-2</v>
      </c>
      <c r="H3506" s="47">
        <f>G3506*0.232714649264217</f>
        <v>1.0852627942383539E-2</v>
      </c>
      <c r="I3506" s="47">
        <v>0</v>
      </c>
      <c r="J3506" s="47">
        <f>I3506*0.376538218450485</f>
        <v>0</v>
      </c>
      <c r="K3506" s="47">
        <v>1.4458241197482563E-3</v>
      </c>
      <c r="L3506" s="47">
        <f>K3506*0.278470156935589</f>
        <v>4.0261886952755677E-4</v>
      </c>
      <c r="M3506" s="47">
        <f t="shared" si="407"/>
        <v>1.0450009072855983E-2</v>
      </c>
      <c r="N3506" s="47">
        <v>0</v>
      </c>
      <c r="O3506" s="47">
        <f>N3506*0.354372342392309</f>
        <v>0</v>
      </c>
      <c r="P3506" s="92"/>
    </row>
    <row r="3507" spans="1:16" x14ac:dyDescent="0.25">
      <c r="A3507" s="29">
        <v>34</v>
      </c>
      <c r="B3507" s="30">
        <v>437692.10856199998</v>
      </c>
      <c r="C3507" s="30">
        <v>5688631.3324180003</v>
      </c>
      <c r="D3507" s="30">
        <v>25</v>
      </c>
      <c r="E3507" s="30" t="s">
        <v>36</v>
      </c>
      <c r="F3507" s="46">
        <v>2023</v>
      </c>
      <c r="G3507" s="84">
        <v>3.5961331292169871E-2</v>
      </c>
      <c r="H3507" s="47">
        <f>G3507*0.232714649264217</f>
        <v>8.3687285987316239E-3</v>
      </c>
      <c r="I3507" s="47">
        <v>1.8285422690933833E-3</v>
      </c>
      <c r="J3507" s="47">
        <f>I3507*0.376538218450485</f>
        <v>6.8851604836582992E-4</v>
      </c>
      <c r="K3507" s="47">
        <v>3.5578613142824744E-3</v>
      </c>
      <c r="L3507" s="47">
        <f>K3507*0.278470156935589</f>
        <v>9.9075819854330159E-4</v>
      </c>
      <c r="M3507" s="47">
        <f t="shared" si="407"/>
        <v>7.3779704001883228E-3</v>
      </c>
      <c r="N3507" s="47">
        <v>0</v>
      </c>
      <c r="O3507" s="47">
        <f>N3507*0.354372342392309</f>
        <v>0</v>
      </c>
      <c r="P3507" s="92"/>
    </row>
    <row r="3508" spans="1:16" x14ac:dyDescent="0.25">
      <c r="A3508" s="29">
        <v>35</v>
      </c>
      <c r="B3508" s="30">
        <v>437893</v>
      </c>
      <c r="C3508" s="30">
        <v>5688620</v>
      </c>
      <c r="D3508" s="30">
        <v>25</v>
      </c>
      <c r="E3508" s="30" t="s">
        <v>36</v>
      </c>
      <c r="F3508" s="46">
        <v>2023</v>
      </c>
      <c r="G3508" s="84">
        <v>5.4303452968191869E-2</v>
      </c>
      <c r="H3508" s="47">
        <f>G3508*0.232714649264217</f>
        <v>1.2637209011328674E-2</v>
      </c>
      <c r="I3508" s="47">
        <v>0</v>
      </c>
      <c r="J3508" s="47">
        <f>I3508*0.376538218450485</f>
        <v>0</v>
      </c>
      <c r="K3508" s="47">
        <v>1.4032998809321313E-3</v>
      </c>
      <c r="L3508" s="47">
        <f>K3508*0.278470156935589</f>
        <v>3.9077713807086396E-4</v>
      </c>
      <c r="M3508" s="47">
        <f t="shared" si="407"/>
        <v>1.224643187325781E-2</v>
      </c>
      <c r="N3508" s="47">
        <v>0</v>
      </c>
      <c r="O3508" s="47">
        <f>N3508*0.354372342392309</f>
        <v>0</v>
      </c>
      <c r="P3508" s="92"/>
    </row>
    <row r="3509" spans="1:16" x14ac:dyDescent="0.25">
      <c r="A3509" s="29">
        <v>36</v>
      </c>
      <c r="B3509" s="30">
        <v>437930.10856199998</v>
      </c>
      <c r="C3509" s="30">
        <v>5688631.3324180003</v>
      </c>
      <c r="D3509" s="30">
        <v>25</v>
      </c>
      <c r="E3509" s="30" t="s">
        <v>36</v>
      </c>
      <c r="F3509" s="46">
        <v>2023</v>
      </c>
      <c r="G3509" s="84">
        <v>1.7959403526676871E-2</v>
      </c>
      <c r="H3509" s="47">
        <f>G3509*0.232714649264217</f>
        <v>4.1794162927051501E-3</v>
      </c>
      <c r="I3509" s="47">
        <v>1.3664455406248227E-2</v>
      </c>
      <c r="J3509" s="47">
        <f>I3509*0.376538218450485</f>
        <v>5.1451896947648061E-3</v>
      </c>
      <c r="K3509" s="47">
        <v>1.3324261495719226E-3</v>
      </c>
      <c r="L3509" s="47">
        <f>K3509*0.278470156935589</f>
        <v>3.710409189763759E-4</v>
      </c>
      <c r="M3509" s="47">
        <f t="shared" si="407"/>
        <v>3.8083753737287742E-3</v>
      </c>
      <c r="N3509" s="47">
        <v>7.5551397629982425E-3</v>
      </c>
      <c r="O3509" s="47">
        <f>N3509*0.354372342392309</f>
        <v>2.6773325749149617E-3</v>
      </c>
      <c r="P3509" s="92"/>
    </row>
    <row r="3510" spans="1:16" x14ac:dyDescent="0.25">
      <c r="A3510" s="32">
        <v>37</v>
      </c>
      <c r="B3510" s="33">
        <v>438049.10856199998</v>
      </c>
      <c r="C3510" s="33">
        <v>5688631.3324180003</v>
      </c>
      <c r="D3510" s="48">
        <v>24</v>
      </c>
      <c r="E3510" s="48" t="s">
        <v>36</v>
      </c>
      <c r="F3510" s="48">
        <v>2023</v>
      </c>
      <c r="G3510" s="49" t="s">
        <v>18</v>
      </c>
      <c r="H3510" s="49" t="s">
        <v>18</v>
      </c>
      <c r="I3510" s="49" t="s">
        <v>18</v>
      </c>
      <c r="J3510" s="49" t="s">
        <v>18</v>
      </c>
      <c r="K3510" s="49" t="s">
        <v>18</v>
      </c>
      <c r="L3510" s="49" t="s">
        <v>18</v>
      </c>
      <c r="M3510" s="49" t="s">
        <v>18</v>
      </c>
      <c r="N3510" s="49" t="s">
        <v>18</v>
      </c>
      <c r="O3510" s="49" t="s">
        <v>18</v>
      </c>
      <c r="P3510" s="103" t="s">
        <v>18</v>
      </c>
    </row>
    <row r="3511" spans="1:16" x14ac:dyDescent="0.25">
      <c r="A3511" s="29">
        <v>38</v>
      </c>
      <c r="B3511" s="30">
        <v>438067</v>
      </c>
      <c r="C3511" s="30">
        <v>5688710</v>
      </c>
      <c r="D3511" s="30">
        <v>24</v>
      </c>
      <c r="E3511" s="30" t="s">
        <v>36</v>
      </c>
      <c r="F3511" s="46">
        <v>2023</v>
      </c>
      <c r="G3511" s="84">
        <v>0.14163406475024098</v>
      </c>
      <c r="H3511" s="47">
        <f t="shared" ref="H3511:H3533" si="416">G3511*0.217805042678701</f>
        <v>3.0848613517684136E-2</v>
      </c>
      <c r="I3511" s="47">
        <v>0</v>
      </c>
      <c r="J3511" s="47">
        <f t="shared" ref="J3511:J3533" si="417">I3511*0.321684825936753</f>
        <v>0</v>
      </c>
      <c r="K3511" s="47">
        <v>2.7924250155922209E-3</v>
      </c>
      <c r="L3511" s="47">
        <f t="shared" ref="L3511:L3533" si="418">K3511*0.273790746582545</f>
        <v>7.6454012979476898E-4</v>
      </c>
      <c r="M3511" s="47">
        <f t="shared" si="407"/>
        <v>3.0084073387889366E-2</v>
      </c>
      <c r="N3511" s="47">
        <v>0</v>
      </c>
      <c r="O3511" s="47">
        <f t="shared" ref="O3511:O3533" si="419">N3511*0.696078431372549</f>
        <v>0</v>
      </c>
      <c r="P3511" s="92"/>
    </row>
    <row r="3512" spans="1:16" x14ac:dyDescent="0.25">
      <c r="A3512" s="32">
        <v>39</v>
      </c>
      <c r="B3512" s="33">
        <v>438287.10856199998</v>
      </c>
      <c r="C3512" s="33">
        <v>5688631.3324180003</v>
      </c>
      <c r="D3512" s="48">
        <v>24</v>
      </c>
      <c r="E3512" s="48" t="s">
        <v>36</v>
      </c>
      <c r="F3512" s="48">
        <v>2023</v>
      </c>
      <c r="G3512" s="49" t="s">
        <v>18</v>
      </c>
      <c r="H3512" s="49" t="s">
        <v>18</v>
      </c>
      <c r="I3512" s="49" t="s">
        <v>18</v>
      </c>
      <c r="J3512" s="49" t="s">
        <v>18</v>
      </c>
      <c r="K3512" s="49" t="s">
        <v>18</v>
      </c>
      <c r="L3512" s="49" t="s">
        <v>18</v>
      </c>
      <c r="M3512" s="49" t="s">
        <v>18</v>
      </c>
      <c r="N3512" s="49" t="s">
        <v>18</v>
      </c>
      <c r="O3512" s="49" t="s">
        <v>18</v>
      </c>
      <c r="P3512" s="103" t="s">
        <v>18</v>
      </c>
    </row>
    <row r="3513" spans="1:16" x14ac:dyDescent="0.25">
      <c r="A3513" s="89">
        <v>40</v>
      </c>
      <c r="B3513" s="90">
        <v>438406.10856199998</v>
      </c>
      <c r="C3513" s="90">
        <v>5688631.3324180003</v>
      </c>
      <c r="D3513" s="90">
        <v>24</v>
      </c>
      <c r="E3513" s="90" t="s">
        <v>36</v>
      </c>
      <c r="F3513" s="90">
        <v>2023</v>
      </c>
      <c r="G3513" s="90" t="s">
        <v>18</v>
      </c>
      <c r="H3513" s="90" t="s">
        <v>18</v>
      </c>
      <c r="I3513" s="90" t="s">
        <v>18</v>
      </c>
      <c r="J3513" s="90" t="s">
        <v>18</v>
      </c>
      <c r="K3513" s="90" t="s">
        <v>18</v>
      </c>
      <c r="L3513" s="90" t="s">
        <v>18</v>
      </c>
      <c r="M3513" s="90" t="s">
        <v>18</v>
      </c>
      <c r="N3513" s="90" t="s">
        <v>18</v>
      </c>
      <c r="O3513" s="90" t="s">
        <v>18</v>
      </c>
      <c r="P3513" s="115" t="s">
        <v>18</v>
      </c>
    </row>
    <row r="3514" spans="1:16" x14ac:dyDescent="0.25">
      <c r="A3514" s="29">
        <v>41</v>
      </c>
      <c r="B3514" s="30">
        <v>437310</v>
      </c>
      <c r="C3514" s="30">
        <v>5688729</v>
      </c>
      <c r="D3514" s="30">
        <v>26</v>
      </c>
      <c r="E3514" s="30" t="s">
        <v>36</v>
      </c>
      <c r="F3514" s="46">
        <v>2023</v>
      </c>
      <c r="G3514" s="84">
        <v>9.2447695186256174E-2</v>
      </c>
      <c r="H3514" s="47">
        <f>G3514*0.211116399111575</f>
        <v>1.9517224513886891E-2</v>
      </c>
      <c r="I3514" s="47">
        <v>0.10280943471111867</v>
      </c>
      <c r="J3514" s="47">
        <f>I3514*0.282600660892444</f>
        <v>2.9054014195340708E-2</v>
      </c>
      <c r="K3514" s="47">
        <v>8.7968475364290977E-2</v>
      </c>
      <c r="L3514" s="47">
        <f>K3514*0.248128937108032</f>
        <v>2.1827524291155618E-2</v>
      </c>
      <c r="M3514" s="47">
        <f t="shared" si="407"/>
        <v>-2.3102997772687268E-3</v>
      </c>
      <c r="N3514" s="47">
        <v>4.7060157623178547E-3</v>
      </c>
      <c r="O3514" s="47">
        <f t="shared" ref="O3514" si="420">N3514*0.262820512820513</f>
        <v>1.236837475993796E-3</v>
      </c>
      <c r="P3514" s="92"/>
    </row>
    <row r="3515" spans="1:16" x14ac:dyDescent="0.25">
      <c r="A3515" s="29">
        <v>42</v>
      </c>
      <c r="B3515" s="30">
        <v>437454.10856199998</v>
      </c>
      <c r="C3515" s="30">
        <v>5688750.3324180003</v>
      </c>
      <c r="D3515" s="30">
        <v>25</v>
      </c>
      <c r="E3515" s="30" t="s">
        <v>36</v>
      </c>
      <c r="F3515" s="46">
        <v>2023</v>
      </c>
      <c r="G3515" s="84">
        <v>3.7180359471565463E-2</v>
      </c>
      <c r="H3515" s="47">
        <f>G3515*0.232714649264217</f>
        <v>8.6524143139428654E-3</v>
      </c>
      <c r="I3515" s="47">
        <v>2.097862448262176E-2</v>
      </c>
      <c r="J3515" s="47">
        <f>I3515*0.376538218450485</f>
        <v>7.8992538882281249E-3</v>
      </c>
      <c r="K3515" s="47">
        <v>6.1660146283381524E-3</v>
      </c>
      <c r="L3515" s="47">
        <f>K3515*0.278470156935589</f>
        <v>1.717051061220463E-3</v>
      </c>
      <c r="M3515" s="47">
        <f t="shared" si="407"/>
        <v>6.935363252722402E-3</v>
      </c>
      <c r="N3515" s="47">
        <v>6.5203832851391964E-3</v>
      </c>
      <c r="O3515" s="47">
        <f>N3515*0.354372342392309</f>
        <v>2.3106434980504362E-3</v>
      </c>
      <c r="P3515" s="92"/>
    </row>
    <row r="3516" spans="1:16" x14ac:dyDescent="0.25">
      <c r="A3516" s="29">
        <v>43</v>
      </c>
      <c r="B3516" s="30">
        <v>437573.10856199998</v>
      </c>
      <c r="C3516" s="30">
        <v>5688750.3324180003</v>
      </c>
      <c r="D3516" s="30">
        <v>25</v>
      </c>
      <c r="E3516" s="30" t="s">
        <v>36</v>
      </c>
      <c r="F3516" s="46">
        <v>2023</v>
      </c>
      <c r="G3516" s="84">
        <v>3.549356466519249E-2</v>
      </c>
      <c r="H3516" s="47">
        <f>G3516*0.232714649264217</f>
        <v>8.2598724521970764E-3</v>
      </c>
      <c r="I3516" s="47">
        <v>1.0134943584509837E-2</v>
      </c>
      <c r="J3516" s="47">
        <f>I3516*0.376538218450485</f>
        <v>3.8161936014075065E-3</v>
      </c>
      <c r="K3516" s="47">
        <v>2.7924250155922209E-3</v>
      </c>
      <c r="L3516" s="47">
        <f>K3516*0.278470156935589</f>
        <v>7.7760703232283043E-4</v>
      </c>
      <c r="M3516" s="47">
        <f t="shared" si="407"/>
        <v>7.4822654198742457E-3</v>
      </c>
      <c r="N3516" s="47">
        <v>0</v>
      </c>
      <c r="O3516" s="47">
        <f>N3516*0.354372342392309</f>
        <v>0</v>
      </c>
      <c r="P3516" s="92"/>
    </row>
    <row r="3517" spans="1:16" x14ac:dyDescent="0.25">
      <c r="A3517" s="29">
        <v>44</v>
      </c>
      <c r="B3517" s="30">
        <v>437692.10856199998</v>
      </c>
      <c r="C3517" s="30">
        <v>5688750.3324180003</v>
      </c>
      <c r="D3517" s="30">
        <v>24</v>
      </c>
      <c r="E3517" s="30" t="s">
        <v>36</v>
      </c>
      <c r="F3517" s="46">
        <v>2023</v>
      </c>
      <c r="G3517" s="84">
        <v>2.2878040483075353E-2</v>
      </c>
      <c r="H3517" s="47">
        <f t="shared" si="416"/>
        <v>4.9829525838212766E-3</v>
      </c>
      <c r="I3517" s="47">
        <v>0</v>
      </c>
      <c r="J3517" s="47">
        <f t="shared" si="417"/>
        <v>0</v>
      </c>
      <c r="K3517" s="47">
        <v>1.0942904122016216E-2</v>
      </c>
      <c r="L3517" s="47">
        <f t="shared" si="418"/>
        <v>2.9960658893480288E-3</v>
      </c>
      <c r="M3517" s="47">
        <f t="shared" si="407"/>
        <v>1.9868866944732478E-3</v>
      </c>
      <c r="N3517" s="47">
        <v>0</v>
      </c>
      <c r="O3517" s="47">
        <f t="shared" si="419"/>
        <v>0</v>
      </c>
      <c r="P3517" s="92"/>
    </row>
    <row r="3518" spans="1:16" x14ac:dyDescent="0.25">
      <c r="A3518" s="29">
        <v>45</v>
      </c>
      <c r="B3518" s="30">
        <v>437811.10856199998</v>
      </c>
      <c r="C3518" s="30">
        <v>5688750.3324180003</v>
      </c>
      <c r="D3518" s="30">
        <v>24</v>
      </c>
      <c r="E3518" s="30" t="s">
        <v>36</v>
      </c>
      <c r="F3518" s="46">
        <v>2023</v>
      </c>
      <c r="G3518" s="84">
        <v>3.2375120485343307E-2</v>
      </c>
      <c r="H3518" s="47">
        <f t="shared" si="416"/>
        <v>7.0514644990382859E-3</v>
      </c>
      <c r="I3518" s="47">
        <v>2.2707943527810852E-2</v>
      </c>
      <c r="J3518" s="47">
        <f t="shared" si="417"/>
        <v>7.3048008611254515E-3</v>
      </c>
      <c r="K3518" s="47">
        <v>2.0836877019901341E-2</v>
      </c>
      <c r="L3518" s="47">
        <f t="shared" si="418"/>
        <v>5.7049441157274632E-3</v>
      </c>
      <c r="M3518" s="47">
        <f t="shared" si="407"/>
        <v>1.3465203833108227E-3</v>
      </c>
      <c r="N3518" s="47">
        <v>0</v>
      </c>
      <c r="O3518" s="47">
        <f t="shared" si="419"/>
        <v>0</v>
      </c>
      <c r="P3518" s="92"/>
    </row>
    <row r="3519" spans="1:16" x14ac:dyDescent="0.25">
      <c r="A3519" s="65">
        <v>46</v>
      </c>
      <c r="B3519" s="66">
        <v>437930.10856199998</v>
      </c>
      <c r="C3519" s="66">
        <v>5688750.3324180003</v>
      </c>
      <c r="D3519" s="66">
        <v>24</v>
      </c>
      <c r="E3519" s="66" t="s">
        <v>36</v>
      </c>
      <c r="F3519" s="66">
        <v>2023</v>
      </c>
      <c r="G3519" s="66" t="s">
        <v>18</v>
      </c>
      <c r="H3519" s="66" t="s">
        <v>18</v>
      </c>
      <c r="I3519" s="66" t="s">
        <v>18</v>
      </c>
      <c r="J3519" s="66" t="s">
        <v>18</v>
      </c>
      <c r="K3519" s="66" t="s">
        <v>18</v>
      </c>
      <c r="L3519" s="66" t="s">
        <v>18</v>
      </c>
      <c r="M3519" s="66" t="s">
        <v>18</v>
      </c>
      <c r="N3519" s="66" t="s">
        <v>18</v>
      </c>
      <c r="O3519" s="66" t="s">
        <v>18</v>
      </c>
      <c r="P3519" s="105" t="s">
        <v>166</v>
      </c>
    </row>
    <row r="3520" spans="1:16" x14ac:dyDescent="0.25">
      <c r="A3520" s="29">
        <v>47</v>
      </c>
      <c r="B3520" s="30">
        <v>438061</v>
      </c>
      <c r="C3520" s="30">
        <v>5688779</v>
      </c>
      <c r="D3520" s="30">
        <v>24</v>
      </c>
      <c r="E3520" s="30" t="s">
        <v>36</v>
      </c>
      <c r="F3520" s="46">
        <v>2023</v>
      </c>
      <c r="G3520" s="84">
        <v>0.15293133752905821</v>
      </c>
      <c r="H3520" s="47">
        <f t="shared" si="416"/>
        <v>3.3309216497427352E-2</v>
      </c>
      <c r="I3520" s="47">
        <v>0</v>
      </c>
      <c r="J3520" s="47">
        <f t="shared" si="417"/>
        <v>0</v>
      </c>
      <c r="K3520" s="47">
        <v>2.9837840902647843E-2</v>
      </c>
      <c r="L3520" s="47">
        <f t="shared" si="418"/>
        <v>8.169324737147151E-3</v>
      </c>
      <c r="M3520" s="47">
        <f t="shared" si="407"/>
        <v>2.5139891760280201E-2</v>
      </c>
      <c r="N3520" s="47">
        <v>0</v>
      </c>
      <c r="O3520" s="47">
        <f t="shared" si="419"/>
        <v>0</v>
      </c>
      <c r="P3520" s="92"/>
    </row>
    <row r="3521" spans="1:19" x14ac:dyDescent="0.25">
      <c r="A3521" s="32">
        <v>48</v>
      </c>
      <c r="B3521" s="33">
        <v>438168.10856199998</v>
      </c>
      <c r="C3521" s="33">
        <v>5688750.3324180003</v>
      </c>
      <c r="D3521" s="48">
        <v>24</v>
      </c>
      <c r="E3521" s="48" t="s">
        <v>36</v>
      </c>
      <c r="F3521" s="48">
        <v>2023</v>
      </c>
      <c r="G3521" s="49" t="s">
        <v>18</v>
      </c>
      <c r="H3521" s="49" t="s">
        <v>18</v>
      </c>
      <c r="I3521" s="49" t="s">
        <v>18</v>
      </c>
      <c r="J3521" s="49" t="s">
        <v>18</v>
      </c>
      <c r="K3521" s="49" t="s">
        <v>18</v>
      </c>
      <c r="L3521" s="49" t="s">
        <v>18</v>
      </c>
      <c r="M3521" s="49" t="s">
        <v>18</v>
      </c>
      <c r="N3521" s="49" t="s">
        <v>18</v>
      </c>
      <c r="O3521" s="49" t="s">
        <v>18</v>
      </c>
      <c r="P3521" s="103" t="s">
        <v>18</v>
      </c>
    </row>
    <row r="3522" spans="1:19" x14ac:dyDescent="0.25">
      <c r="A3522" s="89">
        <v>49</v>
      </c>
      <c r="B3522" s="90">
        <v>437454.10856199998</v>
      </c>
      <c r="C3522" s="90">
        <v>5688869.3324180003</v>
      </c>
      <c r="D3522" s="90">
        <v>24</v>
      </c>
      <c r="E3522" s="90" t="s">
        <v>36</v>
      </c>
      <c r="F3522" s="90">
        <v>2023</v>
      </c>
      <c r="G3522" s="90" t="s">
        <v>18</v>
      </c>
      <c r="H3522" s="90" t="s">
        <v>18</v>
      </c>
      <c r="I3522" s="90" t="s">
        <v>18</v>
      </c>
      <c r="J3522" s="90" t="s">
        <v>18</v>
      </c>
      <c r="K3522" s="90" t="s">
        <v>18</v>
      </c>
      <c r="L3522" s="90" t="s">
        <v>18</v>
      </c>
      <c r="M3522" s="90" t="s">
        <v>18</v>
      </c>
      <c r="N3522" s="90" t="s">
        <v>18</v>
      </c>
      <c r="O3522" s="90" t="s">
        <v>18</v>
      </c>
      <c r="P3522" s="115" t="s">
        <v>18</v>
      </c>
    </row>
    <row r="3523" spans="1:19" x14ac:dyDescent="0.25">
      <c r="A3523" s="29">
        <v>50</v>
      </c>
      <c r="B3523" s="30">
        <v>437811.10856199998</v>
      </c>
      <c r="C3523" s="30">
        <v>5688869.3324180003</v>
      </c>
      <c r="D3523" s="30">
        <v>24</v>
      </c>
      <c r="E3523" s="30" t="s">
        <v>36</v>
      </c>
      <c r="F3523" s="46">
        <v>2023</v>
      </c>
      <c r="G3523" s="84">
        <v>0.11925214038668708</v>
      </c>
      <c r="H3523" s="47">
        <f t="shared" si="416"/>
        <v>2.5973717526448822E-2</v>
      </c>
      <c r="I3523" s="47">
        <v>5.9533934342575275E-4</v>
      </c>
      <c r="J3523" s="47">
        <f t="shared" si="417"/>
        <v>1.915116330632141E-4</v>
      </c>
      <c r="K3523" s="47">
        <v>6.4353348075069459E-3</v>
      </c>
      <c r="L3523" s="47">
        <f t="shared" si="418"/>
        <v>1.7619351214559651E-3</v>
      </c>
      <c r="M3523" s="47">
        <f t="shared" si="407"/>
        <v>2.4211782404992856E-2</v>
      </c>
      <c r="N3523" s="47">
        <v>0</v>
      </c>
      <c r="O3523" s="47">
        <f t="shared" si="419"/>
        <v>0</v>
      </c>
      <c r="P3523" s="92"/>
    </row>
    <row r="3524" spans="1:19" x14ac:dyDescent="0.25">
      <c r="A3524" s="29">
        <v>51</v>
      </c>
      <c r="B3524" s="30">
        <v>437930.10856199998</v>
      </c>
      <c r="C3524" s="30">
        <v>5688869.3324180003</v>
      </c>
      <c r="D3524" s="30">
        <v>24</v>
      </c>
      <c r="E3524" s="30" t="s">
        <v>36</v>
      </c>
      <c r="F3524" s="46">
        <v>2023</v>
      </c>
      <c r="G3524" s="84">
        <v>5.0164427056755688E-2</v>
      </c>
      <c r="H3524" s="47">
        <f t="shared" si="416"/>
        <v>1.0926065176049255E-2</v>
      </c>
      <c r="I3524" s="47">
        <v>4.1900549980155355E-2</v>
      </c>
      <c r="J3524" s="47">
        <f t="shared" si="417"/>
        <v>1.3478771127020495E-2</v>
      </c>
      <c r="K3524" s="47">
        <v>1.2544650450756931E-2</v>
      </c>
      <c r="L3524" s="47">
        <f t="shared" si="418"/>
        <v>3.4346092125297997E-3</v>
      </c>
      <c r="M3524" s="47">
        <f t="shared" si="407"/>
        <v>7.4914559635194562E-3</v>
      </c>
      <c r="N3524" s="47">
        <v>0</v>
      </c>
      <c r="O3524" s="47">
        <f t="shared" si="419"/>
        <v>0</v>
      </c>
      <c r="P3524" s="92"/>
    </row>
    <row r="3525" spans="1:19" x14ac:dyDescent="0.25">
      <c r="A3525" s="65">
        <v>52</v>
      </c>
      <c r="B3525" s="66">
        <v>438049.10856199998</v>
      </c>
      <c r="C3525" s="66">
        <v>5688869.3324180003</v>
      </c>
      <c r="D3525" s="66">
        <v>24</v>
      </c>
      <c r="E3525" s="66" t="s">
        <v>36</v>
      </c>
      <c r="F3525" s="66">
        <v>2023</v>
      </c>
      <c r="G3525" s="66" t="s">
        <v>18</v>
      </c>
      <c r="H3525" s="66" t="s">
        <v>18</v>
      </c>
      <c r="I3525" s="66" t="s">
        <v>18</v>
      </c>
      <c r="J3525" s="66" t="s">
        <v>18</v>
      </c>
      <c r="K3525" s="66" t="s">
        <v>18</v>
      </c>
      <c r="L3525" s="66" t="s">
        <v>18</v>
      </c>
      <c r="M3525" s="66" t="s">
        <v>18</v>
      </c>
      <c r="N3525" s="66" t="s">
        <v>18</v>
      </c>
      <c r="O3525" s="66" t="s">
        <v>18</v>
      </c>
      <c r="P3525" s="105" t="s">
        <v>166</v>
      </c>
    </row>
    <row r="3526" spans="1:19" x14ac:dyDescent="0.25">
      <c r="A3526" s="89">
        <v>53</v>
      </c>
      <c r="B3526" s="90">
        <v>438287.10856199998</v>
      </c>
      <c r="C3526" s="90">
        <v>5688869.3324180003</v>
      </c>
      <c r="D3526" s="90">
        <v>24</v>
      </c>
      <c r="E3526" s="90" t="s">
        <v>36</v>
      </c>
      <c r="F3526" s="90">
        <v>2023</v>
      </c>
      <c r="G3526" s="90" t="s">
        <v>18</v>
      </c>
      <c r="H3526" s="90" t="s">
        <v>18</v>
      </c>
      <c r="I3526" s="90" t="s">
        <v>18</v>
      </c>
      <c r="J3526" s="90" t="s">
        <v>18</v>
      </c>
      <c r="K3526" s="90" t="s">
        <v>18</v>
      </c>
      <c r="L3526" s="90" t="s">
        <v>18</v>
      </c>
      <c r="M3526" s="90" t="s">
        <v>18</v>
      </c>
      <c r="N3526" s="90" t="s">
        <v>18</v>
      </c>
      <c r="O3526" s="90" t="s">
        <v>18</v>
      </c>
      <c r="P3526" s="115" t="s">
        <v>18</v>
      </c>
    </row>
    <row r="3527" spans="1:19" x14ac:dyDescent="0.25">
      <c r="A3527" s="89">
        <v>54</v>
      </c>
      <c r="B3527" s="90">
        <v>437454.10856199998</v>
      </c>
      <c r="C3527" s="90">
        <v>5688988.3324180003</v>
      </c>
      <c r="D3527" s="90">
        <v>24</v>
      </c>
      <c r="E3527" s="90" t="s">
        <v>36</v>
      </c>
      <c r="F3527" s="90">
        <v>2023</v>
      </c>
      <c r="G3527" s="90" t="s">
        <v>18</v>
      </c>
      <c r="H3527" s="90" t="s">
        <v>18</v>
      </c>
      <c r="I3527" s="90" t="s">
        <v>18</v>
      </c>
      <c r="J3527" s="90" t="s">
        <v>18</v>
      </c>
      <c r="K3527" s="90" t="s">
        <v>18</v>
      </c>
      <c r="L3527" s="90" t="s">
        <v>18</v>
      </c>
      <c r="M3527" s="90" t="s">
        <v>18</v>
      </c>
      <c r="N3527" s="90" t="s">
        <v>18</v>
      </c>
      <c r="O3527" s="90" t="s">
        <v>18</v>
      </c>
      <c r="P3527" s="115" t="s">
        <v>18</v>
      </c>
    </row>
    <row r="3528" spans="1:19" x14ac:dyDescent="0.25">
      <c r="A3528" s="89">
        <v>55</v>
      </c>
      <c r="B3528" s="90">
        <v>438049.10856199998</v>
      </c>
      <c r="C3528" s="90">
        <v>5688988.3324180003</v>
      </c>
      <c r="D3528" s="90">
        <v>24</v>
      </c>
      <c r="E3528" s="90" t="s">
        <v>36</v>
      </c>
      <c r="F3528" s="90">
        <v>2023</v>
      </c>
      <c r="G3528" s="90" t="s">
        <v>18</v>
      </c>
      <c r="H3528" s="90" t="s">
        <v>18</v>
      </c>
      <c r="I3528" s="90" t="s">
        <v>18</v>
      </c>
      <c r="J3528" s="90" t="s">
        <v>18</v>
      </c>
      <c r="K3528" s="90" t="s">
        <v>18</v>
      </c>
      <c r="L3528" s="90" t="s">
        <v>18</v>
      </c>
      <c r="M3528" s="90" t="s">
        <v>18</v>
      </c>
      <c r="N3528" s="90" t="s">
        <v>18</v>
      </c>
      <c r="O3528" s="90" t="s">
        <v>18</v>
      </c>
      <c r="P3528" s="115" t="s">
        <v>18</v>
      </c>
    </row>
    <row r="3529" spans="1:19" x14ac:dyDescent="0.25">
      <c r="A3529" s="29">
        <v>56</v>
      </c>
      <c r="B3529" s="30">
        <v>438168.10856199998</v>
      </c>
      <c r="C3529" s="30">
        <v>5688988.3324180003</v>
      </c>
      <c r="D3529" s="30">
        <v>24</v>
      </c>
      <c r="E3529" s="30" t="s">
        <v>36</v>
      </c>
      <c r="F3529" s="46">
        <v>2023</v>
      </c>
      <c r="G3529" s="84">
        <v>3.121279129103589E-2</v>
      </c>
      <c r="H3529" s="47">
        <f t="shared" si="416"/>
        <v>6.7983033392654589E-3</v>
      </c>
      <c r="I3529" s="47">
        <v>0</v>
      </c>
      <c r="J3529" s="47">
        <f t="shared" si="417"/>
        <v>0</v>
      </c>
      <c r="K3529" s="47">
        <v>3.1042694335771388E-3</v>
      </c>
      <c r="L3529" s="47">
        <f t="shared" si="418"/>
        <v>8.4992024581245892E-4</v>
      </c>
      <c r="M3529" s="47">
        <f t="shared" si="407"/>
        <v>5.9483830934530003E-3</v>
      </c>
      <c r="N3529" s="47">
        <v>0</v>
      </c>
      <c r="O3529" s="47">
        <f t="shared" si="419"/>
        <v>0</v>
      </c>
      <c r="P3529" s="92"/>
    </row>
    <row r="3530" spans="1:19" x14ac:dyDescent="0.25">
      <c r="A3530" s="40">
        <v>57</v>
      </c>
      <c r="B3530" s="41">
        <v>438146</v>
      </c>
      <c r="C3530" s="41">
        <v>5688977</v>
      </c>
      <c r="D3530" s="41">
        <v>24</v>
      </c>
      <c r="E3530" s="41" t="s">
        <v>36</v>
      </c>
      <c r="F3530" s="50">
        <v>2023</v>
      </c>
      <c r="G3530" s="86">
        <v>8.8010999603107098E-2</v>
      </c>
      <c r="H3530" s="51">
        <f t="shared" si="416"/>
        <v>1.9169239524749877E-2</v>
      </c>
      <c r="I3530" s="51">
        <v>0</v>
      </c>
      <c r="J3530" s="51">
        <f t="shared" si="417"/>
        <v>0</v>
      </c>
      <c r="K3530" s="51">
        <v>3.047570448488972E-3</v>
      </c>
      <c r="L3530" s="51">
        <f t="shared" si="418"/>
        <v>8.3439658835469705E-4</v>
      </c>
      <c r="M3530" s="51">
        <f t="shared" si="407"/>
        <v>1.8334842936395181E-2</v>
      </c>
      <c r="N3530" s="51">
        <v>0</v>
      </c>
      <c r="O3530" s="51">
        <f t="shared" si="419"/>
        <v>0</v>
      </c>
      <c r="P3530" s="101"/>
    </row>
    <row r="3531" spans="1:19" x14ac:dyDescent="0.25">
      <c r="A3531" s="40">
        <v>58</v>
      </c>
      <c r="B3531" s="41">
        <v>438131</v>
      </c>
      <c r="C3531" s="41">
        <v>5688972</v>
      </c>
      <c r="D3531" s="41">
        <v>24</v>
      </c>
      <c r="E3531" s="41" t="s">
        <v>36</v>
      </c>
      <c r="F3531" s="50">
        <v>2023</v>
      </c>
      <c r="G3531" s="86">
        <v>0.12670805692578102</v>
      </c>
      <c r="H3531" s="51">
        <f t="shared" si="416"/>
        <v>2.7597653746455009E-2</v>
      </c>
      <c r="I3531" s="51">
        <v>0</v>
      </c>
      <c r="J3531" s="51">
        <f t="shared" si="417"/>
        <v>0</v>
      </c>
      <c r="K3531" s="51">
        <v>4.8194137324941884E-4</v>
      </c>
      <c r="L3531" s="51">
        <f t="shared" si="418"/>
        <v>1.3195108839097536E-4</v>
      </c>
      <c r="M3531" s="51">
        <f t="shared" si="407"/>
        <v>2.7465702658064032E-2</v>
      </c>
      <c r="N3531" s="51">
        <v>0</v>
      </c>
      <c r="O3531" s="51">
        <f t="shared" si="419"/>
        <v>0</v>
      </c>
      <c r="P3531" s="101"/>
    </row>
    <row r="3532" spans="1:19" x14ac:dyDescent="0.25">
      <c r="A3532" s="40">
        <v>59</v>
      </c>
      <c r="B3532" s="41">
        <v>438089</v>
      </c>
      <c r="C3532" s="41">
        <v>5688713</v>
      </c>
      <c r="D3532" s="41">
        <v>24</v>
      </c>
      <c r="E3532" s="41" t="s">
        <v>36</v>
      </c>
      <c r="F3532" s="50">
        <v>2023</v>
      </c>
      <c r="G3532" s="86">
        <v>0.19942450530135511</v>
      </c>
      <c r="H3532" s="51">
        <f t="shared" si="416"/>
        <v>4.3435662888340484E-2</v>
      </c>
      <c r="I3532" s="51">
        <v>3.6131428247434372E-2</v>
      </c>
      <c r="J3532" s="51">
        <f t="shared" si="417"/>
        <v>1.1622932206622206E-2</v>
      </c>
      <c r="K3532" s="51">
        <v>9.6671769575324609E-3</v>
      </c>
      <c r="L3532" s="51">
        <f t="shared" si="418"/>
        <v>2.6467835965483882E-3</v>
      </c>
      <c r="M3532" s="51">
        <f t="shared" si="407"/>
        <v>4.0788879291792098E-2</v>
      </c>
      <c r="N3532" s="51">
        <v>0</v>
      </c>
      <c r="O3532" s="51">
        <f t="shared" si="419"/>
        <v>0</v>
      </c>
      <c r="P3532" s="101"/>
    </row>
    <row r="3533" spans="1:19" x14ac:dyDescent="0.25">
      <c r="A3533" s="40">
        <v>60</v>
      </c>
      <c r="B3533" s="41">
        <v>438099</v>
      </c>
      <c r="C3533" s="41">
        <v>5688719</v>
      </c>
      <c r="D3533" s="41">
        <v>24</v>
      </c>
      <c r="E3533" s="41" t="s">
        <v>36</v>
      </c>
      <c r="F3533" s="50">
        <v>2023</v>
      </c>
      <c r="G3533" s="86">
        <v>5.5621704371491748E-2</v>
      </c>
      <c r="H3533" s="51">
        <f t="shared" si="416"/>
        <v>1.211468769449485E-2</v>
      </c>
      <c r="I3533" s="51">
        <v>7.654362986902535E-3</v>
      </c>
      <c r="J3533" s="51">
        <f t="shared" si="417"/>
        <v>2.4622924250984669E-3</v>
      </c>
      <c r="K3533" s="51">
        <v>9.6671769575324609E-3</v>
      </c>
      <c r="L3533" s="51">
        <f t="shared" si="418"/>
        <v>2.6467835965483882E-3</v>
      </c>
      <c r="M3533" s="51">
        <f t="shared" si="407"/>
        <v>9.4679040979464609E-3</v>
      </c>
      <c r="N3533" s="51">
        <v>1.4458241197482563E-3</v>
      </c>
      <c r="O3533" s="51">
        <f t="shared" si="419"/>
        <v>1.0064069853149627E-3</v>
      </c>
      <c r="P3533" s="101"/>
    </row>
    <row r="3534" spans="1:19" x14ac:dyDescent="0.25">
      <c r="A3534" s="42">
        <v>1</v>
      </c>
      <c r="B3534" s="43">
        <v>437930.10856199998</v>
      </c>
      <c r="C3534" s="43">
        <v>5688036.3324180003</v>
      </c>
      <c r="D3534" s="44">
        <v>24</v>
      </c>
      <c r="E3534" s="44" t="s">
        <v>40</v>
      </c>
      <c r="F3534" s="44">
        <v>2024</v>
      </c>
      <c r="G3534" s="45" t="s">
        <v>18</v>
      </c>
      <c r="H3534" s="45" t="s">
        <v>18</v>
      </c>
      <c r="I3534" s="45" t="s">
        <v>18</v>
      </c>
      <c r="J3534" s="45" t="s">
        <v>18</v>
      </c>
      <c r="K3534" s="45" t="s">
        <v>18</v>
      </c>
      <c r="L3534" s="45" t="s">
        <v>18</v>
      </c>
      <c r="M3534" s="45" t="s">
        <v>18</v>
      </c>
      <c r="N3534" s="45" t="s">
        <v>18</v>
      </c>
      <c r="O3534" s="45" t="s">
        <v>18</v>
      </c>
      <c r="P3534" s="45" t="s">
        <v>109</v>
      </c>
      <c r="R3534" s="5">
        <f>AVERAGE(M3534:M3593)</f>
        <v>1.1677252740817786E-2</v>
      </c>
      <c r="S3534" s="5">
        <f>AVERAGE(H3534:H3593)</f>
        <v>2.2802812093808071E-2</v>
      </c>
    </row>
    <row r="3535" spans="1:19" x14ac:dyDescent="0.25">
      <c r="A3535" s="42">
        <v>2</v>
      </c>
      <c r="B3535" s="43">
        <v>437811.10856199998</v>
      </c>
      <c r="C3535" s="43">
        <v>5688155.3324180003</v>
      </c>
      <c r="D3535" s="44">
        <v>24</v>
      </c>
      <c r="E3535" s="44" t="s">
        <v>40</v>
      </c>
      <c r="F3535" s="44">
        <v>2024</v>
      </c>
      <c r="G3535" s="45" t="s">
        <v>18</v>
      </c>
      <c r="H3535" s="45" t="s">
        <v>18</v>
      </c>
      <c r="I3535" s="45" t="s">
        <v>18</v>
      </c>
      <c r="J3535" s="45" t="s">
        <v>18</v>
      </c>
      <c r="K3535" s="45" t="s">
        <v>18</v>
      </c>
      <c r="L3535" s="45" t="s">
        <v>18</v>
      </c>
      <c r="M3535" s="45" t="s">
        <v>18</v>
      </c>
      <c r="N3535" s="45" t="s">
        <v>18</v>
      </c>
      <c r="O3535" s="45" t="s">
        <v>18</v>
      </c>
      <c r="P3535" s="45" t="s">
        <v>109</v>
      </c>
    </row>
    <row r="3536" spans="1:19" x14ac:dyDescent="0.25">
      <c r="A3536" s="65">
        <v>3</v>
      </c>
      <c r="B3536" s="66">
        <v>437930.10856199998</v>
      </c>
      <c r="C3536" s="66">
        <v>5688155.3324180003</v>
      </c>
      <c r="D3536" s="66">
        <v>24</v>
      </c>
      <c r="E3536" s="66" t="s">
        <v>40</v>
      </c>
      <c r="F3536" s="66">
        <v>2024</v>
      </c>
      <c r="G3536" s="66" t="s">
        <v>18</v>
      </c>
      <c r="H3536" s="66" t="s">
        <v>18</v>
      </c>
      <c r="I3536" s="66" t="s">
        <v>18</v>
      </c>
      <c r="J3536" s="66" t="s">
        <v>18</v>
      </c>
      <c r="K3536" s="66" t="s">
        <v>18</v>
      </c>
      <c r="L3536" s="66" t="s">
        <v>18</v>
      </c>
      <c r="M3536" s="66" t="s">
        <v>18</v>
      </c>
      <c r="N3536" s="66" t="s">
        <v>18</v>
      </c>
      <c r="O3536" s="66" t="s">
        <v>18</v>
      </c>
      <c r="P3536" s="67" t="s">
        <v>166</v>
      </c>
    </row>
    <row r="3537" spans="1:16" x14ac:dyDescent="0.25">
      <c r="A3537" s="42">
        <v>4</v>
      </c>
      <c r="B3537" s="43">
        <v>438049.10856199998</v>
      </c>
      <c r="C3537" s="43">
        <v>5688155.3324180003</v>
      </c>
      <c r="D3537" s="44">
        <v>24</v>
      </c>
      <c r="E3537" s="44" t="s">
        <v>40</v>
      </c>
      <c r="F3537" s="44">
        <v>2024</v>
      </c>
      <c r="G3537" s="45" t="s">
        <v>18</v>
      </c>
      <c r="H3537" s="45" t="s">
        <v>18</v>
      </c>
      <c r="I3537" s="45" t="s">
        <v>18</v>
      </c>
      <c r="J3537" s="45" t="s">
        <v>18</v>
      </c>
      <c r="K3537" s="45" t="s">
        <v>18</v>
      </c>
      <c r="L3537" s="45" t="s">
        <v>18</v>
      </c>
      <c r="M3537" s="45" t="s">
        <v>18</v>
      </c>
      <c r="N3537" s="45" t="s">
        <v>18</v>
      </c>
      <c r="O3537" s="45" t="s">
        <v>18</v>
      </c>
      <c r="P3537" s="45" t="s">
        <v>109</v>
      </c>
    </row>
    <row r="3538" spans="1:16" x14ac:dyDescent="0.25">
      <c r="A3538" s="42">
        <v>5</v>
      </c>
      <c r="B3538" s="43">
        <v>437573.10856199998</v>
      </c>
      <c r="C3538" s="43">
        <v>5688274.3324180003</v>
      </c>
      <c r="D3538" s="44">
        <v>24</v>
      </c>
      <c r="E3538" s="44" t="s">
        <v>40</v>
      </c>
      <c r="F3538" s="44">
        <v>2024</v>
      </c>
      <c r="G3538" s="45" t="s">
        <v>18</v>
      </c>
      <c r="H3538" s="45" t="s">
        <v>18</v>
      </c>
      <c r="I3538" s="45" t="s">
        <v>18</v>
      </c>
      <c r="J3538" s="45" t="s">
        <v>18</v>
      </c>
      <c r="K3538" s="45" t="s">
        <v>18</v>
      </c>
      <c r="L3538" s="45" t="s">
        <v>18</v>
      </c>
      <c r="M3538" s="45" t="s">
        <v>18</v>
      </c>
      <c r="N3538" s="45" t="s">
        <v>18</v>
      </c>
      <c r="O3538" s="45" t="s">
        <v>18</v>
      </c>
      <c r="P3538" s="45" t="s">
        <v>109</v>
      </c>
    </row>
    <row r="3539" spans="1:16" x14ac:dyDescent="0.25">
      <c r="A3539" s="89">
        <v>6</v>
      </c>
      <c r="B3539" s="90">
        <v>437692.10856199998</v>
      </c>
      <c r="C3539" s="90">
        <v>5688274.3324180003</v>
      </c>
      <c r="D3539" s="90">
        <v>24</v>
      </c>
      <c r="E3539" s="90" t="s">
        <v>40</v>
      </c>
      <c r="F3539" s="90">
        <v>2024</v>
      </c>
      <c r="G3539" s="90" t="s">
        <v>18</v>
      </c>
      <c r="H3539" s="90" t="s">
        <v>18</v>
      </c>
      <c r="I3539" s="90" t="s">
        <v>18</v>
      </c>
      <c r="J3539" s="90" t="s">
        <v>18</v>
      </c>
      <c r="K3539" s="90" t="s">
        <v>18</v>
      </c>
      <c r="L3539" s="90" t="s">
        <v>18</v>
      </c>
      <c r="M3539" s="90" t="s">
        <v>18</v>
      </c>
      <c r="N3539" s="90" t="s">
        <v>18</v>
      </c>
      <c r="O3539" s="90" t="s">
        <v>18</v>
      </c>
      <c r="P3539" s="90" t="s">
        <v>18</v>
      </c>
    </row>
    <row r="3540" spans="1:16" x14ac:dyDescent="0.25">
      <c r="A3540" s="65">
        <v>7</v>
      </c>
      <c r="B3540" s="66">
        <v>437811.10856199998</v>
      </c>
      <c r="C3540" s="66">
        <v>5688274.3324180003</v>
      </c>
      <c r="D3540" s="66">
        <v>24</v>
      </c>
      <c r="E3540" s="66" t="s">
        <v>40</v>
      </c>
      <c r="F3540" s="66">
        <v>2024</v>
      </c>
      <c r="G3540" s="66" t="s">
        <v>18</v>
      </c>
      <c r="H3540" s="66" t="s">
        <v>18</v>
      </c>
      <c r="I3540" s="66" t="s">
        <v>18</v>
      </c>
      <c r="J3540" s="66" t="s">
        <v>18</v>
      </c>
      <c r="K3540" s="66" t="s">
        <v>18</v>
      </c>
      <c r="L3540" s="66" t="s">
        <v>18</v>
      </c>
      <c r="M3540" s="66" t="s">
        <v>18</v>
      </c>
      <c r="N3540" s="66" t="s">
        <v>18</v>
      </c>
      <c r="O3540" s="66" t="s">
        <v>18</v>
      </c>
      <c r="P3540" s="67" t="s">
        <v>166</v>
      </c>
    </row>
    <row r="3541" spans="1:16" x14ac:dyDescent="0.25">
      <c r="A3541" s="42">
        <v>8</v>
      </c>
      <c r="B3541" s="43">
        <v>437930.10856199998</v>
      </c>
      <c r="C3541" s="43">
        <v>5688274.3324180003</v>
      </c>
      <c r="D3541" s="44">
        <v>24</v>
      </c>
      <c r="E3541" s="44" t="s">
        <v>40</v>
      </c>
      <c r="F3541" s="44">
        <v>2024</v>
      </c>
      <c r="G3541" s="45" t="s">
        <v>18</v>
      </c>
      <c r="H3541" s="45" t="s">
        <v>18</v>
      </c>
      <c r="I3541" s="45" t="s">
        <v>18</v>
      </c>
      <c r="J3541" s="45" t="s">
        <v>18</v>
      </c>
      <c r="K3541" s="45" t="s">
        <v>18</v>
      </c>
      <c r="L3541" s="45" t="s">
        <v>18</v>
      </c>
      <c r="M3541" s="45" t="s">
        <v>18</v>
      </c>
      <c r="N3541" s="45" t="s">
        <v>18</v>
      </c>
      <c r="O3541" s="45" t="s">
        <v>18</v>
      </c>
      <c r="P3541" s="45" t="s">
        <v>109</v>
      </c>
    </row>
    <row r="3542" spans="1:16" x14ac:dyDescent="0.25">
      <c r="A3542" s="89">
        <v>9</v>
      </c>
      <c r="B3542" s="90">
        <v>438287.10856199998</v>
      </c>
      <c r="C3542" s="90">
        <v>5688274.3324180003</v>
      </c>
      <c r="D3542" s="90">
        <v>24</v>
      </c>
      <c r="E3542" s="90" t="s">
        <v>40</v>
      </c>
      <c r="F3542" s="90">
        <v>2024</v>
      </c>
      <c r="G3542" s="90" t="s">
        <v>18</v>
      </c>
      <c r="H3542" s="90" t="s">
        <v>18</v>
      </c>
      <c r="I3542" s="90" t="s">
        <v>18</v>
      </c>
      <c r="J3542" s="90" t="s">
        <v>18</v>
      </c>
      <c r="K3542" s="90" t="s">
        <v>18</v>
      </c>
      <c r="L3542" s="90" t="s">
        <v>18</v>
      </c>
      <c r="M3542" s="90" t="s">
        <v>18</v>
      </c>
      <c r="N3542" s="90" t="s">
        <v>18</v>
      </c>
      <c r="O3542" s="90" t="s">
        <v>18</v>
      </c>
      <c r="P3542" s="90" t="s">
        <v>18</v>
      </c>
    </row>
    <row r="3543" spans="1:16" x14ac:dyDescent="0.25">
      <c r="A3543" s="29">
        <v>10</v>
      </c>
      <c r="B3543" s="30">
        <v>438406.10856199998</v>
      </c>
      <c r="C3543" s="30">
        <v>5688274.3324180003</v>
      </c>
      <c r="D3543" s="30">
        <v>25</v>
      </c>
      <c r="E3543" s="30" t="s">
        <v>40</v>
      </c>
      <c r="F3543" s="46">
        <v>2024</v>
      </c>
      <c r="G3543" s="84">
        <v>0.1823014118047287</v>
      </c>
      <c r="H3543" s="47">
        <f>G3543*0.306363678089948</f>
        <v>5.5850531041486955E-2</v>
      </c>
      <c r="I3543" s="47">
        <v>0</v>
      </c>
      <c r="J3543" s="47">
        <f>I3543*0.391696964433559</f>
        <v>0</v>
      </c>
      <c r="K3543" s="47">
        <v>0.12296592390996201</v>
      </c>
      <c r="L3543" s="47">
        <f>K3543*0.353324681874155</f>
        <v>4.3446895946848876E-2</v>
      </c>
      <c r="M3543" s="47">
        <f>H3543-L3543</f>
        <v>1.2403635094638078E-2</v>
      </c>
      <c r="N3543" s="47">
        <v>0</v>
      </c>
      <c r="O3543" s="47">
        <f>N3543*0.424625829347323</f>
        <v>0</v>
      </c>
      <c r="P3543" s="47" t="s">
        <v>183</v>
      </c>
    </row>
    <row r="3544" spans="1:16" x14ac:dyDescent="0.25">
      <c r="A3544" s="42">
        <v>11</v>
      </c>
      <c r="B3544" s="43">
        <v>437454.10856199998</v>
      </c>
      <c r="C3544" s="43">
        <v>5688393.3324180003</v>
      </c>
      <c r="D3544" s="44">
        <v>24</v>
      </c>
      <c r="E3544" s="44" t="s">
        <v>40</v>
      </c>
      <c r="F3544" s="44">
        <v>2024</v>
      </c>
      <c r="G3544" s="45" t="s">
        <v>18</v>
      </c>
      <c r="H3544" s="45" t="s">
        <v>18</v>
      </c>
      <c r="I3544" s="45" t="s">
        <v>18</v>
      </c>
      <c r="J3544" s="45" t="s">
        <v>18</v>
      </c>
      <c r="K3544" s="45" t="s">
        <v>18</v>
      </c>
      <c r="L3544" s="45" t="s">
        <v>18</v>
      </c>
      <c r="M3544" s="45" t="s">
        <v>18</v>
      </c>
      <c r="N3544" s="45" t="s">
        <v>18</v>
      </c>
      <c r="O3544" s="45" t="s">
        <v>18</v>
      </c>
      <c r="P3544" s="45" t="s">
        <v>109</v>
      </c>
    </row>
    <row r="3545" spans="1:16" x14ac:dyDescent="0.25">
      <c r="A3545" s="29">
        <v>12</v>
      </c>
      <c r="B3545" s="30">
        <v>437573.10856199998</v>
      </c>
      <c r="C3545" s="30">
        <v>5688393.3324180003</v>
      </c>
      <c r="D3545" s="30">
        <v>25</v>
      </c>
      <c r="E3545" s="30" t="s">
        <v>40</v>
      </c>
      <c r="F3545" s="46">
        <v>2024</v>
      </c>
      <c r="G3545" s="84">
        <v>5.5976073028292793E-2</v>
      </c>
      <c r="H3545" s="47">
        <f t="shared" ref="H3545:H3551" si="421">G3545*0.306363678089948</f>
        <v>1.7149035617979314E-2</v>
      </c>
      <c r="I3545" s="47">
        <v>2.4692408005896695E-2</v>
      </c>
      <c r="J3545" s="47">
        <f t="shared" ref="J3545:J3551" si="422">I3545*0.391696964433559</f>
        <v>9.6719412604646463E-3</v>
      </c>
      <c r="K3545" s="47">
        <v>1.5379599705165276E-2</v>
      </c>
      <c r="L3545" s="47">
        <f t="shared" ref="L3545:L3551" si="423">K3545*0.353324681874155</f>
        <v>5.4339921731793688E-3</v>
      </c>
      <c r="M3545" s="47">
        <f t="shared" ref="M3545:M3593" si="424">H3545-L3545</f>
        <v>1.1715043444799945E-2</v>
      </c>
      <c r="N3545" s="47">
        <v>1.3182514032998808E-3</v>
      </c>
      <c r="O3545" s="47">
        <f t="shared" ref="O3545:O3551" si="425">N3545*0.424625829347323</f>
        <v>5.5976359541448422E-4</v>
      </c>
      <c r="P3545" s="47"/>
    </row>
    <row r="3546" spans="1:16" x14ac:dyDescent="0.25">
      <c r="A3546" s="29">
        <v>13</v>
      </c>
      <c r="B3546" s="30">
        <v>437692.10856199998</v>
      </c>
      <c r="C3546" s="30">
        <v>5688393.3324180003</v>
      </c>
      <c r="D3546" s="30">
        <v>25</v>
      </c>
      <c r="E3546" s="30" t="s">
        <v>40</v>
      </c>
      <c r="F3546" s="46">
        <v>2024</v>
      </c>
      <c r="G3546" s="84">
        <v>0.17451947610137777</v>
      </c>
      <c r="H3546" s="47">
        <f t="shared" si="421"/>
        <v>5.3466428596748876E-2</v>
      </c>
      <c r="I3546" s="47">
        <v>8.6465952259454554E-2</v>
      </c>
      <c r="J3546" s="47">
        <f t="shared" si="422"/>
        <v>3.3868451026885384E-2</v>
      </c>
      <c r="K3546" s="47">
        <v>0.11902534444633441</v>
      </c>
      <c r="L3546" s="47">
        <f t="shared" si="423"/>
        <v>4.2054591961462828E-2</v>
      </c>
      <c r="M3546" s="47">
        <f t="shared" si="424"/>
        <v>1.1411836635286048E-2</v>
      </c>
      <c r="N3546" s="47">
        <v>4.7173555593354878E-2</v>
      </c>
      <c r="O3546" s="47">
        <f t="shared" si="425"/>
        <v>2.0031110167090364E-2</v>
      </c>
      <c r="P3546" s="47" t="s">
        <v>183</v>
      </c>
    </row>
    <row r="3547" spans="1:16" x14ac:dyDescent="0.25">
      <c r="A3547" s="32">
        <v>14</v>
      </c>
      <c r="B3547" s="33">
        <v>437811.10856199998</v>
      </c>
      <c r="C3547" s="33">
        <v>5688393.3324180003</v>
      </c>
      <c r="D3547" s="48">
        <v>24</v>
      </c>
      <c r="E3547" s="48" t="s">
        <v>40</v>
      </c>
      <c r="F3547" s="48">
        <v>2024</v>
      </c>
      <c r="G3547" s="49" t="s">
        <v>18</v>
      </c>
      <c r="H3547" s="49" t="s">
        <v>18</v>
      </c>
      <c r="I3547" s="49" t="s">
        <v>18</v>
      </c>
      <c r="J3547" s="49" t="s">
        <v>18</v>
      </c>
      <c r="K3547" s="49" t="s">
        <v>18</v>
      </c>
      <c r="L3547" s="49" t="s">
        <v>18</v>
      </c>
      <c r="M3547" s="49" t="s">
        <v>18</v>
      </c>
      <c r="N3547" s="49" t="s">
        <v>18</v>
      </c>
      <c r="O3547" s="49" t="s">
        <v>18</v>
      </c>
      <c r="P3547" s="49" t="s">
        <v>18</v>
      </c>
    </row>
    <row r="3548" spans="1:16" x14ac:dyDescent="0.25">
      <c r="A3548" s="29">
        <v>15</v>
      </c>
      <c r="B3548" s="30">
        <v>437930.10856199998</v>
      </c>
      <c r="C3548" s="30">
        <v>5688393.3324180003</v>
      </c>
      <c r="D3548" s="30">
        <v>25</v>
      </c>
      <c r="E3548" s="30" t="s">
        <v>40</v>
      </c>
      <c r="F3548" s="46">
        <v>2024</v>
      </c>
      <c r="G3548" s="84">
        <v>0.16353404774054545</v>
      </c>
      <c r="H3548" s="47">
        <f t="shared" si="421"/>
        <v>5.0100892358730657E-2</v>
      </c>
      <c r="I3548" s="47">
        <v>3.8200941203152462E-2</v>
      </c>
      <c r="J3548" s="47">
        <f t="shared" si="422"/>
        <v>1.4963192707779689E-2</v>
      </c>
      <c r="K3548" s="47">
        <v>7.3056642286103077E-2</v>
      </c>
      <c r="L3548" s="47">
        <f t="shared" si="423"/>
        <v>2.5812714894531311E-2</v>
      </c>
      <c r="M3548" s="47">
        <f t="shared" si="424"/>
        <v>2.4288177464199347E-2</v>
      </c>
      <c r="N3548" s="47">
        <v>0.10580030617451948</v>
      </c>
      <c r="O3548" s="47">
        <f t="shared" si="425"/>
        <v>4.4925542754556035E-2</v>
      </c>
      <c r="P3548" s="47"/>
    </row>
    <row r="3549" spans="1:16" x14ac:dyDescent="0.25">
      <c r="A3549" s="29">
        <v>16</v>
      </c>
      <c r="B3549" s="30">
        <v>438049.10856199998</v>
      </c>
      <c r="C3549" s="30">
        <v>5688393.3324180003</v>
      </c>
      <c r="D3549" s="30">
        <v>25</v>
      </c>
      <c r="E3549" s="30" t="s">
        <v>40</v>
      </c>
      <c r="F3549" s="46">
        <v>2024</v>
      </c>
      <c r="G3549" s="84">
        <v>0.10744457674207632</v>
      </c>
      <c r="H3549" s="47">
        <f t="shared" si="421"/>
        <v>3.2917115721520188E-2</v>
      </c>
      <c r="I3549" s="47">
        <v>0</v>
      </c>
      <c r="J3549" s="47">
        <f t="shared" si="422"/>
        <v>0</v>
      </c>
      <c r="K3549" s="47">
        <v>2.9540171230934966E-2</v>
      </c>
      <c r="L3549" s="47">
        <f t="shared" si="423"/>
        <v>1.0437271602678162E-2</v>
      </c>
      <c r="M3549" s="47">
        <f t="shared" si="424"/>
        <v>2.2479844118842025E-2</v>
      </c>
      <c r="N3549" s="47">
        <v>0</v>
      </c>
      <c r="O3549" s="47">
        <f t="shared" si="425"/>
        <v>0</v>
      </c>
      <c r="P3549" s="47"/>
    </row>
    <row r="3550" spans="1:16" x14ac:dyDescent="0.25">
      <c r="A3550" s="29">
        <v>17</v>
      </c>
      <c r="B3550" s="30">
        <v>438168.10856199998</v>
      </c>
      <c r="C3550" s="30">
        <v>5688393.3324180003</v>
      </c>
      <c r="D3550" s="30">
        <v>25</v>
      </c>
      <c r="E3550" s="30" t="s">
        <v>40</v>
      </c>
      <c r="F3550" s="46">
        <v>2024</v>
      </c>
      <c r="G3550" s="84">
        <v>5.5111413505698245E-2</v>
      </c>
      <c r="H3550" s="47">
        <f t="shared" si="421"/>
        <v>1.6884135346341752E-2</v>
      </c>
      <c r="I3550" s="47">
        <v>9.2546918410160453E-2</v>
      </c>
      <c r="J3550" s="47">
        <f t="shared" si="422"/>
        <v>3.6250347008940108E-2</v>
      </c>
      <c r="K3550" s="47">
        <v>4.0638997561943641E-2</v>
      </c>
      <c r="L3550" s="47">
        <f t="shared" si="423"/>
        <v>1.4358760885258297E-2</v>
      </c>
      <c r="M3550" s="47">
        <f t="shared" si="424"/>
        <v>2.5253744610834548E-3</v>
      </c>
      <c r="N3550" s="47">
        <v>6.4551794522878042E-2</v>
      </c>
      <c r="O3550" s="47">
        <f t="shared" si="425"/>
        <v>2.7410359285135071E-2</v>
      </c>
      <c r="P3550" s="47"/>
    </row>
    <row r="3551" spans="1:16" x14ac:dyDescent="0.25">
      <c r="A3551" s="29">
        <v>18</v>
      </c>
      <c r="B3551" s="30">
        <v>438287.10856199998</v>
      </c>
      <c r="C3551" s="30">
        <v>5688393.3324180003</v>
      </c>
      <c r="D3551" s="30">
        <v>25</v>
      </c>
      <c r="E3551" s="30" t="s">
        <v>40</v>
      </c>
      <c r="F3551" s="46">
        <v>2024</v>
      </c>
      <c r="G3551" s="84">
        <v>4.3119578159550941E-2</v>
      </c>
      <c r="H3551" s="47">
        <f t="shared" si="421"/>
        <v>1.3210272562647018E-2</v>
      </c>
      <c r="I3551" s="47">
        <v>0</v>
      </c>
      <c r="J3551" s="47">
        <f t="shared" si="422"/>
        <v>0</v>
      </c>
      <c r="K3551" s="47">
        <v>5.8399954640811925E-3</v>
      </c>
      <c r="L3551" s="47">
        <f t="shared" si="423"/>
        <v>2.0634145394929954E-3</v>
      </c>
      <c r="M3551" s="47">
        <f t="shared" si="424"/>
        <v>1.1146858023154023E-2</v>
      </c>
      <c r="N3551" s="47">
        <v>0</v>
      </c>
      <c r="O3551" s="47">
        <f t="shared" si="425"/>
        <v>0</v>
      </c>
      <c r="P3551" s="47" t="s">
        <v>183</v>
      </c>
    </row>
    <row r="3552" spans="1:16" x14ac:dyDescent="0.25">
      <c r="A3552" s="29">
        <v>19</v>
      </c>
      <c r="B3552" s="30">
        <v>438406.10856199998</v>
      </c>
      <c r="C3552" s="30">
        <v>5688393.3324180003</v>
      </c>
      <c r="D3552" s="30">
        <v>24</v>
      </c>
      <c r="E3552" s="30" t="s">
        <v>40</v>
      </c>
      <c r="F3552" s="46">
        <v>2024</v>
      </c>
      <c r="G3552" s="84">
        <v>3.9292396666099676E-2</v>
      </c>
      <c r="H3552" s="47">
        <f t="shared" ref="H3552:H3591" si="426">G3552*0.280085283111682</f>
        <v>1.1005222044361038E-2</v>
      </c>
      <c r="I3552" s="47">
        <v>0</v>
      </c>
      <c r="J3552" s="47">
        <f t="shared" ref="J3552:J3591" si="427">I3552*0.344630872483221</f>
        <v>0</v>
      </c>
      <c r="K3552" s="47">
        <v>1.1268923286273175E-2</v>
      </c>
      <c r="L3552" s="47">
        <f t="shared" ref="L3552:L3591" si="428">K3552*0.32557633753806</f>
        <v>3.6688947715421793E-3</v>
      </c>
      <c r="M3552" s="47">
        <f t="shared" si="424"/>
        <v>7.3363272728188579E-3</v>
      </c>
      <c r="N3552" s="47">
        <v>0</v>
      </c>
      <c r="O3552" s="47">
        <f t="shared" ref="O3552:O3591" si="429">N3552*0.452326901248581</f>
        <v>0</v>
      </c>
      <c r="P3552" s="47"/>
    </row>
    <row r="3553" spans="1:16" x14ac:dyDescent="0.25">
      <c r="A3553" s="42">
        <v>20</v>
      </c>
      <c r="B3553" s="43">
        <v>437335.10856199998</v>
      </c>
      <c r="C3553" s="43">
        <v>5688512.3324180003</v>
      </c>
      <c r="D3553" s="44">
        <v>24</v>
      </c>
      <c r="E3553" s="44" t="s">
        <v>40</v>
      </c>
      <c r="F3553" s="44">
        <v>2024</v>
      </c>
      <c r="G3553" s="45" t="s">
        <v>18</v>
      </c>
      <c r="H3553" s="45" t="s">
        <v>18</v>
      </c>
      <c r="I3553" s="45" t="s">
        <v>18</v>
      </c>
      <c r="J3553" s="45" t="s">
        <v>18</v>
      </c>
      <c r="K3553" s="45" t="s">
        <v>18</v>
      </c>
      <c r="L3553" s="45" t="s">
        <v>18</v>
      </c>
      <c r="M3553" s="45" t="s">
        <v>18</v>
      </c>
      <c r="N3553" s="45" t="s">
        <v>18</v>
      </c>
      <c r="O3553" s="45" t="s">
        <v>18</v>
      </c>
      <c r="P3553" s="45" t="s">
        <v>109</v>
      </c>
    </row>
    <row r="3554" spans="1:16" x14ac:dyDescent="0.25">
      <c r="A3554" s="29">
        <v>21</v>
      </c>
      <c r="B3554" s="30">
        <v>437454.10856199998</v>
      </c>
      <c r="C3554" s="30">
        <v>5688512.3324180003</v>
      </c>
      <c r="D3554" s="30">
        <v>25</v>
      </c>
      <c r="E3554" s="30" t="s">
        <v>40</v>
      </c>
      <c r="F3554" s="46">
        <v>2024</v>
      </c>
      <c r="G3554" s="84" t="s">
        <v>18</v>
      </c>
      <c r="H3554" s="47" t="s">
        <v>18</v>
      </c>
      <c r="I3554" s="47">
        <v>0</v>
      </c>
      <c r="J3554" s="47">
        <f t="shared" ref="J3554:J3557" si="430">I3554*0.391696964433559</f>
        <v>0</v>
      </c>
      <c r="K3554" s="47">
        <v>1.4132222033225604E-2</v>
      </c>
      <c r="L3554" s="47">
        <f t="shared" ref="L3554:L3557" si="431">K3554*0.353324681874155</f>
        <v>4.9932628540643609E-3</v>
      </c>
      <c r="M3554" s="47" t="s">
        <v>18</v>
      </c>
      <c r="N3554" s="47">
        <v>0</v>
      </c>
      <c r="O3554" s="47">
        <f t="shared" ref="O3554:O3557" si="432">N3554*0.424625829347323</f>
        <v>0</v>
      </c>
      <c r="P3554" s="47" t="s">
        <v>184</v>
      </c>
    </row>
    <row r="3555" spans="1:16" x14ac:dyDescent="0.25">
      <c r="A3555" s="29">
        <v>22</v>
      </c>
      <c r="B3555" s="30">
        <v>437573.10856199998</v>
      </c>
      <c r="C3555" s="30">
        <v>5688512.3324180003</v>
      </c>
      <c r="D3555" s="30">
        <v>25</v>
      </c>
      <c r="E3555" s="30" t="s">
        <v>40</v>
      </c>
      <c r="F3555" s="46">
        <v>2024</v>
      </c>
      <c r="G3555" s="84">
        <v>0.1855332539547542</v>
      </c>
      <c r="H3555" s="47">
        <f t="shared" ref="H3555:H3557" si="433">G3555*0.306363678089948</f>
        <v>5.6840650089574889E-2</v>
      </c>
      <c r="I3555" s="47">
        <v>1.5294551227533025E-2</v>
      </c>
      <c r="J3555" s="47">
        <f t="shared" si="430"/>
        <v>5.9908292881982496E-3</v>
      </c>
      <c r="K3555" s="47">
        <v>3.5862108068265577E-2</v>
      </c>
      <c r="L3555" s="47">
        <f t="shared" si="431"/>
        <v>1.2670967924556503E-2</v>
      </c>
      <c r="M3555" s="47">
        <f t="shared" si="424"/>
        <v>4.416968216501839E-2</v>
      </c>
      <c r="N3555" s="47">
        <v>1.8498043885014456E-2</v>
      </c>
      <c r="O3555" s="47">
        <f t="shared" si="432"/>
        <v>7.8547472259774404E-3</v>
      </c>
      <c r="P3555" s="47"/>
    </row>
    <row r="3556" spans="1:16" x14ac:dyDescent="0.25">
      <c r="A3556" s="29">
        <v>23</v>
      </c>
      <c r="B3556" s="30">
        <v>437692.10856199998</v>
      </c>
      <c r="C3556" s="30">
        <v>5688512.3324180003</v>
      </c>
      <c r="D3556" s="30">
        <v>25</v>
      </c>
      <c r="E3556" s="30" t="s">
        <v>40</v>
      </c>
      <c r="F3556" s="46">
        <v>2024</v>
      </c>
      <c r="G3556" s="84">
        <v>3.7889096785167546E-2</v>
      </c>
      <c r="H3556" s="47">
        <f t="shared" si="433"/>
        <v>1.1607843050609955E-2</v>
      </c>
      <c r="I3556" s="47">
        <v>0</v>
      </c>
      <c r="J3556" s="47">
        <f t="shared" si="430"/>
        <v>0</v>
      </c>
      <c r="K3556" s="47">
        <v>2.524522311050632E-2</v>
      </c>
      <c r="L3556" s="47">
        <f t="shared" si="431"/>
        <v>8.9197604243617112E-3</v>
      </c>
      <c r="M3556" s="47">
        <f t="shared" si="424"/>
        <v>2.6880826262482439E-3</v>
      </c>
      <c r="N3556" s="47">
        <v>8.4438963542552578E-2</v>
      </c>
      <c r="O3556" s="47">
        <f t="shared" si="432"/>
        <v>3.5854964923484764E-2</v>
      </c>
      <c r="P3556" s="47"/>
    </row>
    <row r="3557" spans="1:16" x14ac:dyDescent="0.25">
      <c r="A3557" s="29">
        <v>24</v>
      </c>
      <c r="B3557" s="30">
        <v>437811.10856199998</v>
      </c>
      <c r="C3557" s="30">
        <v>5688512.3324180003</v>
      </c>
      <c r="D3557" s="30">
        <v>25</v>
      </c>
      <c r="E3557" s="30" t="s">
        <v>40</v>
      </c>
      <c r="F3557" s="46">
        <v>2024</v>
      </c>
      <c r="G3557" s="84">
        <v>8.6012360378749209E-2</v>
      </c>
      <c r="H3557" s="47">
        <f t="shared" si="433"/>
        <v>2.6351063086831723E-2</v>
      </c>
      <c r="I3557" s="47">
        <v>1.8994160004535919E-3</v>
      </c>
      <c r="J3557" s="47">
        <f t="shared" si="430"/>
        <v>7.4399548157420348E-4</v>
      </c>
      <c r="K3557" s="47">
        <v>2.9214152066678004E-2</v>
      </c>
      <c r="L3557" s="47">
        <f t="shared" si="431"/>
        <v>1.0322080985182194E-2</v>
      </c>
      <c r="M3557" s="47">
        <f t="shared" si="424"/>
        <v>1.602898210164953E-2</v>
      </c>
      <c r="N3557" s="47">
        <v>1.5081930033452401E-2</v>
      </c>
      <c r="O3557" s="47">
        <f t="shared" si="432"/>
        <v>6.4041770486130247E-3</v>
      </c>
      <c r="P3557" s="47"/>
    </row>
    <row r="3558" spans="1:16" x14ac:dyDescent="0.25">
      <c r="A3558" s="29">
        <v>25</v>
      </c>
      <c r="B3558" s="46">
        <v>437995</v>
      </c>
      <c r="C3558" s="46">
        <v>5688493</v>
      </c>
      <c r="D3558" s="30">
        <v>24</v>
      </c>
      <c r="E3558" s="30" t="s">
        <v>40</v>
      </c>
      <c r="F3558" s="46">
        <v>2024</v>
      </c>
      <c r="G3558" s="84">
        <v>4.9484039235697684E-2</v>
      </c>
      <c r="H3558" s="47">
        <f t="shared" si="426"/>
        <v>1.3859751138839967E-2</v>
      </c>
      <c r="I3558" s="47">
        <v>0</v>
      </c>
      <c r="J3558" s="47">
        <f t="shared" si="427"/>
        <v>0</v>
      </c>
      <c r="K3558" s="47">
        <v>2.3515904065317231E-2</v>
      </c>
      <c r="L3558" s="47">
        <f t="shared" si="428"/>
        <v>7.6562219194823596E-3</v>
      </c>
      <c r="M3558" s="47">
        <f t="shared" si="424"/>
        <v>6.2035292193576078E-3</v>
      </c>
      <c r="N3558" s="47">
        <v>0</v>
      </c>
      <c r="O3558" s="47">
        <f t="shared" si="429"/>
        <v>0</v>
      </c>
      <c r="P3558" s="47"/>
    </row>
    <row r="3559" spans="1:16" x14ac:dyDescent="0.25">
      <c r="A3559" s="29">
        <v>26</v>
      </c>
      <c r="B3559" s="46">
        <v>438112</v>
      </c>
      <c r="C3559" s="46">
        <v>5688567</v>
      </c>
      <c r="D3559" s="30">
        <v>24</v>
      </c>
      <c r="E3559" s="30" t="s">
        <v>40</v>
      </c>
      <c r="F3559" s="46">
        <v>2024</v>
      </c>
      <c r="G3559" s="84">
        <v>7.8400521630662801E-2</v>
      </c>
      <c r="H3559" s="47">
        <f t="shared" si="426"/>
        <v>2.195883229702774E-2</v>
      </c>
      <c r="I3559" s="47">
        <v>0</v>
      </c>
      <c r="J3559" s="47">
        <f t="shared" si="427"/>
        <v>0</v>
      </c>
      <c r="K3559" s="47">
        <v>2.6846969439247036E-2</v>
      </c>
      <c r="L3559" s="47">
        <f t="shared" si="428"/>
        <v>8.7407379840262738E-3</v>
      </c>
      <c r="M3559" s="47">
        <f t="shared" si="424"/>
        <v>1.3218094313001466E-2</v>
      </c>
      <c r="N3559" s="47">
        <v>0</v>
      </c>
      <c r="O3559" s="47">
        <f t="shared" si="429"/>
        <v>0</v>
      </c>
      <c r="P3559" s="47"/>
    </row>
    <row r="3560" spans="1:16" x14ac:dyDescent="0.25">
      <c r="A3560" s="32">
        <v>27</v>
      </c>
      <c r="B3560" s="33">
        <v>438168.10856199998</v>
      </c>
      <c r="C3560" s="33">
        <v>5688512.3324180003</v>
      </c>
      <c r="D3560" s="48">
        <v>24</v>
      </c>
      <c r="E3560" s="48" t="s">
        <v>40</v>
      </c>
      <c r="F3560" s="48">
        <v>2024</v>
      </c>
      <c r="G3560" s="49" t="s">
        <v>18</v>
      </c>
      <c r="H3560" s="49" t="s">
        <v>18</v>
      </c>
      <c r="I3560" s="49" t="s">
        <v>18</v>
      </c>
      <c r="J3560" s="49" t="s">
        <v>18</v>
      </c>
      <c r="K3560" s="49" t="s">
        <v>18</v>
      </c>
      <c r="L3560" s="49" t="s">
        <v>18</v>
      </c>
      <c r="M3560" s="49" t="s">
        <v>18</v>
      </c>
      <c r="N3560" s="49" t="s">
        <v>18</v>
      </c>
      <c r="O3560" s="49" t="s">
        <v>18</v>
      </c>
      <c r="P3560" s="49" t="s">
        <v>18</v>
      </c>
    </row>
    <row r="3561" spans="1:16" x14ac:dyDescent="0.25">
      <c r="A3561" s="32">
        <v>28</v>
      </c>
      <c r="B3561" s="33">
        <v>438287.10856199998</v>
      </c>
      <c r="C3561" s="33">
        <v>5688512.3324180003</v>
      </c>
      <c r="D3561" s="48">
        <v>24</v>
      </c>
      <c r="E3561" s="48" t="s">
        <v>40</v>
      </c>
      <c r="F3561" s="48">
        <v>2024</v>
      </c>
      <c r="G3561" s="49" t="s">
        <v>18</v>
      </c>
      <c r="H3561" s="49" t="s">
        <v>18</v>
      </c>
      <c r="I3561" s="49" t="s">
        <v>18</v>
      </c>
      <c r="J3561" s="49" t="s">
        <v>18</v>
      </c>
      <c r="K3561" s="49" t="s">
        <v>18</v>
      </c>
      <c r="L3561" s="49" t="s">
        <v>18</v>
      </c>
      <c r="M3561" s="49" t="s">
        <v>18</v>
      </c>
      <c r="N3561" s="49" t="s">
        <v>18</v>
      </c>
      <c r="O3561" s="49" t="s">
        <v>18</v>
      </c>
      <c r="P3561" s="49" t="s">
        <v>18</v>
      </c>
    </row>
    <row r="3562" spans="1:16" x14ac:dyDescent="0.25">
      <c r="A3562" s="29">
        <v>29</v>
      </c>
      <c r="B3562" s="30">
        <v>438381</v>
      </c>
      <c r="C3562" s="30">
        <v>5688526</v>
      </c>
      <c r="D3562" s="30">
        <v>24</v>
      </c>
      <c r="E3562" s="30" t="s">
        <v>40</v>
      </c>
      <c r="F3562" s="46">
        <v>2024</v>
      </c>
      <c r="G3562" s="84">
        <v>5.4005783296478996E-2</v>
      </c>
      <c r="H3562" s="47">
        <f t="shared" si="426"/>
        <v>1.5126225104262467E-2</v>
      </c>
      <c r="I3562" s="47">
        <v>0</v>
      </c>
      <c r="J3562" s="47">
        <f t="shared" si="427"/>
        <v>0</v>
      </c>
      <c r="K3562" s="47">
        <v>3.0532403469977886E-2</v>
      </c>
      <c r="L3562" s="47">
        <f t="shared" si="428"/>
        <v>9.9406280979897534E-3</v>
      </c>
      <c r="M3562" s="47">
        <f t="shared" si="424"/>
        <v>5.1855970062727134E-3</v>
      </c>
      <c r="N3562" s="47">
        <v>0</v>
      </c>
      <c r="O3562" s="47">
        <f t="shared" si="429"/>
        <v>0</v>
      </c>
      <c r="P3562" s="47"/>
    </row>
    <row r="3563" spans="1:16" x14ac:dyDescent="0.25">
      <c r="A3563" s="29">
        <v>30</v>
      </c>
      <c r="B3563" s="30">
        <v>438525.10856199998</v>
      </c>
      <c r="C3563" s="30">
        <v>5688512.3324180003</v>
      </c>
      <c r="D3563" s="30">
        <v>24</v>
      </c>
      <c r="E3563" s="30" t="s">
        <v>40</v>
      </c>
      <c r="F3563" s="46">
        <v>2024</v>
      </c>
      <c r="G3563" s="84">
        <v>4.1149288427737143E-2</v>
      </c>
      <c r="H3563" s="47">
        <f t="shared" si="426"/>
        <v>1.1525310099127018E-2</v>
      </c>
      <c r="I3563" s="84">
        <v>0</v>
      </c>
      <c r="J3563" s="47">
        <f t="shared" si="427"/>
        <v>0</v>
      </c>
      <c r="K3563" s="47">
        <v>1.4387367466122354E-2</v>
      </c>
      <c r="L3563" s="47">
        <f t="shared" si="428"/>
        <v>4.684186406434354E-3</v>
      </c>
      <c r="M3563" s="84" t="s">
        <v>18</v>
      </c>
      <c r="N3563" s="47">
        <v>0</v>
      </c>
      <c r="O3563" s="47">
        <f t="shared" si="429"/>
        <v>0</v>
      </c>
      <c r="P3563" s="47"/>
    </row>
    <row r="3564" spans="1:16" x14ac:dyDescent="0.25">
      <c r="A3564" s="29">
        <v>31</v>
      </c>
      <c r="B3564" s="30">
        <v>437335.10856199998</v>
      </c>
      <c r="C3564" s="30">
        <v>5688631.3324180003</v>
      </c>
      <c r="D3564" s="30">
        <v>25</v>
      </c>
      <c r="E3564" s="30" t="s">
        <v>40</v>
      </c>
      <c r="F3564" s="46">
        <v>2024</v>
      </c>
      <c r="G3564" s="47">
        <v>0.15566706355956228</v>
      </c>
      <c r="H3564" s="47">
        <f t="shared" ref="H3564:H3569" si="434">G3564*0.306363678089948</f>
        <v>4.7690734149569217E-2</v>
      </c>
      <c r="I3564" s="47">
        <v>7.3425185689176163E-3</v>
      </c>
      <c r="J3564" s="47">
        <f t="shared" ref="J3564:J3569" si="435">I3564*0.391696964433559</f>
        <v>2.8760422347420701E-3</v>
      </c>
      <c r="K3564" s="47">
        <v>0.20841129443782955</v>
      </c>
      <c r="L3564" s="47">
        <f t="shared" ref="L3564:L3569" si="436">K3564*0.353324681874155</f>
        <v>7.3636854306226976E-2</v>
      </c>
      <c r="M3564" s="47">
        <f t="shared" si="424"/>
        <v>-2.5946120156657759E-2</v>
      </c>
      <c r="N3564" s="47">
        <v>0</v>
      </c>
      <c r="O3564" s="47">
        <f t="shared" ref="O3564:O3569" si="437">N3564*0.424625829347323</f>
        <v>0</v>
      </c>
      <c r="P3564" s="47"/>
    </row>
    <row r="3565" spans="1:16" x14ac:dyDescent="0.25">
      <c r="A3565" s="29">
        <v>32</v>
      </c>
      <c r="B3565" s="30">
        <v>437454.10856199998</v>
      </c>
      <c r="C3565" s="30">
        <v>5688631.3324180003</v>
      </c>
      <c r="D3565" s="30">
        <v>25</v>
      </c>
      <c r="E3565" s="30" t="s">
        <v>40</v>
      </c>
      <c r="F3565" s="46">
        <v>2024</v>
      </c>
      <c r="G3565" s="84">
        <v>4.1390259114361852E-2</v>
      </c>
      <c r="H3565" s="47">
        <f t="shared" si="434"/>
        <v>1.2680472019371891E-2</v>
      </c>
      <c r="I3565" s="47">
        <v>0</v>
      </c>
      <c r="J3565" s="47">
        <f t="shared" si="435"/>
        <v>0</v>
      </c>
      <c r="K3565" s="47">
        <v>1.9405227646425129E-2</v>
      </c>
      <c r="L3565" s="47">
        <f t="shared" si="436"/>
        <v>6.8563458848687163E-3</v>
      </c>
      <c r="M3565" s="47">
        <f t="shared" si="424"/>
        <v>5.8241261345031749E-3</v>
      </c>
      <c r="N3565" s="47">
        <v>0</v>
      </c>
      <c r="O3565" s="47">
        <f t="shared" si="437"/>
        <v>0</v>
      </c>
      <c r="P3565" s="47"/>
    </row>
    <row r="3566" spans="1:16" x14ac:dyDescent="0.25">
      <c r="A3566" s="29">
        <v>33</v>
      </c>
      <c r="B3566" s="30">
        <v>437573.10856199998</v>
      </c>
      <c r="C3566" s="30">
        <v>5688631.3324180003</v>
      </c>
      <c r="D3566" s="30">
        <v>25</v>
      </c>
      <c r="E3566" s="30" t="s">
        <v>40</v>
      </c>
      <c r="F3566" s="46">
        <v>2024</v>
      </c>
      <c r="G3566" s="84">
        <v>6.629528831433916E-2</v>
      </c>
      <c r="H3566" s="47">
        <f t="shared" si="434"/>
        <v>2.0310468368014496E-2</v>
      </c>
      <c r="I3566" s="47">
        <v>0</v>
      </c>
      <c r="J3566" s="47">
        <f t="shared" si="435"/>
        <v>0</v>
      </c>
      <c r="K3566" s="47">
        <v>1.0262516300958213E-2</v>
      </c>
      <c r="L3566" s="47">
        <f t="shared" si="436"/>
        <v>3.6260003072643905E-3</v>
      </c>
      <c r="M3566" s="47">
        <f t="shared" si="424"/>
        <v>1.6684468060750104E-2</v>
      </c>
      <c r="N3566" s="47">
        <v>0</v>
      </c>
      <c r="O3566" s="47">
        <f t="shared" si="437"/>
        <v>0</v>
      </c>
      <c r="P3566" s="47"/>
    </row>
    <row r="3567" spans="1:16" x14ac:dyDescent="0.25">
      <c r="A3567" s="29">
        <v>34</v>
      </c>
      <c r="B3567" s="30">
        <v>437692.10856199998</v>
      </c>
      <c r="C3567" s="30">
        <v>5688631.3324180003</v>
      </c>
      <c r="D3567" s="30">
        <v>25</v>
      </c>
      <c r="E3567" s="30" t="s">
        <v>40</v>
      </c>
      <c r="F3567" s="46">
        <v>2024</v>
      </c>
      <c r="G3567" s="84">
        <v>3.5422690933832282E-2</v>
      </c>
      <c r="H3567" s="47">
        <f t="shared" si="434"/>
        <v>1.0852225882332313E-2</v>
      </c>
      <c r="I3567" s="47">
        <v>0</v>
      </c>
      <c r="J3567" s="47">
        <f t="shared" si="435"/>
        <v>0</v>
      </c>
      <c r="K3567" s="47">
        <v>1.6116686511311446E-2</v>
      </c>
      <c r="L3567" s="47">
        <f t="shared" si="436"/>
        <v>5.6944231344746021E-3</v>
      </c>
      <c r="M3567" s="47">
        <f t="shared" si="424"/>
        <v>5.157802747857711E-3</v>
      </c>
      <c r="N3567" s="47">
        <v>0</v>
      </c>
      <c r="O3567" s="47">
        <f t="shared" si="437"/>
        <v>0</v>
      </c>
      <c r="P3567" s="47"/>
    </row>
    <row r="3568" spans="1:16" x14ac:dyDescent="0.25">
      <c r="A3568" s="29">
        <v>35</v>
      </c>
      <c r="B3568" s="30">
        <v>437893</v>
      </c>
      <c r="C3568" s="30">
        <v>5688620</v>
      </c>
      <c r="D3568" s="30">
        <v>25</v>
      </c>
      <c r="E3568" s="30" t="s">
        <v>40</v>
      </c>
      <c r="F3568" s="46">
        <v>2024</v>
      </c>
      <c r="G3568" s="84">
        <v>5.6358791177637917E-2</v>
      </c>
      <c r="H3568" s="47">
        <f t="shared" si="434"/>
        <v>1.7266286557884467E-2</v>
      </c>
      <c r="I3568" s="47">
        <v>0</v>
      </c>
      <c r="J3568" s="47">
        <f t="shared" si="435"/>
        <v>0</v>
      </c>
      <c r="K3568" s="47">
        <v>1.7846005556500538E-2</v>
      </c>
      <c r="L3568" s="47">
        <f t="shared" si="436"/>
        <v>6.3054342359749552E-3</v>
      </c>
      <c r="M3568" s="47">
        <f t="shared" si="424"/>
        <v>1.0960852321909511E-2</v>
      </c>
      <c r="N3568" s="47">
        <v>0</v>
      </c>
      <c r="O3568" s="47">
        <f t="shared" si="437"/>
        <v>0</v>
      </c>
      <c r="P3568" s="47"/>
    </row>
    <row r="3569" spans="1:16" x14ac:dyDescent="0.25">
      <c r="A3569" s="29">
        <v>36</v>
      </c>
      <c r="B3569" s="30">
        <v>437930.10856199998</v>
      </c>
      <c r="C3569" s="30">
        <v>5688631.3324180003</v>
      </c>
      <c r="D3569" s="30">
        <v>25</v>
      </c>
      <c r="E3569" s="30" t="s">
        <v>40</v>
      </c>
      <c r="F3569" s="46">
        <v>2024</v>
      </c>
      <c r="G3569" s="84">
        <v>2.9837840902647843E-2</v>
      </c>
      <c r="H3569" s="47">
        <f t="shared" si="434"/>
        <v>9.1412306851978882E-3</v>
      </c>
      <c r="I3569" s="47">
        <v>1.1779214152066677E-2</v>
      </c>
      <c r="J3569" s="47">
        <f t="shared" si="435"/>
        <v>4.6138824267773363E-3</v>
      </c>
      <c r="K3569" s="47">
        <v>2.555706752849124E-2</v>
      </c>
      <c r="L3569" s="47">
        <f t="shared" si="436"/>
        <v>9.0299427541404645E-3</v>
      </c>
      <c r="M3569" s="47">
        <f t="shared" si="424"/>
        <v>1.1128793105742371E-4</v>
      </c>
      <c r="N3569" s="47">
        <v>1.073028292793559E-2</v>
      </c>
      <c r="O3569" s="47">
        <f t="shared" si="437"/>
        <v>4.5563552874060718E-3</v>
      </c>
      <c r="P3569" s="47"/>
    </row>
    <row r="3570" spans="1:16" x14ac:dyDescent="0.25">
      <c r="A3570" s="32">
        <v>37</v>
      </c>
      <c r="B3570" s="33">
        <v>438049.10856199998</v>
      </c>
      <c r="C3570" s="33">
        <v>5688631.3324180003</v>
      </c>
      <c r="D3570" s="48">
        <v>24</v>
      </c>
      <c r="E3570" s="48" t="s">
        <v>40</v>
      </c>
      <c r="F3570" s="48">
        <v>2024</v>
      </c>
      <c r="G3570" s="49" t="s">
        <v>18</v>
      </c>
      <c r="H3570" s="49" t="s">
        <v>18</v>
      </c>
      <c r="I3570" s="49" t="s">
        <v>18</v>
      </c>
      <c r="J3570" s="49" t="s">
        <v>18</v>
      </c>
      <c r="K3570" s="49" t="s">
        <v>18</v>
      </c>
      <c r="L3570" s="49" t="s">
        <v>18</v>
      </c>
      <c r="M3570" s="49" t="s">
        <v>18</v>
      </c>
      <c r="N3570" s="49" t="s">
        <v>18</v>
      </c>
      <c r="O3570" s="49" t="s">
        <v>18</v>
      </c>
      <c r="P3570" s="49" t="s">
        <v>18</v>
      </c>
    </row>
    <row r="3571" spans="1:16" x14ac:dyDescent="0.25">
      <c r="A3571" s="29">
        <v>38</v>
      </c>
      <c r="B3571" s="30">
        <v>438067</v>
      </c>
      <c r="C3571" s="30">
        <v>5688710</v>
      </c>
      <c r="D3571" s="30">
        <v>23</v>
      </c>
      <c r="E3571" s="30" t="s">
        <v>40</v>
      </c>
      <c r="F3571" s="46">
        <v>2024</v>
      </c>
      <c r="G3571" s="84">
        <v>6.7752452231105056E-2</v>
      </c>
      <c r="H3571" s="47">
        <f t="shared" si="426"/>
        <v>1.8976464764659771E-2</v>
      </c>
      <c r="I3571" s="47">
        <v>0</v>
      </c>
      <c r="J3571" s="47">
        <f t="shared" si="427"/>
        <v>0</v>
      </c>
      <c r="K3571" s="84">
        <v>1.5237852242444859E-2</v>
      </c>
      <c r="L3571" s="47">
        <f t="shared" si="428"/>
        <v>4.9610841250413117E-3</v>
      </c>
      <c r="M3571" s="47">
        <f t="shared" si="424"/>
        <v>1.401538063961846E-2</v>
      </c>
      <c r="N3571" s="47">
        <v>0</v>
      </c>
      <c r="O3571" s="47">
        <f t="shared" si="429"/>
        <v>0</v>
      </c>
      <c r="P3571" s="47"/>
    </row>
    <row r="3572" spans="1:16" x14ac:dyDescent="0.25">
      <c r="A3572" s="32">
        <v>39</v>
      </c>
      <c r="B3572" s="33">
        <v>438287.10856199998</v>
      </c>
      <c r="C3572" s="33">
        <v>5688631.3324180003</v>
      </c>
      <c r="D3572" s="48">
        <v>24</v>
      </c>
      <c r="E3572" s="48" t="s">
        <v>40</v>
      </c>
      <c r="F3572" s="48">
        <v>2024</v>
      </c>
      <c r="G3572" s="49" t="s">
        <v>18</v>
      </c>
      <c r="H3572" s="49" t="s">
        <v>18</v>
      </c>
      <c r="I3572" s="49" t="s">
        <v>18</v>
      </c>
      <c r="J3572" s="49" t="s">
        <v>18</v>
      </c>
      <c r="K3572" s="49" t="s">
        <v>18</v>
      </c>
      <c r="L3572" s="49" t="s">
        <v>18</v>
      </c>
      <c r="M3572" s="49" t="s">
        <v>18</v>
      </c>
      <c r="N3572" s="49" t="s">
        <v>18</v>
      </c>
      <c r="O3572" s="49" t="s">
        <v>18</v>
      </c>
      <c r="P3572" s="49" t="s">
        <v>18</v>
      </c>
    </row>
    <row r="3573" spans="1:16" x14ac:dyDescent="0.25">
      <c r="A3573" s="89">
        <v>40</v>
      </c>
      <c r="B3573" s="90">
        <v>438406.10856199998</v>
      </c>
      <c r="C3573" s="90">
        <v>5688631.3324180003</v>
      </c>
      <c r="D3573" s="90">
        <v>24</v>
      </c>
      <c r="E3573" s="90" t="s">
        <v>40</v>
      </c>
      <c r="F3573" s="90">
        <v>2024</v>
      </c>
      <c r="G3573" s="90" t="s">
        <v>18</v>
      </c>
      <c r="H3573" s="90" t="s">
        <v>18</v>
      </c>
      <c r="I3573" s="90" t="s">
        <v>18</v>
      </c>
      <c r="J3573" s="90" t="s">
        <v>18</v>
      </c>
      <c r="K3573" s="90" t="s">
        <v>18</v>
      </c>
      <c r="L3573" s="90" t="s">
        <v>18</v>
      </c>
      <c r="M3573" s="90" t="s">
        <v>18</v>
      </c>
      <c r="N3573" s="90" t="s">
        <v>18</v>
      </c>
      <c r="O3573" s="90" t="s">
        <v>18</v>
      </c>
      <c r="P3573" s="90" t="s">
        <v>18</v>
      </c>
    </row>
    <row r="3574" spans="1:16" x14ac:dyDescent="0.25">
      <c r="A3574" s="29">
        <v>41</v>
      </c>
      <c r="B3574" s="30">
        <v>437310</v>
      </c>
      <c r="C3574" s="30">
        <v>5688729</v>
      </c>
      <c r="D3574" s="30">
        <v>25</v>
      </c>
      <c r="E3574" s="30" t="s">
        <v>40</v>
      </c>
      <c r="F3574" s="46">
        <v>2024</v>
      </c>
      <c r="G3574" s="84">
        <v>0.14663775018427172</v>
      </c>
      <c r="H3574" s="47">
        <f t="shared" ref="H3574" si="438">G3574*0.306363678089948</f>
        <v>4.4924480493288441E-2</v>
      </c>
      <c r="I3574" s="47">
        <v>3.0192209559448883E-3</v>
      </c>
      <c r="J3574" s="47">
        <f t="shared" si="427"/>
        <v>1.0405167522669113E-3</v>
      </c>
      <c r="K3574" s="47">
        <v>5.3410443953053235E-2</v>
      </c>
      <c r="L3574" s="47">
        <f t="shared" ref="L3574" si="439">K3574*0.353324681874155</f>
        <v>1.8871228118469922E-2</v>
      </c>
      <c r="M3574" s="47">
        <f t="shared" si="424"/>
        <v>2.6053252374818519E-2</v>
      </c>
      <c r="N3574" s="47">
        <v>7.2744797868118161E-2</v>
      </c>
      <c r="O3574" s="47">
        <f t="shared" ref="O3574" si="440">N3574*0.424625829347323</f>
        <v>3.0889320125453049E-2</v>
      </c>
      <c r="P3574" s="47"/>
    </row>
    <row r="3575" spans="1:16" x14ac:dyDescent="0.25">
      <c r="A3575" s="29">
        <v>42</v>
      </c>
      <c r="B3575" s="30">
        <v>437454.10856199998</v>
      </c>
      <c r="C3575" s="30">
        <v>5688750.3324180003</v>
      </c>
      <c r="D3575" s="30">
        <v>23</v>
      </c>
      <c r="E3575" s="30" t="s">
        <v>40</v>
      </c>
      <c r="F3575" s="46">
        <v>2024</v>
      </c>
      <c r="G3575" s="84" t="s">
        <v>18</v>
      </c>
      <c r="H3575" s="84" t="s">
        <v>18</v>
      </c>
      <c r="I3575" s="84" t="s">
        <v>18</v>
      </c>
      <c r="J3575" s="84" t="s">
        <v>18</v>
      </c>
      <c r="K3575" s="84" t="s">
        <v>18</v>
      </c>
      <c r="L3575" s="84" t="s">
        <v>18</v>
      </c>
      <c r="M3575" s="84" t="s">
        <v>18</v>
      </c>
      <c r="N3575" s="84" t="s">
        <v>18</v>
      </c>
      <c r="O3575" s="84" t="s">
        <v>18</v>
      </c>
      <c r="P3575" s="47" t="s">
        <v>185</v>
      </c>
    </row>
    <row r="3576" spans="1:16" x14ac:dyDescent="0.25">
      <c r="A3576" s="29">
        <v>43</v>
      </c>
      <c r="B3576" s="30">
        <v>437573.10856199998</v>
      </c>
      <c r="C3576" s="30">
        <v>5688750.3324180003</v>
      </c>
      <c r="D3576" s="30">
        <v>24</v>
      </c>
      <c r="E3576" s="30" t="s">
        <v>40</v>
      </c>
      <c r="F3576" s="46">
        <v>2024</v>
      </c>
      <c r="G3576" s="84">
        <v>5.1610251176503939E-2</v>
      </c>
      <c r="H3576" s="47">
        <f t="shared" si="426"/>
        <v>1.4455271812236126E-2</v>
      </c>
      <c r="I3576" s="47">
        <v>6.5345580314112375E-3</v>
      </c>
      <c r="J3576" s="47">
        <f t="shared" si="427"/>
        <v>2.2520104356574936E-3</v>
      </c>
      <c r="K3576" s="47">
        <v>1.2828145376197767E-2</v>
      </c>
      <c r="L3576" s="47">
        <f t="shared" si="428"/>
        <v>4.1765405889882673E-3</v>
      </c>
      <c r="M3576" s="47">
        <f t="shared" si="424"/>
        <v>1.0278731223247859E-2</v>
      </c>
      <c r="N3576" s="47">
        <v>8.5757214945852457E-3</v>
      </c>
      <c r="O3576" s="47">
        <f t="shared" si="429"/>
        <v>3.8790295296165936E-3</v>
      </c>
      <c r="P3576" s="47"/>
    </row>
    <row r="3577" spans="1:16" x14ac:dyDescent="0.25">
      <c r="A3577" s="29">
        <v>44</v>
      </c>
      <c r="B3577" s="30">
        <v>437692.10856199998</v>
      </c>
      <c r="C3577" s="30">
        <v>5688750.3324180003</v>
      </c>
      <c r="D3577" s="30">
        <v>25</v>
      </c>
      <c r="E3577" s="30" t="s">
        <v>40</v>
      </c>
      <c r="F3577" s="46">
        <v>2024</v>
      </c>
      <c r="G3577" s="84">
        <v>3.437375970970119E-2</v>
      </c>
      <c r="H3577" s="47">
        <f>G3577*0.306363678089948</f>
        <v>1.053087145444412E-2</v>
      </c>
      <c r="I3577" s="47">
        <v>0</v>
      </c>
      <c r="J3577" s="47">
        <f>I3577*0.391696964433559</f>
        <v>0</v>
      </c>
      <c r="K3577" s="47">
        <v>1.0772807166751715E-2</v>
      </c>
      <c r="L3577" s="47">
        <f>K3577*0.353324681874155</f>
        <v>3.8062986650841671E-3</v>
      </c>
      <c r="M3577" s="47">
        <f t="shared" si="424"/>
        <v>6.7245727893599531E-3</v>
      </c>
      <c r="N3577" s="47">
        <v>0</v>
      </c>
      <c r="O3577" s="47">
        <f>N3577*0.424625829347323</f>
        <v>0</v>
      </c>
      <c r="P3577" s="47"/>
    </row>
    <row r="3578" spans="1:16" x14ac:dyDescent="0.25">
      <c r="A3578" s="29">
        <v>45</v>
      </c>
      <c r="B3578" s="30">
        <v>437811.10856199998</v>
      </c>
      <c r="C3578" s="30">
        <v>5688750.3324180003</v>
      </c>
      <c r="D3578" s="30">
        <v>23</v>
      </c>
      <c r="E3578" s="30" t="s">
        <v>40</v>
      </c>
      <c r="F3578" s="46">
        <v>2024</v>
      </c>
      <c r="G3578" s="84">
        <v>1.5918240063502863E-2</v>
      </c>
      <c r="H3578" s="47">
        <f t="shared" si="426"/>
        <v>4.4584647748259184E-3</v>
      </c>
      <c r="I3578" s="47">
        <v>6.5345580314112375E-3</v>
      </c>
      <c r="J3578" s="47">
        <f t="shared" si="427"/>
        <v>2.2520104356574936E-3</v>
      </c>
      <c r="K3578" s="47">
        <v>1.1183874808640925E-2</v>
      </c>
      <c r="L3578" s="47">
        <f t="shared" si="428"/>
        <v>3.6412049996814837E-3</v>
      </c>
      <c r="M3578" s="47">
        <f t="shared" si="424"/>
        <v>8.1725977514443462E-4</v>
      </c>
      <c r="N3578" s="47">
        <v>2.4862504961161196E-2</v>
      </c>
      <c r="O3578" s="47">
        <f t="shared" si="429"/>
        <v>1.1245979826359515E-2</v>
      </c>
      <c r="P3578" s="47"/>
    </row>
    <row r="3579" spans="1:16" x14ac:dyDescent="0.25">
      <c r="A3579" s="65">
        <v>46</v>
      </c>
      <c r="B3579" s="66">
        <v>437930.10856199998</v>
      </c>
      <c r="C3579" s="66">
        <v>5688750.3324180003</v>
      </c>
      <c r="D3579" s="66">
        <v>24</v>
      </c>
      <c r="E3579" s="66" t="s">
        <v>40</v>
      </c>
      <c r="F3579" s="66">
        <v>2024</v>
      </c>
      <c r="G3579" s="66" t="s">
        <v>18</v>
      </c>
      <c r="H3579" s="66" t="s">
        <v>18</v>
      </c>
      <c r="I3579" s="66" t="s">
        <v>18</v>
      </c>
      <c r="J3579" s="66" t="s">
        <v>18</v>
      </c>
      <c r="K3579" s="66" t="s">
        <v>18</v>
      </c>
      <c r="L3579" s="66" t="s">
        <v>18</v>
      </c>
      <c r="M3579" s="66" t="s">
        <v>18</v>
      </c>
      <c r="N3579" s="66" t="s">
        <v>18</v>
      </c>
      <c r="O3579" s="66" t="s">
        <v>18</v>
      </c>
      <c r="P3579" s="67" t="s">
        <v>166</v>
      </c>
    </row>
    <row r="3580" spans="1:16" x14ac:dyDescent="0.25">
      <c r="A3580" s="29">
        <v>47</v>
      </c>
      <c r="B3580" s="30">
        <v>438061</v>
      </c>
      <c r="C3580" s="30">
        <v>5688779</v>
      </c>
      <c r="D3580" s="30">
        <v>23</v>
      </c>
      <c r="E3580" s="30" t="s">
        <v>40</v>
      </c>
      <c r="F3580" s="46">
        <v>2024</v>
      </c>
      <c r="G3580" s="84">
        <v>6.3020921925497533E-2</v>
      </c>
      <c r="H3580" s="47">
        <f t="shared" si="426"/>
        <v>1.7651232759462183E-2</v>
      </c>
      <c r="I3580" s="47">
        <v>4.2240743890684357E-2</v>
      </c>
      <c r="J3580" s="47">
        <f t="shared" si="427"/>
        <v>1.4557464421386838E-2</v>
      </c>
      <c r="K3580" s="47">
        <v>2.8859783409876962E-2</v>
      </c>
      <c r="L3580" s="47">
        <f t="shared" si="428"/>
        <v>9.3960625847294057E-3</v>
      </c>
      <c r="M3580" s="47">
        <f t="shared" si="424"/>
        <v>8.2551701747327778E-3</v>
      </c>
      <c r="N3580" s="47">
        <v>7.8102851958949939E-3</v>
      </c>
      <c r="O3580" s="47">
        <f t="shared" si="429"/>
        <v>3.5328021005268488E-3</v>
      </c>
      <c r="P3580" s="47" t="s">
        <v>183</v>
      </c>
    </row>
    <row r="3581" spans="1:16" x14ac:dyDescent="0.25">
      <c r="A3581" s="32">
        <v>48</v>
      </c>
      <c r="B3581" s="33">
        <v>438168.10856199998</v>
      </c>
      <c r="C3581" s="33">
        <v>5688750.3324180003</v>
      </c>
      <c r="D3581" s="48">
        <v>24</v>
      </c>
      <c r="E3581" s="48" t="s">
        <v>40</v>
      </c>
      <c r="F3581" s="48">
        <v>2024</v>
      </c>
      <c r="G3581" s="49" t="s">
        <v>18</v>
      </c>
      <c r="H3581" s="49" t="s">
        <v>18</v>
      </c>
      <c r="I3581" s="49" t="s">
        <v>18</v>
      </c>
      <c r="J3581" s="49" t="s">
        <v>18</v>
      </c>
      <c r="K3581" s="49" t="s">
        <v>18</v>
      </c>
      <c r="L3581" s="49" t="s">
        <v>18</v>
      </c>
      <c r="M3581" s="49" t="s">
        <v>18</v>
      </c>
      <c r="N3581" s="49" t="s">
        <v>18</v>
      </c>
      <c r="O3581" s="49" t="s">
        <v>18</v>
      </c>
      <c r="P3581" s="49" t="s">
        <v>18</v>
      </c>
    </row>
    <row r="3582" spans="1:16" x14ac:dyDescent="0.25">
      <c r="A3582" s="89">
        <v>49</v>
      </c>
      <c r="B3582" s="90">
        <v>437454.10856199998</v>
      </c>
      <c r="C3582" s="90">
        <v>5688869.3324180003</v>
      </c>
      <c r="D3582" s="90">
        <v>24</v>
      </c>
      <c r="E3582" s="90" t="s">
        <v>40</v>
      </c>
      <c r="F3582" s="90">
        <v>2024</v>
      </c>
      <c r="G3582" s="90" t="s">
        <v>18</v>
      </c>
      <c r="H3582" s="90" t="s">
        <v>18</v>
      </c>
      <c r="I3582" s="90" t="s">
        <v>18</v>
      </c>
      <c r="J3582" s="90" t="s">
        <v>18</v>
      </c>
      <c r="K3582" s="90" t="s">
        <v>18</v>
      </c>
      <c r="L3582" s="90" t="s">
        <v>18</v>
      </c>
      <c r="M3582" s="90" t="s">
        <v>18</v>
      </c>
      <c r="N3582" s="90" t="s">
        <v>18</v>
      </c>
      <c r="O3582" s="90" t="s">
        <v>18</v>
      </c>
      <c r="P3582" s="90" t="s">
        <v>18</v>
      </c>
    </row>
    <row r="3583" spans="1:16" x14ac:dyDescent="0.25">
      <c r="A3583" s="29">
        <v>50</v>
      </c>
      <c r="B3583" s="30">
        <v>437811.10856199998</v>
      </c>
      <c r="C3583" s="30">
        <v>5688869.3324180003</v>
      </c>
      <c r="D3583" s="30">
        <v>24</v>
      </c>
      <c r="E3583" s="30" t="s">
        <v>40</v>
      </c>
      <c r="F3583" s="46">
        <v>2024</v>
      </c>
      <c r="G3583" s="84">
        <v>2.9355899529398426E-2</v>
      </c>
      <c r="H3583" s="47">
        <f t="shared" si="426"/>
        <v>8.2221554306896507E-3</v>
      </c>
      <c r="I3583" s="47">
        <v>0</v>
      </c>
      <c r="J3583" s="47">
        <f t="shared" si="427"/>
        <v>0</v>
      </c>
      <c r="K3583" s="47">
        <v>1.0007370868061461E-2</v>
      </c>
      <c r="L3583" s="47">
        <f t="shared" si="428"/>
        <v>3.2581631556085266E-3</v>
      </c>
      <c r="M3583" s="47">
        <f t="shared" si="424"/>
        <v>4.9639922750811241E-3</v>
      </c>
      <c r="N3583" s="47">
        <v>0</v>
      </c>
      <c r="O3583" s="47">
        <f t="shared" si="429"/>
        <v>0</v>
      </c>
      <c r="P3583" s="47"/>
    </row>
    <row r="3584" spans="1:16" x14ac:dyDescent="0.25">
      <c r="A3584" s="29">
        <v>51</v>
      </c>
      <c r="B3584" s="30">
        <v>437930.10856199998</v>
      </c>
      <c r="C3584" s="30">
        <v>5688869.3324180003</v>
      </c>
      <c r="D3584" s="30">
        <v>24</v>
      </c>
      <c r="E3584" s="30" t="s">
        <v>40</v>
      </c>
      <c r="F3584" s="46">
        <v>2024</v>
      </c>
      <c r="G3584" s="84">
        <v>1.7831830810228495E-2</v>
      </c>
      <c r="H3584" s="47">
        <f t="shared" si="426"/>
        <v>4.9944333808824622E-3</v>
      </c>
      <c r="I3584" s="47">
        <v>3.0107161081816637E-2</v>
      </c>
      <c r="J3584" s="47">
        <f t="shared" si="427"/>
        <v>1.0375857191619344E-2</v>
      </c>
      <c r="K3584" s="47">
        <v>3.5578613142824744E-3</v>
      </c>
      <c r="L3584" s="47">
        <f t="shared" si="428"/>
        <v>1.1583554561724366E-3</v>
      </c>
      <c r="M3584" s="47">
        <f t="shared" si="424"/>
        <v>3.8360779247100258E-3</v>
      </c>
      <c r="N3584" s="47">
        <v>1.9745421556954131E-2</v>
      </c>
      <c r="O3584" s="47">
        <f t="shared" si="429"/>
        <v>8.9313853467039937E-3</v>
      </c>
      <c r="P3584" s="47" t="s">
        <v>183</v>
      </c>
    </row>
    <row r="3585" spans="1:19" x14ac:dyDescent="0.25">
      <c r="A3585" s="65">
        <v>52</v>
      </c>
      <c r="B3585" s="66">
        <v>438049.10856199998</v>
      </c>
      <c r="C3585" s="66">
        <v>5688869.3324180003</v>
      </c>
      <c r="D3585" s="66">
        <v>24</v>
      </c>
      <c r="E3585" s="66" t="s">
        <v>40</v>
      </c>
      <c r="F3585" s="66">
        <v>2024</v>
      </c>
      <c r="G3585" s="66" t="s">
        <v>18</v>
      </c>
      <c r="H3585" s="66" t="s">
        <v>18</v>
      </c>
      <c r="I3585" s="66" t="s">
        <v>18</v>
      </c>
      <c r="J3585" s="66" t="s">
        <v>18</v>
      </c>
      <c r="K3585" s="66" t="s">
        <v>18</v>
      </c>
      <c r="L3585" s="66" t="s">
        <v>18</v>
      </c>
      <c r="M3585" s="66" t="s">
        <v>18</v>
      </c>
      <c r="N3585" s="66" t="s">
        <v>18</v>
      </c>
      <c r="O3585" s="66" t="s">
        <v>18</v>
      </c>
      <c r="P3585" s="67" t="s">
        <v>166</v>
      </c>
    </row>
    <row r="3586" spans="1:19" x14ac:dyDescent="0.25">
      <c r="A3586" s="89">
        <v>53</v>
      </c>
      <c r="B3586" s="90">
        <v>438287.10856199998</v>
      </c>
      <c r="C3586" s="90">
        <v>5688869.3324180003</v>
      </c>
      <c r="D3586" s="90">
        <v>24</v>
      </c>
      <c r="E3586" s="90" t="s">
        <v>40</v>
      </c>
      <c r="F3586" s="90">
        <v>2024</v>
      </c>
      <c r="G3586" s="90" t="s">
        <v>18</v>
      </c>
      <c r="H3586" s="90" t="s">
        <v>18</v>
      </c>
      <c r="I3586" s="90" t="s">
        <v>18</v>
      </c>
      <c r="J3586" s="90" t="s">
        <v>18</v>
      </c>
      <c r="K3586" s="90" t="s">
        <v>18</v>
      </c>
      <c r="L3586" s="90" t="s">
        <v>18</v>
      </c>
      <c r="M3586" s="90" t="s">
        <v>18</v>
      </c>
      <c r="N3586" s="90" t="s">
        <v>18</v>
      </c>
      <c r="O3586" s="90" t="s">
        <v>18</v>
      </c>
      <c r="P3586" s="90" t="s">
        <v>18</v>
      </c>
    </row>
    <row r="3587" spans="1:19" x14ac:dyDescent="0.25">
      <c r="A3587" s="89">
        <v>54</v>
      </c>
      <c r="B3587" s="90">
        <v>437454.10856199998</v>
      </c>
      <c r="C3587" s="90">
        <v>5688988.3324180003</v>
      </c>
      <c r="D3587" s="90">
        <v>24</v>
      </c>
      <c r="E3587" s="90" t="s">
        <v>40</v>
      </c>
      <c r="F3587" s="90">
        <v>2024</v>
      </c>
      <c r="G3587" s="90" t="s">
        <v>18</v>
      </c>
      <c r="H3587" s="90" t="s">
        <v>18</v>
      </c>
      <c r="I3587" s="90" t="s">
        <v>18</v>
      </c>
      <c r="J3587" s="90" t="s">
        <v>18</v>
      </c>
      <c r="K3587" s="90" t="s">
        <v>18</v>
      </c>
      <c r="L3587" s="90" t="s">
        <v>18</v>
      </c>
      <c r="M3587" s="90" t="s">
        <v>18</v>
      </c>
      <c r="N3587" s="90" t="s">
        <v>18</v>
      </c>
      <c r="O3587" s="90" t="s">
        <v>18</v>
      </c>
      <c r="P3587" s="90" t="s">
        <v>18</v>
      </c>
    </row>
    <row r="3588" spans="1:19" x14ac:dyDescent="0.25">
      <c r="A3588" s="89">
        <v>55</v>
      </c>
      <c r="B3588" s="90">
        <v>438049.10856199998</v>
      </c>
      <c r="C3588" s="90">
        <v>5688988.3324180003</v>
      </c>
      <c r="D3588" s="90">
        <v>24</v>
      </c>
      <c r="E3588" s="90" t="s">
        <v>40</v>
      </c>
      <c r="F3588" s="90">
        <v>2024</v>
      </c>
      <c r="G3588" s="90" t="s">
        <v>18</v>
      </c>
      <c r="H3588" s="90" t="s">
        <v>18</v>
      </c>
      <c r="I3588" s="90" t="s">
        <v>18</v>
      </c>
      <c r="J3588" s="90" t="s">
        <v>18</v>
      </c>
      <c r="K3588" s="90" t="s">
        <v>18</v>
      </c>
      <c r="L3588" s="90" t="s">
        <v>18</v>
      </c>
      <c r="M3588" s="90" t="s">
        <v>18</v>
      </c>
      <c r="N3588" s="90" t="s">
        <v>18</v>
      </c>
      <c r="O3588" s="90" t="s">
        <v>18</v>
      </c>
      <c r="P3588" s="90" t="s">
        <v>18</v>
      </c>
    </row>
    <row r="3589" spans="1:19" x14ac:dyDescent="0.25">
      <c r="A3589" s="29">
        <v>56</v>
      </c>
      <c r="B3589" s="30">
        <v>438168.10856199998</v>
      </c>
      <c r="C3589" s="30">
        <v>5688988.3324180003</v>
      </c>
      <c r="D3589" s="30">
        <v>23</v>
      </c>
      <c r="E3589" s="30" t="s">
        <v>40</v>
      </c>
      <c r="F3589" s="46">
        <v>2024</v>
      </c>
      <c r="G3589" s="84">
        <v>0.10737370301071611</v>
      </c>
      <c r="H3589" s="47">
        <f t="shared" si="426"/>
        <v>3.0073794006506085E-2</v>
      </c>
      <c r="I3589" s="47">
        <v>0</v>
      </c>
      <c r="J3589" s="47">
        <f t="shared" si="427"/>
        <v>0</v>
      </c>
      <c r="K3589" s="47">
        <v>4.42252083687702E-3</v>
      </c>
      <c r="L3589" s="47">
        <f t="shared" si="428"/>
        <v>1.4398681367561762E-3</v>
      </c>
      <c r="M3589" s="47">
        <f t="shared" si="424"/>
        <v>2.8633925869749909E-2</v>
      </c>
      <c r="N3589" s="47">
        <v>0</v>
      </c>
      <c r="O3589" s="47">
        <f t="shared" si="429"/>
        <v>0</v>
      </c>
      <c r="P3589" s="47"/>
    </row>
    <row r="3590" spans="1:19" x14ac:dyDescent="0.25">
      <c r="A3590" s="40">
        <v>57</v>
      </c>
      <c r="B3590" s="41">
        <v>438146</v>
      </c>
      <c r="C3590" s="41">
        <v>5688977</v>
      </c>
      <c r="D3590" s="41">
        <v>23</v>
      </c>
      <c r="E3590" s="41" t="s">
        <v>40</v>
      </c>
      <c r="F3590" s="50">
        <v>2024</v>
      </c>
      <c r="G3590" s="86">
        <v>7.5999999999999998E-2</v>
      </c>
      <c r="H3590" s="51">
        <f t="shared" si="426"/>
        <v>2.1286481516487831E-2</v>
      </c>
      <c r="I3590" s="51">
        <v>0</v>
      </c>
      <c r="J3590" s="51">
        <f t="shared" si="427"/>
        <v>0</v>
      </c>
      <c r="K3590" s="51">
        <v>8.9726143902024158E-3</v>
      </c>
      <c r="L3590" s="51">
        <f t="shared" si="428"/>
        <v>2.9212709313033961E-3</v>
      </c>
      <c r="M3590" s="51">
        <f t="shared" si="424"/>
        <v>1.8365210585184435E-2</v>
      </c>
      <c r="N3590" s="51">
        <v>0</v>
      </c>
      <c r="O3590" s="51">
        <f t="shared" si="429"/>
        <v>0</v>
      </c>
      <c r="P3590" s="51"/>
    </row>
    <row r="3591" spans="1:19" x14ac:dyDescent="0.25">
      <c r="A3591" s="40">
        <v>58</v>
      </c>
      <c r="B3591" s="41">
        <v>438131</v>
      </c>
      <c r="C3591" s="41">
        <v>5688972</v>
      </c>
      <c r="D3591" s="41">
        <v>23</v>
      </c>
      <c r="E3591" s="41" t="s">
        <v>40</v>
      </c>
      <c r="F3591" s="50">
        <v>2024</v>
      </c>
      <c r="G3591" s="86">
        <v>0.10863525542892781</v>
      </c>
      <c r="H3591" s="51">
        <f t="shared" si="426"/>
        <v>3.0427136272721138E-2</v>
      </c>
      <c r="I3591" s="51">
        <v>0</v>
      </c>
      <c r="J3591" s="51">
        <f t="shared" si="427"/>
        <v>0</v>
      </c>
      <c r="K3591" s="51">
        <v>1.5464648182797526E-2</v>
      </c>
      <c r="L3591" s="51">
        <f t="shared" si="428"/>
        <v>5.034923516669833E-3</v>
      </c>
      <c r="M3591" s="51">
        <f t="shared" si="424"/>
        <v>2.5392212756051306E-2</v>
      </c>
      <c r="N3591" s="51">
        <v>0</v>
      </c>
      <c r="O3591" s="51">
        <f t="shared" si="429"/>
        <v>0</v>
      </c>
      <c r="P3591" s="51"/>
    </row>
    <row r="3592" spans="1:19" x14ac:dyDescent="0.25">
      <c r="A3592" s="40">
        <v>59</v>
      </c>
      <c r="B3592" s="41">
        <v>438089</v>
      </c>
      <c r="C3592" s="41">
        <v>5688713</v>
      </c>
      <c r="D3592" s="41">
        <v>25</v>
      </c>
      <c r="E3592" s="41" t="s">
        <v>40</v>
      </c>
      <c r="F3592" s="50">
        <v>2024</v>
      </c>
      <c r="G3592" s="86">
        <v>0.10476554969666042</v>
      </c>
      <c r="H3592" s="51">
        <f t="shared" ref="H3592:H3593" si="441">G3592*0.306363678089948</f>
        <v>3.2096359142184124E-2</v>
      </c>
      <c r="I3592" s="51">
        <v>1.3097465555366559E-2</v>
      </c>
      <c r="J3592" s="51">
        <f t="shared" ref="J3592:J3593" si="442">I3592*0.391696964433559</f>
        <v>5.1302374998101795E-3</v>
      </c>
      <c r="K3592" s="51">
        <v>1.8583092362646707E-2</v>
      </c>
      <c r="L3592" s="51">
        <f t="shared" ref="L3592:L3593" si="443">K3592*0.353324681874155</f>
        <v>6.5658651972701869E-3</v>
      </c>
      <c r="M3592" s="51">
        <f t="shared" si="424"/>
        <v>2.5530493944913937E-2</v>
      </c>
      <c r="N3592" s="51">
        <v>4.6634915235017295E-3</v>
      </c>
      <c r="O3592" s="51">
        <f t="shared" ref="O3592:O3593" si="444">N3592*0.424625829347323</f>
        <v>1.9802389558211328E-3</v>
      </c>
      <c r="P3592" s="51"/>
    </row>
    <row r="3593" spans="1:19" x14ac:dyDescent="0.25">
      <c r="A3593" s="40">
        <v>60</v>
      </c>
      <c r="B3593" s="41">
        <v>438099</v>
      </c>
      <c r="C3593" s="41">
        <v>5688719</v>
      </c>
      <c r="D3593" s="41">
        <v>25</v>
      </c>
      <c r="E3593" s="41" t="s">
        <v>40</v>
      </c>
      <c r="F3593" s="50">
        <v>2024</v>
      </c>
      <c r="G3593" s="86">
        <v>3.7222883710381578E-2</v>
      </c>
      <c r="H3593" s="51">
        <f t="shared" si="441"/>
        <v>1.1403739562626912E-2</v>
      </c>
      <c r="I3593" s="51">
        <v>6.1490049328117025E-2</v>
      </c>
      <c r="J3593" s="51">
        <f t="shared" si="442"/>
        <v>2.4085465664693242E-2</v>
      </c>
      <c r="K3593" s="51">
        <v>7.1157226285649489E-3</v>
      </c>
      <c r="L3593" s="51">
        <f t="shared" si="443"/>
        <v>2.5141604340424366E-3</v>
      </c>
      <c r="M3593" s="51">
        <f t="shared" si="424"/>
        <v>8.8895791285844745E-3</v>
      </c>
      <c r="N3593" s="51">
        <v>1.4174746272041731E-3</v>
      </c>
      <c r="O3593" s="51">
        <f t="shared" si="444"/>
        <v>6.0189633915535949E-4</v>
      </c>
      <c r="P3593" s="51"/>
    </row>
    <row r="3594" spans="1:19" x14ac:dyDescent="0.25">
      <c r="A3594" s="42">
        <v>1</v>
      </c>
      <c r="B3594" s="43">
        <v>437930.10856199998</v>
      </c>
      <c r="C3594" s="43">
        <v>5688036.3324180003</v>
      </c>
      <c r="D3594" s="44">
        <v>30</v>
      </c>
      <c r="E3594" s="44" t="s">
        <v>24</v>
      </c>
      <c r="F3594" s="44">
        <v>2024</v>
      </c>
      <c r="G3594" s="45" t="s">
        <v>18</v>
      </c>
      <c r="H3594" s="45" t="s">
        <v>18</v>
      </c>
      <c r="I3594" s="45" t="s">
        <v>18</v>
      </c>
      <c r="J3594" s="45" t="s">
        <v>18</v>
      </c>
      <c r="K3594" s="45" t="s">
        <v>18</v>
      </c>
      <c r="L3594" s="45" t="s">
        <v>18</v>
      </c>
      <c r="M3594" s="45" t="s">
        <v>18</v>
      </c>
      <c r="N3594" s="45" t="s">
        <v>18</v>
      </c>
      <c r="O3594" s="45" t="s">
        <v>18</v>
      </c>
      <c r="P3594" s="45" t="s">
        <v>109</v>
      </c>
      <c r="R3594" s="5">
        <f>AVERAGE(M3594:M3653)</f>
        <v>4.1512404778480819E-3</v>
      </c>
      <c r="S3594" s="5">
        <f>AVERAGE(H3594:H3653)</f>
        <v>9.8872196117024327E-3</v>
      </c>
    </row>
    <row r="3595" spans="1:19" x14ac:dyDescent="0.25">
      <c r="A3595" s="42">
        <v>2</v>
      </c>
      <c r="B3595" s="43">
        <v>437811.10856199998</v>
      </c>
      <c r="C3595" s="43">
        <v>5688155.3324180003</v>
      </c>
      <c r="D3595" s="44">
        <v>30</v>
      </c>
      <c r="E3595" s="44" t="s">
        <v>24</v>
      </c>
      <c r="F3595" s="44">
        <v>2024</v>
      </c>
      <c r="G3595" s="45" t="s">
        <v>18</v>
      </c>
      <c r="H3595" s="45" t="s">
        <v>18</v>
      </c>
      <c r="I3595" s="45" t="s">
        <v>18</v>
      </c>
      <c r="J3595" s="45" t="s">
        <v>18</v>
      </c>
      <c r="K3595" s="45" t="s">
        <v>18</v>
      </c>
      <c r="L3595" s="45" t="s">
        <v>18</v>
      </c>
      <c r="M3595" s="45" t="s">
        <v>18</v>
      </c>
      <c r="N3595" s="45" t="s">
        <v>18</v>
      </c>
      <c r="O3595" s="45" t="s">
        <v>18</v>
      </c>
      <c r="P3595" s="45" t="s">
        <v>109</v>
      </c>
    </row>
    <row r="3596" spans="1:19" x14ac:dyDescent="0.25">
      <c r="A3596" s="65">
        <v>3</v>
      </c>
      <c r="B3596" s="66">
        <v>437930.10856199998</v>
      </c>
      <c r="C3596" s="66">
        <v>5688155.3324180003</v>
      </c>
      <c r="D3596" s="66">
        <v>30</v>
      </c>
      <c r="E3596" s="66" t="s">
        <v>24</v>
      </c>
      <c r="F3596" s="66">
        <v>2024</v>
      </c>
      <c r="G3596" s="66" t="s">
        <v>18</v>
      </c>
      <c r="H3596" s="66" t="s">
        <v>18</v>
      </c>
      <c r="I3596" s="66" t="s">
        <v>18</v>
      </c>
      <c r="J3596" s="66" t="s">
        <v>18</v>
      </c>
      <c r="K3596" s="66" t="s">
        <v>18</v>
      </c>
      <c r="L3596" s="66" t="s">
        <v>18</v>
      </c>
      <c r="M3596" s="66" t="s">
        <v>18</v>
      </c>
      <c r="N3596" s="66" t="s">
        <v>18</v>
      </c>
      <c r="O3596" s="66" t="s">
        <v>18</v>
      </c>
      <c r="P3596" s="67" t="s">
        <v>166</v>
      </c>
    </row>
    <row r="3597" spans="1:19" x14ac:dyDescent="0.25">
      <c r="A3597" s="42">
        <v>4</v>
      </c>
      <c r="B3597" s="43">
        <v>438049.10856199998</v>
      </c>
      <c r="C3597" s="43">
        <v>5688155.3324180003</v>
      </c>
      <c r="D3597" s="44">
        <v>30</v>
      </c>
      <c r="E3597" s="44" t="s">
        <v>24</v>
      </c>
      <c r="F3597" s="44">
        <v>2024</v>
      </c>
      <c r="G3597" s="45" t="s">
        <v>18</v>
      </c>
      <c r="H3597" s="45" t="s">
        <v>18</v>
      </c>
      <c r="I3597" s="45" t="s">
        <v>18</v>
      </c>
      <c r="J3597" s="45" t="s">
        <v>18</v>
      </c>
      <c r="K3597" s="45" t="s">
        <v>18</v>
      </c>
      <c r="L3597" s="45" t="s">
        <v>18</v>
      </c>
      <c r="M3597" s="45" t="s">
        <v>18</v>
      </c>
      <c r="N3597" s="45" t="s">
        <v>18</v>
      </c>
      <c r="O3597" s="45" t="s">
        <v>18</v>
      </c>
      <c r="P3597" s="45" t="s">
        <v>109</v>
      </c>
    </row>
    <row r="3598" spans="1:19" x14ac:dyDescent="0.25">
      <c r="A3598" s="42">
        <v>5</v>
      </c>
      <c r="B3598" s="43">
        <v>437573.10856199998</v>
      </c>
      <c r="C3598" s="43">
        <v>5688274.3324180003</v>
      </c>
      <c r="D3598" s="44">
        <v>30</v>
      </c>
      <c r="E3598" s="44" t="s">
        <v>24</v>
      </c>
      <c r="F3598" s="44">
        <v>2024</v>
      </c>
      <c r="G3598" s="45" t="s">
        <v>18</v>
      </c>
      <c r="H3598" s="45" t="s">
        <v>18</v>
      </c>
      <c r="I3598" s="45" t="s">
        <v>18</v>
      </c>
      <c r="J3598" s="45" t="s">
        <v>18</v>
      </c>
      <c r="K3598" s="45" t="s">
        <v>18</v>
      </c>
      <c r="L3598" s="45" t="s">
        <v>18</v>
      </c>
      <c r="M3598" s="45" t="s">
        <v>18</v>
      </c>
      <c r="N3598" s="45" t="s">
        <v>18</v>
      </c>
      <c r="O3598" s="45" t="s">
        <v>18</v>
      </c>
      <c r="P3598" s="45" t="s">
        <v>109</v>
      </c>
    </row>
    <row r="3599" spans="1:19" x14ac:dyDescent="0.25">
      <c r="A3599" s="89">
        <v>6</v>
      </c>
      <c r="B3599" s="90">
        <v>437692.10856199998</v>
      </c>
      <c r="C3599" s="90">
        <v>5688274.3324180003</v>
      </c>
      <c r="D3599" s="90">
        <v>30</v>
      </c>
      <c r="E3599" s="90" t="s">
        <v>24</v>
      </c>
      <c r="F3599" s="90">
        <v>2024</v>
      </c>
      <c r="G3599" s="90" t="s">
        <v>18</v>
      </c>
      <c r="H3599" s="90" t="s">
        <v>18</v>
      </c>
      <c r="I3599" s="90" t="s">
        <v>18</v>
      </c>
      <c r="J3599" s="90" t="s">
        <v>18</v>
      </c>
      <c r="K3599" s="90" t="s">
        <v>18</v>
      </c>
      <c r="L3599" s="90" t="s">
        <v>18</v>
      </c>
      <c r="M3599" s="90" t="s">
        <v>18</v>
      </c>
      <c r="N3599" s="90" t="s">
        <v>18</v>
      </c>
      <c r="O3599" s="90" t="s">
        <v>18</v>
      </c>
      <c r="P3599" s="90" t="s">
        <v>18</v>
      </c>
    </row>
    <row r="3600" spans="1:19" x14ac:dyDescent="0.25">
      <c r="A3600" s="65">
        <v>7</v>
      </c>
      <c r="B3600" s="66">
        <v>437811.10856199998</v>
      </c>
      <c r="C3600" s="66">
        <v>5688274.3324180003</v>
      </c>
      <c r="D3600" s="66">
        <v>30</v>
      </c>
      <c r="E3600" s="66" t="s">
        <v>24</v>
      </c>
      <c r="F3600" s="66">
        <v>2024</v>
      </c>
      <c r="G3600" s="66" t="s">
        <v>18</v>
      </c>
      <c r="H3600" s="66" t="s">
        <v>18</v>
      </c>
      <c r="I3600" s="66" t="s">
        <v>18</v>
      </c>
      <c r="J3600" s="66" t="s">
        <v>18</v>
      </c>
      <c r="K3600" s="66" t="s">
        <v>18</v>
      </c>
      <c r="L3600" s="66" t="s">
        <v>18</v>
      </c>
      <c r="M3600" s="66" t="s">
        <v>18</v>
      </c>
      <c r="N3600" s="66" t="s">
        <v>18</v>
      </c>
      <c r="O3600" s="66" t="s">
        <v>18</v>
      </c>
      <c r="P3600" s="67" t="s">
        <v>166</v>
      </c>
    </row>
    <row r="3601" spans="1:16" x14ac:dyDescent="0.25">
      <c r="A3601" s="42">
        <v>8</v>
      </c>
      <c r="B3601" s="43">
        <v>437930.10856199998</v>
      </c>
      <c r="C3601" s="43">
        <v>5688274.3324180003</v>
      </c>
      <c r="D3601" s="44">
        <v>30</v>
      </c>
      <c r="E3601" s="44" t="s">
        <v>24</v>
      </c>
      <c r="F3601" s="44">
        <v>2024</v>
      </c>
      <c r="G3601" s="45" t="s">
        <v>18</v>
      </c>
      <c r="H3601" s="45" t="s">
        <v>18</v>
      </c>
      <c r="I3601" s="45" t="s">
        <v>18</v>
      </c>
      <c r="J3601" s="45" t="s">
        <v>18</v>
      </c>
      <c r="K3601" s="45" t="s">
        <v>18</v>
      </c>
      <c r="L3601" s="45" t="s">
        <v>18</v>
      </c>
      <c r="M3601" s="45" t="s">
        <v>18</v>
      </c>
      <c r="N3601" s="45" t="s">
        <v>18</v>
      </c>
      <c r="O3601" s="45" t="s">
        <v>18</v>
      </c>
      <c r="P3601" s="45" t="s">
        <v>109</v>
      </c>
    </row>
    <row r="3602" spans="1:16" x14ac:dyDescent="0.25">
      <c r="A3602" s="89">
        <v>9</v>
      </c>
      <c r="B3602" s="90">
        <v>438287.10856199998</v>
      </c>
      <c r="C3602" s="90">
        <v>5688274.3324180003</v>
      </c>
      <c r="D3602" s="90">
        <v>30</v>
      </c>
      <c r="E3602" s="90" t="s">
        <v>24</v>
      </c>
      <c r="F3602" s="90">
        <v>2024</v>
      </c>
      <c r="G3602" s="90" t="s">
        <v>18</v>
      </c>
      <c r="H3602" s="90" t="s">
        <v>18</v>
      </c>
      <c r="I3602" s="90" t="s">
        <v>18</v>
      </c>
      <c r="J3602" s="90" t="s">
        <v>18</v>
      </c>
      <c r="K3602" s="90" t="s">
        <v>18</v>
      </c>
      <c r="L3602" s="90" t="s">
        <v>18</v>
      </c>
      <c r="M3602" s="90" t="s">
        <v>18</v>
      </c>
      <c r="N3602" s="90" t="s">
        <v>18</v>
      </c>
      <c r="O3602" s="90" t="s">
        <v>18</v>
      </c>
      <c r="P3602" s="90" t="s">
        <v>18</v>
      </c>
    </row>
    <row r="3603" spans="1:16" x14ac:dyDescent="0.25">
      <c r="A3603" s="89">
        <v>10</v>
      </c>
      <c r="B3603" s="90">
        <v>438406.10856199998</v>
      </c>
      <c r="C3603" s="90">
        <v>5688274.3324180003</v>
      </c>
      <c r="D3603" s="90">
        <v>30</v>
      </c>
      <c r="E3603" s="90" t="s">
        <v>24</v>
      </c>
      <c r="F3603" s="90">
        <v>2024</v>
      </c>
      <c r="G3603" s="90" t="s">
        <v>18</v>
      </c>
      <c r="H3603" s="90" t="s">
        <v>18</v>
      </c>
      <c r="I3603" s="90" t="s">
        <v>18</v>
      </c>
      <c r="J3603" s="90" t="s">
        <v>18</v>
      </c>
      <c r="K3603" s="90" t="s">
        <v>18</v>
      </c>
      <c r="L3603" s="90" t="s">
        <v>18</v>
      </c>
      <c r="M3603" s="90" t="s">
        <v>18</v>
      </c>
      <c r="N3603" s="90" t="s">
        <v>18</v>
      </c>
      <c r="O3603" s="90" t="s">
        <v>18</v>
      </c>
      <c r="P3603" s="90" t="s">
        <v>18</v>
      </c>
    </row>
    <row r="3604" spans="1:16" x14ac:dyDescent="0.25">
      <c r="A3604" s="42">
        <v>11</v>
      </c>
      <c r="B3604" s="43">
        <v>437454.10856199998</v>
      </c>
      <c r="C3604" s="43">
        <v>5688393.3324180003</v>
      </c>
      <c r="D3604" s="44">
        <v>30</v>
      </c>
      <c r="E3604" s="44" t="s">
        <v>24</v>
      </c>
      <c r="F3604" s="44">
        <v>2024</v>
      </c>
      <c r="G3604" s="45" t="s">
        <v>18</v>
      </c>
      <c r="H3604" s="45" t="s">
        <v>18</v>
      </c>
      <c r="I3604" s="45" t="s">
        <v>18</v>
      </c>
      <c r="J3604" s="45" t="s">
        <v>18</v>
      </c>
      <c r="K3604" s="45" t="s">
        <v>18</v>
      </c>
      <c r="L3604" s="45" t="s">
        <v>18</v>
      </c>
      <c r="M3604" s="45" t="s">
        <v>18</v>
      </c>
      <c r="N3604" s="45" t="s">
        <v>18</v>
      </c>
      <c r="O3604" s="45" t="s">
        <v>18</v>
      </c>
      <c r="P3604" s="45" t="s">
        <v>109</v>
      </c>
    </row>
    <row r="3605" spans="1:16" x14ac:dyDescent="0.25">
      <c r="A3605" s="29">
        <v>12</v>
      </c>
      <c r="B3605" s="30">
        <v>437573.10856199998</v>
      </c>
      <c r="C3605" s="30">
        <v>5688393.3324180003</v>
      </c>
      <c r="D3605" s="30">
        <v>30</v>
      </c>
      <c r="E3605" s="30" t="s">
        <v>24</v>
      </c>
      <c r="F3605" s="46">
        <v>2024</v>
      </c>
      <c r="G3605" s="84">
        <v>8.150479106423995E-3</v>
      </c>
      <c r="H3605" s="47">
        <f>G3605*0.324373688727047</f>
        <v>2.6438009726434774E-3</v>
      </c>
      <c r="I3605" s="47">
        <v>2.4805805976073026E-3</v>
      </c>
      <c r="J3605" s="47">
        <f>I3605*0.45618215514959</f>
        <v>1.1315966030387571E-3</v>
      </c>
      <c r="K3605" s="47">
        <v>4.762714747406022E-3</v>
      </c>
      <c r="L3605" s="47">
        <f>K3605*0.421514514980574</f>
        <v>2.0075533967436766E-3</v>
      </c>
      <c r="M3605" s="47">
        <f t="shared" ref="M3605:M3653" si="445">H3605-L3605</f>
        <v>6.3624757589980088E-4</v>
      </c>
      <c r="N3605" s="47">
        <v>4.3516471055168107E-3</v>
      </c>
      <c r="O3605" s="47">
        <f>N3605*0.552679547940211</f>
        <v>2.4050663550723586E-3</v>
      </c>
      <c r="P3605" s="47"/>
    </row>
    <row r="3606" spans="1:16" x14ac:dyDescent="0.25">
      <c r="A3606" s="89">
        <v>13</v>
      </c>
      <c r="B3606" s="90">
        <v>437692.10856199998</v>
      </c>
      <c r="C3606" s="90">
        <v>5688393.3324180003</v>
      </c>
      <c r="D3606" s="90">
        <v>30</v>
      </c>
      <c r="E3606" s="90" t="s">
        <v>24</v>
      </c>
      <c r="F3606" s="90">
        <v>2024</v>
      </c>
      <c r="G3606" s="90" t="s">
        <v>18</v>
      </c>
      <c r="H3606" s="90" t="s">
        <v>18</v>
      </c>
      <c r="I3606" s="90" t="s">
        <v>18</v>
      </c>
      <c r="J3606" s="90" t="s">
        <v>18</v>
      </c>
      <c r="K3606" s="90" t="s">
        <v>18</v>
      </c>
      <c r="L3606" s="90" t="s">
        <v>18</v>
      </c>
      <c r="M3606" s="90" t="s">
        <v>18</v>
      </c>
      <c r="N3606" s="90" t="s">
        <v>18</v>
      </c>
      <c r="O3606" s="90" t="s">
        <v>18</v>
      </c>
      <c r="P3606" s="90" t="s">
        <v>18</v>
      </c>
    </row>
    <row r="3607" spans="1:16" x14ac:dyDescent="0.25">
      <c r="A3607" s="32">
        <v>14</v>
      </c>
      <c r="B3607" s="33">
        <v>437811.10856199998</v>
      </c>
      <c r="C3607" s="33">
        <v>5688393.3324180003</v>
      </c>
      <c r="D3607" s="48">
        <v>30</v>
      </c>
      <c r="E3607" s="48" t="s">
        <v>24</v>
      </c>
      <c r="F3607" s="48">
        <v>2024</v>
      </c>
      <c r="G3607" s="49" t="s">
        <v>18</v>
      </c>
      <c r="H3607" s="49" t="s">
        <v>18</v>
      </c>
      <c r="I3607" s="49" t="s">
        <v>18</v>
      </c>
      <c r="J3607" s="49" t="s">
        <v>18</v>
      </c>
      <c r="K3607" s="49" t="s">
        <v>18</v>
      </c>
      <c r="L3607" s="49" t="s">
        <v>18</v>
      </c>
      <c r="M3607" s="49" t="s">
        <v>18</v>
      </c>
      <c r="N3607" s="49" t="s">
        <v>18</v>
      </c>
      <c r="O3607" s="49" t="s">
        <v>18</v>
      </c>
      <c r="P3607" s="49" t="s">
        <v>18</v>
      </c>
    </row>
    <row r="3608" spans="1:16" x14ac:dyDescent="0.25">
      <c r="A3608" s="29">
        <v>15</v>
      </c>
      <c r="B3608" s="30">
        <v>437930.10856199998</v>
      </c>
      <c r="C3608" s="30">
        <v>5688393.3324180003</v>
      </c>
      <c r="D3608" s="30">
        <v>1</v>
      </c>
      <c r="E3608" s="30" t="s">
        <v>96</v>
      </c>
      <c r="F3608" s="46">
        <v>2024</v>
      </c>
      <c r="G3608" s="84">
        <v>8.0583432556557227E-2</v>
      </c>
      <c r="H3608" s="47">
        <f t="shared" ref="H3608:H3653" si="446">G3608*0.324373688727047</f>
        <v>2.6139145268657682E-2</v>
      </c>
      <c r="I3608" s="47">
        <v>3.7137835232749335E-2</v>
      </c>
      <c r="J3608" s="47">
        <f t="shared" ref="J3608:J3653" si="447">I3608*0.45618215514959</f>
        <v>1.6941617714065965E-2</v>
      </c>
      <c r="K3608" s="47">
        <v>8.2213528377842029E-2</v>
      </c>
      <c r="L3608" s="47">
        <f t="shared" ref="L3608:L3653" si="448">K3608*0.421514514980574</f>
        <v>3.4654195539027738E-2</v>
      </c>
      <c r="M3608" s="47">
        <f t="shared" si="445"/>
        <v>-8.5150502703700559E-3</v>
      </c>
      <c r="N3608" s="47">
        <v>1.2232806032772013E-2</v>
      </c>
      <c r="O3608" s="47">
        <f t="shared" ref="O3608:O3653" si="449">N3608*0.552679547940211</f>
        <v>6.7608217082327227E-3</v>
      </c>
      <c r="P3608" s="47"/>
    </row>
    <row r="3609" spans="1:16" x14ac:dyDescent="0.25">
      <c r="A3609" s="29">
        <v>16</v>
      </c>
      <c r="B3609" s="30">
        <v>438049.10856199998</v>
      </c>
      <c r="C3609" s="30">
        <v>5688393.3324180003</v>
      </c>
      <c r="D3609" s="30">
        <v>1</v>
      </c>
      <c r="E3609" s="30" t="s">
        <v>96</v>
      </c>
      <c r="F3609" s="46">
        <v>2024</v>
      </c>
      <c r="G3609" s="84">
        <v>5.8782672790157059E-2</v>
      </c>
      <c r="H3609" s="47">
        <f t="shared" si="446"/>
        <v>1.9067552406178263E-2</v>
      </c>
      <c r="I3609" s="47">
        <v>0</v>
      </c>
      <c r="J3609" s="47">
        <f t="shared" si="447"/>
        <v>0</v>
      </c>
      <c r="K3609" s="47">
        <v>1.49118330781879E-2</v>
      </c>
      <c r="L3609" s="47">
        <f t="shared" si="448"/>
        <v>6.285554087423653E-3</v>
      </c>
      <c r="M3609" s="47">
        <f t="shared" si="445"/>
        <v>1.2781998318754609E-2</v>
      </c>
      <c r="N3609" s="47">
        <v>0</v>
      </c>
      <c r="O3609" s="47">
        <f t="shared" si="449"/>
        <v>0</v>
      </c>
      <c r="P3609" s="47"/>
    </row>
    <row r="3610" spans="1:16" x14ac:dyDescent="0.25">
      <c r="A3610" s="29">
        <v>17</v>
      </c>
      <c r="B3610" s="30">
        <v>438168.10856199998</v>
      </c>
      <c r="C3610" s="30">
        <v>5688393.3324180003</v>
      </c>
      <c r="D3610" s="30">
        <v>1</v>
      </c>
      <c r="E3610" s="30" t="s">
        <v>96</v>
      </c>
      <c r="F3610" s="46">
        <v>2024</v>
      </c>
      <c r="G3610" s="84" t="s">
        <v>18</v>
      </c>
      <c r="H3610" s="84" t="s">
        <v>18</v>
      </c>
      <c r="I3610" s="84" t="s">
        <v>18</v>
      </c>
      <c r="J3610" s="84" t="s">
        <v>18</v>
      </c>
      <c r="K3610" s="47">
        <v>1.2572999943301015E-2</v>
      </c>
      <c r="L3610" s="47">
        <f t="shared" si="448"/>
        <v>5.2997019729513119E-3</v>
      </c>
      <c r="M3610" s="84" t="s">
        <v>18</v>
      </c>
      <c r="N3610" s="47">
        <v>2.0284061915291716E-2</v>
      </c>
      <c r="O3610" s="47">
        <f t="shared" si="449"/>
        <v>1.1210586169734676E-2</v>
      </c>
      <c r="P3610" s="47" t="s">
        <v>110</v>
      </c>
    </row>
    <row r="3611" spans="1:16" x14ac:dyDescent="0.25">
      <c r="A3611" s="29">
        <v>18</v>
      </c>
      <c r="B3611" s="90">
        <v>438287.10856199998</v>
      </c>
      <c r="C3611" s="90">
        <v>5688393.3324180003</v>
      </c>
      <c r="D3611" s="90">
        <v>30</v>
      </c>
      <c r="E3611" s="90" t="s">
        <v>24</v>
      </c>
      <c r="F3611" s="90">
        <v>2024</v>
      </c>
      <c r="G3611" s="90" t="s">
        <v>18</v>
      </c>
      <c r="H3611" s="90" t="s">
        <v>18</v>
      </c>
      <c r="I3611" s="90" t="s">
        <v>18</v>
      </c>
      <c r="J3611" s="90" t="s">
        <v>18</v>
      </c>
      <c r="K3611" s="90" t="s">
        <v>18</v>
      </c>
      <c r="L3611" s="90" t="s">
        <v>18</v>
      </c>
      <c r="M3611" s="90" t="s">
        <v>18</v>
      </c>
      <c r="N3611" s="90" t="s">
        <v>18</v>
      </c>
      <c r="O3611" s="90" t="s">
        <v>18</v>
      </c>
      <c r="P3611" s="90" t="s">
        <v>18</v>
      </c>
    </row>
    <row r="3612" spans="1:16" x14ac:dyDescent="0.25">
      <c r="A3612" s="29">
        <v>19</v>
      </c>
      <c r="B3612" s="30">
        <v>438406.10856199998</v>
      </c>
      <c r="C3612" s="30">
        <v>5688393.3324180003</v>
      </c>
      <c r="D3612" s="30">
        <v>1</v>
      </c>
      <c r="E3612" s="30" t="s">
        <v>96</v>
      </c>
      <c r="F3612" s="46">
        <v>2024</v>
      </c>
      <c r="G3612" s="84">
        <v>3.2034926574814306E-2</v>
      </c>
      <c r="H3612" s="47">
        <f t="shared" si="446"/>
        <v>1.0391287301172622E-2</v>
      </c>
      <c r="I3612" s="47">
        <v>0</v>
      </c>
      <c r="J3612" s="47">
        <f t="shared" si="447"/>
        <v>0</v>
      </c>
      <c r="K3612" s="47">
        <v>1.302659182400635E-2</v>
      </c>
      <c r="L3612" s="47">
        <f t="shared" si="448"/>
        <v>5.4908975345459472E-3</v>
      </c>
      <c r="M3612" s="47">
        <f t="shared" si="445"/>
        <v>4.9003897666266751E-3</v>
      </c>
      <c r="N3612" s="47">
        <v>0</v>
      </c>
      <c r="O3612" s="47">
        <f t="shared" si="449"/>
        <v>0</v>
      </c>
      <c r="P3612" s="47"/>
    </row>
    <row r="3613" spans="1:16" x14ac:dyDescent="0.25">
      <c r="A3613" s="42">
        <v>20</v>
      </c>
      <c r="B3613" s="43">
        <v>437335.10856199998</v>
      </c>
      <c r="C3613" s="43">
        <v>5688512.3324180003</v>
      </c>
      <c r="D3613" s="44">
        <v>30</v>
      </c>
      <c r="E3613" s="44" t="s">
        <v>24</v>
      </c>
      <c r="F3613" s="44">
        <v>2024</v>
      </c>
      <c r="G3613" s="45" t="s">
        <v>18</v>
      </c>
      <c r="H3613" s="45" t="s">
        <v>18</v>
      </c>
      <c r="I3613" s="45" t="s">
        <v>18</v>
      </c>
      <c r="J3613" s="45" t="s">
        <v>18</v>
      </c>
      <c r="K3613" s="45" t="s">
        <v>18</v>
      </c>
      <c r="L3613" s="45" t="s">
        <v>18</v>
      </c>
      <c r="M3613" s="45" t="s">
        <v>18</v>
      </c>
      <c r="N3613" s="45" t="s">
        <v>18</v>
      </c>
      <c r="O3613" s="45" t="s">
        <v>18</v>
      </c>
      <c r="P3613" s="45" t="s">
        <v>109</v>
      </c>
    </row>
    <row r="3614" spans="1:16" x14ac:dyDescent="0.25">
      <c r="A3614" s="89">
        <v>21</v>
      </c>
      <c r="B3614" s="90">
        <v>437454.10856199998</v>
      </c>
      <c r="C3614" s="90">
        <v>5688512.3324180003</v>
      </c>
      <c r="D3614" s="90">
        <v>30</v>
      </c>
      <c r="E3614" s="90" t="s">
        <v>24</v>
      </c>
      <c r="F3614" s="90">
        <v>2024</v>
      </c>
      <c r="G3614" s="90" t="s">
        <v>18</v>
      </c>
      <c r="H3614" s="90" t="s">
        <v>18</v>
      </c>
      <c r="I3614" s="90" t="s">
        <v>18</v>
      </c>
      <c r="J3614" s="90" t="s">
        <v>18</v>
      </c>
      <c r="K3614" s="90" t="s">
        <v>18</v>
      </c>
      <c r="L3614" s="90" t="s">
        <v>18</v>
      </c>
      <c r="M3614" s="90" t="s">
        <v>18</v>
      </c>
      <c r="N3614" s="90" t="s">
        <v>18</v>
      </c>
      <c r="O3614" s="90" t="s">
        <v>18</v>
      </c>
      <c r="P3614" s="90" t="s">
        <v>18</v>
      </c>
    </row>
    <row r="3615" spans="1:16" x14ac:dyDescent="0.25">
      <c r="A3615" s="29">
        <v>22</v>
      </c>
      <c r="B3615" s="30">
        <v>437573.10856199998</v>
      </c>
      <c r="C3615" s="30">
        <v>5688512.3324180003</v>
      </c>
      <c r="D3615" s="30">
        <v>30</v>
      </c>
      <c r="E3615" s="30" t="s">
        <v>24</v>
      </c>
      <c r="F3615" s="46">
        <v>2024</v>
      </c>
      <c r="G3615" s="84">
        <v>3.686851505358054E-2</v>
      </c>
      <c r="H3615" s="47">
        <f t="shared" si="446"/>
        <v>1.1959176225818581E-2</v>
      </c>
      <c r="I3615" s="47">
        <v>5.5990247774564839E-3</v>
      </c>
      <c r="J3615" s="47">
        <f t="shared" si="447"/>
        <v>2.5541751897160524E-3</v>
      </c>
      <c r="K3615" s="47">
        <v>1.0021545614333502E-2</v>
      </c>
      <c r="L3615" s="47">
        <f t="shared" si="448"/>
        <v>4.2242269389814848E-3</v>
      </c>
      <c r="M3615" s="47">
        <f t="shared" si="445"/>
        <v>7.7349492868370963E-3</v>
      </c>
      <c r="N3615" s="47">
        <v>0</v>
      </c>
      <c r="O3615" s="47">
        <f t="shared" si="449"/>
        <v>0</v>
      </c>
      <c r="P3615" s="47"/>
    </row>
    <row r="3616" spans="1:16" x14ac:dyDescent="0.25">
      <c r="A3616" s="29">
        <v>23</v>
      </c>
      <c r="B3616" s="30">
        <v>437692.10856199998</v>
      </c>
      <c r="C3616" s="30">
        <v>5688512.3324180003</v>
      </c>
      <c r="D3616" s="30">
        <v>30</v>
      </c>
      <c r="E3616" s="30" t="s">
        <v>24</v>
      </c>
      <c r="F3616" s="46">
        <v>2024</v>
      </c>
      <c r="G3616" s="84">
        <v>1.105630209219255E-3</v>
      </c>
      <c r="H3616" s="47">
        <f t="shared" si="446"/>
        <v>3.5863734933250653E-4</v>
      </c>
      <c r="I3616" s="47">
        <v>0</v>
      </c>
      <c r="J3616" s="47">
        <f t="shared" si="447"/>
        <v>0</v>
      </c>
      <c r="K3616" s="47">
        <v>5.528151046096275E-4</v>
      </c>
      <c r="L3616" s="47">
        <f t="shared" si="448"/>
        <v>2.3301959069346243E-4</v>
      </c>
      <c r="M3616" s="47">
        <f t="shared" si="445"/>
        <v>1.256177586390441E-4</v>
      </c>
      <c r="N3616" s="47">
        <v>0</v>
      </c>
      <c r="O3616" s="47">
        <f t="shared" si="449"/>
        <v>0</v>
      </c>
      <c r="P3616" s="47"/>
    </row>
    <row r="3617" spans="1:16" x14ac:dyDescent="0.25">
      <c r="A3617" s="29">
        <v>24</v>
      </c>
      <c r="B3617" s="30">
        <v>437811.10856199998</v>
      </c>
      <c r="C3617" s="30">
        <v>5688512.3324180003</v>
      </c>
      <c r="D3617" s="30">
        <v>30</v>
      </c>
      <c r="E3617" s="30" t="s">
        <v>24</v>
      </c>
      <c r="F3617" s="46">
        <v>2024</v>
      </c>
      <c r="G3617" s="84">
        <v>3.0631626693882179E-2</v>
      </c>
      <c r="H3617" s="47">
        <f t="shared" si="446"/>
        <v>9.9360937424044435E-3</v>
      </c>
      <c r="I3617" s="47">
        <v>2.2396099109825932E-3</v>
      </c>
      <c r="J3617" s="47">
        <f t="shared" si="447"/>
        <v>1.0216700758864208E-3</v>
      </c>
      <c r="K3617" s="47">
        <v>1.8016102511765039E-2</v>
      </c>
      <c r="L3617" s="47">
        <f t="shared" si="448"/>
        <v>7.5940487120869414E-3</v>
      </c>
      <c r="M3617" s="47">
        <f t="shared" si="445"/>
        <v>2.342045030317502E-3</v>
      </c>
      <c r="N3617" s="47">
        <v>5.528151046096275E-4</v>
      </c>
      <c r="O3617" s="47">
        <f t="shared" si="449"/>
        <v>3.0552960211016942E-4</v>
      </c>
      <c r="P3617" s="47"/>
    </row>
    <row r="3618" spans="1:16" x14ac:dyDescent="0.25">
      <c r="A3618" s="29">
        <v>25</v>
      </c>
      <c r="B3618" s="46">
        <v>437995</v>
      </c>
      <c r="C3618" s="46">
        <v>5688493</v>
      </c>
      <c r="D3618" s="30">
        <v>30</v>
      </c>
      <c r="E3618" s="30" t="s">
        <v>24</v>
      </c>
      <c r="F3618" s="46">
        <v>2024</v>
      </c>
      <c r="G3618" s="84">
        <v>1.007824459942167E-2</v>
      </c>
      <c r="H3618" s="47">
        <f t="shared" si="446"/>
        <v>3.2691173766078475E-3</v>
      </c>
      <c r="I3618" s="47">
        <v>0</v>
      </c>
      <c r="J3618" s="47">
        <f t="shared" si="447"/>
        <v>0</v>
      </c>
      <c r="K3618" s="47">
        <v>5.7832964789930252E-3</v>
      </c>
      <c r="L3618" s="47">
        <f t="shared" si="448"/>
        <v>2.4377434103316064E-3</v>
      </c>
      <c r="M3618" s="47">
        <f t="shared" si="445"/>
        <v>8.3137396627624115E-4</v>
      </c>
      <c r="N3618" s="47">
        <v>0</v>
      </c>
      <c r="O3618" s="47">
        <f t="shared" si="449"/>
        <v>0</v>
      </c>
      <c r="P3618" s="47"/>
    </row>
    <row r="3619" spans="1:16" x14ac:dyDescent="0.25">
      <c r="A3619" s="29">
        <v>26</v>
      </c>
      <c r="B3619" s="46">
        <v>438112</v>
      </c>
      <c r="C3619" s="46">
        <v>5688567</v>
      </c>
      <c r="D3619" s="30">
        <v>1</v>
      </c>
      <c r="E3619" s="30" t="s">
        <v>96</v>
      </c>
      <c r="F3619" s="46">
        <v>2024</v>
      </c>
      <c r="G3619" s="84">
        <v>6.0554516074162276E-2</v>
      </c>
      <c r="H3619" s="47">
        <f t="shared" si="446"/>
        <v>1.9642291748057279E-2</v>
      </c>
      <c r="I3619" s="47">
        <v>0</v>
      </c>
      <c r="J3619" s="47">
        <f t="shared" si="447"/>
        <v>0</v>
      </c>
      <c r="K3619" s="47">
        <v>2.4791631229800989E-2</v>
      </c>
      <c r="L3619" s="47">
        <f t="shared" si="448"/>
        <v>1.0450032413406815E-2</v>
      </c>
      <c r="M3619" s="47">
        <f t="shared" si="445"/>
        <v>9.1922593346504631E-3</v>
      </c>
      <c r="N3619" s="47">
        <v>0</v>
      </c>
      <c r="O3619" s="47">
        <f t="shared" si="449"/>
        <v>0</v>
      </c>
      <c r="P3619" s="47"/>
    </row>
    <row r="3620" spans="1:16" x14ac:dyDescent="0.25">
      <c r="A3620" s="32">
        <v>27</v>
      </c>
      <c r="B3620" s="33">
        <v>438168.10856199998</v>
      </c>
      <c r="C3620" s="33">
        <v>5688512.3324180003</v>
      </c>
      <c r="D3620" s="48">
        <v>30</v>
      </c>
      <c r="E3620" s="48" t="s">
        <v>24</v>
      </c>
      <c r="F3620" s="48">
        <v>2024</v>
      </c>
      <c r="G3620" s="49" t="s">
        <v>18</v>
      </c>
      <c r="H3620" s="49" t="s">
        <v>18</v>
      </c>
      <c r="I3620" s="49" t="s">
        <v>18</v>
      </c>
      <c r="J3620" s="49" t="s">
        <v>18</v>
      </c>
      <c r="K3620" s="49" t="s">
        <v>18</v>
      </c>
      <c r="L3620" s="49" t="s">
        <v>18</v>
      </c>
      <c r="M3620" s="49" t="s">
        <v>18</v>
      </c>
      <c r="N3620" s="49" t="s">
        <v>18</v>
      </c>
      <c r="O3620" s="49" t="s">
        <v>18</v>
      </c>
      <c r="P3620" s="49" t="s">
        <v>18</v>
      </c>
    </row>
    <row r="3621" spans="1:16" x14ac:dyDescent="0.25">
      <c r="A3621" s="32">
        <v>28</v>
      </c>
      <c r="B3621" s="33">
        <v>438287.10856199998</v>
      </c>
      <c r="C3621" s="33">
        <v>5688512.3324180003</v>
      </c>
      <c r="D3621" s="48">
        <v>30</v>
      </c>
      <c r="E3621" s="48" t="s">
        <v>24</v>
      </c>
      <c r="F3621" s="48">
        <v>2024</v>
      </c>
      <c r="G3621" s="49" t="s">
        <v>18</v>
      </c>
      <c r="H3621" s="49" t="s">
        <v>18</v>
      </c>
      <c r="I3621" s="49" t="s">
        <v>18</v>
      </c>
      <c r="J3621" s="49" t="s">
        <v>18</v>
      </c>
      <c r="K3621" s="49" t="s">
        <v>18</v>
      </c>
      <c r="L3621" s="49" t="s">
        <v>18</v>
      </c>
      <c r="M3621" s="49" t="s">
        <v>18</v>
      </c>
      <c r="N3621" s="49" t="s">
        <v>18</v>
      </c>
      <c r="O3621" s="49" t="s">
        <v>18</v>
      </c>
      <c r="P3621" s="49" t="s">
        <v>18</v>
      </c>
    </row>
    <row r="3622" spans="1:16" x14ac:dyDescent="0.25">
      <c r="A3622" s="29">
        <v>29</v>
      </c>
      <c r="B3622" s="30">
        <v>438381</v>
      </c>
      <c r="C3622" s="30">
        <v>5688526</v>
      </c>
      <c r="D3622" s="30">
        <v>1</v>
      </c>
      <c r="E3622" s="30" t="s">
        <v>96</v>
      </c>
      <c r="F3622" s="46">
        <v>2024</v>
      </c>
      <c r="G3622" s="84">
        <v>2.1630662811135681E-2</v>
      </c>
      <c r="H3622" s="47">
        <f t="shared" si="446"/>
        <v>7.0164178856590379E-3</v>
      </c>
      <c r="I3622" s="47">
        <v>0</v>
      </c>
      <c r="J3622" s="47">
        <f t="shared" si="447"/>
        <v>0</v>
      </c>
      <c r="K3622" s="47">
        <v>2.097862448262176E-2</v>
      </c>
      <c r="L3622" s="47">
        <f t="shared" si="448"/>
        <v>8.8427947237519067E-3</v>
      </c>
      <c r="M3622" s="47">
        <f t="shared" si="445"/>
        <v>-1.8263768380928688E-3</v>
      </c>
      <c r="N3622" s="47">
        <v>0</v>
      </c>
      <c r="O3622" s="47">
        <f t="shared" si="449"/>
        <v>0</v>
      </c>
      <c r="P3622" s="47"/>
    </row>
    <row r="3623" spans="1:16" x14ac:dyDescent="0.25">
      <c r="A3623" s="29">
        <v>30</v>
      </c>
      <c r="B3623" s="30">
        <v>438525.10856199998</v>
      </c>
      <c r="C3623" s="30">
        <v>5688512.3324180003</v>
      </c>
      <c r="D3623" s="30">
        <v>1</v>
      </c>
      <c r="E3623" s="30" t="s">
        <v>96</v>
      </c>
      <c r="F3623" s="46">
        <v>2024</v>
      </c>
      <c r="G3623" s="84">
        <v>1.367863015252027E-2</v>
      </c>
      <c r="H3623" s="47">
        <f t="shared" si="446"/>
        <v>4.4369877193060096E-3</v>
      </c>
      <c r="I3623" s="84">
        <v>0</v>
      </c>
      <c r="J3623" s="47">
        <f t="shared" si="447"/>
        <v>0</v>
      </c>
      <c r="K3623" s="47">
        <v>1.5039405794636276E-2</v>
      </c>
      <c r="L3623" s="47">
        <f t="shared" si="448"/>
        <v>6.3393278391221438E-3</v>
      </c>
      <c r="M3623" s="84" t="s">
        <v>18</v>
      </c>
      <c r="N3623" s="47">
        <v>0</v>
      </c>
      <c r="O3623" s="47">
        <f t="shared" si="449"/>
        <v>0</v>
      </c>
      <c r="P3623" s="47"/>
    </row>
    <row r="3624" spans="1:16" x14ac:dyDescent="0.25">
      <c r="A3624" s="29">
        <v>31</v>
      </c>
      <c r="B3624" s="30">
        <v>437335.10856199998</v>
      </c>
      <c r="C3624" s="30">
        <v>5688631.3324180003</v>
      </c>
      <c r="D3624" s="30">
        <v>30</v>
      </c>
      <c r="E3624" s="30" t="s">
        <v>24</v>
      </c>
      <c r="F3624" s="46">
        <v>2024</v>
      </c>
      <c r="G3624" s="47">
        <v>3.6528321143051538E-2</v>
      </c>
      <c r="H3624" s="47">
        <f t="shared" si="446"/>
        <v>1.184882627217781E-2</v>
      </c>
      <c r="I3624" s="47">
        <v>4.6634915235017295E-3</v>
      </c>
      <c r="J3624" s="47">
        <f t="shared" si="447"/>
        <v>2.1274016137128636E-3</v>
      </c>
      <c r="K3624" s="47">
        <v>1.4940182570731984E-2</v>
      </c>
      <c r="L3624" s="47">
        <f t="shared" si="448"/>
        <v>6.2975038100233178E-3</v>
      </c>
      <c r="M3624" s="47">
        <f t="shared" si="445"/>
        <v>5.5513224621544918E-3</v>
      </c>
      <c r="N3624" s="47">
        <v>7.9378579123433692E-4</v>
      </c>
      <c r="O3624" s="47">
        <f t="shared" si="449"/>
        <v>4.3870917226075602E-4</v>
      </c>
      <c r="P3624" s="47"/>
    </row>
    <row r="3625" spans="1:16" x14ac:dyDescent="0.25">
      <c r="A3625" s="29">
        <v>32</v>
      </c>
      <c r="B3625" s="30">
        <v>437454.10856199998</v>
      </c>
      <c r="C3625" s="30">
        <v>5688631.3324180003</v>
      </c>
      <c r="D3625" s="30">
        <v>30</v>
      </c>
      <c r="E3625" s="30" t="s">
        <v>24</v>
      </c>
      <c r="F3625" s="46">
        <v>2024</v>
      </c>
      <c r="G3625" s="84">
        <v>1.6471055168112488E-2</v>
      </c>
      <c r="H3625" s="47">
        <f t="shared" si="446"/>
        <v>5.3427769221073389E-3</v>
      </c>
      <c r="I3625" s="47">
        <v>2.197085672166468E-3</v>
      </c>
      <c r="J3625" s="47">
        <f t="shared" si="447"/>
        <v>1.002271276977185E-3</v>
      </c>
      <c r="K3625" s="47">
        <v>3.7846572546351423E-3</v>
      </c>
      <c r="L3625" s="47">
        <f t="shared" si="448"/>
        <v>1.5952879670552429E-3</v>
      </c>
      <c r="M3625" s="47">
        <f t="shared" si="445"/>
        <v>3.7474889550520958E-3</v>
      </c>
      <c r="N3625" s="47">
        <v>0</v>
      </c>
      <c r="O3625" s="47">
        <f t="shared" si="449"/>
        <v>0</v>
      </c>
      <c r="P3625" s="47"/>
    </row>
    <row r="3626" spans="1:16" x14ac:dyDescent="0.25">
      <c r="A3626" s="29">
        <v>33</v>
      </c>
      <c r="B3626" s="30">
        <v>437573.10856199998</v>
      </c>
      <c r="C3626" s="30">
        <v>5688631.3324180003</v>
      </c>
      <c r="D3626" s="30">
        <v>30</v>
      </c>
      <c r="E3626" s="30" t="s">
        <v>24</v>
      </c>
      <c r="F3626" s="46">
        <v>2024</v>
      </c>
      <c r="G3626" s="84">
        <v>1.4302318988490104E-2</v>
      </c>
      <c r="H3626" s="47">
        <f t="shared" si="446"/>
        <v>4.639295967647423E-3</v>
      </c>
      <c r="I3626" s="47">
        <v>0</v>
      </c>
      <c r="J3626" s="47">
        <f t="shared" si="447"/>
        <v>0</v>
      </c>
      <c r="K3626" s="47">
        <v>4.8902874638543968E-3</v>
      </c>
      <c r="L3626" s="47">
        <f t="shared" si="448"/>
        <v>2.0613271484421674E-3</v>
      </c>
      <c r="M3626" s="47">
        <f t="shared" si="445"/>
        <v>2.5779688192052556E-3</v>
      </c>
      <c r="N3626" s="47">
        <v>0</v>
      </c>
      <c r="O3626" s="47">
        <f t="shared" si="449"/>
        <v>0</v>
      </c>
      <c r="P3626" s="47"/>
    </row>
    <row r="3627" spans="1:16" x14ac:dyDescent="0.25">
      <c r="A3627" s="29">
        <v>34</v>
      </c>
      <c r="B3627" s="30">
        <v>437692.10856199998</v>
      </c>
      <c r="C3627" s="30">
        <v>5688631.3324180003</v>
      </c>
      <c r="D3627" s="30">
        <v>30</v>
      </c>
      <c r="E3627" s="30" t="s">
        <v>24</v>
      </c>
      <c r="F3627" s="46">
        <v>2024</v>
      </c>
      <c r="G3627" s="84">
        <v>2.3246583886148437E-2</v>
      </c>
      <c r="H3627" s="47">
        <f t="shared" si="446"/>
        <v>7.5405801654527E-3</v>
      </c>
      <c r="I3627" s="47">
        <v>0</v>
      </c>
      <c r="J3627" s="47">
        <f t="shared" si="447"/>
        <v>0</v>
      </c>
      <c r="K3627" s="47">
        <v>3.8413562397233091E-3</v>
      </c>
      <c r="L3627" s="47">
        <f t="shared" si="448"/>
        <v>1.6191874122545723E-3</v>
      </c>
      <c r="M3627" s="47">
        <f t="shared" si="445"/>
        <v>5.9213927531981281E-3</v>
      </c>
      <c r="N3627" s="47">
        <v>0</v>
      </c>
      <c r="O3627" s="47">
        <f t="shared" si="449"/>
        <v>0</v>
      </c>
      <c r="P3627" s="47"/>
    </row>
    <row r="3628" spans="1:16" x14ac:dyDescent="0.25">
      <c r="A3628" s="29">
        <v>35</v>
      </c>
      <c r="B3628" s="30">
        <v>437893</v>
      </c>
      <c r="C3628" s="30">
        <v>5688620</v>
      </c>
      <c r="D3628" s="30">
        <v>1</v>
      </c>
      <c r="E3628" s="30" t="s">
        <v>96</v>
      </c>
      <c r="F3628" s="46">
        <v>2024</v>
      </c>
      <c r="G3628" s="84" t="s">
        <v>18</v>
      </c>
      <c r="H3628" s="84" t="s">
        <v>18</v>
      </c>
      <c r="I3628" s="84" t="s">
        <v>18</v>
      </c>
      <c r="J3628" s="84" t="s">
        <v>18</v>
      </c>
      <c r="K3628" s="47">
        <v>4.7201905085898967E-3</v>
      </c>
      <c r="L3628" s="47">
        <f t="shared" si="448"/>
        <v>1.9896288128441793E-3</v>
      </c>
      <c r="M3628" s="84" t="s">
        <v>18</v>
      </c>
      <c r="N3628" s="47">
        <v>0</v>
      </c>
      <c r="O3628" s="47">
        <f t="shared" si="449"/>
        <v>0</v>
      </c>
      <c r="P3628" s="47" t="s">
        <v>103</v>
      </c>
    </row>
    <row r="3629" spans="1:16" x14ac:dyDescent="0.25">
      <c r="A3629" s="29">
        <v>36</v>
      </c>
      <c r="B3629" s="30">
        <v>437930.10856199998</v>
      </c>
      <c r="C3629" s="30">
        <v>5688631.3324180003</v>
      </c>
      <c r="D3629" s="30">
        <v>1</v>
      </c>
      <c r="E3629" s="30" t="s">
        <v>96</v>
      </c>
      <c r="F3629" s="46">
        <v>2024</v>
      </c>
      <c r="G3629" s="84">
        <v>2.8179395588818958E-2</v>
      </c>
      <c r="H3629" s="47">
        <f t="shared" si="446"/>
        <v>9.140654493243883E-3</v>
      </c>
      <c r="I3629" s="47">
        <v>0</v>
      </c>
      <c r="J3629" s="47">
        <f t="shared" si="447"/>
        <v>0</v>
      </c>
      <c r="K3629" s="47">
        <v>1.3225038271814935E-2</v>
      </c>
      <c r="L3629" s="47">
        <f t="shared" si="448"/>
        <v>5.5745455927436009E-3</v>
      </c>
      <c r="M3629" s="47">
        <f t="shared" si="445"/>
        <v>3.5661089005002821E-3</v>
      </c>
      <c r="N3629" s="47">
        <v>0</v>
      </c>
      <c r="O3629" s="47">
        <f t="shared" si="449"/>
        <v>0</v>
      </c>
      <c r="P3629" s="47"/>
    </row>
    <row r="3630" spans="1:16" x14ac:dyDescent="0.25">
      <c r="A3630" s="32">
        <v>37</v>
      </c>
      <c r="B3630" s="33">
        <v>438049.10856199998</v>
      </c>
      <c r="C3630" s="33">
        <v>5688631.3324180003</v>
      </c>
      <c r="D3630" s="48">
        <v>30</v>
      </c>
      <c r="E3630" s="48" t="s">
        <v>24</v>
      </c>
      <c r="F3630" s="48">
        <v>2024</v>
      </c>
      <c r="G3630" s="49" t="s">
        <v>18</v>
      </c>
      <c r="H3630" s="49" t="s">
        <v>18</v>
      </c>
      <c r="I3630" s="49" t="s">
        <v>18</v>
      </c>
      <c r="J3630" s="49" t="s">
        <v>18</v>
      </c>
      <c r="K3630" s="49" t="s">
        <v>18</v>
      </c>
      <c r="L3630" s="49" t="s">
        <v>18</v>
      </c>
      <c r="M3630" s="49" t="s">
        <v>18</v>
      </c>
      <c r="N3630" s="49" t="s">
        <v>18</v>
      </c>
      <c r="O3630" s="49" t="s">
        <v>18</v>
      </c>
      <c r="P3630" s="49" t="s">
        <v>18</v>
      </c>
    </row>
    <row r="3631" spans="1:16" x14ac:dyDescent="0.25">
      <c r="A3631" s="29">
        <v>38</v>
      </c>
      <c r="B3631" s="30">
        <v>438067</v>
      </c>
      <c r="C3631" s="30">
        <v>5688710</v>
      </c>
      <c r="D3631" s="30">
        <v>30</v>
      </c>
      <c r="E3631" s="30" t="s">
        <v>24</v>
      </c>
      <c r="F3631" s="46">
        <v>2024</v>
      </c>
      <c r="G3631" s="84">
        <v>3.041900549980155E-2</v>
      </c>
      <c r="H3631" s="47">
        <f t="shared" si="446"/>
        <v>9.8671250213789603E-3</v>
      </c>
      <c r="I3631" s="47">
        <v>0</v>
      </c>
      <c r="J3631" s="47">
        <f t="shared" si="447"/>
        <v>0</v>
      </c>
      <c r="K3631" s="84">
        <v>1.3225038271814935E-2</v>
      </c>
      <c r="L3631" s="47">
        <f t="shared" si="448"/>
        <v>5.5745455927436009E-3</v>
      </c>
      <c r="M3631" s="47">
        <f t="shared" si="445"/>
        <v>4.2925794286353593E-3</v>
      </c>
      <c r="N3631" s="47">
        <v>0</v>
      </c>
      <c r="O3631" s="47">
        <f t="shared" si="449"/>
        <v>0</v>
      </c>
      <c r="P3631" s="47"/>
    </row>
    <row r="3632" spans="1:16" x14ac:dyDescent="0.25">
      <c r="A3632" s="32">
        <v>39</v>
      </c>
      <c r="B3632" s="33">
        <v>438287.10856199998</v>
      </c>
      <c r="C3632" s="33">
        <v>5688631.3324180003</v>
      </c>
      <c r="D3632" s="48">
        <v>30</v>
      </c>
      <c r="E3632" s="48" t="s">
        <v>24</v>
      </c>
      <c r="F3632" s="48">
        <v>2024</v>
      </c>
      <c r="G3632" s="49" t="s">
        <v>18</v>
      </c>
      <c r="H3632" s="49" t="s">
        <v>18</v>
      </c>
      <c r="I3632" s="49" t="s">
        <v>18</v>
      </c>
      <c r="J3632" s="49" t="s">
        <v>18</v>
      </c>
      <c r="K3632" s="49" t="s">
        <v>18</v>
      </c>
      <c r="L3632" s="49" t="s">
        <v>18</v>
      </c>
      <c r="M3632" s="49" t="s">
        <v>18</v>
      </c>
      <c r="N3632" s="49" t="s">
        <v>18</v>
      </c>
      <c r="O3632" s="49" t="s">
        <v>18</v>
      </c>
      <c r="P3632" s="49" t="s">
        <v>18</v>
      </c>
    </row>
    <row r="3633" spans="1:16" x14ac:dyDescent="0.25">
      <c r="A3633" s="89">
        <v>40</v>
      </c>
      <c r="B3633" s="90">
        <v>438406.10856199998</v>
      </c>
      <c r="C3633" s="90">
        <v>5688631.3324180003</v>
      </c>
      <c r="D3633" s="90">
        <v>30</v>
      </c>
      <c r="E3633" s="90" t="s">
        <v>24</v>
      </c>
      <c r="F3633" s="90">
        <v>2024</v>
      </c>
      <c r="G3633" s="90" t="s">
        <v>18</v>
      </c>
      <c r="H3633" s="90" t="s">
        <v>18</v>
      </c>
      <c r="I3633" s="90" t="s">
        <v>18</v>
      </c>
      <c r="J3633" s="90" t="s">
        <v>18</v>
      </c>
      <c r="K3633" s="90" t="s">
        <v>18</v>
      </c>
      <c r="L3633" s="90" t="s">
        <v>18</v>
      </c>
      <c r="M3633" s="90" t="s">
        <v>18</v>
      </c>
      <c r="N3633" s="90" t="s">
        <v>18</v>
      </c>
      <c r="O3633" s="90" t="s">
        <v>18</v>
      </c>
      <c r="P3633" s="90" t="s">
        <v>18</v>
      </c>
    </row>
    <row r="3634" spans="1:16" x14ac:dyDescent="0.25">
      <c r="A3634" s="29">
        <v>41</v>
      </c>
      <c r="B3634" s="30">
        <v>437310</v>
      </c>
      <c r="C3634" s="30">
        <v>5688729</v>
      </c>
      <c r="D3634" s="30">
        <v>30</v>
      </c>
      <c r="E3634" s="30" t="s">
        <v>24</v>
      </c>
      <c r="F3634" s="46">
        <v>2024</v>
      </c>
      <c r="G3634" s="84">
        <v>4.523161535408516E-2</v>
      </c>
      <c r="H3634" s="47">
        <f t="shared" si="446"/>
        <v>1.467194591948754E-2</v>
      </c>
      <c r="I3634" s="47">
        <v>2.0170663945115384E-2</v>
      </c>
      <c r="J3634" s="47">
        <f t="shared" si="447"/>
        <v>9.2014969492808674E-3</v>
      </c>
      <c r="K3634" s="47">
        <v>9.7097011963485861E-3</v>
      </c>
      <c r="L3634" s="47">
        <f t="shared" si="448"/>
        <v>4.0927799903851736E-3</v>
      </c>
      <c r="M3634" s="47">
        <f t="shared" si="445"/>
        <v>1.0579165929102366E-2</v>
      </c>
      <c r="N3634" s="47">
        <v>1.6300958212847991E-3</v>
      </c>
      <c r="O3634" s="47">
        <f t="shared" si="449"/>
        <v>9.0092062160690976E-4</v>
      </c>
      <c r="P3634" s="47"/>
    </row>
    <row r="3635" spans="1:16" x14ac:dyDescent="0.25">
      <c r="A3635" s="29">
        <v>42</v>
      </c>
      <c r="B3635" s="30">
        <v>437454.10856199998</v>
      </c>
      <c r="C3635" s="30">
        <v>5688750.3324180003</v>
      </c>
      <c r="D3635" s="30">
        <v>1</v>
      </c>
      <c r="E3635" s="30" t="s">
        <v>96</v>
      </c>
      <c r="F3635" s="46">
        <v>2024</v>
      </c>
      <c r="G3635" s="84">
        <v>6.6522084254691832E-2</v>
      </c>
      <c r="H3635" s="47">
        <f t="shared" si="446"/>
        <v>2.1578013851505803E-2</v>
      </c>
      <c r="I3635" s="84">
        <v>0</v>
      </c>
      <c r="J3635" s="47">
        <f t="shared" si="447"/>
        <v>0</v>
      </c>
      <c r="K3635" s="84">
        <v>3.2956285082497025E-2</v>
      </c>
      <c r="L3635" s="47">
        <f t="shared" si="448"/>
        <v>1.3891552522110261E-2</v>
      </c>
      <c r="M3635" s="84" t="s">
        <v>18</v>
      </c>
      <c r="N3635" s="84">
        <v>0</v>
      </c>
      <c r="O3635" s="47">
        <f t="shared" si="449"/>
        <v>0</v>
      </c>
      <c r="P3635" s="47"/>
    </row>
    <row r="3636" spans="1:16" x14ac:dyDescent="0.25">
      <c r="A3636" s="29">
        <v>43</v>
      </c>
      <c r="B3636" s="30">
        <v>437573.10856199998</v>
      </c>
      <c r="C3636" s="30">
        <v>5688750.3324180003</v>
      </c>
      <c r="D3636" s="30">
        <v>30</v>
      </c>
      <c r="E3636" s="30" t="s">
        <v>24</v>
      </c>
      <c r="F3636" s="46">
        <v>2024</v>
      </c>
      <c r="G3636" s="84">
        <v>1.2941543346374099E-2</v>
      </c>
      <c r="H3636" s="47">
        <f t="shared" si="446"/>
        <v>4.197896153084339E-3</v>
      </c>
      <c r="I3636" s="47">
        <v>0</v>
      </c>
      <c r="J3636" s="47">
        <f t="shared" si="447"/>
        <v>0</v>
      </c>
      <c r="K3636" s="47">
        <v>8.618245733401371E-3</v>
      </c>
      <c r="L3636" s="47">
        <f t="shared" si="448"/>
        <v>3.6327156702980804E-3</v>
      </c>
      <c r="M3636" s="47">
        <f t="shared" si="445"/>
        <v>5.6518048278625865E-4</v>
      </c>
      <c r="N3636" s="47">
        <v>0</v>
      </c>
      <c r="O3636" s="47">
        <f t="shared" si="449"/>
        <v>0</v>
      </c>
      <c r="P3636" s="47"/>
    </row>
    <row r="3637" spans="1:16" x14ac:dyDescent="0.25">
      <c r="A3637" s="29">
        <v>44</v>
      </c>
      <c r="B3637" s="30">
        <v>437692.10856199998</v>
      </c>
      <c r="C3637" s="30">
        <v>5688750.3324180003</v>
      </c>
      <c r="D3637" s="30">
        <v>30</v>
      </c>
      <c r="E3637" s="30" t="s">
        <v>24</v>
      </c>
      <c r="F3637" s="46">
        <v>2024</v>
      </c>
      <c r="G3637" s="84">
        <v>7.7535862108068267E-3</v>
      </c>
      <c r="H3637" s="47">
        <f t="shared" si="446"/>
        <v>2.5150593600625775E-3</v>
      </c>
      <c r="I3637" s="47">
        <v>0</v>
      </c>
      <c r="J3637" s="47">
        <f t="shared" si="447"/>
        <v>0</v>
      </c>
      <c r="K3637" s="47">
        <v>2.9908714634008051E-3</v>
      </c>
      <c r="L3637" s="47">
        <f t="shared" si="448"/>
        <v>1.26069573426463E-3</v>
      </c>
      <c r="M3637" s="47">
        <f t="shared" si="445"/>
        <v>1.2543636257979474E-3</v>
      </c>
      <c r="N3637" s="47">
        <v>0</v>
      </c>
      <c r="O3637" s="47">
        <f t="shared" si="449"/>
        <v>0</v>
      </c>
      <c r="P3637" s="47"/>
    </row>
    <row r="3638" spans="1:16" x14ac:dyDescent="0.25">
      <c r="A3638" s="29">
        <v>45</v>
      </c>
      <c r="B3638" s="30">
        <v>437811.10856199998</v>
      </c>
      <c r="C3638" s="30">
        <v>5688750.3324180003</v>
      </c>
      <c r="D3638" s="30">
        <v>30</v>
      </c>
      <c r="E3638" s="30" t="s">
        <v>24</v>
      </c>
      <c r="F3638" s="46">
        <v>2024</v>
      </c>
      <c r="G3638" s="84">
        <v>1.8526393377558542E-2</v>
      </c>
      <c r="H3638" s="47">
        <f t="shared" si="446"/>
        <v>6.0094745586870002E-3</v>
      </c>
      <c r="I3638" s="47">
        <v>4.7910642399501052E-3</v>
      </c>
      <c r="J3638" s="47">
        <f t="shared" si="447"/>
        <v>2.1855980104405711E-3</v>
      </c>
      <c r="K3638" s="47">
        <v>1.0531836480127005E-2</v>
      </c>
      <c r="L3638" s="47">
        <f t="shared" si="448"/>
        <v>4.4393219457754506E-3</v>
      </c>
      <c r="M3638" s="47">
        <f t="shared" si="445"/>
        <v>1.5701526129115496E-3</v>
      </c>
      <c r="N3638" s="47">
        <v>1.5847366332142655E-2</v>
      </c>
      <c r="O3638" s="47">
        <f t="shared" si="449"/>
        <v>8.7585152604915222E-3</v>
      </c>
      <c r="P3638" s="47"/>
    </row>
    <row r="3639" spans="1:16" x14ac:dyDescent="0.25">
      <c r="A3639" s="65">
        <v>46</v>
      </c>
      <c r="B3639" s="66">
        <v>437930.10856199998</v>
      </c>
      <c r="C3639" s="66">
        <v>5688750.3324180003</v>
      </c>
      <c r="D3639" s="66">
        <v>30</v>
      </c>
      <c r="E3639" s="66" t="s">
        <v>24</v>
      </c>
      <c r="F3639" s="66">
        <v>2024</v>
      </c>
      <c r="G3639" s="66" t="s">
        <v>18</v>
      </c>
      <c r="H3639" s="66" t="s">
        <v>18</v>
      </c>
      <c r="I3639" s="66" t="s">
        <v>18</v>
      </c>
      <c r="J3639" s="66" t="s">
        <v>18</v>
      </c>
      <c r="K3639" s="66" t="s">
        <v>18</v>
      </c>
      <c r="L3639" s="66" t="s">
        <v>18</v>
      </c>
      <c r="M3639" s="66" t="s">
        <v>18</v>
      </c>
      <c r="N3639" s="66" t="s">
        <v>18</v>
      </c>
      <c r="O3639" s="66" t="s">
        <v>18</v>
      </c>
      <c r="P3639" s="67" t="s">
        <v>166</v>
      </c>
    </row>
    <row r="3640" spans="1:16" x14ac:dyDescent="0.25">
      <c r="A3640" s="89">
        <v>47</v>
      </c>
      <c r="B3640" s="90">
        <v>438061</v>
      </c>
      <c r="C3640" s="90">
        <v>5688779</v>
      </c>
      <c r="D3640" s="90">
        <v>30</v>
      </c>
      <c r="E3640" s="90" t="s">
        <v>24</v>
      </c>
      <c r="F3640" s="90">
        <v>2024</v>
      </c>
      <c r="G3640" s="90" t="s">
        <v>18</v>
      </c>
      <c r="H3640" s="90" t="s">
        <v>18</v>
      </c>
      <c r="I3640" s="90" t="s">
        <v>18</v>
      </c>
      <c r="J3640" s="90" t="s">
        <v>18</v>
      </c>
      <c r="K3640" s="90" t="s">
        <v>18</v>
      </c>
      <c r="L3640" s="90" t="s">
        <v>18</v>
      </c>
      <c r="M3640" s="90" t="s">
        <v>18</v>
      </c>
      <c r="N3640" s="90" t="s">
        <v>18</v>
      </c>
      <c r="O3640" s="90" t="s">
        <v>18</v>
      </c>
      <c r="P3640" s="90" t="s">
        <v>18</v>
      </c>
    </row>
    <row r="3641" spans="1:16" x14ac:dyDescent="0.25">
      <c r="A3641" s="32">
        <v>48</v>
      </c>
      <c r="B3641" s="33">
        <v>438168.10856199998</v>
      </c>
      <c r="C3641" s="33">
        <v>5688750.3324180003</v>
      </c>
      <c r="D3641" s="48">
        <v>30</v>
      </c>
      <c r="E3641" s="48" t="s">
        <v>24</v>
      </c>
      <c r="F3641" s="48">
        <v>2024</v>
      </c>
      <c r="G3641" s="49" t="s">
        <v>18</v>
      </c>
      <c r="H3641" s="49" t="s">
        <v>18</v>
      </c>
      <c r="I3641" s="49" t="s">
        <v>18</v>
      </c>
      <c r="J3641" s="49" t="s">
        <v>18</v>
      </c>
      <c r="K3641" s="49" t="s">
        <v>18</v>
      </c>
      <c r="L3641" s="49" t="s">
        <v>18</v>
      </c>
      <c r="M3641" s="49" t="s">
        <v>18</v>
      </c>
      <c r="N3641" s="49" t="s">
        <v>18</v>
      </c>
      <c r="O3641" s="49" t="s">
        <v>18</v>
      </c>
      <c r="P3641" s="49" t="s">
        <v>18</v>
      </c>
    </row>
    <row r="3642" spans="1:16" x14ac:dyDescent="0.25">
      <c r="A3642" s="89">
        <v>49</v>
      </c>
      <c r="B3642" s="90">
        <v>437454.10856199998</v>
      </c>
      <c r="C3642" s="90">
        <v>5688869.3324180003</v>
      </c>
      <c r="D3642" s="90">
        <v>30</v>
      </c>
      <c r="E3642" s="90" t="s">
        <v>24</v>
      </c>
      <c r="F3642" s="90">
        <v>2024</v>
      </c>
      <c r="G3642" s="90" t="s">
        <v>18</v>
      </c>
      <c r="H3642" s="90" t="s">
        <v>18</v>
      </c>
      <c r="I3642" s="90" t="s">
        <v>18</v>
      </c>
      <c r="J3642" s="90" t="s">
        <v>18</v>
      </c>
      <c r="K3642" s="90" t="s">
        <v>18</v>
      </c>
      <c r="L3642" s="90" t="s">
        <v>18</v>
      </c>
      <c r="M3642" s="90" t="s">
        <v>18</v>
      </c>
      <c r="N3642" s="90" t="s">
        <v>18</v>
      </c>
      <c r="O3642" s="90" t="s">
        <v>18</v>
      </c>
      <c r="P3642" s="90" t="s">
        <v>18</v>
      </c>
    </row>
    <row r="3643" spans="1:16" x14ac:dyDescent="0.25">
      <c r="A3643" s="29">
        <v>50</v>
      </c>
      <c r="B3643" s="30">
        <v>437811.10856199998</v>
      </c>
      <c r="C3643" s="30">
        <v>5688869.3324180003</v>
      </c>
      <c r="D3643" s="30">
        <v>29</v>
      </c>
      <c r="E3643" s="30" t="s">
        <v>24</v>
      </c>
      <c r="F3643" s="46">
        <v>2024</v>
      </c>
      <c r="G3643" s="84">
        <v>2.5401145319498782E-2</v>
      </c>
      <c r="H3643" s="47">
        <f t="shared" si="446"/>
        <v>8.2394632051775857E-3</v>
      </c>
      <c r="I3643" s="47">
        <v>0</v>
      </c>
      <c r="J3643" s="47">
        <f t="shared" si="447"/>
        <v>0</v>
      </c>
      <c r="K3643" s="47">
        <v>1.0248341554686171E-2</v>
      </c>
      <c r="L3643" s="47">
        <f t="shared" si="448"/>
        <v>4.3198247197788033E-3</v>
      </c>
      <c r="M3643" s="47">
        <f t="shared" si="445"/>
        <v>3.9196384853987824E-3</v>
      </c>
      <c r="N3643" s="47">
        <v>0</v>
      </c>
      <c r="O3643" s="47">
        <f t="shared" si="449"/>
        <v>0</v>
      </c>
      <c r="P3643" s="47"/>
    </row>
    <row r="3644" spans="1:16" x14ac:dyDescent="0.25">
      <c r="A3644" s="89">
        <v>51</v>
      </c>
      <c r="B3644" s="90">
        <v>437930.10856199998</v>
      </c>
      <c r="C3644" s="90">
        <v>5688869.3324180003</v>
      </c>
      <c r="D3644" s="90">
        <v>30</v>
      </c>
      <c r="E3644" s="90" t="s">
        <v>24</v>
      </c>
      <c r="F3644" s="90">
        <v>2024</v>
      </c>
      <c r="G3644" s="90" t="s">
        <v>18</v>
      </c>
      <c r="H3644" s="90" t="s">
        <v>18</v>
      </c>
      <c r="I3644" s="90" t="s">
        <v>18</v>
      </c>
      <c r="J3644" s="90" t="s">
        <v>18</v>
      </c>
      <c r="K3644" s="90" t="s">
        <v>18</v>
      </c>
      <c r="L3644" s="90" t="s">
        <v>18</v>
      </c>
      <c r="M3644" s="90" t="s">
        <v>18</v>
      </c>
      <c r="N3644" s="90" t="s">
        <v>18</v>
      </c>
      <c r="O3644" s="90" t="s">
        <v>18</v>
      </c>
      <c r="P3644" s="90" t="s">
        <v>18</v>
      </c>
    </row>
    <row r="3645" spans="1:16" x14ac:dyDescent="0.25">
      <c r="A3645" s="65">
        <v>52</v>
      </c>
      <c r="B3645" s="66">
        <v>438049.10856199998</v>
      </c>
      <c r="C3645" s="66">
        <v>5688869.3324180003</v>
      </c>
      <c r="D3645" s="66">
        <v>30</v>
      </c>
      <c r="E3645" s="66" t="s">
        <v>24</v>
      </c>
      <c r="F3645" s="66">
        <v>2024</v>
      </c>
      <c r="G3645" s="66" t="s">
        <v>18</v>
      </c>
      <c r="H3645" s="66" t="s">
        <v>18</v>
      </c>
      <c r="I3645" s="66" t="s">
        <v>18</v>
      </c>
      <c r="J3645" s="66" t="s">
        <v>18</v>
      </c>
      <c r="K3645" s="66" t="s">
        <v>18</v>
      </c>
      <c r="L3645" s="66" t="s">
        <v>18</v>
      </c>
      <c r="M3645" s="66" t="s">
        <v>18</v>
      </c>
      <c r="N3645" s="66" t="s">
        <v>18</v>
      </c>
      <c r="O3645" s="66" t="s">
        <v>18</v>
      </c>
      <c r="P3645" s="67" t="s">
        <v>166</v>
      </c>
    </row>
    <row r="3646" spans="1:16" x14ac:dyDescent="0.25">
      <c r="A3646" s="89">
        <v>53</v>
      </c>
      <c r="B3646" s="90">
        <v>438287.10856199998</v>
      </c>
      <c r="C3646" s="90">
        <v>5688869.3324180003</v>
      </c>
      <c r="D3646" s="90">
        <v>30</v>
      </c>
      <c r="E3646" s="90" t="s">
        <v>24</v>
      </c>
      <c r="F3646" s="90">
        <v>2024</v>
      </c>
      <c r="G3646" s="90" t="s">
        <v>18</v>
      </c>
      <c r="H3646" s="90" t="s">
        <v>18</v>
      </c>
      <c r="I3646" s="90" t="s">
        <v>18</v>
      </c>
      <c r="J3646" s="90" t="s">
        <v>18</v>
      </c>
      <c r="K3646" s="90" t="s">
        <v>18</v>
      </c>
      <c r="L3646" s="90" t="s">
        <v>18</v>
      </c>
      <c r="M3646" s="90" t="s">
        <v>18</v>
      </c>
      <c r="N3646" s="90" t="s">
        <v>18</v>
      </c>
      <c r="O3646" s="90" t="s">
        <v>18</v>
      </c>
      <c r="P3646" s="90" t="s">
        <v>18</v>
      </c>
    </row>
    <row r="3647" spans="1:16" x14ac:dyDescent="0.25">
      <c r="A3647" s="89">
        <v>54</v>
      </c>
      <c r="B3647" s="90">
        <v>437454.10856199998</v>
      </c>
      <c r="C3647" s="90">
        <v>5688988.3324180003</v>
      </c>
      <c r="D3647" s="90">
        <v>30</v>
      </c>
      <c r="E3647" s="90" t="s">
        <v>24</v>
      </c>
      <c r="F3647" s="90">
        <v>2024</v>
      </c>
      <c r="G3647" s="90" t="s">
        <v>18</v>
      </c>
      <c r="H3647" s="90" t="s">
        <v>18</v>
      </c>
      <c r="I3647" s="90" t="s">
        <v>18</v>
      </c>
      <c r="J3647" s="90" t="s">
        <v>18</v>
      </c>
      <c r="K3647" s="90" t="s">
        <v>18</v>
      </c>
      <c r="L3647" s="90" t="s">
        <v>18</v>
      </c>
      <c r="M3647" s="90" t="s">
        <v>18</v>
      </c>
      <c r="N3647" s="90" t="s">
        <v>18</v>
      </c>
      <c r="O3647" s="90" t="s">
        <v>18</v>
      </c>
      <c r="P3647" s="90" t="s">
        <v>18</v>
      </c>
    </row>
    <row r="3648" spans="1:16" x14ac:dyDescent="0.25">
      <c r="A3648" s="89">
        <v>55</v>
      </c>
      <c r="B3648" s="90">
        <v>438049.10856199998</v>
      </c>
      <c r="C3648" s="90">
        <v>5688988.3324180003</v>
      </c>
      <c r="D3648" s="90">
        <v>30</v>
      </c>
      <c r="E3648" s="90" t="s">
        <v>24</v>
      </c>
      <c r="F3648" s="90">
        <v>2024</v>
      </c>
      <c r="G3648" s="90" t="s">
        <v>18</v>
      </c>
      <c r="H3648" s="90" t="s">
        <v>18</v>
      </c>
      <c r="I3648" s="90" t="s">
        <v>18</v>
      </c>
      <c r="J3648" s="90" t="s">
        <v>18</v>
      </c>
      <c r="K3648" s="90" t="s">
        <v>18</v>
      </c>
      <c r="L3648" s="90" t="s">
        <v>18</v>
      </c>
      <c r="M3648" s="90" t="s">
        <v>18</v>
      </c>
      <c r="N3648" s="90" t="s">
        <v>18</v>
      </c>
      <c r="O3648" s="90" t="s">
        <v>18</v>
      </c>
      <c r="P3648" s="90" t="s">
        <v>18</v>
      </c>
    </row>
    <row r="3649" spans="1:19" x14ac:dyDescent="0.25">
      <c r="A3649" s="29">
        <v>56</v>
      </c>
      <c r="B3649" s="30">
        <v>438168.10856199998</v>
      </c>
      <c r="C3649" s="30">
        <v>5688988.3324180003</v>
      </c>
      <c r="D3649" s="30">
        <v>30</v>
      </c>
      <c r="E3649" s="30" t="s">
        <v>24</v>
      </c>
      <c r="F3649" s="46">
        <v>2024</v>
      </c>
      <c r="G3649" s="84">
        <v>5.769121732720984E-3</v>
      </c>
      <c r="H3649" s="47">
        <f t="shared" si="446"/>
        <v>1.8713512971580786E-3</v>
      </c>
      <c r="I3649" s="47">
        <v>0</v>
      </c>
      <c r="J3649" s="47">
        <f t="shared" si="447"/>
        <v>0</v>
      </c>
      <c r="K3649" s="47">
        <v>2.8632987469524298E-3</v>
      </c>
      <c r="L3649" s="47">
        <f t="shared" si="448"/>
        <v>1.2069219825661388E-3</v>
      </c>
      <c r="M3649" s="47">
        <f t="shared" si="445"/>
        <v>6.6442931459193976E-4</v>
      </c>
      <c r="N3649" s="47">
        <v>0</v>
      </c>
      <c r="O3649" s="47">
        <f t="shared" si="449"/>
        <v>0</v>
      </c>
      <c r="P3649" s="47"/>
    </row>
    <row r="3650" spans="1:19" x14ac:dyDescent="0.25">
      <c r="A3650" s="40">
        <v>57</v>
      </c>
      <c r="B3650" s="41">
        <v>438146</v>
      </c>
      <c r="C3650" s="41">
        <v>5688977</v>
      </c>
      <c r="D3650" s="41">
        <v>30</v>
      </c>
      <c r="E3650" s="41" t="s">
        <v>24</v>
      </c>
      <c r="F3650" s="50">
        <v>2024</v>
      </c>
      <c r="G3650" s="86">
        <v>6.0526166581618187E-3</v>
      </c>
      <c r="H3650" s="51">
        <f t="shared" si="446"/>
        <v>1.9633095918587212E-3</v>
      </c>
      <c r="I3650" s="51">
        <v>0</v>
      </c>
      <c r="J3650" s="51">
        <f t="shared" si="447"/>
        <v>0</v>
      </c>
      <c r="K3650" s="51">
        <v>2.2396099109825932E-3</v>
      </c>
      <c r="L3650" s="51">
        <f t="shared" si="448"/>
        <v>9.4402808537351432E-4</v>
      </c>
      <c r="M3650" s="51">
        <f t="shared" si="445"/>
        <v>1.019281506485207E-3</v>
      </c>
      <c r="N3650" s="51">
        <v>0</v>
      </c>
      <c r="O3650" s="51">
        <f t="shared" si="449"/>
        <v>0</v>
      </c>
      <c r="P3650" s="51"/>
    </row>
    <row r="3651" spans="1:19" x14ac:dyDescent="0.25">
      <c r="A3651" s="40">
        <v>58</v>
      </c>
      <c r="B3651" s="41">
        <v>438131</v>
      </c>
      <c r="C3651" s="41">
        <v>5688972</v>
      </c>
      <c r="D3651" s="41">
        <v>30</v>
      </c>
      <c r="E3651" s="41" t="s">
        <v>24</v>
      </c>
      <c r="F3651" s="50">
        <v>2024</v>
      </c>
      <c r="G3651" s="86" t="s">
        <v>18</v>
      </c>
      <c r="H3651" s="86" t="s">
        <v>18</v>
      </c>
      <c r="I3651" s="86" t="s">
        <v>18</v>
      </c>
      <c r="J3651" s="86" t="s">
        <v>18</v>
      </c>
      <c r="K3651" s="51">
        <v>7.7819357033509107E-3</v>
      </c>
      <c r="L3651" s="51">
        <f t="shared" si="448"/>
        <v>3.2801988536079714E-3</v>
      </c>
      <c r="M3651" s="86" t="s">
        <v>18</v>
      </c>
      <c r="N3651" s="51">
        <v>0</v>
      </c>
      <c r="O3651" s="51">
        <f t="shared" si="449"/>
        <v>0</v>
      </c>
      <c r="P3651" s="51" t="s">
        <v>103</v>
      </c>
    </row>
    <row r="3652" spans="1:19" x14ac:dyDescent="0.25">
      <c r="A3652" s="40">
        <v>59</v>
      </c>
      <c r="B3652" s="41">
        <v>438089</v>
      </c>
      <c r="C3652" s="41">
        <v>5688713</v>
      </c>
      <c r="D3652" s="41">
        <v>30</v>
      </c>
      <c r="E3652" s="41" t="s">
        <v>24</v>
      </c>
      <c r="F3652" s="50">
        <v>2024</v>
      </c>
      <c r="G3652" s="86">
        <v>9.005216306628111E-2</v>
      </c>
      <c r="H3652" s="51">
        <f t="shared" si="446"/>
        <v>2.9210552311659151E-2</v>
      </c>
      <c r="I3652" s="51">
        <v>0</v>
      </c>
      <c r="J3652" s="51">
        <f t="shared" si="447"/>
        <v>0</v>
      </c>
      <c r="K3652" s="51">
        <v>2.1701536542495889E-2</v>
      </c>
      <c r="L3652" s="51">
        <f t="shared" si="448"/>
        <v>9.1475126500433577E-3</v>
      </c>
      <c r="M3652" s="51">
        <f t="shared" si="445"/>
        <v>2.0063039661615795E-2</v>
      </c>
      <c r="N3652" s="51">
        <v>0</v>
      </c>
      <c r="O3652" s="51">
        <f t="shared" si="449"/>
        <v>0</v>
      </c>
      <c r="P3652" s="51"/>
    </row>
    <row r="3653" spans="1:19" x14ac:dyDescent="0.25">
      <c r="A3653" s="40">
        <v>60</v>
      </c>
      <c r="B3653" s="41">
        <v>438099</v>
      </c>
      <c r="C3653" s="41">
        <v>5688719</v>
      </c>
      <c r="D3653" s="41">
        <v>30</v>
      </c>
      <c r="E3653" s="41" t="s">
        <v>24</v>
      </c>
      <c r="F3653" s="50">
        <v>2024</v>
      </c>
      <c r="G3653" s="86">
        <v>4.1489482338266145E-2</v>
      </c>
      <c r="H3653" s="51">
        <f t="shared" si="446"/>
        <v>1.3458096429439058E-2</v>
      </c>
      <c r="I3653" s="51">
        <v>1.5096104779724442E-2</v>
      </c>
      <c r="J3653" s="51">
        <f t="shared" si="447"/>
        <v>6.8865736127787227E-3</v>
      </c>
      <c r="K3653" s="51">
        <v>7.5267902704541593E-3</v>
      </c>
      <c r="L3653" s="51">
        <f t="shared" si="448"/>
        <v>3.1726513502109885E-3</v>
      </c>
      <c r="M3653" s="51">
        <f t="shared" si="445"/>
        <v>1.0285445079228069E-2</v>
      </c>
      <c r="N3653" s="51">
        <v>0</v>
      </c>
      <c r="O3653" s="51">
        <f t="shared" si="449"/>
        <v>0</v>
      </c>
      <c r="P3653" s="51"/>
    </row>
    <row r="3654" spans="1:19" x14ac:dyDescent="0.25">
      <c r="A3654" s="42">
        <v>1</v>
      </c>
      <c r="B3654" s="43">
        <v>437930.10856199998</v>
      </c>
      <c r="C3654" s="43">
        <v>5688036.3324180003</v>
      </c>
      <c r="D3654" s="44">
        <v>30</v>
      </c>
      <c r="E3654" s="44" t="s">
        <v>33</v>
      </c>
      <c r="F3654" s="44">
        <v>2024</v>
      </c>
      <c r="G3654" s="45" t="s">
        <v>18</v>
      </c>
      <c r="H3654" s="45" t="s">
        <v>18</v>
      </c>
      <c r="I3654" s="45" t="s">
        <v>18</v>
      </c>
      <c r="J3654" s="45" t="s">
        <v>18</v>
      </c>
      <c r="K3654" s="45" t="s">
        <v>18</v>
      </c>
      <c r="L3654" s="45" t="s">
        <v>18</v>
      </c>
      <c r="M3654" s="45" t="s">
        <v>18</v>
      </c>
      <c r="N3654" s="45" t="s">
        <v>18</v>
      </c>
      <c r="O3654" s="45" t="s">
        <v>18</v>
      </c>
      <c r="P3654" s="45" t="s">
        <v>109</v>
      </c>
      <c r="R3654" s="5">
        <f>AVERAGE(M3654:M3713)</f>
        <v>9.2636964014244216E-3</v>
      </c>
      <c r="S3654" s="5">
        <f>AVERAGE(H3654:H3713)</f>
        <v>1.5084993817326078E-2</v>
      </c>
    </row>
    <row r="3655" spans="1:19" x14ac:dyDescent="0.25">
      <c r="A3655" s="42">
        <v>2</v>
      </c>
      <c r="B3655" s="43">
        <v>437811.10856199998</v>
      </c>
      <c r="C3655" s="43">
        <v>5688155.3324180003</v>
      </c>
      <c r="D3655" s="44">
        <v>30</v>
      </c>
      <c r="E3655" s="44" t="s">
        <v>33</v>
      </c>
      <c r="F3655" s="44">
        <v>2024</v>
      </c>
      <c r="G3655" s="45" t="s">
        <v>18</v>
      </c>
      <c r="H3655" s="45" t="s">
        <v>18</v>
      </c>
      <c r="I3655" s="45" t="s">
        <v>18</v>
      </c>
      <c r="J3655" s="45" t="s">
        <v>18</v>
      </c>
      <c r="K3655" s="45" t="s">
        <v>18</v>
      </c>
      <c r="L3655" s="45" t="s">
        <v>18</v>
      </c>
      <c r="M3655" s="45" t="s">
        <v>18</v>
      </c>
      <c r="N3655" s="45" t="s">
        <v>18</v>
      </c>
      <c r="O3655" s="45" t="s">
        <v>18</v>
      </c>
      <c r="P3655" s="45" t="s">
        <v>109</v>
      </c>
    </row>
    <row r="3656" spans="1:19" x14ac:dyDescent="0.25">
      <c r="A3656" s="65">
        <v>3</v>
      </c>
      <c r="B3656" s="66">
        <v>437930.10856199998</v>
      </c>
      <c r="C3656" s="66">
        <v>5688155.3324180003</v>
      </c>
      <c r="D3656" s="66">
        <v>30</v>
      </c>
      <c r="E3656" s="66" t="s">
        <v>33</v>
      </c>
      <c r="F3656" s="66">
        <v>2024</v>
      </c>
      <c r="G3656" s="66" t="s">
        <v>18</v>
      </c>
      <c r="H3656" s="66" t="s">
        <v>18</v>
      </c>
      <c r="I3656" s="66" t="s">
        <v>18</v>
      </c>
      <c r="J3656" s="66" t="s">
        <v>18</v>
      </c>
      <c r="K3656" s="66" t="s">
        <v>18</v>
      </c>
      <c r="L3656" s="66" t="s">
        <v>18</v>
      </c>
      <c r="M3656" s="66" t="s">
        <v>18</v>
      </c>
      <c r="N3656" s="66" t="s">
        <v>18</v>
      </c>
      <c r="O3656" s="66" t="s">
        <v>18</v>
      </c>
      <c r="P3656" s="67" t="s">
        <v>166</v>
      </c>
    </row>
    <row r="3657" spans="1:19" x14ac:dyDescent="0.25">
      <c r="A3657" s="42">
        <v>4</v>
      </c>
      <c r="B3657" s="43">
        <v>438049.10856199998</v>
      </c>
      <c r="C3657" s="43">
        <v>5688155.3324180003</v>
      </c>
      <c r="D3657" s="44">
        <v>30</v>
      </c>
      <c r="E3657" s="44" t="s">
        <v>33</v>
      </c>
      <c r="F3657" s="44">
        <v>2024</v>
      </c>
      <c r="G3657" s="45" t="s">
        <v>18</v>
      </c>
      <c r="H3657" s="45" t="s">
        <v>18</v>
      </c>
      <c r="I3657" s="45" t="s">
        <v>18</v>
      </c>
      <c r="J3657" s="45" t="s">
        <v>18</v>
      </c>
      <c r="K3657" s="45" t="s">
        <v>18</v>
      </c>
      <c r="L3657" s="45" t="s">
        <v>18</v>
      </c>
      <c r="M3657" s="45" t="s">
        <v>18</v>
      </c>
      <c r="N3657" s="45" t="s">
        <v>18</v>
      </c>
      <c r="O3657" s="45" t="s">
        <v>18</v>
      </c>
      <c r="P3657" s="45" t="s">
        <v>109</v>
      </c>
    </row>
    <row r="3658" spans="1:19" x14ac:dyDescent="0.25">
      <c r="A3658" s="42">
        <v>5</v>
      </c>
      <c r="B3658" s="43">
        <v>437573.10856199998</v>
      </c>
      <c r="C3658" s="43">
        <v>5688274.3324180003</v>
      </c>
      <c r="D3658" s="44">
        <v>30</v>
      </c>
      <c r="E3658" s="44" t="s">
        <v>33</v>
      </c>
      <c r="F3658" s="44">
        <v>2024</v>
      </c>
      <c r="G3658" s="45" t="s">
        <v>18</v>
      </c>
      <c r="H3658" s="45" t="s">
        <v>18</v>
      </c>
      <c r="I3658" s="45" t="s">
        <v>18</v>
      </c>
      <c r="J3658" s="45" t="s">
        <v>18</v>
      </c>
      <c r="K3658" s="45" t="s">
        <v>18</v>
      </c>
      <c r="L3658" s="45" t="s">
        <v>18</v>
      </c>
      <c r="M3658" s="45" t="s">
        <v>18</v>
      </c>
      <c r="N3658" s="45" t="s">
        <v>18</v>
      </c>
      <c r="O3658" s="45" t="s">
        <v>18</v>
      </c>
      <c r="P3658" s="45" t="s">
        <v>109</v>
      </c>
    </row>
    <row r="3659" spans="1:19" x14ac:dyDescent="0.25">
      <c r="A3659" s="89">
        <v>6</v>
      </c>
      <c r="B3659" s="90">
        <v>437692.10856199998</v>
      </c>
      <c r="C3659" s="90">
        <v>5688274.3324180003</v>
      </c>
      <c r="D3659" s="90">
        <v>30</v>
      </c>
      <c r="E3659" s="90" t="s">
        <v>33</v>
      </c>
      <c r="F3659" s="90">
        <v>2024</v>
      </c>
      <c r="G3659" s="90" t="s">
        <v>18</v>
      </c>
      <c r="H3659" s="90" t="s">
        <v>18</v>
      </c>
      <c r="I3659" s="90" t="s">
        <v>18</v>
      </c>
      <c r="J3659" s="90" t="s">
        <v>18</v>
      </c>
      <c r="K3659" s="90" t="s">
        <v>18</v>
      </c>
      <c r="L3659" s="90" t="s">
        <v>18</v>
      </c>
      <c r="M3659" s="90" t="s">
        <v>18</v>
      </c>
      <c r="N3659" s="90" t="s">
        <v>18</v>
      </c>
      <c r="O3659" s="90" t="s">
        <v>18</v>
      </c>
      <c r="P3659" s="90" t="s">
        <v>18</v>
      </c>
    </row>
    <row r="3660" spans="1:19" x14ac:dyDescent="0.25">
      <c r="A3660" s="65">
        <v>7</v>
      </c>
      <c r="B3660" s="66">
        <v>437811.10856199998</v>
      </c>
      <c r="C3660" s="66">
        <v>5688274.3324180003</v>
      </c>
      <c r="D3660" s="66">
        <v>30</v>
      </c>
      <c r="E3660" s="66" t="s">
        <v>33</v>
      </c>
      <c r="F3660" s="66">
        <v>2024</v>
      </c>
      <c r="G3660" s="66" t="s">
        <v>18</v>
      </c>
      <c r="H3660" s="66" t="s">
        <v>18</v>
      </c>
      <c r="I3660" s="66" t="s">
        <v>18</v>
      </c>
      <c r="J3660" s="66" t="s">
        <v>18</v>
      </c>
      <c r="K3660" s="66" t="s">
        <v>18</v>
      </c>
      <c r="L3660" s="66" t="s">
        <v>18</v>
      </c>
      <c r="M3660" s="66" t="s">
        <v>18</v>
      </c>
      <c r="N3660" s="66" t="s">
        <v>18</v>
      </c>
      <c r="O3660" s="66" t="s">
        <v>18</v>
      </c>
      <c r="P3660" s="67" t="s">
        <v>166</v>
      </c>
    </row>
    <row r="3661" spans="1:19" x14ac:dyDescent="0.25">
      <c r="A3661" s="42">
        <v>8</v>
      </c>
      <c r="B3661" s="43">
        <v>437930.10856199998</v>
      </c>
      <c r="C3661" s="43">
        <v>5688274.3324180003</v>
      </c>
      <c r="D3661" s="44">
        <v>30</v>
      </c>
      <c r="E3661" s="44" t="s">
        <v>33</v>
      </c>
      <c r="F3661" s="44">
        <v>2024</v>
      </c>
      <c r="G3661" s="45" t="s">
        <v>18</v>
      </c>
      <c r="H3661" s="45" t="s">
        <v>18</v>
      </c>
      <c r="I3661" s="45" t="s">
        <v>18</v>
      </c>
      <c r="J3661" s="45" t="s">
        <v>18</v>
      </c>
      <c r="K3661" s="45" t="s">
        <v>18</v>
      </c>
      <c r="L3661" s="45" t="s">
        <v>18</v>
      </c>
      <c r="M3661" s="45" t="s">
        <v>18</v>
      </c>
      <c r="N3661" s="45" t="s">
        <v>18</v>
      </c>
      <c r="O3661" s="45" t="s">
        <v>18</v>
      </c>
      <c r="P3661" s="45" t="s">
        <v>109</v>
      </c>
    </row>
    <row r="3662" spans="1:19" x14ac:dyDescent="0.25">
      <c r="A3662" s="89">
        <v>9</v>
      </c>
      <c r="B3662" s="90">
        <v>438287.10856199998</v>
      </c>
      <c r="C3662" s="90">
        <v>5688274.3324180003</v>
      </c>
      <c r="D3662" s="90">
        <v>30</v>
      </c>
      <c r="E3662" s="90" t="s">
        <v>33</v>
      </c>
      <c r="F3662" s="90">
        <v>2024</v>
      </c>
      <c r="G3662" s="90" t="s">
        <v>18</v>
      </c>
      <c r="H3662" s="90" t="s">
        <v>18</v>
      </c>
      <c r="I3662" s="90" t="s">
        <v>18</v>
      </c>
      <c r="J3662" s="90" t="s">
        <v>18</v>
      </c>
      <c r="K3662" s="90" t="s">
        <v>18</v>
      </c>
      <c r="L3662" s="90" t="s">
        <v>18</v>
      </c>
      <c r="M3662" s="90" t="s">
        <v>18</v>
      </c>
      <c r="N3662" s="90" t="s">
        <v>18</v>
      </c>
      <c r="O3662" s="90" t="s">
        <v>18</v>
      </c>
      <c r="P3662" s="90" t="s">
        <v>18</v>
      </c>
    </row>
    <row r="3663" spans="1:19" x14ac:dyDescent="0.25">
      <c r="A3663" s="89">
        <v>10</v>
      </c>
      <c r="B3663" s="90">
        <v>438406.10856199998</v>
      </c>
      <c r="C3663" s="90">
        <v>5688274.3324180003</v>
      </c>
      <c r="D3663" s="90">
        <v>30</v>
      </c>
      <c r="E3663" s="90" t="s">
        <v>33</v>
      </c>
      <c r="F3663" s="90">
        <v>2024</v>
      </c>
      <c r="G3663" s="90" t="s">
        <v>18</v>
      </c>
      <c r="H3663" s="90" t="s">
        <v>18</v>
      </c>
      <c r="I3663" s="90" t="s">
        <v>18</v>
      </c>
      <c r="J3663" s="90" t="s">
        <v>18</v>
      </c>
      <c r="K3663" s="90" t="s">
        <v>18</v>
      </c>
      <c r="L3663" s="90" t="s">
        <v>18</v>
      </c>
      <c r="M3663" s="90" t="s">
        <v>18</v>
      </c>
      <c r="N3663" s="90" t="s">
        <v>18</v>
      </c>
      <c r="O3663" s="90" t="s">
        <v>18</v>
      </c>
      <c r="P3663" s="90" t="s">
        <v>18</v>
      </c>
    </row>
    <row r="3664" spans="1:19" x14ac:dyDescent="0.25">
      <c r="A3664" s="42">
        <v>11</v>
      </c>
      <c r="B3664" s="43">
        <v>437454.10856199998</v>
      </c>
      <c r="C3664" s="43">
        <v>5688393.3324180003</v>
      </c>
      <c r="D3664" s="44">
        <v>30</v>
      </c>
      <c r="E3664" s="44" t="s">
        <v>33</v>
      </c>
      <c r="F3664" s="44">
        <v>2024</v>
      </c>
      <c r="G3664" s="45" t="s">
        <v>18</v>
      </c>
      <c r="H3664" s="45" t="s">
        <v>18</v>
      </c>
      <c r="I3664" s="45" t="s">
        <v>18</v>
      </c>
      <c r="J3664" s="45" t="s">
        <v>18</v>
      </c>
      <c r="K3664" s="45" t="s">
        <v>18</v>
      </c>
      <c r="L3664" s="45" t="s">
        <v>18</v>
      </c>
      <c r="M3664" s="45" t="s">
        <v>18</v>
      </c>
      <c r="N3664" s="45" t="s">
        <v>18</v>
      </c>
      <c r="O3664" s="45" t="s">
        <v>18</v>
      </c>
      <c r="P3664" s="45" t="s">
        <v>109</v>
      </c>
    </row>
    <row r="3665" spans="1:16" x14ac:dyDescent="0.25">
      <c r="A3665" s="29">
        <v>12</v>
      </c>
      <c r="B3665" s="30">
        <v>437573.10856199998</v>
      </c>
      <c r="C3665" s="30">
        <v>5688393.3324180003</v>
      </c>
      <c r="D3665" s="30">
        <v>31</v>
      </c>
      <c r="E3665" s="30" t="s">
        <v>33</v>
      </c>
      <c r="F3665" s="46">
        <v>2024</v>
      </c>
      <c r="G3665" s="84">
        <v>1.0588535465215172E-2</v>
      </c>
      <c r="H3665" s="47">
        <f>G3665*0.302604314191772</f>
        <v>3.2041365127466921E-3</v>
      </c>
      <c r="I3665" s="47">
        <v>3.9590066337812556E-2</v>
      </c>
      <c r="J3665" s="47">
        <f>I3665*0.511076400859799</f>
        <v>2.0233548613729925E-2</v>
      </c>
      <c r="K3665" s="47">
        <v>1.0092419345693712E-2</v>
      </c>
      <c r="L3665" s="47">
        <f>K3665*0.378546158442824</f>
        <v>3.8204465727063939E-3</v>
      </c>
      <c r="M3665" s="47">
        <f t="shared" ref="M3665:M3713" si="450">H3665-L3665</f>
        <v>-6.1631005995970182E-4</v>
      </c>
      <c r="N3665" s="47">
        <v>3.0971820604411181E-2</v>
      </c>
      <c r="O3665" s="47">
        <f>N3665*0.514245233240147</f>
        <v>1.5927111110587418E-2</v>
      </c>
      <c r="P3665" s="47"/>
    </row>
    <row r="3666" spans="1:16" x14ac:dyDescent="0.25">
      <c r="A3666" s="89">
        <v>13</v>
      </c>
      <c r="B3666" s="90">
        <v>437692.10856199998</v>
      </c>
      <c r="C3666" s="90">
        <v>5688393.3324180003</v>
      </c>
      <c r="D3666" s="90">
        <v>30</v>
      </c>
      <c r="E3666" s="90" t="s">
        <v>33</v>
      </c>
      <c r="F3666" s="90">
        <v>2024</v>
      </c>
      <c r="G3666" s="90" t="s">
        <v>18</v>
      </c>
      <c r="H3666" s="90" t="s">
        <v>18</v>
      </c>
      <c r="I3666" s="90" t="s">
        <v>18</v>
      </c>
      <c r="J3666" s="90" t="s">
        <v>18</v>
      </c>
      <c r="K3666" s="90" t="s">
        <v>18</v>
      </c>
      <c r="L3666" s="90" t="s">
        <v>18</v>
      </c>
      <c r="M3666" s="90" t="s">
        <v>18</v>
      </c>
      <c r="N3666" s="90" t="s">
        <v>18</v>
      </c>
      <c r="O3666" s="90" t="s">
        <v>18</v>
      </c>
      <c r="P3666" s="90" t="s">
        <v>18</v>
      </c>
    </row>
    <row r="3667" spans="1:16" x14ac:dyDescent="0.25">
      <c r="A3667" s="32">
        <v>14</v>
      </c>
      <c r="B3667" s="33">
        <v>437811.10856199998</v>
      </c>
      <c r="C3667" s="33">
        <v>5688393.3324180003</v>
      </c>
      <c r="D3667" s="48">
        <v>30</v>
      </c>
      <c r="E3667" s="48" t="s">
        <v>33</v>
      </c>
      <c r="F3667" s="48">
        <v>2024</v>
      </c>
      <c r="G3667" s="49" t="s">
        <v>18</v>
      </c>
      <c r="H3667" s="49" t="s">
        <v>18</v>
      </c>
      <c r="I3667" s="49" t="s">
        <v>18</v>
      </c>
      <c r="J3667" s="49" t="s">
        <v>18</v>
      </c>
      <c r="K3667" s="49" t="s">
        <v>18</v>
      </c>
      <c r="L3667" s="49" t="s">
        <v>18</v>
      </c>
      <c r="M3667" s="49" t="s">
        <v>18</v>
      </c>
      <c r="N3667" s="49" t="s">
        <v>18</v>
      </c>
      <c r="O3667" s="49" t="s">
        <v>18</v>
      </c>
      <c r="P3667" s="49" t="s">
        <v>18</v>
      </c>
    </row>
    <row r="3668" spans="1:16" x14ac:dyDescent="0.25">
      <c r="A3668" s="29">
        <v>15</v>
      </c>
      <c r="B3668" s="30">
        <v>437930.10856199998</v>
      </c>
      <c r="C3668" s="30">
        <v>5688393.3324180003</v>
      </c>
      <c r="D3668" s="30">
        <v>30</v>
      </c>
      <c r="E3668" s="30" t="s">
        <v>33</v>
      </c>
      <c r="F3668" s="46">
        <v>2024</v>
      </c>
      <c r="G3668" s="84">
        <v>6.8166354822248684E-2</v>
      </c>
      <c r="H3668" s="47">
        <f t="shared" ref="H3668:H3713" si="451">G3668*0.302604314191772</f>
        <v>2.062743305193955E-2</v>
      </c>
      <c r="I3668" s="47">
        <v>0</v>
      </c>
      <c r="J3668" s="47">
        <f t="shared" ref="J3668:J3713" si="452">I3668*0.511076400859799</f>
        <v>0</v>
      </c>
      <c r="K3668" s="47">
        <v>5.0759766400181434E-2</v>
      </c>
      <c r="L3668" s="47">
        <f t="shared" ref="L3668:L3713" si="453">K3668*0.378546158442824</f>
        <v>1.9214914574243815E-2</v>
      </c>
      <c r="M3668" s="47">
        <f t="shared" si="450"/>
        <v>1.4125184776957352E-3</v>
      </c>
      <c r="N3668" s="47">
        <v>0</v>
      </c>
      <c r="O3668" s="47">
        <f t="shared" ref="O3668:O3713" si="454">N3668*0.514245233240147</f>
        <v>0</v>
      </c>
      <c r="P3668" s="47"/>
    </row>
    <row r="3669" spans="1:16" x14ac:dyDescent="0.25">
      <c r="A3669" s="29">
        <v>16</v>
      </c>
      <c r="B3669" s="30">
        <v>438049.10856199998</v>
      </c>
      <c r="C3669" s="30">
        <v>5688393.3324180003</v>
      </c>
      <c r="D3669" s="30">
        <v>30</v>
      </c>
      <c r="E3669" s="30" t="s">
        <v>33</v>
      </c>
      <c r="F3669" s="46">
        <v>2024</v>
      </c>
      <c r="G3669" s="84">
        <v>3.0135510574360716E-2</v>
      </c>
      <c r="H3669" s="47">
        <f t="shared" si="451"/>
        <v>9.1191355101733172E-3</v>
      </c>
      <c r="I3669" s="47">
        <v>0</v>
      </c>
      <c r="J3669" s="47">
        <f t="shared" si="452"/>
        <v>0</v>
      </c>
      <c r="K3669" s="47">
        <v>6.0667914044338607E-3</v>
      </c>
      <c r="L3669" s="47">
        <f t="shared" si="453"/>
        <v>2.2965605802223832E-3</v>
      </c>
      <c r="M3669" s="47">
        <f t="shared" si="450"/>
        <v>6.8225749299509336E-3</v>
      </c>
      <c r="N3669" s="47">
        <v>0</v>
      </c>
      <c r="O3669" s="47">
        <f t="shared" si="454"/>
        <v>0</v>
      </c>
      <c r="P3669" s="47"/>
    </row>
    <row r="3670" spans="1:16" x14ac:dyDescent="0.25">
      <c r="A3670" s="29">
        <v>17</v>
      </c>
      <c r="B3670" s="30">
        <v>438168.10856199998</v>
      </c>
      <c r="C3670" s="30">
        <v>5688393.3324180003</v>
      </c>
      <c r="D3670" s="30">
        <v>30</v>
      </c>
      <c r="E3670" s="30" t="s">
        <v>33</v>
      </c>
      <c r="F3670" s="46">
        <v>2024</v>
      </c>
      <c r="G3670" s="47" t="s">
        <v>18</v>
      </c>
      <c r="H3670" s="47" t="s">
        <v>18</v>
      </c>
      <c r="I3670" s="47" t="s">
        <v>18</v>
      </c>
      <c r="J3670" s="47" t="s">
        <v>18</v>
      </c>
      <c r="K3670" s="47">
        <v>2.0255712422747634E-2</v>
      </c>
      <c r="L3670" s="47">
        <f t="shared" si="453"/>
        <v>7.6677221241537048E-3</v>
      </c>
      <c r="M3670" s="47" t="s">
        <v>18</v>
      </c>
      <c r="N3670" s="47">
        <v>4.238249135340477E-3</v>
      </c>
      <c r="O3670" s="47">
        <f t="shared" si="454"/>
        <v>2.1794994151330153E-3</v>
      </c>
      <c r="P3670" s="47" t="s">
        <v>186</v>
      </c>
    </row>
    <row r="3671" spans="1:16" x14ac:dyDescent="0.25">
      <c r="A3671" s="29">
        <v>18</v>
      </c>
      <c r="B3671" s="90">
        <v>438287.10856199998</v>
      </c>
      <c r="C3671" s="90">
        <v>5688393.3324180003</v>
      </c>
      <c r="D3671" s="90">
        <v>30</v>
      </c>
      <c r="E3671" s="90" t="s">
        <v>33</v>
      </c>
      <c r="F3671" s="90">
        <v>2024</v>
      </c>
      <c r="G3671" s="90" t="s">
        <v>18</v>
      </c>
      <c r="H3671" s="90" t="s">
        <v>18</v>
      </c>
      <c r="I3671" s="90" t="s">
        <v>18</v>
      </c>
      <c r="J3671" s="90" t="s">
        <v>18</v>
      </c>
      <c r="K3671" s="90" t="s">
        <v>18</v>
      </c>
      <c r="L3671" s="90" t="s">
        <v>18</v>
      </c>
      <c r="M3671" s="90" t="s">
        <v>18</v>
      </c>
      <c r="N3671" s="90" t="s">
        <v>18</v>
      </c>
      <c r="O3671" s="90" t="s">
        <v>18</v>
      </c>
      <c r="P3671" s="90" t="s">
        <v>18</v>
      </c>
    </row>
    <row r="3672" spans="1:16" x14ac:dyDescent="0.25">
      <c r="A3672" s="29">
        <v>19</v>
      </c>
      <c r="B3672" s="30">
        <v>438406.10856199998</v>
      </c>
      <c r="C3672" s="30">
        <v>5688393.3324180003</v>
      </c>
      <c r="D3672" s="30">
        <v>30</v>
      </c>
      <c r="E3672" s="30" t="s">
        <v>33</v>
      </c>
      <c r="F3672" s="46">
        <v>2024</v>
      </c>
      <c r="G3672" s="84">
        <v>2.3813573737030105E-2</v>
      </c>
      <c r="H3672" s="47">
        <f t="shared" si="451"/>
        <v>7.206090149149187E-3</v>
      </c>
      <c r="I3672" s="47">
        <v>0</v>
      </c>
      <c r="J3672" s="47">
        <f t="shared" si="452"/>
        <v>0</v>
      </c>
      <c r="K3672" s="47">
        <v>2.694619266315133E-2</v>
      </c>
      <c r="L3672" s="47">
        <f t="shared" si="453"/>
        <v>1.0200377717296146E-2</v>
      </c>
      <c r="M3672" s="47">
        <f t="shared" si="450"/>
        <v>-2.9942875681469592E-3</v>
      </c>
      <c r="N3672" s="47">
        <v>0</v>
      </c>
      <c r="O3672" s="47">
        <f t="shared" si="454"/>
        <v>0</v>
      </c>
      <c r="P3672" s="47"/>
    </row>
    <row r="3673" spans="1:16" x14ac:dyDescent="0.25">
      <c r="A3673" s="42">
        <v>20</v>
      </c>
      <c r="B3673" s="43">
        <v>437335.10856199998</v>
      </c>
      <c r="C3673" s="43">
        <v>5688512.3324180003</v>
      </c>
      <c r="D3673" s="44">
        <v>30</v>
      </c>
      <c r="E3673" s="44" t="s">
        <v>33</v>
      </c>
      <c r="F3673" s="44">
        <v>2024</v>
      </c>
      <c r="G3673" s="45" t="s">
        <v>18</v>
      </c>
      <c r="H3673" s="45" t="s">
        <v>18</v>
      </c>
      <c r="I3673" s="45" t="s">
        <v>18</v>
      </c>
      <c r="J3673" s="45" t="s">
        <v>18</v>
      </c>
      <c r="K3673" s="45" t="s">
        <v>18</v>
      </c>
      <c r="L3673" s="45" t="s">
        <v>18</v>
      </c>
      <c r="M3673" s="45" t="s">
        <v>18</v>
      </c>
      <c r="N3673" s="45" t="s">
        <v>18</v>
      </c>
      <c r="O3673" s="45" t="s">
        <v>18</v>
      </c>
      <c r="P3673" s="45" t="s">
        <v>109</v>
      </c>
    </row>
    <row r="3674" spans="1:16" x14ac:dyDescent="0.25">
      <c r="A3674" s="89">
        <v>21</v>
      </c>
      <c r="B3674" s="90">
        <v>437454.10856199998</v>
      </c>
      <c r="C3674" s="90">
        <v>5688512.3324180003</v>
      </c>
      <c r="D3674" s="90">
        <v>30</v>
      </c>
      <c r="E3674" s="90" t="s">
        <v>33</v>
      </c>
      <c r="F3674" s="90">
        <v>2024</v>
      </c>
      <c r="G3674" s="90" t="s">
        <v>18</v>
      </c>
      <c r="H3674" s="90" t="s">
        <v>18</v>
      </c>
      <c r="I3674" s="90" t="s">
        <v>18</v>
      </c>
      <c r="J3674" s="90" t="s">
        <v>18</v>
      </c>
      <c r="K3674" s="90" t="s">
        <v>18</v>
      </c>
      <c r="L3674" s="90" t="s">
        <v>18</v>
      </c>
      <c r="M3674" s="90" t="s">
        <v>18</v>
      </c>
      <c r="N3674" s="90" t="s">
        <v>18</v>
      </c>
      <c r="O3674" s="90" t="s">
        <v>18</v>
      </c>
      <c r="P3674" s="90" t="s">
        <v>18</v>
      </c>
    </row>
    <row r="3675" spans="1:16" x14ac:dyDescent="0.25">
      <c r="A3675" s="29">
        <v>22</v>
      </c>
      <c r="B3675" s="30">
        <v>437573.10856199998</v>
      </c>
      <c r="C3675" s="30">
        <v>5688512.3324180003</v>
      </c>
      <c r="D3675" s="30">
        <v>31</v>
      </c>
      <c r="E3675" s="30" t="s">
        <v>33</v>
      </c>
      <c r="F3675" s="46">
        <v>2024</v>
      </c>
      <c r="G3675" s="84" t="s">
        <v>18</v>
      </c>
      <c r="H3675" s="47" t="s">
        <v>18</v>
      </c>
      <c r="I3675" s="47" t="s">
        <v>18</v>
      </c>
      <c r="J3675" s="47" t="s">
        <v>18</v>
      </c>
      <c r="K3675" s="47">
        <v>7.0164994046606564E-3</v>
      </c>
      <c r="L3675" s="47">
        <f t="shared" si="453"/>
        <v>2.6560688953506531E-3</v>
      </c>
      <c r="M3675" s="47" t="s">
        <v>18</v>
      </c>
      <c r="N3675" s="47">
        <v>1.2062709077507512E-2</v>
      </c>
      <c r="O3675" s="47">
        <f t="shared" si="454"/>
        <v>6.2031906430708899E-3</v>
      </c>
      <c r="P3675" s="47" t="s">
        <v>186</v>
      </c>
    </row>
    <row r="3676" spans="1:16" x14ac:dyDescent="0.25">
      <c r="A3676" s="29">
        <v>23</v>
      </c>
      <c r="B3676" s="30">
        <v>437692.10856199998</v>
      </c>
      <c r="C3676" s="30">
        <v>5688512.3324180003</v>
      </c>
      <c r="D3676" s="30">
        <v>31</v>
      </c>
      <c r="E3676" s="30" t="s">
        <v>33</v>
      </c>
      <c r="F3676" s="46">
        <v>2024</v>
      </c>
      <c r="G3676" s="84">
        <v>3.0759199410330556E-3</v>
      </c>
      <c r="H3676" s="47">
        <f t="shared" si="451"/>
        <v>9.3078664426510347E-4</v>
      </c>
      <c r="I3676" s="47">
        <v>5.5139762998242334E-3</v>
      </c>
      <c r="J3676" s="47">
        <f t="shared" si="452"/>
        <v>2.818063161740401E-3</v>
      </c>
      <c r="K3676" s="47">
        <v>2.21126041843851E-3</v>
      </c>
      <c r="L3676" s="47">
        <f t="shared" si="453"/>
        <v>8.3706413671656959E-4</v>
      </c>
      <c r="M3676" s="47">
        <f t="shared" si="450"/>
        <v>9.3722507548533876E-5</v>
      </c>
      <c r="N3676" s="47">
        <v>5.4147530759199409E-3</v>
      </c>
      <c r="O3676" s="47">
        <f t="shared" si="454"/>
        <v>2.7845109584642537E-3</v>
      </c>
      <c r="P3676" s="47"/>
    </row>
    <row r="3677" spans="1:16" x14ac:dyDescent="0.25">
      <c r="A3677" s="29">
        <v>24</v>
      </c>
      <c r="B3677" s="30">
        <v>437811.10856199998</v>
      </c>
      <c r="C3677" s="30">
        <v>5688512.3324180003</v>
      </c>
      <c r="D3677" s="30">
        <v>31</v>
      </c>
      <c r="E3677" s="30" t="s">
        <v>33</v>
      </c>
      <c r="F3677" s="46">
        <v>2024</v>
      </c>
      <c r="G3677" s="84">
        <v>3.926404717355559E-2</v>
      </c>
      <c r="H3677" s="47">
        <f t="shared" si="451"/>
        <v>1.1881470067347173E-2</v>
      </c>
      <c r="I3677" s="47">
        <v>0</v>
      </c>
      <c r="J3677" s="47">
        <f t="shared" si="452"/>
        <v>0</v>
      </c>
      <c r="K3677" s="47">
        <v>1.4032998809321313E-2</v>
      </c>
      <c r="L3677" s="47">
        <f t="shared" si="453"/>
        <v>5.3121377907013063E-3</v>
      </c>
      <c r="M3677" s="47">
        <f t="shared" si="450"/>
        <v>6.5693322766458666E-3</v>
      </c>
      <c r="N3677" s="47">
        <v>0</v>
      </c>
      <c r="O3677" s="47">
        <f t="shared" si="454"/>
        <v>0</v>
      </c>
      <c r="P3677" s="47"/>
    </row>
    <row r="3678" spans="1:16" x14ac:dyDescent="0.25">
      <c r="A3678" s="29">
        <v>25</v>
      </c>
      <c r="B3678" s="46">
        <v>437995</v>
      </c>
      <c r="C3678" s="46">
        <v>5688493</v>
      </c>
      <c r="D3678" s="30">
        <v>30</v>
      </c>
      <c r="E3678" s="30" t="s">
        <v>33</v>
      </c>
      <c r="F3678" s="46">
        <v>2024</v>
      </c>
      <c r="G3678" s="84">
        <v>3.1425412485116516E-2</v>
      </c>
      <c r="H3678" s="47">
        <f t="shared" si="451"/>
        <v>9.5094653932522328E-3</v>
      </c>
      <c r="I3678" s="47">
        <v>0</v>
      </c>
      <c r="J3678" s="47">
        <f t="shared" si="452"/>
        <v>0</v>
      </c>
      <c r="K3678" s="47">
        <v>1.7732607586324202E-2</v>
      </c>
      <c r="L3678" s="47">
        <f t="shared" si="453"/>
        <v>6.7126104809771044E-3</v>
      </c>
      <c r="M3678" s="47">
        <f t="shared" si="450"/>
        <v>2.7968549122751284E-3</v>
      </c>
      <c r="N3678" s="47">
        <v>0</v>
      </c>
      <c r="O3678" s="47">
        <f t="shared" si="454"/>
        <v>0</v>
      </c>
      <c r="P3678" s="47"/>
    </row>
    <row r="3679" spans="1:16" x14ac:dyDescent="0.25">
      <c r="A3679" s="29">
        <v>26</v>
      </c>
      <c r="B3679" s="46">
        <v>438112</v>
      </c>
      <c r="C3679" s="46">
        <v>5688567</v>
      </c>
      <c r="D3679" s="30">
        <v>30</v>
      </c>
      <c r="E3679" s="30" t="s">
        <v>33</v>
      </c>
      <c r="F3679" s="46">
        <v>2024</v>
      </c>
      <c r="G3679" s="84">
        <v>6.4424221806429663E-2</v>
      </c>
      <c r="H3679" s="47">
        <f t="shared" si="451"/>
        <v>1.9495047457073249E-2</v>
      </c>
      <c r="I3679" s="47">
        <v>5.1170834042070642E-3</v>
      </c>
      <c r="J3679" s="47">
        <f t="shared" si="452"/>
        <v>2.6152205691215543E-3</v>
      </c>
      <c r="K3679" s="47">
        <v>2.3870272722118273E-2</v>
      </c>
      <c r="L3679" s="47">
        <f t="shared" si="453"/>
        <v>9.036000039940404E-3</v>
      </c>
      <c r="M3679" s="47">
        <f t="shared" si="450"/>
        <v>1.0459047417132845E-2</v>
      </c>
      <c r="N3679" s="47">
        <v>0</v>
      </c>
      <c r="O3679" s="47">
        <f t="shared" si="454"/>
        <v>0</v>
      </c>
      <c r="P3679" s="47"/>
    </row>
    <row r="3680" spans="1:16" x14ac:dyDescent="0.25">
      <c r="A3680" s="32">
        <v>27</v>
      </c>
      <c r="B3680" s="33">
        <v>438168.10856199998</v>
      </c>
      <c r="C3680" s="33">
        <v>5688512.3324180003</v>
      </c>
      <c r="D3680" s="48">
        <v>30</v>
      </c>
      <c r="E3680" s="48" t="s">
        <v>33</v>
      </c>
      <c r="F3680" s="48">
        <v>2024</v>
      </c>
      <c r="G3680" s="49" t="s">
        <v>18</v>
      </c>
      <c r="H3680" s="49" t="s">
        <v>18</v>
      </c>
      <c r="I3680" s="49" t="s">
        <v>18</v>
      </c>
      <c r="J3680" s="49" t="s">
        <v>18</v>
      </c>
      <c r="K3680" s="49" t="s">
        <v>18</v>
      </c>
      <c r="L3680" s="49" t="s">
        <v>18</v>
      </c>
      <c r="M3680" s="49" t="s">
        <v>18</v>
      </c>
      <c r="N3680" s="49" t="s">
        <v>18</v>
      </c>
      <c r="O3680" s="49" t="s">
        <v>18</v>
      </c>
      <c r="P3680" s="49" t="s">
        <v>18</v>
      </c>
    </row>
    <row r="3681" spans="1:16" x14ac:dyDescent="0.25">
      <c r="A3681" s="32">
        <v>28</v>
      </c>
      <c r="B3681" s="33">
        <v>438287.10856199998</v>
      </c>
      <c r="C3681" s="33">
        <v>5688512.3324180003</v>
      </c>
      <c r="D3681" s="48">
        <v>30</v>
      </c>
      <c r="E3681" s="48" t="s">
        <v>33</v>
      </c>
      <c r="F3681" s="48">
        <v>2024</v>
      </c>
      <c r="G3681" s="49" t="s">
        <v>18</v>
      </c>
      <c r="H3681" s="49" t="s">
        <v>18</v>
      </c>
      <c r="I3681" s="49" t="s">
        <v>18</v>
      </c>
      <c r="J3681" s="49" t="s">
        <v>18</v>
      </c>
      <c r="K3681" s="49" t="s">
        <v>18</v>
      </c>
      <c r="L3681" s="49" t="s">
        <v>18</v>
      </c>
      <c r="M3681" s="49" t="s">
        <v>18</v>
      </c>
      <c r="N3681" s="49" t="s">
        <v>18</v>
      </c>
      <c r="O3681" s="49" t="s">
        <v>18</v>
      </c>
      <c r="P3681" s="49" t="s">
        <v>18</v>
      </c>
    </row>
    <row r="3682" spans="1:16" x14ac:dyDescent="0.25">
      <c r="A3682" s="29">
        <v>29</v>
      </c>
      <c r="B3682" s="30">
        <v>438381</v>
      </c>
      <c r="C3682" s="30">
        <v>5688526</v>
      </c>
      <c r="D3682" s="30">
        <v>30</v>
      </c>
      <c r="E3682" s="30" t="s">
        <v>33</v>
      </c>
      <c r="F3682" s="46">
        <v>2024</v>
      </c>
      <c r="G3682" s="84">
        <v>3.0007937857912344E-2</v>
      </c>
      <c r="H3682" s="47">
        <f t="shared" si="451"/>
        <v>9.0805314558028757E-3</v>
      </c>
      <c r="I3682" s="47">
        <v>0</v>
      </c>
      <c r="J3682" s="47">
        <f t="shared" si="452"/>
        <v>0</v>
      </c>
      <c r="K3682" s="47">
        <v>2.2112604184385098E-2</v>
      </c>
      <c r="L3682" s="47">
        <f t="shared" si="453"/>
        <v>8.3706413671656953E-3</v>
      </c>
      <c r="M3682" s="47">
        <f t="shared" si="450"/>
        <v>7.0989008863718041E-4</v>
      </c>
      <c r="N3682" s="47">
        <v>0</v>
      </c>
      <c r="O3682" s="47">
        <f t="shared" si="454"/>
        <v>0</v>
      </c>
      <c r="P3682" s="47"/>
    </row>
    <row r="3683" spans="1:16" x14ac:dyDescent="0.25">
      <c r="A3683" s="29">
        <v>30</v>
      </c>
      <c r="B3683" s="30">
        <v>438525.10856199998</v>
      </c>
      <c r="C3683" s="30">
        <v>5688512.3324180003</v>
      </c>
      <c r="D3683" s="30">
        <v>30</v>
      </c>
      <c r="E3683" s="30" t="s">
        <v>33</v>
      </c>
      <c r="F3683" s="46">
        <v>2024</v>
      </c>
      <c r="G3683" s="84">
        <v>3.8725406815218008E-2</v>
      </c>
      <c r="H3683" s="47">
        <f t="shared" si="451"/>
        <v>1.1718475171116417E-2</v>
      </c>
      <c r="I3683" s="84">
        <v>4.2665986278845602E-3</v>
      </c>
      <c r="J3683" s="47">
        <f t="shared" si="452"/>
        <v>2.1805578706525978E-3</v>
      </c>
      <c r="K3683" s="47">
        <v>4.0114531949878096E-3</v>
      </c>
      <c r="L3683" s="47">
        <f t="shared" si="453"/>
        <v>1.5185201967358281E-3</v>
      </c>
      <c r="M3683" s="84" t="s">
        <v>18</v>
      </c>
      <c r="N3683" s="47">
        <v>1.1991835346147303E-2</v>
      </c>
      <c r="O3683" s="47">
        <f t="shared" si="454"/>
        <v>6.1667441645569592E-3</v>
      </c>
      <c r="P3683" s="47"/>
    </row>
    <row r="3684" spans="1:16" x14ac:dyDescent="0.25">
      <c r="A3684" s="29">
        <v>31</v>
      </c>
      <c r="B3684" s="30">
        <v>437335.10856199998</v>
      </c>
      <c r="C3684" s="30">
        <v>5688631.3324180003</v>
      </c>
      <c r="D3684" s="30">
        <v>31</v>
      </c>
      <c r="E3684" s="30" t="s">
        <v>33</v>
      </c>
      <c r="F3684" s="46">
        <v>2024</v>
      </c>
      <c r="G3684" s="47">
        <v>7.8627317571015473E-2</v>
      </c>
      <c r="H3684" s="47">
        <f t="shared" si="451"/>
        <v>2.3792965510315799E-2</v>
      </c>
      <c r="I3684" s="47">
        <v>1.0942904122016216E-2</v>
      </c>
      <c r="J3684" s="47">
        <f t="shared" si="452"/>
        <v>5.5926600536339065E-3</v>
      </c>
      <c r="K3684" s="47">
        <v>2.4593184781992402E-2</v>
      </c>
      <c r="L3684" s="47">
        <f t="shared" si="453"/>
        <v>9.3096556230977436E-3</v>
      </c>
      <c r="M3684" s="47">
        <f t="shared" si="450"/>
        <v>1.4483309887218056E-2</v>
      </c>
      <c r="N3684" s="47">
        <v>0</v>
      </c>
      <c r="O3684" s="47">
        <f t="shared" si="454"/>
        <v>0</v>
      </c>
      <c r="P3684" s="47"/>
    </row>
    <row r="3685" spans="1:16" x14ac:dyDescent="0.25">
      <c r="A3685" s="29">
        <v>32</v>
      </c>
      <c r="B3685" s="30">
        <v>437454.10856199998</v>
      </c>
      <c r="C3685" s="30">
        <v>5688631.3324180003</v>
      </c>
      <c r="D3685" s="30">
        <v>31</v>
      </c>
      <c r="E3685" s="30" t="s">
        <v>33</v>
      </c>
      <c r="F3685" s="46">
        <v>2024</v>
      </c>
      <c r="G3685" s="84">
        <v>1.8001927765492996E-2</v>
      </c>
      <c r="H3685" s="47">
        <f t="shared" si="451"/>
        <v>5.4474610056068264E-3</v>
      </c>
      <c r="I3685" s="47">
        <v>0</v>
      </c>
      <c r="J3685" s="47">
        <f t="shared" si="452"/>
        <v>0</v>
      </c>
      <c r="K3685" s="47">
        <v>1.4883483585643815E-3</v>
      </c>
      <c r="L3685" s="47">
        <f t="shared" si="453"/>
        <v>5.6340855355922943E-4</v>
      </c>
      <c r="M3685" s="47">
        <f t="shared" si="450"/>
        <v>4.8840524520475971E-3</v>
      </c>
      <c r="N3685" s="47">
        <v>0</v>
      </c>
      <c r="O3685" s="47">
        <f t="shared" si="454"/>
        <v>0</v>
      </c>
      <c r="P3685" s="47"/>
    </row>
    <row r="3686" spans="1:16" x14ac:dyDescent="0.25">
      <c r="A3686" s="29">
        <v>33</v>
      </c>
      <c r="B3686" s="30">
        <v>437573.10856199998</v>
      </c>
      <c r="C3686" s="30">
        <v>5688631.3324180003</v>
      </c>
      <c r="D3686" s="30">
        <v>31</v>
      </c>
      <c r="E3686" s="30" t="s">
        <v>33</v>
      </c>
      <c r="F3686" s="46">
        <v>2024</v>
      </c>
      <c r="G3686" s="84">
        <v>5.3382094460509157E-2</v>
      </c>
      <c r="H3686" s="47">
        <f t="shared" si="451"/>
        <v>1.6153652084342763E-2</v>
      </c>
      <c r="I3686" s="47">
        <v>0</v>
      </c>
      <c r="J3686" s="47">
        <f t="shared" si="452"/>
        <v>0</v>
      </c>
      <c r="K3686" s="47">
        <v>3.9264047173555592E-3</v>
      </c>
      <c r="L3686" s="47">
        <f t="shared" si="453"/>
        <v>1.4863254222467293E-3</v>
      </c>
      <c r="M3686" s="47">
        <f t="shared" si="450"/>
        <v>1.4667326662096034E-2</v>
      </c>
      <c r="N3686" s="47">
        <v>0</v>
      </c>
      <c r="O3686" s="47">
        <f t="shared" si="454"/>
        <v>0</v>
      </c>
      <c r="P3686" s="47"/>
    </row>
    <row r="3687" spans="1:16" x14ac:dyDescent="0.25">
      <c r="A3687" s="29">
        <v>34</v>
      </c>
      <c r="B3687" s="30">
        <v>437692.10856199998</v>
      </c>
      <c r="C3687" s="30">
        <v>5688631.3324180003</v>
      </c>
      <c r="D3687" s="30">
        <v>31</v>
      </c>
      <c r="E3687" s="30" t="s">
        <v>33</v>
      </c>
      <c r="F3687" s="46">
        <v>2024</v>
      </c>
      <c r="G3687" s="84">
        <v>2.2792992005443102E-2</v>
      </c>
      <c r="H3687" s="47">
        <f t="shared" si="451"/>
        <v>6.8972577141856511E-3</v>
      </c>
      <c r="I3687" s="47">
        <v>0</v>
      </c>
      <c r="J3687" s="47">
        <f t="shared" si="452"/>
        <v>0</v>
      </c>
      <c r="K3687" s="47">
        <v>2.2821341497987185E-3</v>
      </c>
      <c r="L3687" s="47">
        <f t="shared" si="453"/>
        <v>8.6389311545748517E-4</v>
      </c>
      <c r="M3687" s="47">
        <f t="shared" si="450"/>
        <v>6.0333645987281663E-3</v>
      </c>
      <c r="N3687" s="47">
        <v>0</v>
      </c>
      <c r="O3687" s="47">
        <f t="shared" si="454"/>
        <v>0</v>
      </c>
      <c r="P3687" s="47"/>
    </row>
    <row r="3688" spans="1:16" x14ac:dyDescent="0.25">
      <c r="A3688" s="29">
        <v>35</v>
      </c>
      <c r="B3688" s="30">
        <v>437893</v>
      </c>
      <c r="C3688" s="30">
        <v>5688620</v>
      </c>
      <c r="D3688" s="30">
        <v>31</v>
      </c>
      <c r="E3688" s="30" t="s">
        <v>33</v>
      </c>
      <c r="F3688" s="46">
        <v>2024</v>
      </c>
      <c r="G3688" s="84">
        <v>1.8909111526903669E-2</v>
      </c>
      <c r="H3688" s="47">
        <f t="shared" si="451"/>
        <v>5.7219787255744147E-3</v>
      </c>
      <c r="I3688" s="47">
        <v>0</v>
      </c>
      <c r="J3688" s="47">
        <f t="shared" si="452"/>
        <v>0</v>
      </c>
      <c r="K3688" s="47">
        <v>3.8555309859953507E-3</v>
      </c>
      <c r="L3688" s="47">
        <f t="shared" si="453"/>
        <v>1.4594964435058135E-3</v>
      </c>
      <c r="M3688" s="47">
        <f>H3688-L3688</f>
        <v>4.2624822820686008E-3</v>
      </c>
      <c r="N3688" s="47">
        <v>0</v>
      </c>
      <c r="O3688" s="47">
        <f t="shared" si="454"/>
        <v>0</v>
      </c>
      <c r="P3688" s="47"/>
    </row>
    <row r="3689" spans="1:16" x14ac:dyDescent="0.25">
      <c r="A3689" s="29">
        <v>36</v>
      </c>
      <c r="B3689" s="30">
        <v>437930.10856199998</v>
      </c>
      <c r="C3689" s="30">
        <v>5688631.3324180003</v>
      </c>
      <c r="D3689" s="30">
        <v>31</v>
      </c>
      <c r="E3689" s="30" t="s">
        <v>33</v>
      </c>
      <c r="F3689" s="46">
        <v>2024</v>
      </c>
      <c r="G3689" s="84">
        <v>5.4586947893632699E-2</v>
      </c>
      <c r="H3689" s="47">
        <f t="shared" si="451"/>
        <v>1.6518245931174715E-2</v>
      </c>
      <c r="I3689" s="47">
        <v>0</v>
      </c>
      <c r="J3689" s="47">
        <f t="shared" si="452"/>
        <v>0</v>
      </c>
      <c r="K3689" s="47">
        <v>5.258830866927482E-3</v>
      </c>
      <c r="L3689" s="47">
        <f t="shared" si="453"/>
        <v>1.9907102225759444E-3</v>
      </c>
      <c r="M3689" s="47">
        <f t="shared" si="450"/>
        <v>1.4527535708598771E-2</v>
      </c>
      <c r="N3689" s="47">
        <v>0</v>
      </c>
      <c r="O3689" s="47">
        <f t="shared" si="454"/>
        <v>0</v>
      </c>
      <c r="P3689" s="47"/>
    </row>
    <row r="3690" spans="1:16" x14ac:dyDescent="0.25">
      <c r="A3690" s="32">
        <v>37</v>
      </c>
      <c r="B3690" s="33">
        <v>438049.10856199998</v>
      </c>
      <c r="C3690" s="33">
        <v>5688631.3324180003</v>
      </c>
      <c r="D3690" s="48">
        <v>30</v>
      </c>
      <c r="E3690" s="48" t="s">
        <v>33</v>
      </c>
      <c r="F3690" s="48">
        <v>2024</v>
      </c>
      <c r="G3690" s="49" t="s">
        <v>18</v>
      </c>
      <c r="H3690" s="49" t="s">
        <v>18</v>
      </c>
      <c r="I3690" s="49" t="s">
        <v>18</v>
      </c>
      <c r="J3690" s="49" t="s">
        <v>18</v>
      </c>
      <c r="K3690" s="49" t="s">
        <v>18</v>
      </c>
      <c r="L3690" s="49" t="s">
        <v>18</v>
      </c>
      <c r="M3690" s="49" t="s">
        <v>18</v>
      </c>
      <c r="N3690" s="49" t="s">
        <v>18</v>
      </c>
      <c r="O3690" s="49" t="s">
        <v>18</v>
      </c>
      <c r="P3690" s="49" t="s">
        <v>18</v>
      </c>
    </row>
    <row r="3691" spans="1:16" x14ac:dyDescent="0.25">
      <c r="A3691" s="29">
        <v>38</v>
      </c>
      <c r="B3691" s="30">
        <v>438067</v>
      </c>
      <c r="C3691" s="30">
        <v>5688710</v>
      </c>
      <c r="D3691" s="30">
        <v>30</v>
      </c>
      <c r="E3691" s="30" t="s">
        <v>33</v>
      </c>
      <c r="F3691" s="46">
        <v>2024</v>
      </c>
      <c r="G3691" s="84">
        <v>9.3128083007314177E-2</v>
      </c>
      <c r="H3691" s="47">
        <f t="shared" si="451"/>
        <v>2.8180959690422721E-2</v>
      </c>
      <c r="I3691" s="47">
        <v>0</v>
      </c>
      <c r="J3691" s="47">
        <f t="shared" si="452"/>
        <v>0</v>
      </c>
      <c r="K3691" s="84">
        <v>2.1262119408062594E-2</v>
      </c>
      <c r="L3691" s="47">
        <f t="shared" si="453"/>
        <v>8.0486936222747066E-3</v>
      </c>
      <c r="M3691" s="47">
        <f t="shared" si="450"/>
        <v>2.0132266068148014E-2</v>
      </c>
      <c r="N3691" s="47">
        <v>0</v>
      </c>
      <c r="O3691" s="47">
        <f t="shared" si="454"/>
        <v>0</v>
      </c>
      <c r="P3691" s="47"/>
    </row>
    <row r="3692" spans="1:16" x14ac:dyDescent="0.25">
      <c r="A3692" s="32">
        <v>39</v>
      </c>
      <c r="B3692" s="33">
        <v>438287.10856199998</v>
      </c>
      <c r="C3692" s="33">
        <v>5688631.3324180003</v>
      </c>
      <c r="D3692" s="48">
        <v>30</v>
      </c>
      <c r="E3692" s="48" t="s">
        <v>33</v>
      </c>
      <c r="F3692" s="48">
        <v>2024</v>
      </c>
      <c r="G3692" s="49" t="s">
        <v>18</v>
      </c>
      <c r="H3692" s="49" t="s">
        <v>18</v>
      </c>
      <c r="I3692" s="49" t="s">
        <v>18</v>
      </c>
      <c r="J3692" s="49" t="s">
        <v>18</v>
      </c>
      <c r="K3692" s="49" t="s">
        <v>18</v>
      </c>
      <c r="L3692" s="49" t="s">
        <v>18</v>
      </c>
      <c r="M3692" s="49" t="s">
        <v>18</v>
      </c>
      <c r="N3692" s="49" t="s">
        <v>18</v>
      </c>
      <c r="O3692" s="49" t="s">
        <v>18</v>
      </c>
      <c r="P3692" s="49" t="s">
        <v>18</v>
      </c>
    </row>
    <row r="3693" spans="1:16" x14ac:dyDescent="0.25">
      <c r="A3693" s="89">
        <v>40</v>
      </c>
      <c r="B3693" s="90">
        <v>438406.10856199998</v>
      </c>
      <c r="C3693" s="90">
        <v>5688631.3324180003</v>
      </c>
      <c r="D3693" s="90">
        <v>30</v>
      </c>
      <c r="E3693" s="90" t="s">
        <v>33</v>
      </c>
      <c r="F3693" s="90">
        <v>2024</v>
      </c>
      <c r="G3693" s="90" t="s">
        <v>18</v>
      </c>
      <c r="H3693" s="90" t="s">
        <v>18</v>
      </c>
      <c r="I3693" s="90" t="s">
        <v>18</v>
      </c>
      <c r="J3693" s="90" t="s">
        <v>18</v>
      </c>
      <c r="K3693" s="90" t="s">
        <v>18</v>
      </c>
      <c r="L3693" s="90" t="s">
        <v>18</v>
      </c>
      <c r="M3693" s="90" t="s">
        <v>18</v>
      </c>
      <c r="N3693" s="90" t="s">
        <v>18</v>
      </c>
      <c r="O3693" s="90" t="s">
        <v>18</v>
      </c>
      <c r="P3693" s="90" t="s">
        <v>18</v>
      </c>
    </row>
    <row r="3694" spans="1:16" x14ac:dyDescent="0.25">
      <c r="A3694" s="29">
        <v>41</v>
      </c>
      <c r="B3694" s="30">
        <v>437310</v>
      </c>
      <c r="C3694" s="30">
        <v>5688729</v>
      </c>
      <c r="D3694" s="30">
        <v>31</v>
      </c>
      <c r="E3694" s="30" t="s">
        <v>33</v>
      </c>
      <c r="F3694" s="46">
        <v>2024</v>
      </c>
      <c r="G3694" s="84">
        <v>7.7890230764869312E-2</v>
      </c>
      <c r="H3694" s="47">
        <f t="shared" si="451"/>
        <v>2.3569919862842136E-2</v>
      </c>
      <c r="I3694" s="47">
        <v>1.0035720360605545E-2</v>
      </c>
      <c r="J3694" s="47">
        <f t="shared" si="452"/>
        <v>5.1290198419336862E-3</v>
      </c>
      <c r="K3694" s="47">
        <v>2.42529908714634E-2</v>
      </c>
      <c r="L3694" s="47">
        <f t="shared" si="453"/>
        <v>9.1808765251413481E-3</v>
      </c>
      <c r="M3694" s="47">
        <f t="shared" si="450"/>
        <v>1.4389043337700788E-2</v>
      </c>
      <c r="N3694" s="47">
        <v>0</v>
      </c>
      <c r="O3694" s="47">
        <f t="shared" si="454"/>
        <v>0</v>
      </c>
      <c r="P3694" s="47"/>
    </row>
    <row r="3695" spans="1:16" x14ac:dyDescent="0.25">
      <c r="A3695" s="29">
        <v>42</v>
      </c>
      <c r="B3695" s="30">
        <v>437454.10856199998</v>
      </c>
      <c r="C3695" s="30">
        <v>5688750.3324180003</v>
      </c>
      <c r="D3695" s="30">
        <v>31</v>
      </c>
      <c r="E3695" s="30" t="s">
        <v>33</v>
      </c>
      <c r="F3695" s="46">
        <v>2024</v>
      </c>
      <c r="G3695" s="84">
        <v>0.17382491353404775</v>
      </c>
      <c r="H3695" s="47">
        <f t="shared" si="451"/>
        <v>5.2600168749414582E-2</v>
      </c>
      <c r="I3695" s="84">
        <v>0</v>
      </c>
      <c r="J3695" s="47">
        <f t="shared" si="452"/>
        <v>0</v>
      </c>
      <c r="K3695" s="84">
        <v>3.1014344843227307E-2</v>
      </c>
      <c r="L3695" s="47">
        <f t="shared" si="453"/>
        <v>1.1740361097024705E-2</v>
      </c>
      <c r="M3695" s="84" t="s">
        <v>18</v>
      </c>
      <c r="N3695" s="84">
        <v>2.2353574871009807E-2</v>
      </c>
      <c r="O3695" s="47">
        <f t="shared" si="454"/>
        <v>1.1495219323293528E-2</v>
      </c>
      <c r="P3695" s="47"/>
    </row>
    <row r="3696" spans="1:16" x14ac:dyDescent="0.25">
      <c r="A3696" s="29">
        <v>43</v>
      </c>
      <c r="B3696" s="30">
        <v>437573.10856199998</v>
      </c>
      <c r="C3696" s="30">
        <v>5688750.3324180003</v>
      </c>
      <c r="D3696" s="30">
        <v>31</v>
      </c>
      <c r="E3696" s="30" t="s">
        <v>33</v>
      </c>
      <c r="F3696" s="46">
        <v>2024</v>
      </c>
      <c r="G3696" s="84">
        <v>3.7293757441741786E-2</v>
      </c>
      <c r="H3696" s="47">
        <f t="shared" si="451"/>
        <v>1.1285251894292565E-2</v>
      </c>
      <c r="I3696" s="47">
        <v>0</v>
      </c>
      <c r="J3696" s="47">
        <f t="shared" si="452"/>
        <v>0</v>
      </c>
      <c r="K3696" s="47">
        <v>6.7046549866757376E-3</v>
      </c>
      <c r="L3696" s="47">
        <f t="shared" si="453"/>
        <v>2.5380213888906238E-3</v>
      </c>
      <c r="M3696" s="47">
        <f t="shared" si="450"/>
        <v>8.7472305054019407E-3</v>
      </c>
      <c r="N3696" s="47">
        <v>0</v>
      </c>
      <c r="O3696" s="47">
        <f t="shared" si="454"/>
        <v>0</v>
      </c>
      <c r="P3696" s="47"/>
    </row>
    <row r="3697" spans="1:16" x14ac:dyDescent="0.25">
      <c r="A3697" s="29">
        <v>44</v>
      </c>
      <c r="B3697" s="30">
        <v>437692.10856199998</v>
      </c>
      <c r="C3697" s="30">
        <v>5688750.3324180003</v>
      </c>
      <c r="D3697" s="30">
        <v>31</v>
      </c>
      <c r="E3697" s="30" t="s">
        <v>33</v>
      </c>
      <c r="F3697" s="46">
        <v>2024</v>
      </c>
      <c r="G3697" s="84">
        <v>1.8370471168566084E-2</v>
      </c>
      <c r="H3697" s="47">
        <f t="shared" si="451"/>
        <v>5.5589838293436597E-3</v>
      </c>
      <c r="I3697" s="47">
        <v>0</v>
      </c>
      <c r="J3697" s="47">
        <f t="shared" si="452"/>
        <v>0</v>
      </c>
      <c r="K3697" s="47">
        <v>1.0531836480127005E-2</v>
      </c>
      <c r="L3697" s="47">
        <f t="shared" si="453"/>
        <v>3.9867862409000716E-3</v>
      </c>
      <c r="M3697" s="47">
        <f t="shared" si="450"/>
        <v>1.5721975884435881E-3</v>
      </c>
      <c r="N3697" s="47">
        <v>0</v>
      </c>
      <c r="O3697" s="47">
        <f t="shared" si="454"/>
        <v>0</v>
      </c>
      <c r="P3697" s="47"/>
    </row>
    <row r="3698" spans="1:16" x14ac:dyDescent="0.25">
      <c r="A3698" s="29">
        <v>45</v>
      </c>
      <c r="B3698" s="30">
        <v>437811.10856199998</v>
      </c>
      <c r="C3698" s="30">
        <v>5688750.3324180003</v>
      </c>
      <c r="D3698" s="30">
        <v>31</v>
      </c>
      <c r="E3698" s="30" t="s">
        <v>33</v>
      </c>
      <c r="F3698" s="46">
        <v>2024</v>
      </c>
      <c r="G3698" s="84">
        <v>3.4458808187333448E-2</v>
      </c>
      <c r="H3698" s="47">
        <f t="shared" si="451"/>
        <v>1.0427384019393856E-2</v>
      </c>
      <c r="I3698" s="47">
        <v>3.2049101321086355E-2</v>
      </c>
      <c r="J3698" s="47">
        <f t="shared" si="452"/>
        <v>1.6379539353971843E-2</v>
      </c>
      <c r="K3698" s="47">
        <v>8.9726143902024158E-3</v>
      </c>
      <c r="L3698" s="47">
        <f t="shared" si="453"/>
        <v>3.3965487085999267E-3</v>
      </c>
      <c r="M3698" s="47">
        <f t="shared" si="450"/>
        <v>7.0308353107939297E-3</v>
      </c>
      <c r="N3698" s="47">
        <v>0</v>
      </c>
      <c r="O3698" s="47">
        <f t="shared" si="454"/>
        <v>0</v>
      </c>
      <c r="P3698" s="47"/>
    </row>
    <row r="3699" spans="1:16" x14ac:dyDescent="0.25">
      <c r="A3699" s="65">
        <v>46</v>
      </c>
      <c r="B3699" s="66">
        <v>437930.10856199998</v>
      </c>
      <c r="C3699" s="66">
        <v>5688750.3324180003</v>
      </c>
      <c r="D3699" s="66">
        <v>30</v>
      </c>
      <c r="E3699" s="66" t="s">
        <v>33</v>
      </c>
      <c r="F3699" s="66">
        <v>2024</v>
      </c>
      <c r="G3699" s="66" t="s">
        <v>18</v>
      </c>
      <c r="H3699" s="66" t="s">
        <v>18</v>
      </c>
      <c r="I3699" s="66" t="s">
        <v>18</v>
      </c>
      <c r="J3699" s="66" t="s">
        <v>18</v>
      </c>
      <c r="K3699" s="66" t="s">
        <v>18</v>
      </c>
      <c r="L3699" s="66" t="s">
        <v>18</v>
      </c>
      <c r="M3699" s="66" t="s">
        <v>18</v>
      </c>
      <c r="N3699" s="66" t="s">
        <v>18</v>
      </c>
      <c r="O3699" s="66" t="s">
        <v>18</v>
      </c>
      <c r="P3699" s="67" t="s">
        <v>166</v>
      </c>
    </row>
    <row r="3700" spans="1:16" x14ac:dyDescent="0.25">
      <c r="A3700" s="89">
        <v>47</v>
      </c>
      <c r="B3700" s="90">
        <v>438061</v>
      </c>
      <c r="C3700" s="90">
        <v>5688779</v>
      </c>
      <c r="D3700" s="90">
        <v>30</v>
      </c>
      <c r="E3700" s="90" t="s">
        <v>33</v>
      </c>
      <c r="F3700" s="90">
        <v>2024</v>
      </c>
      <c r="G3700" s="90" t="s">
        <v>18</v>
      </c>
      <c r="H3700" s="90" t="s">
        <v>18</v>
      </c>
      <c r="I3700" s="90" t="s">
        <v>18</v>
      </c>
      <c r="J3700" s="90" t="s">
        <v>18</v>
      </c>
      <c r="K3700" s="90" t="s">
        <v>18</v>
      </c>
      <c r="L3700" s="90" t="s">
        <v>18</v>
      </c>
      <c r="M3700" s="90" t="s">
        <v>18</v>
      </c>
      <c r="N3700" s="90" t="s">
        <v>18</v>
      </c>
      <c r="O3700" s="90" t="s">
        <v>18</v>
      </c>
      <c r="P3700" s="90" t="s">
        <v>18</v>
      </c>
    </row>
    <row r="3701" spans="1:16" x14ac:dyDescent="0.25">
      <c r="A3701" s="32">
        <v>48</v>
      </c>
      <c r="B3701" s="33">
        <v>438168.10856199998</v>
      </c>
      <c r="C3701" s="33">
        <v>5688750.3324180003</v>
      </c>
      <c r="D3701" s="48">
        <v>30</v>
      </c>
      <c r="E3701" s="48" t="s">
        <v>33</v>
      </c>
      <c r="F3701" s="48">
        <v>2024</v>
      </c>
      <c r="G3701" s="49" t="s">
        <v>18</v>
      </c>
      <c r="H3701" s="49" t="s">
        <v>18</v>
      </c>
      <c r="I3701" s="49" t="s">
        <v>18</v>
      </c>
      <c r="J3701" s="49" t="s">
        <v>18</v>
      </c>
      <c r="K3701" s="49" t="s">
        <v>18</v>
      </c>
      <c r="L3701" s="49" t="s">
        <v>18</v>
      </c>
      <c r="M3701" s="49" t="s">
        <v>18</v>
      </c>
      <c r="N3701" s="49" t="s">
        <v>18</v>
      </c>
      <c r="O3701" s="49" t="s">
        <v>18</v>
      </c>
      <c r="P3701" s="49" t="s">
        <v>18</v>
      </c>
    </row>
    <row r="3702" spans="1:16" x14ac:dyDescent="0.25">
      <c r="A3702" s="89">
        <v>49</v>
      </c>
      <c r="B3702" s="90">
        <v>437454.10856199998</v>
      </c>
      <c r="C3702" s="90">
        <v>5688869.3324180003</v>
      </c>
      <c r="D3702" s="90">
        <v>30</v>
      </c>
      <c r="E3702" s="90" t="s">
        <v>33</v>
      </c>
      <c r="F3702" s="90">
        <v>2024</v>
      </c>
      <c r="G3702" s="90" t="s">
        <v>18</v>
      </c>
      <c r="H3702" s="90" t="s">
        <v>18</v>
      </c>
      <c r="I3702" s="90" t="s">
        <v>18</v>
      </c>
      <c r="J3702" s="90" t="s">
        <v>18</v>
      </c>
      <c r="K3702" s="90" t="s">
        <v>18</v>
      </c>
      <c r="L3702" s="90" t="s">
        <v>18</v>
      </c>
      <c r="M3702" s="90" t="s">
        <v>18</v>
      </c>
      <c r="N3702" s="90" t="s">
        <v>18</v>
      </c>
      <c r="O3702" s="90" t="s">
        <v>18</v>
      </c>
      <c r="P3702" s="90" t="s">
        <v>18</v>
      </c>
    </row>
    <row r="3703" spans="1:16" x14ac:dyDescent="0.25">
      <c r="A3703" s="29">
        <v>50</v>
      </c>
      <c r="B3703" s="30">
        <v>437811.10856199998</v>
      </c>
      <c r="C3703" s="30">
        <v>5688869.3324180003</v>
      </c>
      <c r="D3703" s="30">
        <v>30</v>
      </c>
      <c r="E3703" s="30" t="s">
        <v>33</v>
      </c>
      <c r="F3703" s="46">
        <v>2024</v>
      </c>
      <c r="G3703" s="84">
        <v>4.1319385383001644E-2</v>
      </c>
      <c r="H3703" s="47">
        <f t="shared" si="451"/>
        <v>1.2503424276648739E-2</v>
      </c>
      <c r="I3703" s="47">
        <v>0</v>
      </c>
      <c r="J3703" s="47">
        <f t="shared" si="452"/>
        <v>0</v>
      </c>
      <c r="K3703" s="47">
        <v>5.9817429268016102E-3</v>
      </c>
      <c r="L3703" s="47">
        <f t="shared" si="453"/>
        <v>2.2643658057332843E-3</v>
      </c>
      <c r="M3703" s="47">
        <f t="shared" si="450"/>
        <v>1.0239058470915455E-2</v>
      </c>
      <c r="N3703" s="47">
        <v>0</v>
      </c>
      <c r="O3703" s="47">
        <f t="shared" si="454"/>
        <v>0</v>
      </c>
      <c r="P3703" s="47"/>
    </row>
    <row r="3704" spans="1:16" x14ac:dyDescent="0.25">
      <c r="A3704" s="89">
        <v>51</v>
      </c>
      <c r="B3704" s="90">
        <v>437930.10856199998</v>
      </c>
      <c r="C3704" s="90">
        <v>5688869.3324180003</v>
      </c>
      <c r="D3704" s="90">
        <v>30</v>
      </c>
      <c r="E3704" s="90" t="s">
        <v>33</v>
      </c>
      <c r="F3704" s="90">
        <v>2024</v>
      </c>
      <c r="G3704" s="90" t="s">
        <v>18</v>
      </c>
      <c r="H3704" s="90" t="s">
        <v>18</v>
      </c>
      <c r="I3704" s="90" t="s">
        <v>18</v>
      </c>
      <c r="J3704" s="90" t="s">
        <v>18</v>
      </c>
      <c r="K3704" s="90" t="s">
        <v>18</v>
      </c>
      <c r="L3704" s="90" t="s">
        <v>18</v>
      </c>
      <c r="M3704" s="90" t="s">
        <v>18</v>
      </c>
      <c r="N3704" s="90" t="s">
        <v>18</v>
      </c>
      <c r="O3704" s="90" t="s">
        <v>18</v>
      </c>
      <c r="P3704" s="90" t="s">
        <v>18</v>
      </c>
    </row>
    <row r="3705" spans="1:16" x14ac:dyDescent="0.25">
      <c r="A3705" s="65">
        <v>52</v>
      </c>
      <c r="B3705" s="66">
        <v>438049.10856199998</v>
      </c>
      <c r="C3705" s="66">
        <v>5688869.3324180003</v>
      </c>
      <c r="D3705" s="66">
        <v>30</v>
      </c>
      <c r="E3705" s="66" t="s">
        <v>33</v>
      </c>
      <c r="F3705" s="66">
        <v>2024</v>
      </c>
      <c r="G3705" s="66" t="s">
        <v>18</v>
      </c>
      <c r="H3705" s="66" t="s">
        <v>18</v>
      </c>
      <c r="I3705" s="66" t="s">
        <v>18</v>
      </c>
      <c r="J3705" s="66" t="s">
        <v>18</v>
      </c>
      <c r="K3705" s="66" t="s">
        <v>18</v>
      </c>
      <c r="L3705" s="66" t="s">
        <v>18</v>
      </c>
      <c r="M3705" s="66" t="s">
        <v>18</v>
      </c>
      <c r="N3705" s="66" t="s">
        <v>18</v>
      </c>
      <c r="O3705" s="66" t="s">
        <v>18</v>
      </c>
      <c r="P3705" s="67" t="s">
        <v>166</v>
      </c>
    </row>
    <row r="3706" spans="1:16" x14ac:dyDescent="0.25">
      <c r="A3706" s="89">
        <v>53</v>
      </c>
      <c r="B3706" s="90">
        <v>438287.10856199998</v>
      </c>
      <c r="C3706" s="90">
        <v>5688869.3324180003</v>
      </c>
      <c r="D3706" s="90">
        <v>30</v>
      </c>
      <c r="E3706" s="90" t="s">
        <v>33</v>
      </c>
      <c r="F3706" s="90">
        <v>2024</v>
      </c>
      <c r="G3706" s="90" t="s">
        <v>18</v>
      </c>
      <c r="H3706" s="90" t="s">
        <v>18</v>
      </c>
      <c r="I3706" s="90" t="s">
        <v>18</v>
      </c>
      <c r="J3706" s="90" t="s">
        <v>18</v>
      </c>
      <c r="K3706" s="90" t="s">
        <v>18</v>
      </c>
      <c r="L3706" s="90" t="s">
        <v>18</v>
      </c>
      <c r="M3706" s="90" t="s">
        <v>18</v>
      </c>
      <c r="N3706" s="90" t="s">
        <v>18</v>
      </c>
      <c r="O3706" s="90" t="s">
        <v>18</v>
      </c>
      <c r="P3706" s="90" t="s">
        <v>18</v>
      </c>
    </row>
    <row r="3707" spans="1:16" x14ac:dyDescent="0.25">
      <c r="A3707" s="89">
        <v>54</v>
      </c>
      <c r="B3707" s="90">
        <v>437454.10856199998</v>
      </c>
      <c r="C3707" s="90">
        <v>5688988.3324180003</v>
      </c>
      <c r="D3707" s="90">
        <v>30</v>
      </c>
      <c r="E3707" s="90" t="s">
        <v>33</v>
      </c>
      <c r="F3707" s="90">
        <v>2024</v>
      </c>
      <c r="G3707" s="90" t="s">
        <v>18</v>
      </c>
      <c r="H3707" s="90" t="s">
        <v>18</v>
      </c>
      <c r="I3707" s="90" t="s">
        <v>18</v>
      </c>
      <c r="J3707" s="90" t="s">
        <v>18</v>
      </c>
      <c r="K3707" s="90" t="s">
        <v>18</v>
      </c>
      <c r="L3707" s="90" t="s">
        <v>18</v>
      </c>
      <c r="M3707" s="90" t="s">
        <v>18</v>
      </c>
      <c r="N3707" s="90" t="s">
        <v>18</v>
      </c>
      <c r="O3707" s="90" t="s">
        <v>18</v>
      </c>
      <c r="P3707" s="90" t="s">
        <v>18</v>
      </c>
    </row>
    <row r="3708" spans="1:16" x14ac:dyDescent="0.25">
      <c r="A3708" s="89">
        <v>55</v>
      </c>
      <c r="B3708" s="90">
        <v>438049.10856199998</v>
      </c>
      <c r="C3708" s="90">
        <v>5688988.3324180003</v>
      </c>
      <c r="D3708" s="90">
        <v>30</v>
      </c>
      <c r="E3708" s="90" t="s">
        <v>33</v>
      </c>
      <c r="F3708" s="90">
        <v>2024</v>
      </c>
      <c r="G3708" s="90" t="s">
        <v>18</v>
      </c>
      <c r="H3708" s="90" t="s">
        <v>18</v>
      </c>
      <c r="I3708" s="90" t="s">
        <v>18</v>
      </c>
      <c r="J3708" s="90" t="s">
        <v>18</v>
      </c>
      <c r="K3708" s="90" t="s">
        <v>18</v>
      </c>
      <c r="L3708" s="90" t="s">
        <v>18</v>
      </c>
      <c r="M3708" s="90" t="s">
        <v>18</v>
      </c>
      <c r="N3708" s="90" t="s">
        <v>18</v>
      </c>
      <c r="O3708" s="90" t="s">
        <v>18</v>
      </c>
      <c r="P3708" s="90" t="s">
        <v>18</v>
      </c>
    </row>
    <row r="3709" spans="1:16" x14ac:dyDescent="0.25">
      <c r="A3709" s="29">
        <v>56</v>
      </c>
      <c r="B3709" s="30">
        <v>438168.10856199998</v>
      </c>
      <c r="C3709" s="30">
        <v>5688988.3324180003</v>
      </c>
      <c r="D3709" s="30">
        <v>30</v>
      </c>
      <c r="E3709" s="30" t="s">
        <v>33</v>
      </c>
      <c r="F3709" s="46">
        <v>2024</v>
      </c>
      <c r="G3709" s="84">
        <v>0.12329194307421898</v>
      </c>
      <c r="H3709" s="47">
        <f t="shared" si="451"/>
        <v>3.7308673879345028E-2</v>
      </c>
      <c r="I3709" s="47">
        <v>0</v>
      </c>
      <c r="J3709" s="47">
        <f t="shared" si="452"/>
        <v>0</v>
      </c>
      <c r="K3709" s="47">
        <v>5.1029086579350231E-3</v>
      </c>
      <c r="L3709" s="47">
        <f t="shared" si="453"/>
        <v>1.9316864693459297E-3</v>
      </c>
      <c r="M3709" s="47">
        <f t="shared" si="450"/>
        <v>3.5376987409999096E-2</v>
      </c>
      <c r="N3709" s="47">
        <v>0</v>
      </c>
      <c r="O3709" s="47">
        <f t="shared" si="454"/>
        <v>0</v>
      </c>
      <c r="P3709" s="47"/>
    </row>
    <row r="3710" spans="1:16" x14ac:dyDescent="0.25">
      <c r="A3710" s="40">
        <v>57</v>
      </c>
      <c r="B3710" s="41">
        <v>438146</v>
      </c>
      <c r="C3710" s="41">
        <v>5688977</v>
      </c>
      <c r="D3710" s="41">
        <v>30</v>
      </c>
      <c r="E3710" s="41" t="s">
        <v>33</v>
      </c>
      <c r="F3710" s="50">
        <v>2024</v>
      </c>
      <c r="G3710" s="86">
        <v>5.0632193683733062E-2</v>
      </c>
      <c r="H3710" s="51">
        <f t="shared" si="451"/>
        <v>1.5321520245691013E-2</v>
      </c>
      <c r="I3710" s="51">
        <v>0</v>
      </c>
      <c r="J3710" s="51">
        <f t="shared" si="452"/>
        <v>0</v>
      </c>
      <c r="K3710" s="51">
        <v>2.6932017916879284E-4</v>
      </c>
      <c r="L3710" s="51">
        <f t="shared" si="453"/>
        <v>1.0195011921547961E-4</v>
      </c>
      <c r="M3710" s="51">
        <f t="shared" si="450"/>
        <v>1.5219570126475533E-2</v>
      </c>
      <c r="N3710" s="51">
        <v>0</v>
      </c>
      <c r="O3710" s="51">
        <f t="shared" si="454"/>
        <v>0</v>
      </c>
      <c r="P3710" s="51"/>
    </row>
    <row r="3711" spans="1:16" x14ac:dyDescent="0.25">
      <c r="A3711" s="40">
        <v>58</v>
      </c>
      <c r="B3711" s="41">
        <v>438131</v>
      </c>
      <c r="C3711" s="41">
        <v>5688972</v>
      </c>
      <c r="D3711" s="41">
        <v>30</v>
      </c>
      <c r="E3711" s="41" t="s">
        <v>33</v>
      </c>
      <c r="F3711" s="50">
        <v>2024</v>
      </c>
      <c r="G3711" s="86">
        <v>3.0390656007257471E-2</v>
      </c>
      <c r="H3711" s="51">
        <f t="shared" si="451"/>
        <v>9.1963436189142021E-3</v>
      </c>
      <c r="I3711" s="51">
        <v>0</v>
      </c>
      <c r="J3711" s="51">
        <f t="shared" si="452"/>
        <v>0</v>
      </c>
      <c r="K3711" s="51">
        <v>1.3749503883880479E-3</v>
      </c>
      <c r="L3711" s="51">
        <f t="shared" si="453"/>
        <v>5.2048218757376442E-4</v>
      </c>
      <c r="M3711" s="51">
        <f>H3711-L3711</f>
        <v>8.6758614313404373E-3</v>
      </c>
      <c r="N3711" s="51">
        <v>0</v>
      </c>
      <c r="O3711" s="51">
        <f t="shared" si="454"/>
        <v>0</v>
      </c>
      <c r="P3711" s="51"/>
    </row>
    <row r="3712" spans="1:16" x14ac:dyDescent="0.25">
      <c r="A3712" s="40">
        <v>59</v>
      </c>
      <c r="B3712" s="41">
        <v>438089</v>
      </c>
      <c r="C3712" s="41">
        <v>5688713</v>
      </c>
      <c r="D3712" s="41">
        <v>30</v>
      </c>
      <c r="E3712" s="41" t="s">
        <v>33</v>
      </c>
      <c r="F3712" s="50">
        <v>2024</v>
      </c>
      <c r="G3712" s="86">
        <v>7.0009071837614109E-2</v>
      </c>
      <c r="H3712" s="51">
        <f t="shared" si="451"/>
        <v>2.1185047170623715E-2</v>
      </c>
      <c r="I3712" s="51">
        <v>0</v>
      </c>
      <c r="J3712" s="51">
        <f t="shared" si="452"/>
        <v>0</v>
      </c>
      <c r="K3712" s="51">
        <v>6.7613539717639049E-3</v>
      </c>
      <c r="L3712" s="51">
        <f t="shared" si="453"/>
        <v>2.5594845718833565E-3</v>
      </c>
      <c r="M3712" s="51">
        <f t="shared" si="450"/>
        <v>1.8625562598740358E-2</v>
      </c>
      <c r="N3712" s="51">
        <v>0</v>
      </c>
      <c r="O3712" s="51">
        <f t="shared" si="454"/>
        <v>0</v>
      </c>
      <c r="P3712" s="51"/>
    </row>
    <row r="3713" spans="1:19" x14ac:dyDescent="0.25">
      <c r="A3713" s="40">
        <v>60</v>
      </c>
      <c r="B3713" s="41">
        <v>438099</v>
      </c>
      <c r="C3713" s="41">
        <v>5688719</v>
      </c>
      <c r="D3713" s="41">
        <v>30</v>
      </c>
      <c r="E3713" s="41" t="s">
        <v>33</v>
      </c>
      <c r="F3713" s="50">
        <v>2024</v>
      </c>
      <c r="G3713" s="86">
        <v>5.9278788909678519E-2</v>
      </c>
      <c r="H3713" s="51">
        <f t="shared" si="451"/>
        <v>1.7938017264132085E-2</v>
      </c>
      <c r="I3713" s="51">
        <v>0</v>
      </c>
      <c r="J3713" s="51">
        <f t="shared" si="452"/>
        <v>0</v>
      </c>
      <c r="K3713" s="51">
        <v>3.1751431649373477E-3</v>
      </c>
      <c r="L3713" s="51">
        <f t="shared" si="453"/>
        <v>1.201938247593023E-3</v>
      </c>
      <c r="M3713" s="51">
        <f t="shared" si="450"/>
        <v>1.6736079016539063E-2</v>
      </c>
      <c r="N3713" s="51">
        <v>0</v>
      </c>
      <c r="O3713" s="51">
        <f t="shared" si="454"/>
        <v>0</v>
      </c>
      <c r="P3713" s="51"/>
    </row>
    <row r="3714" spans="1:19" x14ac:dyDescent="0.25">
      <c r="A3714" s="42">
        <v>1</v>
      </c>
      <c r="B3714" s="43">
        <v>437930.10856199998</v>
      </c>
      <c r="C3714" s="43">
        <v>5688036.3324180003</v>
      </c>
      <c r="D3714" s="44">
        <v>30</v>
      </c>
      <c r="E3714" s="44" t="s">
        <v>36</v>
      </c>
      <c r="F3714" s="44">
        <v>2024</v>
      </c>
      <c r="G3714" s="45" t="s">
        <v>18</v>
      </c>
      <c r="H3714" s="45" t="s">
        <v>18</v>
      </c>
      <c r="I3714" s="45" t="s">
        <v>18</v>
      </c>
      <c r="J3714" s="45" t="s">
        <v>18</v>
      </c>
      <c r="K3714" s="45" t="s">
        <v>18</v>
      </c>
      <c r="L3714" s="45" t="s">
        <v>18</v>
      </c>
      <c r="M3714" s="45" t="s">
        <v>18</v>
      </c>
      <c r="N3714" s="45" t="s">
        <v>18</v>
      </c>
      <c r="O3714" s="45" t="s">
        <v>18</v>
      </c>
      <c r="P3714" s="45" t="s">
        <v>109</v>
      </c>
      <c r="R3714" s="5">
        <f>AVERAGE(M3714:M3773)</f>
        <v>1.6138156377116974E-2</v>
      </c>
      <c r="S3714" s="5">
        <f>AVERAGE(H3714:H3773)</f>
        <v>2.1389079113335034E-2</v>
      </c>
    </row>
    <row r="3715" spans="1:19" x14ac:dyDescent="0.25">
      <c r="A3715" s="42">
        <v>2</v>
      </c>
      <c r="B3715" s="43">
        <v>437811.10856199998</v>
      </c>
      <c r="C3715" s="43">
        <v>5688155.3324180003</v>
      </c>
      <c r="D3715" s="44">
        <v>30</v>
      </c>
      <c r="E3715" s="44" t="s">
        <v>36</v>
      </c>
      <c r="F3715" s="44">
        <v>2024</v>
      </c>
      <c r="G3715" s="45" t="s">
        <v>18</v>
      </c>
      <c r="H3715" s="45" t="s">
        <v>18</v>
      </c>
      <c r="I3715" s="45" t="s">
        <v>18</v>
      </c>
      <c r="J3715" s="45" t="s">
        <v>18</v>
      </c>
      <c r="K3715" s="45" t="s">
        <v>18</v>
      </c>
      <c r="L3715" s="45" t="s">
        <v>18</v>
      </c>
      <c r="M3715" s="45" t="s">
        <v>18</v>
      </c>
      <c r="N3715" s="45" t="s">
        <v>18</v>
      </c>
      <c r="O3715" s="45" t="s">
        <v>18</v>
      </c>
      <c r="P3715" s="45" t="s">
        <v>109</v>
      </c>
    </row>
    <row r="3716" spans="1:19" x14ac:dyDescent="0.25">
      <c r="A3716" s="65">
        <v>3</v>
      </c>
      <c r="B3716" s="66">
        <v>437930.10856199998</v>
      </c>
      <c r="C3716" s="66">
        <v>5688155.3324180003</v>
      </c>
      <c r="D3716" s="66">
        <v>30</v>
      </c>
      <c r="E3716" s="66" t="s">
        <v>36</v>
      </c>
      <c r="F3716" s="66">
        <v>2024</v>
      </c>
      <c r="G3716" s="66" t="s">
        <v>18</v>
      </c>
      <c r="H3716" s="66" t="s">
        <v>18</v>
      </c>
      <c r="I3716" s="66" t="s">
        <v>18</v>
      </c>
      <c r="J3716" s="66" t="s">
        <v>18</v>
      </c>
      <c r="K3716" s="66" t="s">
        <v>18</v>
      </c>
      <c r="L3716" s="66" t="s">
        <v>18</v>
      </c>
      <c r="M3716" s="66" t="s">
        <v>18</v>
      </c>
      <c r="N3716" s="66" t="s">
        <v>18</v>
      </c>
      <c r="O3716" s="66" t="s">
        <v>18</v>
      </c>
      <c r="P3716" s="67" t="s">
        <v>166</v>
      </c>
    </row>
    <row r="3717" spans="1:19" x14ac:dyDescent="0.25">
      <c r="A3717" s="42">
        <v>4</v>
      </c>
      <c r="B3717" s="43">
        <v>438049.10856199998</v>
      </c>
      <c r="C3717" s="43">
        <v>5688155.3324180003</v>
      </c>
      <c r="D3717" s="44">
        <v>30</v>
      </c>
      <c r="E3717" s="44" t="s">
        <v>36</v>
      </c>
      <c r="F3717" s="44">
        <v>2024</v>
      </c>
      <c r="G3717" s="45" t="s">
        <v>18</v>
      </c>
      <c r="H3717" s="45" t="s">
        <v>18</v>
      </c>
      <c r="I3717" s="45" t="s">
        <v>18</v>
      </c>
      <c r="J3717" s="45" t="s">
        <v>18</v>
      </c>
      <c r="K3717" s="45" t="s">
        <v>18</v>
      </c>
      <c r="L3717" s="45" t="s">
        <v>18</v>
      </c>
      <c r="M3717" s="45" t="s">
        <v>18</v>
      </c>
      <c r="N3717" s="45" t="s">
        <v>18</v>
      </c>
      <c r="O3717" s="45" t="s">
        <v>18</v>
      </c>
      <c r="P3717" s="45" t="s">
        <v>109</v>
      </c>
    </row>
    <row r="3718" spans="1:19" x14ac:dyDescent="0.25">
      <c r="A3718" s="42">
        <v>5</v>
      </c>
      <c r="B3718" s="43">
        <v>437573.10856199998</v>
      </c>
      <c r="C3718" s="43">
        <v>5688274.3324180003</v>
      </c>
      <c r="D3718" s="44">
        <v>30</v>
      </c>
      <c r="E3718" s="44" t="s">
        <v>36</v>
      </c>
      <c r="F3718" s="44">
        <v>2024</v>
      </c>
      <c r="G3718" s="45" t="s">
        <v>18</v>
      </c>
      <c r="H3718" s="45" t="s">
        <v>18</v>
      </c>
      <c r="I3718" s="45" t="s">
        <v>18</v>
      </c>
      <c r="J3718" s="45" t="s">
        <v>18</v>
      </c>
      <c r="K3718" s="45" t="s">
        <v>18</v>
      </c>
      <c r="L3718" s="45" t="s">
        <v>18</v>
      </c>
      <c r="M3718" s="45" t="s">
        <v>18</v>
      </c>
      <c r="N3718" s="45" t="s">
        <v>18</v>
      </c>
      <c r="O3718" s="45" t="s">
        <v>18</v>
      </c>
      <c r="P3718" s="45" t="s">
        <v>109</v>
      </c>
    </row>
    <row r="3719" spans="1:19" x14ac:dyDescent="0.25">
      <c r="A3719" s="89">
        <v>6</v>
      </c>
      <c r="B3719" s="90">
        <v>437692.10856199998</v>
      </c>
      <c r="C3719" s="90">
        <v>5688274.3324180003</v>
      </c>
      <c r="D3719" s="90">
        <v>30</v>
      </c>
      <c r="E3719" s="90" t="s">
        <v>36</v>
      </c>
      <c r="F3719" s="90">
        <v>2024</v>
      </c>
      <c r="G3719" s="90" t="s">
        <v>18</v>
      </c>
      <c r="H3719" s="90" t="s">
        <v>18</v>
      </c>
      <c r="I3719" s="90" t="s">
        <v>18</v>
      </c>
      <c r="J3719" s="90" t="s">
        <v>18</v>
      </c>
      <c r="K3719" s="90" t="s">
        <v>18</v>
      </c>
      <c r="L3719" s="90" t="s">
        <v>18</v>
      </c>
      <c r="M3719" s="90" t="s">
        <v>18</v>
      </c>
      <c r="N3719" s="90" t="s">
        <v>18</v>
      </c>
      <c r="O3719" s="90" t="s">
        <v>18</v>
      </c>
      <c r="P3719" s="90" t="s">
        <v>18</v>
      </c>
    </row>
    <row r="3720" spans="1:19" x14ac:dyDescent="0.25">
      <c r="A3720" s="65">
        <v>7</v>
      </c>
      <c r="B3720" s="66">
        <v>437811.10856199998</v>
      </c>
      <c r="C3720" s="66">
        <v>5688274.3324180003</v>
      </c>
      <c r="D3720" s="66">
        <v>30</v>
      </c>
      <c r="E3720" s="66" t="s">
        <v>36</v>
      </c>
      <c r="F3720" s="66">
        <v>2024</v>
      </c>
      <c r="G3720" s="66" t="s">
        <v>18</v>
      </c>
      <c r="H3720" s="66" t="s">
        <v>18</v>
      </c>
      <c r="I3720" s="66" t="s">
        <v>18</v>
      </c>
      <c r="J3720" s="66" t="s">
        <v>18</v>
      </c>
      <c r="K3720" s="66" t="s">
        <v>18</v>
      </c>
      <c r="L3720" s="66" t="s">
        <v>18</v>
      </c>
      <c r="M3720" s="66" t="s">
        <v>18</v>
      </c>
      <c r="N3720" s="66" t="s">
        <v>18</v>
      </c>
      <c r="O3720" s="66" t="s">
        <v>18</v>
      </c>
      <c r="P3720" s="67" t="s">
        <v>166</v>
      </c>
    </row>
    <row r="3721" spans="1:19" x14ac:dyDescent="0.25">
      <c r="A3721" s="42">
        <v>8</v>
      </c>
      <c r="B3721" s="43">
        <v>437930.10856199998</v>
      </c>
      <c r="C3721" s="43">
        <v>5688274.3324180003</v>
      </c>
      <c r="D3721" s="44">
        <v>30</v>
      </c>
      <c r="E3721" s="44" t="s">
        <v>36</v>
      </c>
      <c r="F3721" s="44">
        <v>2024</v>
      </c>
      <c r="G3721" s="45" t="s">
        <v>18</v>
      </c>
      <c r="H3721" s="45" t="s">
        <v>18</v>
      </c>
      <c r="I3721" s="45" t="s">
        <v>18</v>
      </c>
      <c r="J3721" s="45" t="s">
        <v>18</v>
      </c>
      <c r="K3721" s="45" t="s">
        <v>18</v>
      </c>
      <c r="L3721" s="45" t="s">
        <v>18</v>
      </c>
      <c r="M3721" s="45" t="s">
        <v>18</v>
      </c>
      <c r="N3721" s="45" t="s">
        <v>18</v>
      </c>
      <c r="O3721" s="45" t="s">
        <v>18</v>
      </c>
      <c r="P3721" s="45" t="s">
        <v>109</v>
      </c>
    </row>
    <row r="3722" spans="1:19" x14ac:dyDescent="0.25">
      <c r="A3722" s="89">
        <v>9</v>
      </c>
      <c r="B3722" s="90">
        <v>438287.10856199998</v>
      </c>
      <c r="C3722" s="90">
        <v>5688274.3324180003</v>
      </c>
      <c r="D3722" s="90">
        <v>30</v>
      </c>
      <c r="E3722" s="90" t="s">
        <v>36</v>
      </c>
      <c r="F3722" s="90">
        <v>2024</v>
      </c>
      <c r="G3722" s="90" t="s">
        <v>18</v>
      </c>
      <c r="H3722" s="90" t="s">
        <v>18</v>
      </c>
      <c r="I3722" s="90" t="s">
        <v>18</v>
      </c>
      <c r="J3722" s="90" t="s">
        <v>18</v>
      </c>
      <c r="K3722" s="90" t="s">
        <v>18</v>
      </c>
      <c r="L3722" s="90" t="s">
        <v>18</v>
      </c>
      <c r="M3722" s="90" t="s">
        <v>18</v>
      </c>
      <c r="N3722" s="90" t="s">
        <v>18</v>
      </c>
      <c r="O3722" s="90" t="s">
        <v>18</v>
      </c>
      <c r="P3722" s="90" t="s">
        <v>18</v>
      </c>
    </row>
    <row r="3723" spans="1:19" x14ac:dyDescent="0.25">
      <c r="A3723" s="89">
        <v>10</v>
      </c>
      <c r="B3723" s="90">
        <v>438406.10856199998</v>
      </c>
      <c r="C3723" s="90">
        <v>5688274.3324180003</v>
      </c>
      <c r="D3723" s="90">
        <v>30</v>
      </c>
      <c r="E3723" s="90" t="s">
        <v>36</v>
      </c>
      <c r="F3723" s="90">
        <v>2024</v>
      </c>
      <c r="G3723" s="90" t="s">
        <v>18</v>
      </c>
      <c r="H3723" s="90" t="s">
        <v>18</v>
      </c>
      <c r="I3723" s="90" t="s">
        <v>18</v>
      </c>
      <c r="J3723" s="90" t="s">
        <v>18</v>
      </c>
      <c r="K3723" s="90" t="s">
        <v>18</v>
      </c>
      <c r="L3723" s="90" t="s">
        <v>18</v>
      </c>
      <c r="M3723" s="90" t="s">
        <v>18</v>
      </c>
      <c r="N3723" s="90" t="s">
        <v>18</v>
      </c>
      <c r="O3723" s="90" t="s">
        <v>18</v>
      </c>
      <c r="P3723" s="90" t="s">
        <v>18</v>
      </c>
    </row>
    <row r="3724" spans="1:19" x14ac:dyDescent="0.25">
      <c r="A3724" s="42">
        <v>11</v>
      </c>
      <c r="B3724" s="43">
        <v>437454.10856199998</v>
      </c>
      <c r="C3724" s="43">
        <v>5688393.3324180003</v>
      </c>
      <c r="D3724" s="44">
        <v>30</v>
      </c>
      <c r="E3724" s="44" t="s">
        <v>36</v>
      </c>
      <c r="F3724" s="44">
        <v>2024</v>
      </c>
      <c r="G3724" s="45" t="s">
        <v>18</v>
      </c>
      <c r="H3724" s="45" t="s">
        <v>18</v>
      </c>
      <c r="I3724" s="45" t="s">
        <v>18</v>
      </c>
      <c r="J3724" s="45" t="s">
        <v>18</v>
      </c>
      <c r="K3724" s="45" t="s">
        <v>18</v>
      </c>
      <c r="L3724" s="45" t="s">
        <v>18</v>
      </c>
      <c r="M3724" s="45" t="s">
        <v>18</v>
      </c>
      <c r="N3724" s="45" t="s">
        <v>18</v>
      </c>
      <c r="O3724" s="45" t="s">
        <v>18</v>
      </c>
      <c r="P3724" s="45" t="s">
        <v>109</v>
      </c>
    </row>
    <row r="3725" spans="1:19" x14ac:dyDescent="0.25">
      <c r="A3725" s="29">
        <v>12</v>
      </c>
      <c r="B3725" s="30">
        <v>437573.10856199998</v>
      </c>
      <c r="C3725" s="30">
        <v>5688393.3324180003</v>
      </c>
      <c r="D3725" s="30">
        <v>30</v>
      </c>
      <c r="E3725" s="30" t="s">
        <v>36</v>
      </c>
      <c r="F3725" s="46">
        <v>2024</v>
      </c>
      <c r="G3725" s="84">
        <v>3.76197766059988E-2</v>
      </c>
      <c r="H3725" s="47">
        <f>G3725*0.306778596322922</f>
        <v>1.1540942261170211E-2</v>
      </c>
      <c r="I3725" s="47">
        <v>7.6331008674944717E-2</v>
      </c>
      <c r="J3725" s="47">
        <f>I3725*0.335067713396069</f>
        <v>2.5576056537929232E-2</v>
      </c>
      <c r="K3725" s="47">
        <v>1.3054941316550434E-2</v>
      </c>
      <c r="L3725" s="47">
        <f>K3725*0.349581492200138</f>
        <v>4.5637658660249349E-3</v>
      </c>
      <c r="M3725" s="47">
        <f t="shared" ref="M3725:M3773" si="455">H3725-L3725</f>
        <v>6.9771763951452757E-3</v>
      </c>
      <c r="N3725" s="47">
        <v>3.7222883710381578E-2</v>
      </c>
      <c r="O3725" s="47">
        <f>N3725*0.400880134115675</f>
        <v>1.4921914613989942E-2</v>
      </c>
      <c r="P3725" s="47"/>
    </row>
    <row r="3726" spans="1:19" x14ac:dyDescent="0.25">
      <c r="A3726" s="89">
        <v>13</v>
      </c>
      <c r="B3726" s="90">
        <v>437692.10856199998</v>
      </c>
      <c r="C3726" s="90">
        <v>5688393.3324180003</v>
      </c>
      <c r="D3726" s="90">
        <v>30</v>
      </c>
      <c r="E3726" s="90" t="s">
        <v>36</v>
      </c>
      <c r="F3726" s="90">
        <v>2024</v>
      </c>
      <c r="G3726" s="90" t="s">
        <v>18</v>
      </c>
      <c r="H3726" s="90" t="s">
        <v>18</v>
      </c>
      <c r="I3726" s="90" t="s">
        <v>18</v>
      </c>
      <c r="J3726" s="90" t="s">
        <v>18</v>
      </c>
      <c r="K3726" s="90" t="s">
        <v>18</v>
      </c>
      <c r="L3726" s="90" t="s">
        <v>18</v>
      </c>
      <c r="M3726" s="90" t="s">
        <v>18</v>
      </c>
      <c r="N3726" s="90" t="s">
        <v>18</v>
      </c>
      <c r="O3726" s="90" t="s">
        <v>18</v>
      </c>
      <c r="P3726" s="90" t="s">
        <v>18</v>
      </c>
    </row>
    <row r="3727" spans="1:19" x14ac:dyDescent="0.25">
      <c r="A3727" s="32">
        <v>14</v>
      </c>
      <c r="B3727" s="33">
        <v>437811.10856199998</v>
      </c>
      <c r="C3727" s="33">
        <v>5688393.3324180003</v>
      </c>
      <c r="D3727" s="48">
        <v>30</v>
      </c>
      <c r="E3727" s="48" t="s">
        <v>36</v>
      </c>
      <c r="F3727" s="48">
        <v>2024</v>
      </c>
      <c r="G3727" s="49" t="s">
        <v>18</v>
      </c>
      <c r="H3727" s="49" t="s">
        <v>18</v>
      </c>
      <c r="I3727" s="49" t="s">
        <v>18</v>
      </c>
      <c r="J3727" s="49" t="s">
        <v>18</v>
      </c>
      <c r="K3727" s="49" t="s">
        <v>18</v>
      </c>
      <c r="L3727" s="49" t="s">
        <v>18</v>
      </c>
      <c r="M3727" s="49" t="s">
        <v>18</v>
      </c>
      <c r="N3727" s="49" t="s">
        <v>18</v>
      </c>
      <c r="O3727" s="49" t="s">
        <v>18</v>
      </c>
      <c r="P3727" s="49" t="s">
        <v>18</v>
      </c>
    </row>
    <row r="3728" spans="1:19" x14ac:dyDescent="0.25">
      <c r="A3728" s="29">
        <v>15</v>
      </c>
      <c r="B3728" s="30">
        <v>437930.10856199998</v>
      </c>
      <c r="C3728" s="30">
        <v>5688393.3324180003</v>
      </c>
      <c r="D3728" s="30">
        <v>31</v>
      </c>
      <c r="E3728" s="30" t="s">
        <v>36</v>
      </c>
      <c r="F3728" s="46">
        <v>2024</v>
      </c>
      <c r="G3728" s="84">
        <v>0.12771446391109598</v>
      </c>
      <c r="H3728" s="47">
        <f>G3728*0.29599646154381</f>
        <v>3.780302940564903E-2</v>
      </c>
      <c r="I3728" s="47">
        <v>1.4273969495946021E-2</v>
      </c>
      <c r="J3728" s="47">
        <f>I3728*0.394514603275319</f>
        <v>5.6312894128571498E-3</v>
      </c>
      <c r="K3728" s="47">
        <v>2.2183477915745306E-2</v>
      </c>
      <c r="L3728" s="47">
        <f>K3728*0.435140833780133</f>
        <v>9.6529370764005806E-3</v>
      </c>
      <c r="M3728" s="47">
        <f t="shared" si="455"/>
        <v>2.815009232924845E-2</v>
      </c>
      <c r="N3728" s="47">
        <v>6.3786358224187786E-3</v>
      </c>
      <c r="O3728" s="47">
        <f>N3728*0.51593137254902</f>
        <v>3.2909383348508673E-3</v>
      </c>
      <c r="P3728" s="47"/>
    </row>
    <row r="3729" spans="1:16" x14ac:dyDescent="0.25">
      <c r="A3729" s="29">
        <v>16</v>
      </c>
      <c r="B3729" s="30">
        <v>438049.10856199998</v>
      </c>
      <c r="C3729" s="30">
        <v>5688393.3324180003</v>
      </c>
      <c r="D3729" s="30">
        <v>31</v>
      </c>
      <c r="E3729" s="30" t="s">
        <v>36</v>
      </c>
      <c r="F3729" s="46">
        <v>2024</v>
      </c>
      <c r="G3729" s="84">
        <v>9.7904972500992227E-2</v>
      </c>
      <c r="H3729" s="47">
        <f>G3729*0.29599646154381</f>
        <v>2.8979525427837719E-2</v>
      </c>
      <c r="I3729" s="47">
        <v>8.9159154051142477E-3</v>
      </c>
      <c r="J3729" s="47">
        <f>I3729*0.394514603275319</f>
        <v>3.5174588288849526E-3</v>
      </c>
      <c r="K3729" s="47">
        <v>1.5634745138062029E-2</v>
      </c>
      <c r="L3729" s="47">
        <f>K3729*0.435140833780133</f>
        <v>6.803316035316192E-3</v>
      </c>
      <c r="M3729" s="47">
        <f t="shared" si="455"/>
        <v>2.2176209392521528E-2</v>
      </c>
      <c r="N3729" s="47">
        <v>0</v>
      </c>
      <c r="O3729" s="47">
        <f>N3729*0.51593137254902</f>
        <v>0</v>
      </c>
      <c r="P3729" s="47"/>
    </row>
    <row r="3730" spans="1:16" x14ac:dyDescent="0.25">
      <c r="A3730" s="29">
        <v>17</v>
      </c>
      <c r="B3730" s="30">
        <v>438168.10856199998</v>
      </c>
      <c r="C3730" s="30">
        <v>5688393.3324180003</v>
      </c>
      <c r="D3730" s="30">
        <v>31</v>
      </c>
      <c r="E3730" s="30" t="s">
        <v>36</v>
      </c>
      <c r="F3730" s="46">
        <v>2024</v>
      </c>
      <c r="G3730" s="47">
        <v>5.9519759596303221E-2</v>
      </c>
      <c r="H3730" s="47">
        <f>G3730*0.29599646154381</f>
        <v>1.7617638232443982E-2</v>
      </c>
      <c r="I3730" s="47">
        <v>5.6557237625446503E-2</v>
      </c>
      <c r="J3730" s="47">
        <f>I3730*0.394514603275319</f>
        <v>2.2312656164150974E-2</v>
      </c>
      <c r="K3730" s="47">
        <v>1.9135907467256338E-2</v>
      </c>
      <c r="L3730" s="47">
        <f>K3730*0.435140833780133</f>
        <v>8.3268147304413967E-3</v>
      </c>
      <c r="M3730" s="47">
        <f t="shared" si="455"/>
        <v>9.2908235020025855E-3</v>
      </c>
      <c r="N3730" s="47">
        <v>1.6300958212847991E-3</v>
      </c>
      <c r="O3730" s="47">
        <f>N3730*0.51593137254902</f>
        <v>8.4101757446188843E-4</v>
      </c>
      <c r="P3730" s="47"/>
    </row>
    <row r="3731" spans="1:16" x14ac:dyDescent="0.25">
      <c r="A3731" s="29">
        <v>18</v>
      </c>
      <c r="B3731" s="90">
        <v>438287.10856199998</v>
      </c>
      <c r="C3731" s="90">
        <v>5688393.3324180003</v>
      </c>
      <c r="D3731" s="90">
        <v>30</v>
      </c>
      <c r="E3731" s="90" t="s">
        <v>36</v>
      </c>
      <c r="F3731" s="90">
        <v>2024</v>
      </c>
      <c r="G3731" s="90" t="s">
        <v>18</v>
      </c>
      <c r="H3731" s="90" t="s">
        <v>18</v>
      </c>
      <c r="I3731" s="90" t="s">
        <v>18</v>
      </c>
      <c r="J3731" s="90" t="s">
        <v>18</v>
      </c>
      <c r="K3731" s="90" t="s">
        <v>18</v>
      </c>
      <c r="L3731" s="90" t="s">
        <v>18</v>
      </c>
      <c r="M3731" s="90" t="s">
        <v>18</v>
      </c>
      <c r="N3731" s="90" t="s">
        <v>18</v>
      </c>
      <c r="O3731" s="90" t="s">
        <v>18</v>
      </c>
      <c r="P3731" s="90" t="s">
        <v>18</v>
      </c>
    </row>
    <row r="3732" spans="1:16" x14ac:dyDescent="0.25">
      <c r="A3732" s="29">
        <v>19</v>
      </c>
      <c r="B3732" s="30">
        <v>438406.10856199998</v>
      </c>
      <c r="C3732" s="30">
        <v>5688393.3324180003</v>
      </c>
      <c r="D3732" s="30">
        <v>31</v>
      </c>
      <c r="E3732" s="30" t="s">
        <v>36</v>
      </c>
      <c r="F3732" s="46">
        <v>2024</v>
      </c>
      <c r="G3732" s="84">
        <v>3.1510460962748767E-2</v>
      </c>
      <c r="H3732" s="47">
        <f>G3732*0.29599646154381</f>
        <v>9.3269849465879903E-3</v>
      </c>
      <c r="I3732" s="47">
        <v>0</v>
      </c>
      <c r="J3732" s="47">
        <f>I3732*0.394514603275319</f>
        <v>0</v>
      </c>
      <c r="K3732" s="47">
        <v>7.5126155241821172E-3</v>
      </c>
      <c r="L3732" s="47">
        <f>K3732*0.435140833780133</f>
        <v>3.2690457830621775E-3</v>
      </c>
      <c r="M3732" s="47">
        <f t="shared" si="455"/>
        <v>6.0579391635258127E-3</v>
      </c>
      <c r="N3732" s="47">
        <v>0</v>
      </c>
      <c r="O3732" s="47">
        <f>N3732*0.51593137254902</f>
        <v>0</v>
      </c>
      <c r="P3732" s="47"/>
    </row>
    <row r="3733" spans="1:16" x14ac:dyDescent="0.25">
      <c r="A3733" s="42">
        <v>20</v>
      </c>
      <c r="B3733" s="43">
        <v>437335.10856199998</v>
      </c>
      <c r="C3733" s="43">
        <v>5688512.3324180003</v>
      </c>
      <c r="D3733" s="44">
        <v>30</v>
      </c>
      <c r="E3733" s="44" t="s">
        <v>36</v>
      </c>
      <c r="F3733" s="44">
        <v>2024</v>
      </c>
      <c r="G3733" s="45" t="s">
        <v>18</v>
      </c>
      <c r="H3733" s="45" t="s">
        <v>18</v>
      </c>
      <c r="I3733" s="45" t="s">
        <v>18</v>
      </c>
      <c r="J3733" s="45" t="s">
        <v>18</v>
      </c>
      <c r="K3733" s="45" t="s">
        <v>18</v>
      </c>
      <c r="L3733" s="45" t="s">
        <v>18</v>
      </c>
      <c r="M3733" s="45" t="s">
        <v>18</v>
      </c>
      <c r="N3733" s="45" t="s">
        <v>18</v>
      </c>
      <c r="O3733" s="45" t="s">
        <v>18</v>
      </c>
      <c r="P3733" s="45" t="s">
        <v>109</v>
      </c>
    </row>
    <row r="3734" spans="1:16" x14ac:dyDescent="0.25">
      <c r="A3734" s="89">
        <v>21</v>
      </c>
      <c r="B3734" s="90">
        <v>437454.10856199998</v>
      </c>
      <c r="C3734" s="90">
        <v>5688512.3324180003</v>
      </c>
      <c r="D3734" s="90">
        <v>30</v>
      </c>
      <c r="E3734" s="90" t="s">
        <v>36</v>
      </c>
      <c r="F3734" s="90">
        <v>2024</v>
      </c>
      <c r="G3734" s="90" t="s">
        <v>18</v>
      </c>
      <c r="H3734" s="90" t="s">
        <v>18</v>
      </c>
      <c r="I3734" s="90" t="s">
        <v>18</v>
      </c>
      <c r="J3734" s="90" t="s">
        <v>18</v>
      </c>
      <c r="K3734" s="90" t="s">
        <v>18</v>
      </c>
      <c r="L3734" s="90" t="s">
        <v>18</v>
      </c>
      <c r="M3734" s="90" t="s">
        <v>18</v>
      </c>
      <c r="N3734" s="90" t="s">
        <v>18</v>
      </c>
      <c r="O3734" s="90" t="s">
        <v>18</v>
      </c>
      <c r="P3734" s="90" t="s">
        <v>18</v>
      </c>
    </row>
    <row r="3735" spans="1:16" x14ac:dyDescent="0.25">
      <c r="A3735" s="29">
        <v>22</v>
      </c>
      <c r="B3735" s="30">
        <v>437573.10856199998</v>
      </c>
      <c r="C3735" s="30">
        <v>5688512.3324180003</v>
      </c>
      <c r="D3735" s="30">
        <v>30</v>
      </c>
      <c r="E3735" s="30" t="s">
        <v>36</v>
      </c>
      <c r="F3735" s="46">
        <v>2024</v>
      </c>
      <c r="G3735" s="84">
        <v>0.10337642456200034</v>
      </c>
      <c r="H3735" s="47">
        <f t="shared" ref="H3735:H3771" si="456">G3735*0.306778596322922</f>
        <v>3.1713674420012904E-2</v>
      </c>
      <c r="I3735" s="47">
        <v>2.2509497080002269E-2</v>
      </c>
      <c r="J3735" s="47">
        <f t="shared" ref="J3735:J3771" si="457">I3735*0.335067713396069</f>
        <v>7.542205716291852E-3</v>
      </c>
      <c r="K3735" s="47">
        <v>1.5918240063502863E-2</v>
      </c>
      <c r="L3735" s="47">
        <f t="shared" ref="L3735:L3771" si="458">K3735*0.349581492200138</f>
        <v>5.5647221145993502E-3</v>
      </c>
      <c r="M3735" s="47">
        <f t="shared" si="455"/>
        <v>2.6148952305413552E-2</v>
      </c>
      <c r="N3735" s="47">
        <v>5.5706752849123999E-3</v>
      </c>
      <c r="O3735" s="47">
        <f t="shared" ref="O3735:O3771" si="459">N3735*0.400880134115675</f>
        <v>2.2331730553305589E-3</v>
      </c>
      <c r="P3735" s="47"/>
    </row>
    <row r="3736" spans="1:16" x14ac:dyDescent="0.25">
      <c r="A3736" s="29">
        <v>23</v>
      </c>
      <c r="B3736" s="30">
        <v>437692.10856199998</v>
      </c>
      <c r="C3736" s="30">
        <v>5688512.3324180003</v>
      </c>
      <c r="D3736" s="30">
        <v>30</v>
      </c>
      <c r="E3736" s="30" t="s">
        <v>36</v>
      </c>
      <c r="F3736" s="46">
        <v>2024</v>
      </c>
      <c r="G3736" s="84">
        <v>1.909338322844021E-2</v>
      </c>
      <c r="H3736" s="47">
        <f t="shared" si="456"/>
        <v>5.8574413058765078E-3</v>
      </c>
      <c r="I3736" s="47">
        <v>7.6260134943584509E-3</v>
      </c>
      <c r="J3736" s="47">
        <f t="shared" si="457"/>
        <v>2.5552309038822519E-3</v>
      </c>
      <c r="K3736" s="47">
        <v>4.7343652548619379E-3</v>
      </c>
      <c r="L3736" s="47">
        <f t="shared" si="458"/>
        <v>1.6550464704151229E-3</v>
      </c>
      <c r="M3736" s="47">
        <f t="shared" si="455"/>
        <v>4.2023948354613849E-3</v>
      </c>
      <c r="N3736" s="47">
        <v>8.9159154051142477E-3</v>
      </c>
      <c r="O3736" s="47">
        <f t="shared" si="459"/>
        <v>3.5742133633662127E-3</v>
      </c>
      <c r="P3736" s="47"/>
    </row>
    <row r="3737" spans="1:16" x14ac:dyDescent="0.25">
      <c r="A3737" s="29">
        <v>24</v>
      </c>
      <c r="B3737" s="30">
        <v>437811.10856199998</v>
      </c>
      <c r="C3737" s="30">
        <v>5688512.3324180003</v>
      </c>
      <c r="D3737" s="30">
        <v>30</v>
      </c>
      <c r="E3737" s="30" t="s">
        <v>36</v>
      </c>
      <c r="F3737" s="46">
        <v>2024</v>
      </c>
      <c r="G3737" s="84">
        <v>3.8597834098769629E-2</v>
      </c>
      <c r="H3737" s="47">
        <f t="shared" si="456"/>
        <v>1.184098936592556E-2</v>
      </c>
      <c r="I3737" s="47">
        <v>0</v>
      </c>
      <c r="J3737" s="47">
        <f t="shared" si="457"/>
        <v>0</v>
      </c>
      <c r="K3737" s="47">
        <v>1.6471055168112488E-2</v>
      </c>
      <c r="L3737" s="47">
        <f t="shared" si="458"/>
        <v>5.7579760437795587E-3</v>
      </c>
      <c r="M3737" s="47">
        <f t="shared" si="455"/>
        <v>6.0830133221460017E-3</v>
      </c>
      <c r="N3737" s="47">
        <v>0</v>
      </c>
      <c r="O3737" s="47">
        <f t="shared" si="459"/>
        <v>0</v>
      </c>
      <c r="P3737" s="47"/>
    </row>
    <row r="3738" spans="1:16" x14ac:dyDescent="0.25">
      <c r="A3738" s="29">
        <v>25</v>
      </c>
      <c r="B3738" s="46">
        <v>437995</v>
      </c>
      <c r="C3738" s="46">
        <v>5688493</v>
      </c>
      <c r="D3738" s="30">
        <v>31</v>
      </c>
      <c r="E3738" s="30" t="s">
        <v>36</v>
      </c>
      <c r="F3738" s="46">
        <v>2024</v>
      </c>
      <c r="G3738" s="84">
        <v>1.8299597437205873E-2</v>
      </c>
      <c r="H3738" s="47">
        <f>G3738*0.29599646154381</f>
        <v>5.4166160890891119E-3</v>
      </c>
      <c r="I3738" s="47">
        <v>0</v>
      </c>
      <c r="J3738" s="47">
        <f>I3738*0.394514603275319</f>
        <v>0</v>
      </c>
      <c r="K3738" s="47">
        <v>1.0957078868288258E-2</v>
      </c>
      <c r="L3738" s="47">
        <f>K3738*0.435140833780133</f>
        <v>4.7678724345416286E-3</v>
      </c>
      <c r="M3738" s="47">
        <f t="shared" si="455"/>
        <v>6.4874365454748329E-4</v>
      </c>
      <c r="N3738" s="47">
        <v>5.3013551057436072E-3</v>
      </c>
      <c r="O3738" s="47">
        <f>N3738*0.51593137254902</f>
        <v>2.7351354160760543E-3</v>
      </c>
      <c r="P3738" s="47"/>
    </row>
    <row r="3739" spans="1:16" x14ac:dyDescent="0.25">
      <c r="A3739" s="29">
        <v>26</v>
      </c>
      <c r="B3739" s="46">
        <v>438112</v>
      </c>
      <c r="C3739" s="46">
        <v>5688567</v>
      </c>
      <c r="D3739" s="30">
        <v>31</v>
      </c>
      <c r="E3739" s="30" t="s">
        <v>36</v>
      </c>
      <c r="F3739" s="46">
        <v>2024</v>
      </c>
      <c r="G3739" s="84">
        <v>5.4161705505471454E-2</v>
      </c>
      <c r="H3739" s="47">
        <f>G3739*0.29599646154381</f>
        <v>1.6031673180797443E-2</v>
      </c>
      <c r="I3739" s="47">
        <v>1.9008334750807959E-2</v>
      </c>
      <c r="J3739" s="47">
        <f>I3739*0.394514603275319</f>
        <v>7.4990656431394619E-3</v>
      </c>
      <c r="K3739" s="47">
        <v>1.8129500481941372E-2</v>
      </c>
      <c r="L3739" s="47">
        <f>K3739*0.435140833780133</f>
        <v>7.8888859557292926E-3</v>
      </c>
      <c r="M3739" s="47">
        <f t="shared" si="455"/>
        <v>8.1427872250681502E-3</v>
      </c>
      <c r="N3739" s="47">
        <v>5.5281510460962746E-3</v>
      </c>
      <c r="O3739" s="47">
        <f>N3739*0.51593137254902</f>
        <v>2.8521465568707516E-3</v>
      </c>
      <c r="P3739" s="47"/>
    </row>
    <row r="3740" spans="1:16" x14ac:dyDescent="0.25">
      <c r="A3740" s="32">
        <v>27</v>
      </c>
      <c r="B3740" s="33">
        <v>438168.10856199998</v>
      </c>
      <c r="C3740" s="33">
        <v>5688512.3324180003</v>
      </c>
      <c r="D3740" s="48">
        <v>30</v>
      </c>
      <c r="E3740" s="48" t="s">
        <v>36</v>
      </c>
      <c r="F3740" s="48">
        <v>2024</v>
      </c>
      <c r="G3740" s="49" t="s">
        <v>18</v>
      </c>
      <c r="H3740" s="49" t="s">
        <v>18</v>
      </c>
      <c r="I3740" s="49" t="s">
        <v>18</v>
      </c>
      <c r="J3740" s="49" t="s">
        <v>18</v>
      </c>
      <c r="K3740" s="49" t="s">
        <v>18</v>
      </c>
      <c r="L3740" s="49" t="s">
        <v>18</v>
      </c>
      <c r="M3740" s="49" t="s">
        <v>18</v>
      </c>
      <c r="N3740" s="49" t="s">
        <v>18</v>
      </c>
      <c r="O3740" s="49" t="s">
        <v>18</v>
      </c>
      <c r="P3740" s="49" t="s">
        <v>18</v>
      </c>
    </row>
    <row r="3741" spans="1:16" x14ac:dyDescent="0.25">
      <c r="A3741" s="32">
        <v>28</v>
      </c>
      <c r="B3741" s="33">
        <v>438287.10856199998</v>
      </c>
      <c r="C3741" s="33">
        <v>5688512.3324180003</v>
      </c>
      <c r="D3741" s="48">
        <v>30</v>
      </c>
      <c r="E3741" s="48" t="s">
        <v>36</v>
      </c>
      <c r="F3741" s="48">
        <v>2024</v>
      </c>
      <c r="G3741" s="49" t="s">
        <v>18</v>
      </c>
      <c r="H3741" s="49" t="s">
        <v>18</v>
      </c>
      <c r="I3741" s="49" t="s">
        <v>18</v>
      </c>
      <c r="J3741" s="49" t="s">
        <v>18</v>
      </c>
      <c r="K3741" s="49" t="s">
        <v>18</v>
      </c>
      <c r="L3741" s="49" t="s">
        <v>18</v>
      </c>
      <c r="M3741" s="49" t="s">
        <v>18</v>
      </c>
      <c r="N3741" s="49" t="s">
        <v>18</v>
      </c>
      <c r="O3741" s="49" t="s">
        <v>18</v>
      </c>
      <c r="P3741" s="49" t="s">
        <v>18</v>
      </c>
    </row>
    <row r="3742" spans="1:16" x14ac:dyDescent="0.25">
      <c r="A3742" s="29">
        <v>29</v>
      </c>
      <c r="B3742" s="30">
        <v>438381</v>
      </c>
      <c r="C3742" s="30">
        <v>5688526</v>
      </c>
      <c r="D3742" s="30">
        <v>31</v>
      </c>
      <c r="E3742" s="30" t="s">
        <v>36</v>
      </c>
      <c r="F3742" s="46">
        <v>2024</v>
      </c>
      <c r="G3742" s="84">
        <v>4.5387537563077618E-2</v>
      </c>
      <c r="H3742" s="47">
        <f>G3742*0.29599646154381</f>
        <v>1.3434550516857735E-2</v>
      </c>
      <c r="I3742" s="47">
        <v>0</v>
      </c>
      <c r="J3742" s="47">
        <f>I3742*0.394514603275319</f>
        <v>0</v>
      </c>
      <c r="K3742" s="47">
        <v>1.2658048420933266E-2</v>
      </c>
      <c r="L3742" s="47">
        <f>K3742*0.435140833780133</f>
        <v>5.5080337439141975E-3</v>
      </c>
      <c r="M3742" s="47">
        <f t="shared" si="455"/>
        <v>7.9265167729435371E-3</v>
      </c>
      <c r="N3742" s="47">
        <v>0</v>
      </c>
      <c r="O3742" s="47">
        <f>N3742*0.51593137254902</f>
        <v>0</v>
      </c>
      <c r="P3742" s="47"/>
    </row>
    <row r="3743" spans="1:16" x14ac:dyDescent="0.25">
      <c r="A3743" s="29">
        <v>30</v>
      </c>
      <c r="B3743" s="30">
        <v>438525.10856199998</v>
      </c>
      <c r="C3743" s="30">
        <v>5688512.3324180003</v>
      </c>
      <c r="D3743" s="30">
        <v>31</v>
      </c>
      <c r="E3743" s="30" t="s">
        <v>36</v>
      </c>
      <c r="F3743" s="46">
        <v>2024</v>
      </c>
      <c r="G3743" s="84">
        <v>2.9384249021942505E-2</v>
      </c>
      <c r="H3743" s="47">
        <f>G3743*0.29599646154381</f>
        <v>8.6976337356171399E-3</v>
      </c>
      <c r="I3743" s="84">
        <v>0</v>
      </c>
      <c r="J3743" s="47">
        <f>I3743*0.394514603275319</f>
        <v>0</v>
      </c>
      <c r="K3743" s="47">
        <v>1.228950501786018E-2</v>
      </c>
      <c r="L3743" s="47">
        <f>K3743*0.435140833780133</f>
        <v>5.3476654602168071E-3</v>
      </c>
      <c r="M3743" s="47">
        <f t="shared" si="455"/>
        <v>3.3499682754003328E-3</v>
      </c>
      <c r="N3743" s="47">
        <v>0</v>
      </c>
      <c r="O3743" s="47">
        <f>N3743*0.51593137254902</f>
        <v>0</v>
      </c>
      <c r="P3743" s="47"/>
    </row>
    <row r="3744" spans="1:16" x14ac:dyDescent="0.25">
      <c r="A3744" s="29">
        <v>31</v>
      </c>
      <c r="B3744" s="30">
        <v>437335.10856199998</v>
      </c>
      <c r="C3744" s="30">
        <v>5688631.3324180003</v>
      </c>
      <c r="D3744" s="30">
        <v>30</v>
      </c>
      <c r="E3744" s="30" t="s">
        <v>36</v>
      </c>
      <c r="F3744" s="46">
        <v>2024</v>
      </c>
      <c r="G3744" s="47">
        <v>4.9767534161138514E-2</v>
      </c>
      <c r="H3744" s="47">
        <f t="shared" si="456"/>
        <v>1.5267614272407143E-2</v>
      </c>
      <c r="I3744" s="47">
        <v>0.12194534217837501</v>
      </c>
      <c r="J3744" s="47">
        <f t="shared" si="457"/>
        <v>4.0859946963009319E-2</v>
      </c>
      <c r="K3744" s="47">
        <v>3.5805409083177406E-2</v>
      </c>
      <c r="L3744" s="47">
        <f t="shared" si="458"/>
        <v>1.2516908336133533E-2</v>
      </c>
      <c r="M3744" s="47">
        <f t="shared" si="455"/>
        <v>2.7507059362736098E-3</v>
      </c>
      <c r="N3744" s="47">
        <v>0</v>
      </c>
      <c r="O3744" s="47">
        <f t="shared" si="459"/>
        <v>0</v>
      </c>
      <c r="P3744" s="47"/>
    </row>
    <row r="3745" spans="1:16" x14ac:dyDescent="0.25">
      <c r="A3745" s="29">
        <v>32</v>
      </c>
      <c r="B3745" s="30">
        <v>437454.10856199998</v>
      </c>
      <c r="C3745" s="30">
        <v>5688631.3324180003</v>
      </c>
      <c r="D3745" s="30">
        <v>30</v>
      </c>
      <c r="E3745" s="30" t="s">
        <v>36</v>
      </c>
      <c r="F3745" s="46">
        <v>2024</v>
      </c>
      <c r="G3745" s="47">
        <v>0.12819640528434542</v>
      </c>
      <c r="H3745" s="47">
        <f t="shared" si="456"/>
        <v>3.9327913266775906E-2</v>
      </c>
      <c r="I3745" s="47">
        <v>0</v>
      </c>
      <c r="J3745" s="47">
        <f t="shared" si="457"/>
        <v>0</v>
      </c>
      <c r="K3745" s="47">
        <v>1.0914554629472132E-3</v>
      </c>
      <c r="L3745" s="47">
        <f t="shared" si="458"/>
        <v>3.8155262940707925E-4</v>
      </c>
      <c r="M3745" s="47">
        <f t="shared" si="455"/>
        <v>3.8946360637368824E-2</v>
      </c>
      <c r="N3745" s="47">
        <v>0</v>
      </c>
      <c r="O3745" s="47">
        <f t="shared" si="459"/>
        <v>0</v>
      </c>
      <c r="P3745" s="47"/>
    </row>
    <row r="3746" spans="1:16" x14ac:dyDescent="0.25">
      <c r="A3746" s="29">
        <v>33</v>
      </c>
      <c r="B3746" s="30">
        <v>437573.10856199998</v>
      </c>
      <c r="C3746" s="30">
        <v>5688631.3324180003</v>
      </c>
      <c r="D3746" s="30">
        <v>30</v>
      </c>
      <c r="E3746" s="30" t="s">
        <v>36</v>
      </c>
      <c r="F3746" s="46">
        <v>2024</v>
      </c>
      <c r="G3746" s="84">
        <v>3.956171684526847E-2</v>
      </c>
      <c r="H3746" s="47">
        <f t="shared" si="456"/>
        <v>1.2136687961916359E-2</v>
      </c>
      <c r="I3746" s="47">
        <v>0</v>
      </c>
      <c r="J3746" s="47">
        <f t="shared" si="457"/>
        <v>0</v>
      </c>
      <c r="K3746" s="47">
        <v>1.7151442989170494E-3</v>
      </c>
      <c r="L3746" s="47">
        <f t="shared" si="458"/>
        <v>5.995827033539817E-4</v>
      </c>
      <c r="M3746" s="47">
        <f t="shared" si="455"/>
        <v>1.1537105258562377E-2</v>
      </c>
      <c r="N3746" s="47">
        <v>0</v>
      </c>
      <c r="O3746" s="47">
        <f t="shared" si="459"/>
        <v>0</v>
      </c>
      <c r="P3746" s="47"/>
    </row>
    <row r="3747" spans="1:16" x14ac:dyDescent="0.25">
      <c r="A3747" s="29">
        <v>34</v>
      </c>
      <c r="B3747" s="30">
        <v>437692.10856199998</v>
      </c>
      <c r="C3747" s="30">
        <v>5688631.3324180003</v>
      </c>
      <c r="D3747" s="30">
        <v>30</v>
      </c>
      <c r="E3747" s="30" t="s">
        <v>36</v>
      </c>
      <c r="F3747" s="46">
        <v>2024</v>
      </c>
      <c r="G3747" s="84">
        <v>2.1488915348415263E-2</v>
      </c>
      <c r="H3747" s="47">
        <f t="shared" si="456"/>
        <v>6.5923392870889282E-3</v>
      </c>
      <c r="I3747" s="47">
        <v>0</v>
      </c>
      <c r="J3747" s="47">
        <f t="shared" si="457"/>
        <v>0</v>
      </c>
      <c r="K3747" s="47">
        <v>1.786018030277258E-3</v>
      </c>
      <c r="L3747" s="47">
        <f t="shared" si="458"/>
        <v>6.2435884812067513E-4</v>
      </c>
      <c r="M3747" s="47">
        <f t="shared" si="455"/>
        <v>5.9679804389682527E-3</v>
      </c>
      <c r="N3747" s="47">
        <v>7.9520326586154117E-3</v>
      </c>
      <c r="O3747" s="47">
        <f t="shared" si="459"/>
        <v>3.187811918677974E-3</v>
      </c>
      <c r="P3747" s="47"/>
    </row>
    <row r="3748" spans="1:16" x14ac:dyDescent="0.25">
      <c r="A3748" s="29">
        <v>35</v>
      </c>
      <c r="B3748" s="30">
        <v>437893</v>
      </c>
      <c r="C3748" s="30">
        <v>5688620</v>
      </c>
      <c r="D3748" s="30">
        <v>30</v>
      </c>
      <c r="E3748" s="30" t="s">
        <v>36</v>
      </c>
      <c r="F3748" s="46">
        <v>2024</v>
      </c>
      <c r="G3748" s="84">
        <v>2.6932017916879287E-2</v>
      </c>
      <c r="H3748" s="47">
        <f t="shared" si="456"/>
        <v>8.2621666526840123E-3</v>
      </c>
      <c r="I3748" s="47">
        <v>0</v>
      </c>
      <c r="J3748" s="47">
        <f t="shared" si="457"/>
        <v>0</v>
      </c>
      <c r="K3748" s="47">
        <v>7.3992175540057836E-3</v>
      </c>
      <c r="L3748" s="47">
        <f t="shared" si="458"/>
        <v>2.5866295136427971E-3</v>
      </c>
      <c r="M3748" s="47">
        <f>H3748-L3748</f>
        <v>5.6755371390412156E-3</v>
      </c>
      <c r="N3748" s="47">
        <v>0</v>
      </c>
      <c r="O3748" s="47">
        <f t="shared" si="459"/>
        <v>0</v>
      </c>
      <c r="P3748" s="47"/>
    </row>
    <row r="3749" spans="1:16" x14ac:dyDescent="0.25">
      <c r="A3749" s="29">
        <v>36</v>
      </c>
      <c r="B3749" s="30">
        <v>437930.10856199998</v>
      </c>
      <c r="C3749" s="30">
        <v>5688631.3324180003</v>
      </c>
      <c r="D3749" s="30">
        <v>30</v>
      </c>
      <c r="E3749" s="30" t="s">
        <v>36</v>
      </c>
      <c r="F3749" s="46">
        <v>2024</v>
      </c>
      <c r="G3749" s="84">
        <v>1.2686397913477348E-2</v>
      </c>
      <c r="H3749" s="47">
        <f t="shared" si="456"/>
        <v>3.891915344290627E-3</v>
      </c>
      <c r="I3749" s="47">
        <v>0</v>
      </c>
      <c r="J3749" s="47">
        <f t="shared" si="457"/>
        <v>0</v>
      </c>
      <c r="K3749" s="47">
        <v>7.9803821511594941E-3</v>
      </c>
      <c r="L3749" s="47">
        <f t="shared" si="458"/>
        <v>2.7897939007296832E-3</v>
      </c>
      <c r="M3749" s="47">
        <f t="shared" si="455"/>
        <v>1.1021214435609438E-3</v>
      </c>
      <c r="N3749" s="47">
        <v>9.7805749277087937E-3</v>
      </c>
      <c r="O3749" s="47">
        <f t="shared" si="459"/>
        <v>3.9208381887483098E-3</v>
      </c>
      <c r="P3749" s="47"/>
    </row>
    <row r="3750" spans="1:16" x14ac:dyDescent="0.25">
      <c r="A3750" s="32">
        <v>37</v>
      </c>
      <c r="B3750" s="33">
        <v>438049.10856199998</v>
      </c>
      <c r="C3750" s="33">
        <v>5688631.3324180003</v>
      </c>
      <c r="D3750" s="48">
        <v>30</v>
      </c>
      <c r="E3750" s="48" t="s">
        <v>36</v>
      </c>
      <c r="F3750" s="48">
        <v>2024</v>
      </c>
      <c r="G3750" s="49" t="s">
        <v>18</v>
      </c>
      <c r="H3750" s="49" t="s">
        <v>18</v>
      </c>
      <c r="I3750" s="49" t="s">
        <v>18</v>
      </c>
      <c r="J3750" s="49" t="s">
        <v>18</v>
      </c>
      <c r="K3750" s="49" t="s">
        <v>18</v>
      </c>
      <c r="L3750" s="49" t="s">
        <v>18</v>
      </c>
      <c r="M3750" s="49" t="s">
        <v>18</v>
      </c>
      <c r="N3750" s="49" t="s">
        <v>18</v>
      </c>
      <c r="O3750" s="49" t="s">
        <v>18</v>
      </c>
      <c r="P3750" s="49" t="s">
        <v>18</v>
      </c>
    </row>
    <row r="3751" spans="1:16" x14ac:dyDescent="0.25">
      <c r="A3751" s="29">
        <v>38</v>
      </c>
      <c r="B3751" s="30">
        <v>438067</v>
      </c>
      <c r="C3751" s="30">
        <v>5688710</v>
      </c>
      <c r="D3751" s="30">
        <v>31</v>
      </c>
      <c r="E3751" s="30" t="s">
        <v>36</v>
      </c>
      <c r="F3751" s="46">
        <v>2024</v>
      </c>
      <c r="G3751" s="84">
        <v>0.2179650734251857</v>
      </c>
      <c r="H3751" s="47">
        <f>G3751*0.29599646154381</f>
        <v>6.45168904739917E-2</v>
      </c>
      <c r="I3751" s="47">
        <v>0</v>
      </c>
      <c r="J3751" s="47">
        <f>I3751*0.394514603275319</f>
        <v>0</v>
      </c>
      <c r="K3751" s="84">
        <v>2.9171627827861878E-2</v>
      </c>
      <c r="L3751" s="47">
        <f>K3751*0.435140833780133</f>
        <v>1.2693766455739549E-2</v>
      </c>
      <c r="M3751" s="47">
        <f t="shared" si="455"/>
        <v>5.1823124018252148E-2</v>
      </c>
      <c r="N3751" s="47">
        <v>0</v>
      </c>
      <c r="O3751" s="47">
        <f>N3751*0.51593137254902</f>
        <v>0</v>
      </c>
      <c r="P3751" s="47"/>
    </row>
    <row r="3752" spans="1:16" x14ac:dyDescent="0.25">
      <c r="A3752" s="32">
        <v>39</v>
      </c>
      <c r="B3752" s="33">
        <v>438287.10856199998</v>
      </c>
      <c r="C3752" s="33">
        <v>5688631.3324180003</v>
      </c>
      <c r="D3752" s="48">
        <v>30</v>
      </c>
      <c r="E3752" s="48" t="s">
        <v>36</v>
      </c>
      <c r="F3752" s="48">
        <v>2024</v>
      </c>
      <c r="G3752" s="49" t="s">
        <v>18</v>
      </c>
      <c r="H3752" s="49" t="s">
        <v>18</v>
      </c>
      <c r="I3752" s="49" t="s">
        <v>18</v>
      </c>
      <c r="J3752" s="49" t="s">
        <v>18</v>
      </c>
      <c r="K3752" s="49" t="s">
        <v>18</v>
      </c>
      <c r="L3752" s="49" t="s">
        <v>18</v>
      </c>
      <c r="M3752" s="49" t="s">
        <v>18</v>
      </c>
      <c r="N3752" s="49" t="s">
        <v>18</v>
      </c>
      <c r="O3752" s="49" t="s">
        <v>18</v>
      </c>
      <c r="P3752" s="49" t="s">
        <v>18</v>
      </c>
    </row>
    <row r="3753" spans="1:16" x14ac:dyDescent="0.25">
      <c r="A3753" s="89">
        <v>40</v>
      </c>
      <c r="B3753" s="90">
        <v>438406.10856199998</v>
      </c>
      <c r="C3753" s="90">
        <v>5688631.3324180003</v>
      </c>
      <c r="D3753" s="90">
        <v>30</v>
      </c>
      <c r="E3753" s="90" t="s">
        <v>36</v>
      </c>
      <c r="F3753" s="90">
        <v>2024</v>
      </c>
      <c r="G3753" s="90" t="s">
        <v>18</v>
      </c>
      <c r="H3753" s="90" t="s">
        <v>18</v>
      </c>
      <c r="I3753" s="90" t="s">
        <v>18</v>
      </c>
      <c r="J3753" s="90" t="s">
        <v>18</v>
      </c>
      <c r="K3753" s="90" t="s">
        <v>18</v>
      </c>
      <c r="L3753" s="90" t="s">
        <v>18</v>
      </c>
      <c r="M3753" s="90" t="s">
        <v>18</v>
      </c>
      <c r="N3753" s="90" t="s">
        <v>18</v>
      </c>
      <c r="O3753" s="90" t="s">
        <v>18</v>
      </c>
      <c r="P3753" s="90" t="s">
        <v>18</v>
      </c>
    </row>
    <row r="3754" spans="1:16" x14ac:dyDescent="0.25">
      <c r="A3754" s="29">
        <v>41</v>
      </c>
      <c r="B3754" s="30">
        <v>437310</v>
      </c>
      <c r="C3754" s="30">
        <v>5688729</v>
      </c>
      <c r="D3754" s="30">
        <v>30</v>
      </c>
      <c r="E3754" s="30" t="s">
        <v>36</v>
      </c>
      <c r="F3754" s="46">
        <v>2024</v>
      </c>
      <c r="G3754" s="84">
        <v>0.13604921471905654</v>
      </c>
      <c r="H3754" s="47">
        <f t="shared" si="456"/>
        <v>4.1736987122347982E-2</v>
      </c>
      <c r="I3754" s="47">
        <v>2.0936100243805638E-2</v>
      </c>
      <c r="J3754" s="47">
        <f t="shared" si="457"/>
        <v>7.0150112361228381E-3</v>
      </c>
      <c r="K3754" s="47">
        <v>4.9328117026705219E-2</v>
      </c>
      <c r="L3754" s="47">
        <f t="shared" si="458"/>
        <v>1.7244196757618645E-2</v>
      </c>
      <c r="M3754" s="47">
        <f t="shared" si="455"/>
        <v>2.4492790364729337E-2</v>
      </c>
      <c r="N3754" s="47">
        <v>0</v>
      </c>
      <c r="O3754" s="47">
        <f t="shared" si="459"/>
        <v>0</v>
      </c>
      <c r="P3754" s="47"/>
    </row>
    <row r="3755" spans="1:16" x14ac:dyDescent="0.25">
      <c r="A3755" s="29">
        <v>42</v>
      </c>
      <c r="B3755" s="30">
        <v>437454.10856199998</v>
      </c>
      <c r="C3755" s="30">
        <v>5688750.3324180003</v>
      </c>
      <c r="D3755" s="30">
        <v>30</v>
      </c>
      <c r="E3755" s="30" t="s">
        <v>36</v>
      </c>
      <c r="F3755" s="46">
        <v>2024</v>
      </c>
      <c r="G3755" s="84">
        <v>0.13378125531552987</v>
      </c>
      <c r="H3755" s="47">
        <f t="shared" si="456"/>
        <v>4.10412257200167E-2</v>
      </c>
      <c r="I3755" s="84">
        <v>0</v>
      </c>
      <c r="J3755" s="47">
        <f t="shared" si="457"/>
        <v>0</v>
      </c>
      <c r="K3755" s="84">
        <v>3.5266768724839824E-2</v>
      </c>
      <c r="L3755" s="47">
        <f t="shared" si="458"/>
        <v>1.2328609635906665E-2</v>
      </c>
      <c r="M3755" s="47">
        <f t="shared" si="455"/>
        <v>2.8712616084110035E-2</v>
      </c>
      <c r="N3755" s="84">
        <v>0</v>
      </c>
      <c r="O3755" s="47">
        <f t="shared" si="459"/>
        <v>0</v>
      </c>
      <c r="P3755" s="47"/>
    </row>
    <row r="3756" spans="1:16" x14ac:dyDescent="0.25">
      <c r="A3756" s="29">
        <v>43</v>
      </c>
      <c r="B3756" s="30">
        <v>437573.10856199998</v>
      </c>
      <c r="C3756" s="30">
        <v>5688750.3324180003</v>
      </c>
      <c r="D3756" s="30">
        <v>31</v>
      </c>
      <c r="E3756" s="30" t="s">
        <v>36</v>
      </c>
      <c r="F3756" s="46">
        <v>2024</v>
      </c>
      <c r="G3756" s="84">
        <v>4.2765209502749896E-2</v>
      </c>
      <c r="H3756" s="47">
        <f>G3756*0.29599646154381</f>
        <v>1.2658350689993688E-2</v>
      </c>
      <c r="I3756" s="47">
        <v>0</v>
      </c>
      <c r="J3756" s="47">
        <f>I3756*0.394514603275319</f>
        <v>0</v>
      </c>
      <c r="K3756" s="47">
        <v>1.1169700062368884E-2</v>
      </c>
      <c r="L3756" s="47">
        <f>K3756*0.435140833780133</f>
        <v>4.8603925982132002E-3</v>
      </c>
      <c r="M3756" s="47">
        <f t="shared" si="455"/>
        <v>7.7979580917804875E-3</v>
      </c>
      <c r="N3756" s="47">
        <v>0</v>
      </c>
      <c r="O3756" s="47">
        <f>N3756*0.51593137254902</f>
        <v>0</v>
      </c>
      <c r="P3756" s="47"/>
    </row>
    <row r="3757" spans="1:16" x14ac:dyDescent="0.25">
      <c r="A3757" s="29">
        <v>44</v>
      </c>
      <c r="B3757" s="30">
        <v>437692.10856199998</v>
      </c>
      <c r="C3757" s="30">
        <v>5688750.3324180003</v>
      </c>
      <c r="D3757" s="30">
        <v>31</v>
      </c>
      <c r="E3757" s="30" t="s">
        <v>36</v>
      </c>
      <c r="F3757" s="46">
        <v>2024</v>
      </c>
      <c r="G3757" s="84">
        <v>3.7350456426829957E-2</v>
      </c>
      <c r="H3757" s="47">
        <f>G3757*0.29599646154381</f>
        <v>1.1055602939387925E-2</v>
      </c>
      <c r="I3757" s="47">
        <v>0</v>
      </c>
      <c r="J3757" s="47">
        <f>I3757*0.394514603275319</f>
        <v>0</v>
      </c>
      <c r="K3757" s="47">
        <v>7.7677609570788687E-3</v>
      </c>
      <c r="L3757" s="47">
        <f>K3757*0.435140833780133</f>
        <v>3.3800699794680629E-3</v>
      </c>
      <c r="M3757" s="47">
        <f t="shared" si="455"/>
        <v>7.6755329599198611E-3</v>
      </c>
      <c r="N3757" s="47">
        <v>0</v>
      </c>
      <c r="O3757" s="47">
        <f>N3757*0.51593137254902</f>
        <v>0</v>
      </c>
      <c r="P3757" s="47"/>
    </row>
    <row r="3758" spans="1:16" x14ac:dyDescent="0.25">
      <c r="A3758" s="29">
        <v>45</v>
      </c>
      <c r="B3758" s="30">
        <v>437811.10856199998</v>
      </c>
      <c r="C3758" s="30">
        <v>5688750.3324180003</v>
      </c>
      <c r="D3758" s="30">
        <v>31</v>
      </c>
      <c r="E3758" s="30" t="s">
        <v>36</v>
      </c>
      <c r="F3758" s="46">
        <v>2024</v>
      </c>
      <c r="G3758" s="84">
        <v>6.3290242104666328E-2</v>
      </c>
      <c r="H3758" s="47">
        <f>G3758*0.29599646154381</f>
        <v>1.8733687713232292E-2</v>
      </c>
      <c r="I3758" s="47">
        <v>2.3076486930883936E-2</v>
      </c>
      <c r="J3758" s="47">
        <f>I3758*0.394514603275319</f>
        <v>9.1040110865257592E-3</v>
      </c>
      <c r="K3758" s="47">
        <v>1.4018824063049272E-2</v>
      </c>
      <c r="L3758" s="47">
        <f>K3758*0.435140833780133</f>
        <v>6.1001627914122518E-3</v>
      </c>
      <c r="M3758" s="47">
        <f t="shared" si="455"/>
        <v>1.2633524921820041E-2</v>
      </c>
      <c r="N3758" s="47">
        <v>4.126268639791348E-2</v>
      </c>
      <c r="O3758" s="47">
        <f>N3758*0.51593137254902</f>
        <v>2.1288714428335281E-2</v>
      </c>
      <c r="P3758" s="47"/>
    </row>
    <row r="3759" spans="1:16" x14ac:dyDescent="0.25">
      <c r="A3759" s="65">
        <v>46</v>
      </c>
      <c r="B3759" s="66">
        <v>437930.10856199998</v>
      </c>
      <c r="C3759" s="66">
        <v>5688750.3324180003</v>
      </c>
      <c r="D3759" s="66">
        <v>30</v>
      </c>
      <c r="E3759" s="66" t="s">
        <v>36</v>
      </c>
      <c r="F3759" s="66">
        <v>2024</v>
      </c>
      <c r="G3759" s="66" t="s">
        <v>18</v>
      </c>
      <c r="H3759" s="66" t="s">
        <v>18</v>
      </c>
      <c r="I3759" s="66" t="s">
        <v>18</v>
      </c>
      <c r="J3759" s="66" t="s">
        <v>18</v>
      </c>
      <c r="K3759" s="66" t="s">
        <v>18</v>
      </c>
      <c r="L3759" s="66" t="s">
        <v>18</v>
      </c>
      <c r="M3759" s="66" t="s">
        <v>18</v>
      </c>
      <c r="N3759" s="66" t="s">
        <v>18</v>
      </c>
      <c r="O3759" s="66" t="s">
        <v>18</v>
      </c>
      <c r="P3759" s="67" t="s">
        <v>166</v>
      </c>
    </row>
    <row r="3760" spans="1:16" x14ac:dyDescent="0.25">
      <c r="A3760" s="89">
        <v>47</v>
      </c>
      <c r="B3760" s="90">
        <v>438061</v>
      </c>
      <c r="C3760" s="90">
        <v>5688779</v>
      </c>
      <c r="D3760" s="90">
        <v>30</v>
      </c>
      <c r="E3760" s="90" t="s">
        <v>36</v>
      </c>
      <c r="F3760" s="90">
        <v>2024</v>
      </c>
      <c r="G3760" s="90" t="s">
        <v>18</v>
      </c>
      <c r="H3760" s="90" t="s">
        <v>18</v>
      </c>
      <c r="I3760" s="90" t="s">
        <v>18</v>
      </c>
      <c r="J3760" s="90" t="s">
        <v>18</v>
      </c>
      <c r="K3760" s="90" t="s">
        <v>18</v>
      </c>
      <c r="L3760" s="90" t="s">
        <v>18</v>
      </c>
      <c r="M3760" s="90" t="s">
        <v>18</v>
      </c>
      <c r="N3760" s="90" t="s">
        <v>18</v>
      </c>
      <c r="O3760" s="90" t="s">
        <v>18</v>
      </c>
      <c r="P3760" s="90" t="s">
        <v>18</v>
      </c>
    </row>
    <row r="3761" spans="1:19" x14ac:dyDescent="0.25">
      <c r="A3761" s="32">
        <v>48</v>
      </c>
      <c r="B3761" s="33">
        <v>438168.10856199998</v>
      </c>
      <c r="C3761" s="33">
        <v>5688750.3324180003</v>
      </c>
      <c r="D3761" s="48">
        <v>30</v>
      </c>
      <c r="E3761" s="48" t="s">
        <v>36</v>
      </c>
      <c r="F3761" s="48">
        <v>2024</v>
      </c>
      <c r="G3761" s="49" t="s">
        <v>18</v>
      </c>
      <c r="H3761" s="49" t="s">
        <v>18</v>
      </c>
      <c r="I3761" s="49" t="s">
        <v>18</v>
      </c>
      <c r="J3761" s="49" t="s">
        <v>18</v>
      </c>
      <c r="K3761" s="49" t="s">
        <v>18</v>
      </c>
      <c r="L3761" s="49" t="s">
        <v>18</v>
      </c>
      <c r="M3761" s="49" t="s">
        <v>18</v>
      </c>
      <c r="N3761" s="49" t="s">
        <v>18</v>
      </c>
      <c r="O3761" s="49" t="s">
        <v>18</v>
      </c>
      <c r="P3761" s="49" t="s">
        <v>18</v>
      </c>
    </row>
    <row r="3762" spans="1:19" x14ac:dyDescent="0.25">
      <c r="A3762" s="89">
        <v>49</v>
      </c>
      <c r="B3762" s="90">
        <v>437454.10856199998</v>
      </c>
      <c r="C3762" s="90">
        <v>5688869.3324180003</v>
      </c>
      <c r="D3762" s="90">
        <v>30</v>
      </c>
      <c r="E3762" s="90" t="s">
        <v>36</v>
      </c>
      <c r="F3762" s="90">
        <v>2024</v>
      </c>
      <c r="G3762" s="90" t="s">
        <v>18</v>
      </c>
      <c r="H3762" s="90" t="s">
        <v>18</v>
      </c>
      <c r="I3762" s="90" t="s">
        <v>18</v>
      </c>
      <c r="J3762" s="90" t="s">
        <v>18</v>
      </c>
      <c r="K3762" s="90" t="s">
        <v>18</v>
      </c>
      <c r="L3762" s="90" t="s">
        <v>18</v>
      </c>
      <c r="M3762" s="90" t="s">
        <v>18</v>
      </c>
      <c r="N3762" s="90" t="s">
        <v>18</v>
      </c>
      <c r="O3762" s="90" t="s">
        <v>18</v>
      </c>
      <c r="P3762" s="90" t="s">
        <v>18</v>
      </c>
    </row>
    <row r="3763" spans="1:19" x14ac:dyDescent="0.25">
      <c r="A3763" s="29">
        <v>50</v>
      </c>
      <c r="B3763" s="30">
        <v>437811.10856199998</v>
      </c>
      <c r="C3763" s="30">
        <v>5688869.3324180003</v>
      </c>
      <c r="D3763" s="30">
        <v>30</v>
      </c>
      <c r="E3763" s="30" t="s">
        <v>36</v>
      </c>
      <c r="F3763" s="46">
        <v>2024</v>
      </c>
      <c r="G3763" s="84">
        <v>2.5216873617962238E-2</v>
      </c>
      <c r="H3763" s="47">
        <f t="shared" si="456"/>
        <v>7.7359970921709788E-3</v>
      </c>
      <c r="I3763" s="47">
        <v>0</v>
      </c>
      <c r="J3763" s="47">
        <f t="shared" si="457"/>
        <v>0</v>
      </c>
      <c r="K3763" s="47">
        <v>9.8939728978851265E-3</v>
      </c>
      <c r="L3763" s="47">
        <f t="shared" si="458"/>
        <v>3.4587498094304061E-3</v>
      </c>
      <c r="M3763" s="47">
        <f t="shared" si="455"/>
        <v>4.2772472827405728E-3</v>
      </c>
      <c r="N3763" s="47">
        <v>0</v>
      </c>
      <c r="O3763" s="47">
        <f t="shared" si="459"/>
        <v>0</v>
      </c>
      <c r="P3763" s="47"/>
    </row>
    <row r="3764" spans="1:19" x14ac:dyDescent="0.25">
      <c r="A3764" s="89">
        <v>51</v>
      </c>
      <c r="B3764" s="90">
        <v>437930.10856199998</v>
      </c>
      <c r="C3764" s="90">
        <v>5688869.3324180003</v>
      </c>
      <c r="D3764" s="90">
        <v>30</v>
      </c>
      <c r="E3764" s="90" t="s">
        <v>36</v>
      </c>
      <c r="F3764" s="90">
        <v>2024</v>
      </c>
      <c r="G3764" s="90" t="s">
        <v>18</v>
      </c>
      <c r="H3764" s="90" t="s">
        <v>18</v>
      </c>
      <c r="I3764" s="90" t="s">
        <v>18</v>
      </c>
      <c r="J3764" s="90" t="s">
        <v>18</v>
      </c>
      <c r="K3764" s="90" t="s">
        <v>18</v>
      </c>
      <c r="L3764" s="90" t="s">
        <v>18</v>
      </c>
      <c r="M3764" s="90" t="s">
        <v>18</v>
      </c>
      <c r="N3764" s="90" t="s">
        <v>18</v>
      </c>
      <c r="O3764" s="90" t="s">
        <v>18</v>
      </c>
      <c r="P3764" s="90" t="s">
        <v>18</v>
      </c>
    </row>
    <row r="3765" spans="1:19" x14ac:dyDescent="0.25">
      <c r="A3765" s="65">
        <v>52</v>
      </c>
      <c r="B3765" s="66">
        <v>438049.10856199998</v>
      </c>
      <c r="C3765" s="66">
        <v>5688869.3324180003</v>
      </c>
      <c r="D3765" s="66">
        <v>30</v>
      </c>
      <c r="E3765" s="66" t="s">
        <v>36</v>
      </c>
      <c r="F3765" s="66">
        <v>2024</v>
      </c>
      <c r="G3765" s="66" t="s">
        <v>18</v>
      </c>
      <c r="H3765" s="66" t="s">
        <v>18</v>
      </c>
      <c r="I3765" s="66" t="s">
        <v>18</v>
      </c>
      <c r="J3765" s="66" t="s">
        <v>18</v>
      </c>
      <c r="K3765" s="66" t="s">
        <v>18</v>
      </c>
      <c r="L3765" s="66" t="s">
        <v>18</v>
      </c>
      <c r="M3765" s="66" t="s">
        <v>18</v>
      </c>
      <c r="N3765" s="66" t="s">
        <v>18</v>
      </c>
      <c r="O3765" s="66" t="s">
        <v>18</v>
      </c>
      <c r="P3765" s="67" t="s">
        <v>166</v>
      </c>
    </row>
    <row r="3766" spans="1:19" x14ac:dyDescent="0.25">
      <c r="A3766" s="89">
        <v>53</v>
      </c>
      <c r="B3766" s="90">
        <v>438287.10856199998</v>
      </c>
      <c r="C3766" s="90">
        <v>5688869.3324180003</v>
      </c>
      <c r="D3766" s="90">
        <v>30</v>
      </c>
      <c r="E3766" s="90" t="s">
        <v>36</v>
      </c>
      <c r="F3766" s="90">
        <v>2024</v>
      </c>
      <c r="G3766" s="90" t="s">
        <v>18</v>
      </c>
      <c r="H3766" s="90" t="s">
        <v>18</v>
      </c>
      <c r="I3766" s="90" t="s">
        <v>18</v>
      </c>
      <c r="J3766" s="90" t="s">
        <v>18</v>
      </c>
      <c r="K3766" s="90" t="s">
        <v>18</v>
      </c>
      <c r="L3766" s="90" t="s">
        <v>18</v>
      </c>
      <c r="M3766" s="90" t="s">
        <v>18</v>
      </c>
      <c r="N3766" s="90" t="s">
        <v>18</v>
      </c>
      <c r="O3766" s="90" t="s">
        <v>18</v>
      </c>
      <c r="P3766" s="90" t="s">
        <v>18</v>
      </c>
    </row>
    <row r="3767" spans="1:19" x14ac:dyDescent="0.25">
      <c r="A3767" s="89">
        <v>54</v>
      </c>
      <c r="B3767" s="90">
        <v>437454.10856199998</v>
      </c>
      <c r="C3767" s="90">
        <v>5688988.3324180003</v>
      </c>
      <c r="D3767" s="90">
        <v>30</v>
      </c>
      <c r="E3767" s="90" t="s">
        <v>36</v>
      </c>
      <c r="F3767" s="90">
        <v>2024</v>
      </c>
      <c r="G3767" s="90" t="s">
        <v>18</v>
      </c>
      <c r="H3767" s="90" t="s">
        <v>18</v>
      </c>
      <c r="I3767" s="90" t="s">
        <v>18</v>
      </c>
      <c r="J3767" s="90" t="s">
        <v>18</v>
      </c>
      <c r="K3767" s="90" t="s">
        <v>18</v>
      </c>
      <c r="L3767" s="90" t="s">
        <v>18</v>
      </c>
      <c r="M3767" s="90" t="s">
        <v>18</v>
      </c>
      <c r="N3767" s="90" t="s">
        <v>18</v>
      </c>
      <c r="O3767" s="90" t="s">
        <v>18</v>
      </c>
      <c r="P3767" s="90" t="s">
        <v>18</v>
      </c>
    </row>
    <row r="3768" spans="1:19" x14ac:dyDescent="0.25">
      <c r="A3768" s="89">
        <v>55</v>
      </c>
      <c r="B3768" s="90">
        <v>438049.10856199998</v>
      </c>
      <c r="C3768" s="90">
        <v>5688988.3324180003</v>
      </c>
      <c r="D3768" s="90">
        <v>30</v>
      </c>
      <c r="E3768" s="90" t="s">
        <v>36</v>
      </c>
      <c r="F3768" s="90">
        <v>2024</v>
      </c>
      <c r="G3768" s="90" t="s">
        <v>18</v>
      </c>
      <c r="H3768" s="90" t="s">
        <v>18</v>
      </c>
      <c r="I3768" s="90" t="s">
        <v>18</v>
      </c>
      <c r="J3768" s="90" t="s">
        <v>18</v>
      </c>
      <c r="K3768" s="90" t="s">
        <v>18</v>
      </c>
      <c r="L3768" s="90" t="s">
        <v>18</v>
      </c>
      <c r="M3768" s="90" t="s">
        <v>18</v>
      </c>
      <c r="N3768" s="90" t="s">
        <v>18</v>
      </c>
      <c r="O3768" s="90" t="s">
        <v>18</v>
      </c>
      <c r="P3768" s="90" t="s">
        <v>18</v>
      </c>
    </row>
    <row r="3769" spans="1:19" x14ac:dyDescent="0.25">
      <c r="A3769" s="29">
        <v>56</v>
      </c>
      <c r="B3769" s="30">
        <v>438168.10856199998</v>
      </c>
      <c r="C3769" s="30">
        <v>5688988.3324180003</v>
      </c>
      <c r="D3769" s="30">
        <v>30</v>
      </c>
      <c r="E3769" s="30" t="s">
        <v>36</v>
      </c>
      <c r="F3769" s="46">
        <v>2024</v>
      </c>
      <c r="G3769" s="84">
        <v>1.6315132959120033E-2</v>
      </c>
      <c r="H3769" s="47">
        <f t="shared" si="456"/>
        <v>5.0051335880206844E-3</v>
      </c>
      <c r="I3769" s="47">
        <v>0</v>
      </c>
      <c r="J3769" s="47">
        <f t="shared" si="457"/>
        <v>0</v>
      </c>
      <c r="K3769" s="47">
        <v>1.7009695526450075E-3</v>
      </c>
      <c r="L3769" s="47">
        <f t="shared" si="458"/>
        <v>5.9462747440064293E-4</v>
      </c>
      <c r="M3769" s="47">
        <f t="shared" si="455"/>
        <v>4.4105061136200411E-3</v>
      </c>
      <c r="N3769" s="47">
        <v>0</v>
      </c>
      <c r="O3769" s="47">
        <f t="shared" si="459"/>
        <v>0</v>
      </c>
      <c r="P3769" s="47"/>
    </row>
    <row r="3770" spans="1:19" x14ac:dyDescent="0.25">
      <c r="A3770" s="40">
        <v>57</v>
      </c>
      <c r="B3770" s="41">
        <v>438146</v>
      </c>
      <c r="C3770" s="41">
        <v>5688977</v>
      </c>
      <c r="D3770" s="41">
        <v>30</v>
      </c>
      <c r="E3770" s="41" t="s">
        <v>36</v>
      </c>
      <c r="F3770" s="50">
        <v>2024</v>
      </c>
      <c r="G3770" s="86">
        <v>0.1442989170493848</v>
      </c>
      <c r="H3770" s="51">
        <f t="shared" si="456"/>
        <v>4.4267819223328023E-2</v>
      </c>
      <c r="I3770" s="51">
        <v>0</v>
      </c>
      <c r="J3770" s="51">
        <f t="shared" si="457"/>
        <v>0</v>
      </c>
      <c r="K3770" s="51">
        <v>7.9378579123433692E-4</v>
      </c>
      <c r="L3770" s="51">
        <f t="shared" si="458"/>
        <v>2.7749282138696675E-4</v>
      </c>
      <c r="M3770" s="51">
        <f t="shared" si="455"/>
        <v>4.3990326401941053E-2</v>
      </c>
      <c r="N3770" s="51">
        <v>0</v>
      </c>
      <c r="O3770" s="51">
        <f t="shared" si="459"/>
        <v>0</v>
      </c>
      <c r="P3770" s="51"/>
    </row>
    <row r="3771" spans="1:19" x14ac:dyDescent="0.25">
      <c r="A3771" s="40">
        <v>58</v>
      </c>
      <c r="B3771" s="41">
        <v>438131</v>
      </c>
      <c r="C3771" s="41">
        <v>5688972</v>
      </c>
      <c r="D3771" s="41">
        <v>30</v>
      </c>
      <c r="E3771" s="41" t="s">
        <v>36</v>
      </c>
      <c r="F3771" s="50">
        <v>2024</v>
      </c>
      <c r="G3771" s="86">
        <v>0.12726087203039066</v>
      </c>
      <c r="H3771" s="51">
        <f t="shared" si="456"/>
        <v>3.904091168831425E-2</v>
      </c>
      <c r="I3771" s="51">
        <v>0</v>
      </c>
      <c r="J3771" s="51">
        <f t="shared" si="457"/>
        <v>0</v>
      </c>
      <c r="K3771" s="51">
        <v>3.9264047173555592E-3</v>
      </c>
      <c r="L3771" s="51">
        <f t="shared" si="458"/>
        <v>1.3725984200748174E-3</v>
      </c>
      <c r="M3771" s="51">
        <f>H3771-L3771</f>
        <v>3.7668313268239433E-2</v>
      </c>
      <c r="N3771" s="51">
        <v>0</v>
      </c>
      <c r="O3771" s="51">
        <f t="shared" si="459"/>
        <v>0</v>
      </c>
      <c r="P3771" s="51"/>
    </row>
    <row r="3772" spans="1:19" x14ac:dyDescent="0.25">
      <c r="A3772" s="40">
        <v>59</v>
      </c>
      <c r="B3772" s="41">
        <v>438089</v>
      </c>
      <c r="C3772" s="41">
        <v>5688713</v>
      </c>
      <c r="D3772" s="41">
        <v>31</v>
      </c>
      <c r="E3772" s="41" t="s">
        <v>36</v>
      </c>
      <c r="F3772" s="50">
        <v>2024</v>
      </c>
      <c r="G3772" s="86">
        <v>0.16106764188921016</v>
      </c>
      <c r="H3772" s="51">
        <f>G3772*0.29599646154381</f>
        <v>4.7675452068411756E-2</v>
      </c>
      <c r="I3772" s="51">
        <v>0</v>
      </c>
      <c r="J3772" s="51">
        <f>I3772*0.394514603275319</f>
        <v>0</v>
      </c>
      <c r="K3772" s="51">
        <v>5.5848500311844419E-3</v>
      </c>
      <c r="L3772" s="51">
        <f>K3772*0.435140833780133</f>
        <v>2.4301962991066001E-3</v>
      </c>
      <c r="M3772" s="51">
        <f t="shared" si="455"/>
        <v>4.5245255769305152E-2</v>
      </c>
      <c r="N3772" s="51">
        <v>0</v>
      </c>
      <c r="O3772" s="51">
        <f>N3772*0.51593137254902</f>
        <v>0</v>
      </c>
      <c r="P3772" s="51"/>
    </row>
    <row r="3773" spans="1:19" x14ac:dyDescent="0.25">
      <c r="A3773" s="40">
        <v>60</v>
      </c>
      <c r="B3773" s="41">
        <v>438099</v>
      </c>
      <c r="C3773" s="41">
        <v>5688719</v>
      </c>
      <c r="D3773" s="41">
        <v>31</v>
      </c>
      <c r="E3773" s="41" t="s">
        <v>36</v>
      </c>
      <c r="F3773" s="50">
        <v>2024</v>
      </c>
      <c r="G3773" s="86">
        <v>8.2652945512275339E-2</v>
      </c>
      <c r="H3773" s="51">
        <f>G3773*0.29599646154381</f>
        <v>2.4464979407806828E-2</v>
      </c>
      <c r="I3773" s="51">
        <v>6.8690820434314223E-2</v>
      </c>
      <c r="J3773" s="51">
        <f>I3773*0.394514603275319</f>
        <v>2.7099531772299651E-2</v>
      </c>
      <c r="K3773" s="51">
        <v>9.6104779724442944E-3</v>
      </c>
      <c r="L3773" s="51">
        <f>K3773*0.435140833780133</f>
        <v>4.1819113979550127E-3</v>
      </c>
      <c r="M3773" s="51">
        <f t="shared" si="455"/>
        <v>2.0283068009851815E-2</v>
      </c>
      <c r="N3773" s="51">
        <v>0</v>
      </c>
      <c r="O3773" s="51">
        <f>N3773*0.51593137254902</f>
        <v>0</v>
      </c>
      <c r="P3773" s="51"/>
    </row>
    <row r="3774" spans="1:19" x14ac:dyDescent="0.25">
      <c r="A3774" s="42">
        <v>1</v>
      </c>
      <c r="B3774" s="43">
        <v>437930.10856199998</v>
      </c>
      <c r="C3774" s="43">
        <v>5688036.3324180003</v>
      </c>
      <c r="D3774" s="44">
        <v>29</v>
      </c>
      <c r="E3774" s="44" t="s">
        <v>40</v>
      </c>
      <c r="F3774" s="44">
        <v>2025</v>
      </c>
      <c r="G3774" s="45" t="s">
        <v>18</v>
      </c>
      <c r="H3774" s="45" t="s">
        <v>18</v>
      </c>
      <c r="I3774" s="45" t="s">
        <v>18</v>
      </c>
      <c r="J3774" s="45" t="s">
        <v>18</v>
      </c>
      <c r="K3774" s="45" t="s">
        <v>18</v>
      </c>
      <c r="L3774" s="45" t="s">
        <v>18</v>
      </c>
      <c r="M3774" s="45" t="s">
        <v>18</v>
      </c>
      <c r="N3774" s="45" t="s">
        <v>18</v>
      </c>
      <c r="O3774" s="45" t="s">
        <v>18</v>
      </c>
      <c r="P3774" s="45" t="s">
        <v>109</v>
      </c>
      <c r="R3774" s="5">
        <f>AVERAGE(M3774:M3833)</f>
        <v>7.5026705201677668E-3</v>
      </c>
      <c r="S3774" s="5">
        <f>AVERAGE(H3774:H3833)</f>
        <v>9.8593161349111013E-3</v>
      </c>
    </row>
    <row r="3775" spans="1:19" x14ac:dyDescent="0.25">
      <c r="A3775" s="42">
        <v>2</v>
      </c>
      <c r="B3775" s="43">
        <v>437811.10856199998</v>
      </c>
      <c r="C3775" s="43">
        <v>5688155.3324180003</v>
      </c>
      <c r="D3775" s="44">
        <v>29</v>
      </c>
      <c r="E3775" s="44" t="s">
        <v>40</v>
      </c>
      <c r="F3775" s="44">
        <v>2025</v>
      </c>
      <c r="G3775" s="45" t="s">
        <v>18</v>
      </c>
      <c r="H3775" s="45" t="s">
        <v>18</v>
      </c>
      <c r="I3775" s="45" t="s">
        <v>18</v>
      </c>
      <c r="J3775" s="45" t="s">
        <v>18</v>
      </c>
      <c r="K3775" s="45" t="s">
        <v>18</v>
      </c>
      <c r="L3775" s="45" t="s">
        <v>18</v>
      </c>
      <c r="M3775" s="45" t="s">
        <v>18</v>
      </c>
      <c r="N3775" s="45" t="s">
        <v>18</v>
      </c>
      <c r="O3775" s="45" t="s">
        <v>18</v>
      </c>
      <c r="P3775" s="45" t="s">
        <v>109</v>
      </c>
    </row>
    <row r="3776" spans="1:19" x14ac:dyDescent="0.25">
      <c r="A3776" s="65">
        <v>3</v>
      </c>
      <c r="B3776" s="66">
        <v>437930.10856199998</v>
      </c>
      <c r="C3776" s="66">
        <v>5688155.3324180003</v>
      </c>
      <c r="D3776" s="66">
        <v>29</v>
      </c>
      <c r="E3776" s="66" t="s">
        <v>40</v>
      </c>
      <c r="F3776" s="66">
        <v>2025</v>
      </c>
      <c r="G3776" s="66" t="s">
        <v>18</v>
      </c>
      <c r="H3776" s="66" t="s">
        <v>18</v>
      </c>
      <c r="I3776" s="66" t="s">
        <v>18</v>
      </c>
      <c r="J3776" s="66" t="s">
        <v>18</v>
      </c>
      <c r="K3776" s="66" t="s">
        <v>18</v>
      </c>
      <c r="L3776" s="66" t="s">
        <v>18</v>
      </c>
      <c r="M3776" s="66" t="s">
        <v>18</v>
      </c>
      <c r="N3776" s="66" t="s">
        <v>18</v>
      </c>
      <c r="O3776" s="66" t="s">
        <v>18</v>
      </c>
      <c r="P3776" s="67" t="s">
        <v>166</v>
      </c>
    </row>
    <row r="3777" spans="1:16" x14ac:dyDescent="0.25">
      <c r="A3777" s="42">
        <v>4</v>
      </c>
      <c r="B3777" s="43">
        <v>438049.10856199998</v>
      </c>
      <c r="C3777" s="43">
        <v>5688155.3324180003</v>
      </c>
      <c r="D3777" s="44">
        <v>29</v>
      </c>
      <c r="E3777" s="44" t="s">
        <v>40</v>
      </c>
      <c r="F3777" s="44">
        <v>2025</v>
      </c>
      <c r="G3777" s="45" t="s">
        <v>18</v>
      </c>
      <c r="H3777" s="45" t="s">
        <v>18</v>
      </c>
      <c r="I3777" s="45" t="s">
        <v>18</v>
      </c>
      <c r="J3777" s="45" t="s">
        <v>18</v>
      </c>
      <c r="K3777" s="45" t="s">
        <v>18</v>
      </c>
      <c r="L3777" s="45" t="s">
        <v>18</v>
      </c>
      <c r="M3777" s="45" t="s">
        <v>18</v>
      </c>
      <c r="N3777" s="45" t="s">
        <v>18</v>
      </c>
      <c r="O3777" s="45" t="s">
        <v>18</v>
      </c>
      <c r="P3777" s="45" t="s">
        <v>109</v>
      </c>
    </row>
    <row r="3778" spans="1:16" x14ac:dyDescent="0.25">
      <c r="A3778" s="42">
        <v>5</v>
      </c>
      <c r="B3778" s="43">
        <v>437573.10856199998</v>
      </c>
      <c r="C3778" s="43">
        <v>5688274.3324180003</v>
      </c>
      <c r="D3778" s="44">
        <v>29</v>
      </c>
      <c r="E3778" s="44" t="s">
        <v>40</v>
      </c>
      <c r="F3778" s="44">
        <v>2025</v>
      </c>
      <c r="G3778" s="45" t="s">
        <v>18</v>
      </c>
      <c r="H3778" s="45" t="s">
        <v>18</v>
      </c>
      <c r="I3778" s="45" t="s">
        <v>18</v>
      </c>
      <c r="J3778" s="45" t="s">
        <v>18</v>
      </c>
      <c r="K3778" s="45" t="s">
        <v>18</v>
      </c>
      <c r="L3778" s="45" t="s">
        <v>18</v>
      </c>
      <c r="M3778" s="45" t="s">
        <v>18</v>
      </c>
      <c r="N3778" s="45" t="s">
        <v>18</v>
      </c>
      <c r="O3778" s="45" t="s">
        <v>18</v>
      </c>
      <c r="P3778" s="45" t="s">
        <v>109</v>
      </c>
    </row>
    <row r="3779" spans="1:16" x14ac:dyDescent="0.25">
      <c r="A3779" s="89">
        <v>6</v>
      </c>
      <c r="B3779" s="90">
        <v>437692.10856199998</v>
      </c>
      <c r="C3779" s="90">
        <v>5688274.3324180003</v>
      </c>
      <c r="D3779" s="90">
        <v>29</v>
      </c>
      <c r="E3779" s="90" t="s">
        <v>40</v>
      </c>
      <c r="F3779" s="90">
        <v>2025</v>
      </c>
      <c r="G3779" s="90" t="s">
        <v>18</v>
      </c>
      <c r="H3779" s="90" t="s">
        <v>18</v>
      </c>
      <c r="I3779" s="90" t="s">
        <v>18</v>
      </c>
      <c r="J3779" s="90" t="s">
        <v>18</v>
      </c>
      <c r="K3779" s="90" t="s">
        <v>18</v>
      </c>
      <c r="L3779" s="90" t="s">
        <v>18</v>
      </c>
      <c r="M3779" s="90" t="s">
        <v>18</v>
      </c>
      <c r="N3779" s="90" t="s">
        <v>18</v>
      </c>
      <c r="O3779" s="90" t="s">
        <v>18</v>
      </c>
      <c r="P3779" s="90" t="s">
        <v>18</v>
      </c>
    </row>
    <row r="3780" spans="1:16" x14ac:dyDescent="0.25">
      <c r="A3780" s="65">
        <v>7</v>
      </c>
      <c r="B3780" s="66">
        <v>437811.10856199998</v>
      </c>
      <c r="C3780" s="66">
        <v>5688274.3324180003</v>
      </c>
      <c r="D3780" s="66">
        <v>29</v>
      </c>
      <c r="E3780" s="66" t="s">
        <v>40</v>
      </c>
      <c r="F3780" s="66">
        <v>2025</v>
      </c>
      <c r="G3780" s="66" t="s">
        <v>18</v>
      </c>
      <c r="H3780" s="66" t="s">
        <v>18</v>
      </c>
      <c r="I3780" s="66" t="s">
        <v>18</v>
      </c>
      <c r="J3780" s="66" t="s">
        <v>18</v>
      </c>
      <c r="K3780" s="66" t="s">
        <v>18</v>
      </c>
      <c r="L3780" s="66" t="s">
        <v>18</v>
      </c>
      <c r="M3780" s="66" t="s">
        <v>18</v>
      </c>
      <c r="N3780" s="66" t="s">
        <v>18</v>
      </c>
      <c r="O3780" s="66" t="s">
        <v>18</v>
      </c>
      <c r="P3780" s="67" t="s">
        <v>166</v>
      </c>
    </row>
    <row r="3781" spans="1:16" x14ac:dyDescent="0.25">
      <c r="A3781" s="42">
        <v>8</v>
      </c>
      <c r="B3781" s="43">
        <v>437930.10856199998</v>
      </c>
      <c r="C3781" s="43">
        <v>5688274.3324180003</v>
      </c>
      <c r="D3781" s="44">
        <v>29</v>
      </c>
      <c r="E3781" s="44" t="s">
        <v>40</v>
      </c>
      <c r="F3781" s="44">
        <v>2025</v>
      </c>
      <c r="G3781" s="45" t="s">
        <v>18</v>
      </c>
      <c r="H3781" s="45" t="s">
        <v>18</v>
      </c>
      <c r="I3781" s="45" t="s">
        <v>18</v>
      </c>
      <c r="J3781" s="45" t="s">
        <v>18</v>
      </c>
      <c r="K3781" s="45" t="s">
        <v>18</v>
      </c>
      <c r="L3781" s="45" t="s">
        <v>18</v>
      </c>
      <c r="M3781" s="45" t="s">
        <v>18</v>
      </c>
      <c r="N3781" s="45" t="s">
        <v>18</v>
      </c>
      <c r="O3781" s="45" t="s">
        <v>18</v>
      </c>
      <c r="P3781" s="45" t="s">
        <v>109</v>
      </c>
    </row>
    <row r="3782" spans="1:16" x14ac:dyDescent="0.25">
      <c r="A3782" s="89">
        <v>9</v>
      </c>
      <c r="B3782" s="90">
        <v>438287.10856199998</v>
      </c>
      <c r="C3782" s="90">
        <v>5688274.3324180003</v>
      </c>
      <c r="D3782" s="90">
        <v>29</v>
      </c>
      <c r="E3782" s="90" t="s">
        <v>40</v>
      </c>
      <c r="F3782" s="90">
        <v>2025</v>
      </c>
      <c r="G3782" s="90" t="s">
        <v>18</v>
      </c>
      <c r="H3782" s="90" t="s">
        <v>18</v>
      </c>
      <c r="I3782" s="90" t="s">
        <v>18</v>
      </c>
      <c r="J3782" s="90" t="s">
        <v>18</v>
      </c>
      <c r="K3782" s="90" t="s">
        <v>18</v>
      </c>
      <c r="L3782" s="90" t="s">
        <v>18</v>
      </c>
      <c r="M3782" s="90" t="s">
        <v>18</v>
      </c>
      <c r="N3782" s="90" t="s">
        <v>18</v>
      </c>
      <c r="O3782" s="90" t="s">
        <v>18</v>
      </c>
      <c r="P3782" s="90" t="s">
        <v>18</v>
      </c>
    </row>
    <row r="3783" spans="1:16" x14ac:dyDescent="0.25">
      <c r="A3783" s="89">
        <v>10</v>
      </c>
      <c r="B3783" s="90">
        <v>438406.10856199998</v>
      </c>
      <c r="C3783" s="90">
        <v>5688274.3324180003</v>
      </c>
      <c r="D3783" s="90">
        <v>29</v>
      </c>
      <c r="E3783" s="90" t="s">
        <v>40</v>
      </c>
      <c r="F3783" s="90">
        <v>2025</v>
      </c>
      <c r="G3783" s="90" t="s">
        <v>18</v>
      </c>
      <c r="H3783" s="90" t="s">
        <v>18</v>
      </c>
      <c r="I3783" s="90" t="s">
        <v>18</v>
      </c>
      <c r="J3783" s="90" t="s">
        <v>18</v>
      </c>
      <c r="K3783" s="90" t="s">
        <v>18</v>
      </c>
      <c r="L3783" s="90" t="s">
        <v>18</v>
      </c>
      <c r="M3783" s="90" t="s">
        <v>18</v>
      </c>
      <c r="N3783" s="90" t="s">
        <v>18</v>
      </c>
      <c r="O3783" s="90" t="s">
        <v>18</v>
      </c>
      <c r="P3783" s="90" t="s">
        <v>18</v>
      </c>
    </row>
    <row r="3784" spans="1:16" x14ac:dyDescent="0.25">
      <c r="A3784" s="42">
        <v>11</v>
      </c>
      <c r="B3784" s="43">
        <v>437454.10856199998</v>
      </c>
      <c r="C3784" s="43">
        <v>5688393.3324180003</v>
      </c>
      <c r="D3784" s="44">
        <v>29</v>
      </c>
      <c r="E3784" s="44" t="s">
        <v>40</v>
      </c>
      <c r="F3784" s="44">
        <v>2025</v>
      </c>
      <c r="G3784" s="45" t="s">
        <v>18</v>
      </c>
      <c r="H3784" s="45" t="s">
        <v>18</v>
      </c>
      <c r="I3784" s="45" t="s">
        <v>18</v>
      </c>
      <c r="J3784" s="45" t="s">
        <v>18</v>
      </c>
      <c r="K3784" s="45" t="s">
        <v>18</v>
      </c>
      <c r="L3784" s="45" t="s">
        <v>18</v>
      </c>
      <c r="M3784" s="45" t="s">
        <v>18</v>
      </c>
      <c r="N3784" s="45" t="s">
        <v>18</v>
      </c>
      <c r="O3784" s="45" t="s">
        <v>18</v>
      </c>
      <c r="P3784" s="45" t="s">
        <v>109</v>
      </c>
    </row>
    <row r="3785" spans="1:16" x14ac:dyDescent="0.25">
      <c r="A3785" s="29">
        <v>12</v>
      </c>
      <c r="B3785" s="30">
        <v>437573.10856199998</v>
      </c>
      <c r="C3785" s="30">
        <v>5688393.3324180003</v>
      </c>
      <c r="D3785" s="30">
        <v>30</v>
      </c>
      <c r="E3785" s="30" t="s">
        <v>40</v>
      </c>
      <c r="F3785" s="46">
        <v>2025</v>
      </c>
      <c r="G3785" s="84">
        <v>1.9702897318138006E-3</v>
      </c>
      <c r="H3785" s="47">
        <f>G3785*0.547724257568083</f>
        <v>1.0791754805517311E-3</v>
      </c>
      <c r="I3785" s="47">
        <v>2.1701536542495889E-2</v>
      </c>
      <c r="J3785" s="47">
        <f>I3785*0.407968047808111</f>
        <v>8.8535334976784317E-3</v>
      </c>
      <c r="K3785" s="47">
        <v>1.0064069853149627E-3</v>
      </c>
      <c r="L3785" s="47">
        <f>K3785*0.643696645092891</f>
        <v>6.4782080004529197E-4</v>
      </c>
      <c r="M3785" s="47">
        <f t="shared" ref="M3785:M3833" si="460">H3785-L3785</f>
        <v>4.3135468050643918E-4</v>
      </c>
      <c r="N3785" s="47">
        <v>2.3430855587684981E-2</v>
      </c>
      <c r="O3785" s="47">
        <f>N3785*0.442622999495112</f>
        <v>1.0371035580957932E-2</v>
      </c>
      <c r="P3785" s="47"/>
    </row>
    <row r="3786" spans="1:16" x14ac:dyDescent="0.25">
      <c r="A3786" s="89">
        <v>13</v>
      </c>
      <c r="B3786" s="90">
        <v>437692.10856199998</v>
      </c>
      <c r="C3786" s="90">
        <v>5688393.3324180003</v>
      </c>
      <c r="D3786" s="90">
        <v>29</v>
      </c>
      <c r="E3786" s="90" t="s">
        <v>40</v>
      </c>
      <c r="F3786" s="90">
        <v>2025</v>
      </c>
      <c r="G3786" s="90" t="s">
        <v>18</v>
      </c>
      <c r="H3786" s="90" t="s">
        <v>18</v>
      </c>
      <c r="I3786" s="90" t="s">
        <v>18</v>
      </c>
      <c r="J3786" s="90" t="s">
        <v>18</v>
      </c>
      <c r="K3786" s="90" t="s">
        <v>18</v>
      </c>
      <c r="L3786" s="90" t="s">
        <v>18</v>
      </c>
      <c r="M3786" s="90" t="s">
        <v>18</v>
      </c>
      <c r="N3786" s="90" t="s">
        <v>18</v>
      </c>
      <c r="O3786" s="90" t="s">
        <v>18</v>
      </c>
      <c r="P3786" s="90" t="s">
        <v>18</v>
      </c>
    </row>
    <row r="3787" spans="1:16" x14ac:dyDescent="0.25">
      <c r="A3787" s="32">
        <v>14</v>
      </c>
      <c r="B3787" s="33">
        <v>437811.10856199998</v>
      </c>
      <c r="C3787" s="33">
        <v>5688393.3324180003</v>
      </c>
      <c r="D3787" s="48">
        <v>29</v>
      </c>
      <c r="E3787" s="48" t="s">
        <v>40</v>
      </c>
      <c r="F3787" s="48">
        <v>2025</v>
      </c>
      <c r="G3787" s="49" t="s">
        <v>18</v>
      </c>
      <c r="H3787" s="49" t="s">
        <v>18</v>
      </c>
      <c r="I3787" s="49" t="s">
        <v>18</v>
      </c>
      <c r="J3787" s="49" t="s">
        <v>18</v>
      </c>
      <c r="K3787" s="49" t="s">
        <v>18</v>
      </c>
      <c r="L3787" s="49" t="s">
        <v>18</v>
      </c>
      <c r="M3787" s="49" t="s">
        <v>18</v>
      </c>
      <c r="N3787" s="49" t="s">
        <v>18</v>
      </c>
      <c r="O3787" s="49" t="s">
        <v>18</v>
      </c>
      <c r="P3787" s="49" t="s">
        <v>18</v>
      </c>
    </row>
    <row r="3788" spans="1:16" x14ac:dyDescent="0.25">
      <c r="A3788" s="29">
        <v>15</v>
      </c>
      <c r="B3788" s="30">
        <v>437930.10856199998</v>
      </c>
      <c r="C3788" s="30">
        <v>5688393.3324180003</v>
      </c>
      <c r="D3788" s="30">
        <v>30</v>
      </c>
      <c r="E3788" s="30" t="s">
        <v>40</v>
      </c>
      <c r="F3788" s="46">
        <v>2025</v>
      </c>
      <c r="G3788" s="84">
        <v>7.953450133242615E-2</v>
      </c>
      <c r="H3788" s="47">
        <f t="shared" ref="H3788:H3833" si="461">G3788*0.547724257568083</f>
        <v>4.3562975693350818E-2</v>
      </c>
      <c r="I3788" s="47">
        <v>0.15260531836480126</v>
      </c>
      <c r="J3788" s="47">
        <f t="shared" ref="J3788:J3833" si="462">I3788*0.407968047808111</f>
        <v>6.2258093818423246E-2</v>
      </c>
      <c r="K3788" s="47">
        <v>1.064523445030334E-2</v>
      </c>
      <c r="L3788" s="47">
        <f t="shared" ref="L3788:L3833" si="463">K3788*0.643696645092891</f>
        <v>6.8523017018875263E-3</v>
      </c>
      <c r="M3788" s="47">
        <f t="shared" si="460"/>
        <v>3.6710673991463293E-2</v>
      </c>
      <c r="N3788" s="47">
        <v>7.2362079718773037E-2</v>
      </c>
      <c r="O3788" s="47">
        <f t="shared" ref="O3788:O3833" si="464">N3788*0.442622999495112</f>
        <v>3.2029120774827731E-2</v>
      </c>
      <c r="P3788" s="47"/>
    </row>
    <row r="3789" spans="1:16" x14ac:dyDescent="0.25">
      <c r="A3789" s="29">
        <v>16</v>
      </c>
      <c r="B3789" s="30">
        <v>438049.10856199998</v>
      </c>
      <c r="C3789" s="30">
        <v>5688393.3324180003</v>
      </c>
      <c r="D3789" s="30">
        <v>30</v>
      </c>
      <c r="E3789" s="30" t="s">
        <v>40</v>
      </c>
      <c r="F3789" s="46">
        <v>2025</v>
      </c>
      <c r="G3789" s="84">
        <v>9.6388274649883768E-3</v>
      </c>
      <c r="H3789" s="47">
        <f t="shared" si="461"/>
        <v>5.2794196170876054E-3</v>
      </c>
      <c r="I3789" s="47">
        <v>0</v>
      </c>
      <c r="J3789" s="47">
        <f t="shared" si="462"/>
        <v>0</v>
      </c>
      <c r="K3789" s="47">
        <v>4.7201905085898967E-3</v>
      </c>
      <c r="L3789" s="47">
        <f t="shared" si="463"/>
        <v>3.0383707945786237E-3</v>
      </c>
      <c r="M3789" s="47">
        <f t="shared" si="460"/>
        <v>2.2410488225089818E-3</v>
      </c>
      <c r="N3789" s="47">
        <v>0</v>
      </c>
      <c r="O3789" s="47">
        <f t="shared" si="464"/>
        <v>0</v>
      </c>
      <c r="P3789" s="47"/>
    </row>
    <row r="3790" spans="1:16" x14ac:dyDescent="0.25">
      <c r="A3790" s="29">
        <v>17</v>
      </c>
      <c r="B3790" s="30">
        <v>438168.10856199998</v>
      </c>
      <c r="C3790" s="30">
        <v>5688393.3324180003</v>
      </c>
      <c r="D3790" s="30">
        <v>30</v>
      </c>
      <c r="E3790" s="30" t="s">
        <v>40</v>
      </c>
      <c r="F3790" s="46">
        <v>2025</v>
      </c>
      <c r="G3790" s="47">
        <v>3.1822305380733683E-2</v>
      </c>
      <c r="H3790" s="47">
        <f t="shared" si="461"/>
        <v>1.7429848588767168E-2</v>
      </c>
      <c r="I3790" s="47">
        <v>1.3862901854056812E-2</v>
      </c>
      <c r="J3790" s="47">
        <f t="shared" si="462"/>
        <v>5.6556210063550003E-3</v>
      </c>
      <c r="K3790" s="47">
        <v>7.9520326586154117E-3</v>
      </c>
      <c r="L3790" s="47">
        <f t="shared" si="463"/>
        <v>5.1186967440198438E-3</v>
      </c>
      <c r="M3790" s="47">
        <f t="shared" si="460"/>
        <v>1.2311151844747324E-2</v>
      </c>
      <c r="N3790" s="47">
        <v>1.6017463287407155E-3</v>
      </c>
      <c r="O3790" s="47">
        <f t="shared" si="464"/>
        <v>7.089697644574992E-4</v>
      </c>
      <c r="P3790" s="47"/>
    </row>
    <row r="3791" spans="1:16" x14ac:dyDescent="0.25">
      <c r="A3791" s="29">
        <v>18</v>
      </c>
      <c r="B3791" s="90">
        <v>438287.10856199998</v>
      </c>
      <c r="C3791" s="90">
        <v>5688393.3324180003</v>
      </c>
      <c r="D3791" s="90">
        <v>29</v>
      </c>
      <c r="E3791" s="90" t="s">
        <v>40</v>
      </c>
      <c r="F3791" s="90">
        <v>2025</v>
      </c>
      <c r="G3791" s="90" t="s">
        <v>18</v>
      </c>
      <c r="H3791" s="90" t="s">
        <v>18</v>
      </c>
      <c r="I3791" s="90" t="s">
        <v>18</v>
      </c>
      <c r="J3791" s="90" t="s">
        <v>18</v>
      </c>
      <c r="K3791" s="90" t="s">
        <v>18</v>
      </c>
      <c r="L3791" s="90" t="s">
        <v>18</v>
      </c>
      <c r="M3791" s="90" t="s">
        <v>18</v>
      </c>
      <c r="N3791" s="90" t="s">
        <v>18</v>
      </c>
      <c r="O3791" s="90" t="s">
        <v>18</v>
      </c>
      <c r="P3791" s="90" t="s">
        <v>18</v>
      </c>
    </row>
    <row r="3792" spans="1:16" x14ac:dyDescent="0.25">
      <c r="A3792" s="29">
        <v>19</v>
      </c>
      <c r="B3792" s="30">
        <v>438406.10856199998</v>
      </c>
      <c r="C3792" s="30">
        <v>5688393.3324180003</v>
      </c>
      <c r="D3792" s="30">
        <v>29</v>
      </c>
      <c r="E3792" s="30" t="s">
        <v>40</v>
      </c>
      <c r="F3792" s="46">
        <v>2025</v>
      </c>
      <c r="G3792" s="84">
        <v>2.1106197199070139E-2</v>
      </c>
      <c r="H3792" s="47">
        <f t="shared" si="461"/>
        <v>1.1560376190946244E-2</v>
      </c>
      <c r="I3792" s="47">
        <v>0</v>
      </c>
      <c r="J3792" s="47">
        <f t="shared" si="462"/>
        <v>0</v>
      </c>
      <c r="K3792" s="47">
        <v>4.9469864489425633E-3</v>
      </c>
      <c r="L3792" s="47">
        <f t="shared" si="463"/>
        <v>3.1843585805043225E-3</v>
      </c>
      <c r="M3792" s="47">
        <f t="shared" si="460"/>
        <v>8.3760176104419222E-3</v>
      </c>
      <c r="N3792" s="47">
        <v>0</v>
      </c>
      <c r="O3792" s="47">
        <f t="shared" si="464"/>
        <v>0</v>
      </c>
      <c r="P3792" s="47"/>
    </row>
    <row r="3793" spans="1:16" x14ac:dyDescent="0.25">
      <c r="A3793" s="42">
        <v>20</v>
      </c>
      <c r="B3793" s="43">
        <v>437335.10856199998</v>
      </c>
      <c r="C3793" s="43">
        <v>5688512.3324180003</v>
      </c>
      <c r="D3793" s="44">
        <v>29</v>
      </c>
      <c r="E3793" s="44" t="s">
        <v>40</v>
      </c>
      <c r="F3793" s="44">
        <v>2025</v>
      </c>
      <c r="G3793" s="45" t="s">
        <v>18</v>
      </c>
      <c r="H3793" s="45" t="s">
        <v>18</v>
      </c>
      <c r="I3793" s="45" t="s">
        <v>18</v>
      </c>
      <c r="J3793" s="45" t="s">
        <v>18</v>
      </c>
      <c r="K3793" s="45" t="s">
        <v>18</v>
      </c>
      <c r="L3793" s="45" t="s">
        <v>18</v>
      </c>
      <c r="M3793" s="45" t="s">
        <v>18</v>
      </c>
      <c r="N3793" s="45" t="s">
        <v>18</v>
      </c>
      <c r="O3793" s="45" t="s">
        <v>18</v>
      </c>
      <c r="P3793" s="45" t="s">
        <v>109</v>
      </c>
    </row>
    <row r="3794" spans="1:16" x14ac:dyDescent="0.25">
      <c r="A3794" s="89">
        <v>21</v>
      </c>
      <c r="B3794" s="90">
        <v>437454.10856199998</v>
      </c>
      <c r="C3794" s="90">
        <v>5688512.3324180003</v>
      </c>
      <c r="D3794" s="90">
        <v>29</v>
      </c>
      <c r="E3794" s="90" t="s">
        <v>40</v>
      </c>
      <c r="F3794" s="90">
        <v>2025</v>
      </c>
      <c r="G3794" s="90" t="s">
        <v>18</v>
      </c>
      <c r="H3794" s="90" t="s">
        <v>18</v>
      </c>
      <c r="I3794" s="90" t="s">
        <v>18</v>
      </c>
      <c r="J3794" s="90" t="s">
        <v>18</v>
      </c>
      <c r="K3794" s="90" t="s">
        <v>18</v>
      </c>
      <c r="L3794" s="90" t="s">
        <v>18</v>
      </c>
      <c r="M3794" s="90" t="s">
        <v>18</v>
      </c>
      <c r="N3794" s="90" t="s">
        <v>18</v>
      </c>
      <c r="O3794" s="90" t="s">
        <v>18</v>
      </c>
      <c r="P3794" s="90" t="s">
        <v>18</v>
      </c>
    </row>
    <row r="3795" spans="1:16" x14ac:dyDescent="0.25">
      <c r="A3795" s="29">
        <v>22</v>
      </c>
      <c r="B3795" s="30">
        <v>437573.10856199998</v>
      </c>
      <c r="C3795" s="30">
        <v>5688512.3324180003</v>
      </c>
      <c r="D3795" s="30">
        <v>30</v>
      </c>
      <c r="E3795" s="30" t="s">
        <v>40</v>
      </c>
      <c r="F3795" s="46">
        <v>2025</v>
      </c>
      <c r="G3795" s="84">
        <v>3.786074729262346E-2</v>
      </c>
      <c r="H3795" s="47">
        <f t="shared" si="461"/>
        <v>2.0737249701824993E-2</v>
      </c>
      <c r="I3795" s="47">
        <v>0.12468106820887905</v>
      </c>
      <c r="J3795" s="47">
        <f t="shared" si="462"/>
        <v>5.0865891995806316E-2</v>
      </c>
      <c r="K3795" s="47">
        <v>1.5932414809774906E-2</v>
      </c>
      <c r="L3795" s="47">
        <f t="shared" si="463"/>
        <v>1.0255641961280398E-2</v>
      </c>
      <c r="M3795" s="47">
        <f t="shared" si="460"/>
        <v>1.0481607740544595E-2</v>
      </c>
      <c r="N3795" s="47">
        <v>9.9166524919203955E-2</v>
      </c>
      <c r="O3795" s="47">
        <f t="shared" si="464"/>
        <v>4.3893384709244823E-2</v>
      </c>
      <c r="P3795" s="47"/>
    </row>
    <row r="3796" spans="1:16" x14ac:dyDescent="0.25">
      <c r="A3796" s="29">
        <v>23</v>
      </c>
      <c r="B3796" s="30">
        <v>437692.10856199998</v>
      </c>
      <c r="C3796" s="30">
        <v>5688512.3324180003</v>
      </c>
      <c r="D3796" s="30">
        <v>30</v>
      </c>
      <c r="E3796" s="30" t="s">
        <v>40</v>
      </c>
      <c r="F3796" s="46">
        <v>2025</v>
      </c>
      <c r="G3796" s="84">
        <v>5.769121732720984E-3</v>
      </c>
      <c r="H3796" s="47">
        <f t="shared" si="461"/>
        <v>3.1598879178744935E-3</v>
      </c>
      <c r="I3796" s="47">
        <v>1.0531836480127005E-2</v>
      </c>
      <c r="J3796" s="47">
        <f t="shared" si="462"/>
        <v>4.2966527686316616E-3</v>
      </c>
      <c r="K3796" s="47">
        <v>5.3864035833758568E-4</v>
      </c>
      <c r="L3796" s="47">
        <f t="shared" si="463"/>
        <v>3.4672099157353656E-4</v>
      </c>
      <c r="M3796" s="47">
        <f t="shared" si="460"/>
        <v>2.8131669263009571E-3</v>
      </c>
      <c r="N3796" s="47">
        <v>2.7102114872143788E-2</v>
      </c>
      <c r="O3796" s="47">
        <f t="shared" si="464"/>
        <v>1.1996019377369369E-2</v>
      </c>
      <c r="P3796" s="47"/>
    </row>
    <row r="3797" spans="1:16" x14ac:dyDescent="0.25">
      <c r="A3797" s="29">
        <v>24</v>
      </c>
      <c r="B3797" s="30">
        <v>437811.10856199998</v>
      </c>
      <c r="C3797" s="30">
        <v>5688512.3324180003</v>
      </c>
      <c r="D3797" s="30">
        <v>30</v>
      </c>
      <c r="E3797" s="30" t="s">
        <v>40</v>
      </c>
      <c r="F3797" s="46">
        <v>2025</v>
      </c>
      <c r="G3797" s="84">
        <v>3.1978227589726141E-2</v>
      </c>
      <c r="H3797" s="47">
        <f t="shared" si="461"/>
        <v>1.7515250964925937E-2</v>
      </c>
      <c r="I3797" s="47">
        <v>3.4260361739524861E-2</v>
      </c>
      <c r="J3797" s="47">
        <f t="shared" si="462"/>
        <v>1.3977132896073656E-2</v>
      </c>
      <c r="K3797" s="47">
        <v>1.4047173555593354E-2</v>
      </c>
      <c r="L3797" s="47">
        <f t="shared" si="463"/>
        <v>9.0421184907730195E-3</v>
      </c>
      <c r="M3797" s="47">
        <f t="shared" si="460"/>
        <v>8.4731324741529179E-3</v>
      </c>
      <c r="N3797" s="47">
        <v>1.1835913137154845E-2</v>
      </c>
      <c r="O3797" s="47">
        <f t="shared" si="464"/>
        <v>5.2388473745310785E-3</v>
      </c>
      <c r="P3797" s="47"/>
    </row>
    <row r="3798" spans="1:16" x14ac:dyDescent="0.25">
      <c r="A3798" s="29">
        <v>25</v>
      </c>
      <c r="B3798" s="46">
        <v>437995</v>
      </c>
      <c r="C3798" s="46">
        <v>5688493</v>
      </c>
      <c r="D3798" s="30">
        <v>30</v>
      </c>
      <c r="E3798" s="30" t="s">
        <v>40</v>
      </c>
      <c r="F3798" s="46">
        <v>2025</v>
      </c>
      <c r="G3798" s="84">
        <v>5.4005783296478989E-3</v>
      </c>
      <c r="H3798" s="47">
        <f t="shared" si="461"/>
        <v>2.9580277560446728E-3</v>
      </c>
      <c r="I3798" s="47">
        <v>0</v>
      </c>
      <c r="J3798" s="47">
        <f t="shared" si="462"/>
        <v>0</v>
      </c>
      <c r="K3798" s="47">
        <v>1.8994160004535919E-3</v>
      </c>
      <c r="L3798" s="47">
        <f t="shared" si="463"/>
        <v>1.2226477071277343E-3</v>
      </c>
      <c r="M3798" s="47">
        <f t="shared" si="460"/>
        <v>1.7353800489169386E-3</v>
      </c>
      <c r="N3798" s="47">
        <v>0</v>
      </c>
      <c r="O3798" s="47">
        <f t="shared" si="464"/>
        <v>0</v>
      </c>
      <c r="P3798" s="47"/>
    </row>
    <row r="3799" spans="1:16" x14ac:dyDescent="0.25">
      <c r="A3799" s="29">
        <v>26</v>
      </c>
      <c r="B3799" s="46">
        <v>438112</v>
      </c>
      <c r="C3799" s="46">
        <v>5688567</v>
      </c>
      <c r="D3799" s="30">
        <v>30</v>
      </c>
      <c r="E3799" s="30" t="s">
        <v>40</v>
      </c>
      <c r="F3799" s="46">
        <v>2025</v>
      </c>
      <c r="G3799" s="84">
        <v>1.146736973408176E-2</v>
      </c>
      <c r="H3799" s="47">
        <f t="shared" si="461"/>
        <v>6.2809565738586376E-3</v>
      </c>
      <c r="I3799" s="47">
        <v>0</v>
      </c>
      <c r="J3799" s="47">
        <f t="shared" si="462"/>
        <v>0</v>
      </c>
      <c r="K3799" s="47">
        <v>1.5450473436525486E-3</v>
      </c>
      <c r="L3799" s="47">
        <f t="shared" si="463"/>
        <v>9.9454179161882869E-4</v>
      </c>
      <c r="M3799" s="47">
        <f t="shared" si="460"/>
        <v>5.2864147822398091E-3</v>
      </c>
      <c r="N3799" s="47">
        <v>0</v>
      </c>
      <c r="O3799" s="47">
        <f t="shared" si="464"/>
        <v>0</v>
      </c>
      <c r="P3799" s="47"/>
    </row>
    <row r="3800" spans="1:16" x14ac:dyDescent="0.25">
      <c r="A3800" s="32">
        <v>27</v>
      </c>
      <c r="B3800" s="33">
        <v>438168.10856199998</v>
      </c>
      <c r="C3800" s="33">
        <v>5688512.3324180003</v>
      </c>
      <c r="D3800" s="48">
        <v>29</v>
      </c>
      <c r="E3800" s="48" t="s">
        <v>40</v>
      </c>
      <c r="F3800" s="48">
        <v>2025</v>
      </c>
      <c r="G3800" s="49" t="s">
        <v>18</v>
      </c>
      <c r="H3800" s="49" t="s">
        <v>18</v>
      </c>
      <c r="I3800" s="49" t="s">
        <v>18</v>
      </c>
      <c r="J3800" s="49" t="s">
        <v>18</v>
      </c>
      <c r="K3800" s="49" t="s">
        <v>18</v>
      </c>
      <c r="L3800" s="49" t="s">
        <v>18</v>
      </c>
      <c r="M3800" s="49" t="s">
        <v>18</v>
      </c>
      <c r="N3800" s="49" t="s">
        <v>18</v>
      </c>
      <c r="O3800" s="49" t="s">
        <v>18</v>
      </c>
      <c r="P3800" s="49" t="s">
        <v>18</v>
      </c>
    </row>
    <row r="3801" spans="1:16" x14ac:dyDescent="0.25">
      <c r="A3801" s="32">
        <v>28</v>
      </c>
      <c r="B3801" s="33">
        <v>438287.10856199998</v>
      </c>
      <c r="C3801" s="33">
        <v>5688512.3324180003</v>
      </c>
      <c r="D3801" s="48">
        <v>29</v>
      </c>
      <c r="E3801" s="48" t="s">
        <v>40</v>
      </c>
      <c r="F3801" s="48">
        <v>2025</v>
      </c>
      <c r="G3801" s="49" t="s">
        <v>18</v>
      </c>
      <c r="H3801" s="49" t="s">
        <v>18</v>
      </c>
      <c r="I3801" s="49" t="s">
        <v>18</v>
      </c>
      <c r="J3801" s="49" t="s">
        <v>18</v>
      </c>
      <c r="K3801" s="49" t="s">
        <v>18</v>
      </c>
      <c r="L3801" s="49" t="s">
        <v>18</v>
      </c>
      <c r="M3801" s="49" t="s">
        <v>18</v>
      </c>
      <c r="N3801" s="49" t="s">
        <v>18</v>
      </c>
      <c r="O3801" s="49" t="s">
        <v>18</v>
      </c>
      <c r="P3801" s="49" t="s">
        <v>18</v>
      </c>
    </row>
    <row r="3802" spans="1:16" x14ac:dyDescent="0.25">
      <c r="A3802" s="29">
        <v>29</v>
      </c>
      <c r="B3802" s="30">
        <v>438381</v>
      </c>
      <c r="C3802" s="30">
        <v>5688526</v>
      </c>
      <c r="D3802" s="30">
        <v>29</v>
      </c>
      <c r="E3802" s="30" t="s">
        <v>40</v>
      </c>
      <c r="F3802" s="46">
        <v>2025</v>
      </c>
      <c r="G3802" s="84">
        <v>1.1339797017633385E-2</v>
      </c>
      <c r="H3802" s="47">
        <f t="shared" si="461"/>
        <v>6.2110819024560069E-3</v>
      </c>
      <c r="I3802" s="47">
        <v>0</v>
      </c>
      <c r="J3802" s="47">
        <f t="shared" si="462"/>
        <v>0</v>
      </c>
      <c r="K3802" s="47">
        <v>5.3580540908317736E-3</v>
      </c>
      <c r="L3802" s="47">
        <f t="shared" si="463"/>
        <v>3.4489614424946533E-3</v>
      </c>
      <c r="M3802" s="47">
        <f t="shared" si="460"/>
        <v>2.7621204599613536E-3</v>
      </c>
      <c r="N3802" s="47">
        <v>0</v>
      </c>
      <c r="O3802" s="47">
        <f t="shared" si="464"/>
        <v>0</v>
      </c>
      <c r="P3802" s="47"/>
    </row>
    <row r="3803" spans="1:16" x14ac:dyDescent="0.25">
      <c r="A3803" s="29">
        <v>30</v>
      </c>
      <c r="B3803" s="30">
        <v>438525.10856199998</v>
      </c>
      <c r="C3803" s="30">
        <v>5688512.3324180003</v>
      </c>
      <c r="D3803" s="30">
        <v>29</v>
      </c>
      <c r="E3803" s="30" t="s">
        <v>40</v>
      </c>
      <c r="F3803" s="46">
        <v>2025</v>
      </c>
      <c r="G3803" s="84">
        <v>1.1651641435618301E-2</v>
      </c>
      <c r="H3803" s="47">
        <f t="shared" si="461"/>
        <v>6.381886654773546E-3</v>
      </c>
      <c r="I3803" s="84">
        <v>0</v>
      </c>
      <c r="J3803" s="47">
        <f t="shared" si="462"/>
        <v>0</v>
      </c>
      <c r="K3803" s="47">
        <v>3.1893179112093893E-3</v>
      </c>
      <c r="L3803" s="47">
        <f t="shared" si="463"/>
        <v>2.052953239580151E-3</v>
      </c>
      <c r="M3803" s="47">
        <f t="shared" si="460"/>
        <v>4.3289334151933954E-3</v>
      </c>
      <c r="N3803" s="47">
        <v>0</v>
      </c>
      <c r="O3803" s="47">
        <f t="shared" si="464"/>
        <v>0</v>
      </c>
      <c r="P3803" s="47"/>
    </row>
    <row r="3804" spans="1:16" x14ac:dyDescent="0.25">
      <c r="A3804" s="29">
        <v>31</v>
      </c>
      <c r="B3804" s="30">
        <v>437335.10856199998</v>
      </c>
      <c r="C3804" s="30">
        <v>5688631.3324180003</v>
      </c>
      <c r="D3804" s="30">
        <v>29</v>
      </c>
      <c r="E3804" s="30" t="s">
        <v>40</v>
      </c>
      <c r="F3804" s="46">
        <v>2025</v>
      </c>
      <c r="G3804" s="47">
        <v>3.9377445143731926E-2</v>
      </c>
      <c r="H3804" s="47">
        <f t="shared" si="461"/>
        <v>2.1567981906278483E-2</v>
      </c>
      <c r="I3804" s="47">
        <v>0.15631910188807621</v>
      </c>
      <c r="J3804" s="47">
        <f t="shared" si="462"/>
        <v>6.3773198832395656E-2</v>
      </c>
      <c r="K3804" s="47">
        <v>4.7343652548619379E-3</v>
      </c>
      <c r="L3804" s="47">
        <f t="shared" si="463"/>
        <v>3.0474950311989795E-3</v>
      </c>
      <c r="M3804" s="47">
        <f t="shared" si="460"/>
        <v>1.8520486875079505E-2</v>
      </c>
      <c r="N3804" s="47">
        <v>0</v>
      </c>
      <c r="O3804" s="47">
        <f t="shared" si="464"/>
        <v>0</v>
      </c>
      <c r="P3804" s="47"/>
    </row>
    <row r="3805" spans="1:16" x14ac:dyDescent="0.25">
      <c r="A3805" s="29">
        <v>32</v>
      </c>
      <c r="B3805" s="30">
        <v>437454.10856199998</v>
      </c>
      <c r="C3805" s="30">
        <v>5688631.3324180003</v>
      </c>
      <c r="D3805" s="30">
        <v>30</v>
      </c>
      <c r="E3805" s="30" t="s">
        <v>40</v>
      </c>
      <c r="F3805" s="46">
        <v>2025</v>
      </c>
      <c r="G3805" s="47">
        <v>2.0553382094460507E-3</v>
      </c>
      <c r="H3805" s="47">
        <f t="shared" si="461"/>
        <v>1.1257585948201512E-3</v>
      </c>
      <c r="I3805" s="47">
        <v>0</v>
      </c>
      <c r="J3805" s="47">
        <f t="shared" si="462"/>
        <v>0</v>
      </c>
      <c r="K3805" s="47">
        <v>1.8994160004535919E-3</v>
      </c>
      <c r="L3805" s="47">
        <f t="shared" si="463"/>
        <v>1.2226477071277343E-3</v>
      </c>
      <c r="M3805" s="47">
        <f t="shared" si="460"/>
        <v>-9.6889112307583115E-5</v>
      </c>
      <c r="N3805" s="47">
        <v>0</v>
      </c>
      <c r="O3805" s="47">
        <f t="shared" si="464"/>
        <v>0</v>
      </c>
      <c r="P3805" s="47"/>
    </row>
    <row r="3806" spans="1:16" x14ac:dyDescent="0.25">
      <c r="A3806" s="29">
        <v>33</v>
      </c>
      <c r="B3806" s="30">
        <v>437573.10856199998</v>
      </c>
      <c r="C3806" s="30">
        <v>5688631.3324180003</v>
      </c>
      <c r="D3806" s="30">
        <v>30</v>
      </c>
      <c r="E3806" s="30" t="s">
        <v>40</v>
      </c>
      <c r="F3806" s="46">
        <v>2025</v>
      </c>
      <c r="G3806" s="84">
        <v>6.1943641208822365E-3</v>
      </c>
      <c r="H3806" s="47">
        <f t="shared" si="461"/>
        <v>3.3928034892165937E-3</v>
      </c>
      <c r="I3806" s="47">
        <v>0</v>
      </c>
      <c r="J3806" s="47">
        <f t="shared" si="462"/>
        <v>0</v>
      </c>
      <c r="K3806" s="47">
        <v>1.2332029256676305E-3</v>
      </c>
      <c r="L3806" s="47">
        <f t="shared" si="463"/>
        <v>7.9380858597099169E-4</v>
      </c>
      <c r="M3806" s="47">
        <f t="shared" si="460"/>
        <v>2.5989949032456019E-3</v>
      </c>
      <c r="N3806" s="47">
        <v>0</v>
      </c>
      <c r="O3806" s="47">
        <f t="shared" si="464"/>
        <v>0</v>
      </c>
      <c r="P3806" s="47"/>
    </row>
    <row r="3807" spans="1:16" x14ac:dyDescent="0.25">
      <c r="A3807" s="29">
        <v>34</v>
      </c>
      <c r="B3807" s="30">
        <v>437692.10856199998</v>
      </c>
      <c r="C3807" s="30">
        <v>5688631.3324180003</v>
      </c>
      <c r="D3807" s="30">
        <v>30</v>
      </c>
      <c r="E3807" s="30" t="s">
        <v>40</v>
      </c>
      <c r="F3807" s="46">
        <v>2025</v>
      </c>
      <c r="G3807" s="84">
        <v>5.7407722401769008E-3</v>
      </c>
      <c r="H3807" s="47">
        <f t="shared" si="461"/>
        <v>3.1443602131183534E-3</v>
      </c>
      <c r="I3807" s="47">
        <v>0</v>
      </c>
      <c r="J3807" s="47">
        <f t="shared" si="462"/>
        <v>0</v>
      </c>
      <c r="K3807" s="47">
        <v>1.0631059704031298E-3</v>
      </c>
      <c r="L3807" s="47">
        <f t="shared" si="463"/>
        <v>6.843177465267169E-4</v>
      </c>
      <c r="M3807" s="47">
        <f t="shared" si="460"/>
        <v>2.4600424665916364E-3</v>
      </c>
      <c r="N3807" s="47">
        <v>0</v>
      </c>
      <c r="O3807" s="47">
        <f t="shared" si="464"/>
        <v>0</v>
      </c>
      <c r="P3807" s="47"/>
    </row>
    <row r="3808" spans="1:16" x14ac:dyDescent="0.25">
      <c r="A3808" s="29">
        <v>35</v>
      </c>
      <c r="B3808" s="30">
        <v>437893</v>
      </c>
      <c r="C3808" s="30">
        <v>5688620</v>
      </c>
      <c r="D3808" s="30">
        <v>30</v>
      </c>
      <c r="E3808" s="30" t="s">
        <v>40</v>
      </c>
      <c r="F3808" s="46">
        <v>2025</v>
      </c>
      <c r="G3808" s="84">
        <v>1.0120768838237796E-2</v>
      </c>
      <c r="H3808" s="47">
        <f t="shared" si="461"/>
        <v>5.5433905979419863E-3</v>
      </c>
      <c r="I3808" s="47">
        <v>0</v>
      </c>
      <c r="J3808" s="47">
        <f t="shared" si="462"/>
        <v>0</v>
      </c>
      <c r="K3808" s="47">
        <v>5.6698985088166924E-3</v>
      </c>
      <c r="L3808" s="47">
        <f t="shared" si="463"/>
        <v>3.6496946481424904E-3</v>
      </c>
      <c r="M3808" s="47">
        <f>H3808-L3808</f>
        <v>1.8936959497994959E-3</v>
      </c>
      <c r="N3808" s="47">
        <v>0</v>
      </c>
      <c r="O3808" s="47">
        <f t="shared" si="464"/>
        <v>0</v>
      </c>
      <c r="P3808" s="47"/>
    </row>
    <row r="3809" spans="1:16" x14ac:dyDescent="0.25">
      <c r="A3809" s="29">
        <v>36</v>
      </c>
      <c r="B3809" s="30">
        <v>437930.10856199998</v>
      </c>
      <c r="C3809" s="30">
        <v>5688631.3324180003</v>
      </c>
      <c r="D3809" s="30">
        <v>30</v>
      </c>
      <c r="E3809" s="30" t="s">
        <v>40</v>
      </c>
      <c r="F3809" s="46">
        <v>2025</v>
      </c>
      <c r="G3809" s="84">
        <v>1.5152803764812608E-2</v>
      </c>
      <c r="H3809" s="47">
        <f t="shared" si="461"/>
        <v>8.2995581921568376E-3</v>
      </c>
      <c r="I3809" s="47">
        <v>0</v>
      </c>
      <c r="J3809" s="47">
        <f t="shared" si="462"/>
        <v>0</v>
      </c>
      <c r="K3809" s="47">
        <v>2.5798038215115947E-3</v>
      </c>
      <c r="L3809" s="47">
        <f t="shared" si="463"/>
        <v>1.660611064904833E-3</v>
      </c>
      <c r="M3809" s="47">
        <f t="shared" si="460"/>
        <v>6.638947127252005E-3</v>
      </c>
      <c r="N3809" s="47">
        <v>0</v>
      </c>
      <c r="O3809" s="47">
        <f t="shared" si="464"/>
        <v>0</v>
      </c>
      <c r="P3809" s="47"/>
    </row>
    <row r="3810" spans="1:16" x14ac:dyDescent="0.25">
      <c r="A3810" s="32">
        <v>37</v>
      </c>
      <c r="B3810" s="33">
        <v>438049.10856199998</v>
      </c>
      <c r="C3810" s="33">
        <v>5688631.3324180003</v>
      </c>
      <c r="D3810" s="48">
        <v>29</v>
      </c>
      <c r="E3810" s="48" t="s">
        <v>40</v>
      </c>
      <c r="F3810" s="48">
        <v>2025</v>
      </c>
      <c r="G3810" s="49" t="s">
        <v>18</v>
      </c>
      <c r="H3810" s="49" t="s">
        <v>18</v>
      </c>
      <c r="I3810" s="49" t="s">
        <v>18</v>
      </c>
      <c r="J3810" s="49" t="s">
        <v>18</v>
      </c>
      <c r="K3810" s="49" t="s">
        <v>18</v>
      </c>
      <c r="L3810" s="49" t="s">
        <v>18</v>
      </c>
      <c r="M3810" s="49" t="s">
        <v>18</v>
      </c>
      <c r="N3810" s="49" t="s">
        <v>18</v>
      </c>
      <c r="O3810" s="49" t="s">
        <v>18</v>
      </c>
      <c r="P3810" s="49" t="s">
        <v>18</v>
      </c>
    </row>
    <row r="3811" spans="1:16" x14ac:dyDescent="0.25">
      <c r="A3811" s="29">
        <v>38</v>
      </c>
      <c r="B3811" s="30">
        <v>438067</v>
      </c>
      <c r="C3811" s="30">
        <v>5688710</v>
      </c>
      <c r="D3811" s="30">
        <v>29</v>
      </c>
      <c r="E3811" s="30" t="s">
        <v>40</v>
      </c>
      <c r="F3811" s="46">
        <v>2025</v>
      </c>
      <c r="G3811" s="84">
        <v>4.3913363950785281E-2</v>
      </c>
      <c r="H3811" s="47">
        <f t="shared" si="461"/>
        <v>2.4052414667260887E-2</v>
      </c>
      <c r="I3811" s="47">
        <v>0</v>
      </c>
      <c r="J3811" s="47">
        <f t="shared" si="462"/>
        <v>0</v>
      </c>
      <c r="K3811" s="84">
        <v>1.9702897318138006E-3</v>
      </c>
      <c r="L3811" s="47">
        <f t="shared" si="463"/>
        <v>1.2682688902295155E-3</v>
      </c>
      <c r="M3811" s="47">
        <f t="shared" si="460"/>
        <v>2.2784145777031372E-2</v>
      </c>
      <c r="N3811" s="47">
        <v>0</v>
      </c>
      <c r="O3811" s="47">
        <f t="shared" si="464"/>
        <v>0</v>
      </c>
      <c r="P3811" s="47"/>
    </row>
    <row r="3812" spans="1:16" x14ac:dyDescent="0.25">
      <c r="A3812" s="32">
        <v>39</v>
      </c>
      <c r="B3812" s="33">
        <v>438287.10856199998</v>
      </c>
      <c r="C3812" s="33">
        <v>5688631.3324180003</v>
      </c>
      <c r="D3812" s="48">
        <v>29</v>
      </c>
      <c r="E3812" s="48" t="s">
        <v>40</v>
      </c>
      <c r="F3812" s="48">
        <v>2025</v>
      </c>
      <c r="G3812" s="49" t="s">
        <v>18</v>
      </c>
      <c r="H3812" s="49" t="s">
        <v>18</v>
      </c>
      <c r="I3812" s="49" t="s">
        <v>18</v>
      </c>
      <c r="J3812" s="49" t="s">
        <v>18</v>
      </c>
      <c r="K3812" s="49" t="s">
        <v>18</v>
      </c>
      <c r="L3812" s="49" t="s">
        <v>18</v>
      </c>
      <c r="M3812" s="49" t="s">
        <v>18</v>
      </c>
      <c r="N3812" s="49" t="s">
        <v>18</v>
      </c>
      <c r="O3812" s="49" t="s">
        <v>18</v>
      </c>
      <c r="P3812" s="49" t="s">
        <v>18</v>
      </c>
    </row>
    <row r="3813" spans="1:16" x14ac:dyDescent="0.25">
      <c r="A3813" s="89">
        <v>40</v>
      </c>
      <c r="B3813" s="90">
        <v>438406.10856199998</v>
      </c>
      <c r="C3813" s="90">
        <v>5688631.3324180003</v>
      </c>
      <c r="D3813" s="90">
        <v>29</v>
      </c>
      <c r="E3813" s="90" t="s">
        <v>40</v>
      </c>
      <c r="F3813" s="90">
        <v>2025</v>
      </c>
      <c r="G3813" s="90" t="s">
        <v>18</v>
      </c>
      <c r="H3813" s="90" t="s">
        <v>18</v>
      </c>
      <c r="I3813" s="90" t="s">
        <v>18</v>
      </c>
      <c r="J3813" s="90" t="s">
        <v>18</v>
      </c>
      <c r="K3813" s="90" t="s">
        <v>18</v>
      </c>
      <c r="L3813" s="90" t="s">
        <v>18</v>
      </c>
      <c r="M3813" s="90" t="s">
        <v>18</v>
      </c>
      <c r="N3813" s="90" t="s">
        <v>18</v>
      </c>
      <c r="O3813" s="90" t="s">
        <v>18</v>
      </c>
      <c r="P3813" s="90" t="s">
        <v>18</v>
      </c>
    </row>
    <row r="3814" spans="1:16" x14ac:dyDescent="0.25">
      <c r="A3814" s="29">
        <v>41</v>
      </c>
      <c r="B3814" s="30">
        <v>437310</v>
      </c>
      <c r="C3814" s="30">
        <v>5688729</v>
      </c>
      <c r="D3814" s="30">
        <v>30</v>
      </c>
      <c r="E3814" s="30" t="s">
        <v>40</v>
      </c>
      <c r="F3814" s="46">
        <v>2025</v>
      </c>
      <c r="G3814" s="84">
        <v>7.6968872257186603E-3</v>
      </c>
      <c r="H3814" s="47">
        <f t="shared" si="461"/>
        <v>4.2157718412920153E-3</v>
      </c>
      <c r="I3814" s="47">
        <v>0</v>
      </c>
      <c r="J3814" s="47">
        <f t="shared" si="462"/>
        <v>0</v>
      </c>
      <c r="K3814" s="47">
        <v>7.2291205987412815E-4</v>
      </c>
      <c r="L3814" s="47">
        <f t="shared" si="463"/>
        <v>4.6533606763816748E-4</v>
      </c>
      <c r="M3814" s="47">
        <f t="shared" si="460"/>
        <v>3.7504357736538479E-3</v>
      </c>
      <c r="N3814" s="47">
        <v>0</v>
      </c>
      <c r="O3814" s="47">
        <f t="shared" si="464"/>
        <v>0</v>
      </c>
      <c r="P3814" s="47"/>
    </row>
    <row r="3815" spans="1:16" x14ac:dyDescent="0.25">
      <c r="A3815" s="29">
        <v>42</v>
      </c>
      <c r="B3815" s="30">
        <v>437454.10856199998</v>
      </c>
      <c r="C3815" s="30">
        <v>5688750.3324180003</v>
      </c>
      <c r="D3815" s="30">
        <v>30</v>
      </c>
      <c r="E3815" s="30" t="s">
        <v>40</v>
      </c>
      <c r="F3815" s="46">
        <v>2025</v>
      </c>
      <c r="G3815" s="84">
        <v>2.4990077677609569E-2</v>
      </c>
      <c r="H3815" s="47">
        <f t="shared" si="461"/>
        <v>1.3687671742537424E-2</v>
      </c>
      <c r="I3815" s="84">
        <v>2.3331632363780688E-2</v>
      </c>
      <c r="J3815" s="47">
        <f t="shared" si="462"/>
        <v>9.5185605076281501E-3</v>
      </c>
      <c r="K3815" s="84">
        <v>1.4032998809321313E-3</v>
      </c>
      <c r="L3815" s="47">
        <f t="shared" si="463"/>
        <v>9.0329942541526637E-4</v>
      </c>
      <c r="M3815" s="47">
        <f>H3815-N3815</f>
        <v>1.3673764398137001E-2</v>
      </c>
      <c r="N3815" s="47">
        <v>1.3907344400423269E-5</v>
      </c>
      <c r="O3815" s="47">
        <f t="shared" si="464"/>
        <v>6.1557104935268977E-6</v>
      </c>
      <c r="P3815" s="5"/>
    </row>
    <row r="3816" spans="1:16" x14ac:dyDescent="0.25">
      <c r="A3816" s="29">
        <v>43</v>
      </c>
      <c r="B3816" s="30">
        <v>437573.10856199998</v>
      </c>
      <c r="C3816" s="30">
        <v>5688750.3324180003</v>
      </c>
      <c r="D3816" s="30">
        <v>30</v>
      </c>
      <c r="E3816" s="30" t="s">
        <v>40</v>
      </c>
      <c r="F3816" s="46">
        <v>2025</v>
      </c>
      <c r="G3816" s="84">
        <v>7.3850428077337415E-3</v>
      </c>
      <c r="H3816" s="47">
        <f t="shared" si="461"/>
        <v>4.0449670889744745E-3</v>
      </c>
      <c r="I3816" s="47">
        <v>3.4586380903781819E-3</v>
      </c>
      <c r="J3816" s="47">
        <f t="shared" si="462"/>
        <v>1.4110138298063599E-3</v>
      </c>
      <c r="K3816" s="47">
        <v>2.7640755230481373E-3</v>
      </c>
      <c r="L3816" s="47">
        <f t="shared" si="463"/>
        <v>1.779226140969464E-3</v>
      </c>
      <c r="M3816" s="47">
        <f t="shared" si="460"/>
        <v>2.2657409480050105E-3</v>
      </c>
      <c r="N3816" s="47">
        <v>1.2048534331235471E-3</v>
      </c>
      <c r="O3816" s="47">
        <f t="shared" si="464"/>
        <v>5.3329584052112778E-4</v>
      </c>
      <c r="P3816" s="47"/>
    </row>
    <row r="3817" spans="1:16" x14ac:dyDescent="0.25">
      <c r="A3817" s="29">
        <v>44</v>
      </c>
      <c r="B3817" s="30">
        <v>437692.10856199998</v>
      </c>
      <c r="C3817" s="30">
        <v>5688750.3324180003</v>
      </c>
      <c r="D3817" s="30">
        <v>30</v>
      </c>
      <c r="E3817" s="30" t="s">
        <v>40</v>
      </c>
      <c r="F3817" s="46">
        <v>2025</v>
      </c>
      <c r="G3817" s="84">
        <v>0</v>
      </c>
      <c r="H3817" s="47">
        <f t="shared" si="461"/>
        <v>0</v>
      </c>
      <c r="I3817" s="47">
        <v>0</v>
      </c>
      <c r="J3817" s="47">
        <f t="shared" si="462"/>
        <v>0</v>
      </c>
      <c r="K3817" s="47">
        <v>1.0914554629472132E-3</v>
      </c>
      <c r="L3817" s="47">
        <f t="shared" si="463"/>
        <v>7.0256621976742936E-4</v>
      </c>
      <c r="M3817" s="47">
        <f t="shared" si="460"/>
        <v>-7.0256621976742936E-4</v>
      </c>
      <c r="N3817" s="47">
        <v>0</v>
      </c>
      <c r="O3817" s="47">
        <f t="shared" si="464"/>
        <v>0</v>
      </c>
      <c r="P3817" s="47"/>
    </row>
    <row r="3818" spans="1:16" x14ac:dyDescent="0.25">
      <c r="A3818" s="29">
        <v>45</v>
      </c>
      <c r="B3818" s="30">
        <v>437811.10856199998</v>
      </c>
      <c r="C3818" s="30">
        <v>5688750.3324180003</v>
      </c>
      <c r="D3818" s="30">
        <v>30</v>
      </c>
      <c r="E3818" s="30" t="s">
        <v>40</v>
      </c>
      <c r="F3818" s="46">
        <v>2025</v>
      </c>
      <c r="G3818" s="84">
        <v>1.7576685377331744E-2</v>
      </c>
      <c r="H3818" s="47">
        <f t="shared" si="461"/>
        <v>9.6271769488068103E-3</v>
      </c>
      <c r="I3818" s="47">
        <v>0.12914611328457221</v>
      </c>
      <c r="J3818" s="47">
        <f t="shared" si="462"/>
        <v>5.2687487718712074E-2</v>
      </c>
      <c r="K3818" s="47">
        <v>7.1582468673810741E-3</v>
      </c>
      <c r="L3818" s="47">
        <f t="shared" si="463"/>
        <v>4.6077394932798939E-3</v>
      </c>
      <c r="M3818" s="47">
        <f t="shared" si="460"/>
        <v>5.0194374555269164E-3</v>
      </c>
      <c r="N3818" s="47">
        <v>6.7471792254918631E-2</v>
      </c>
      <c r="O3818" s="47">
        <f t="shared" si="464"/>
        <v>2.9864567069183154E-2</v>
      </c>
      <c r="P3818" s="47"/>
    </row>
    <row r="3819" spans="1:16" x14ac:dyDescent="0.25">
      <c r="A3819" s="65">
        <v>46</v>
      </c>
      <c r="B3819" s="66">
        <v>437930.10856199998</v>
      </c>
      <c r="C3819" s="66">
        <v>5688750.3324180003</v>
      </c>
      <c r="D3819" s="66">
        <v>29</v>
      </c>
      <c r="E3819" s="66" t="s">
        <v>40</v>
      </c>
      <c r="F3819" s="66">
        <v>2025</v>
      </c>
      <c r="G3819" s="66" t="s">
        <v>18</v>
      </c>
      <c r="H3819" s="66" t="s">
        <v>18</v>
      </c>
      <c r="I3819" s="66" t="s">
        <v>18</v>
      </c>
      <c r="J3819" s="66" t="s">
        <v>18</v>
      </c>
      <c r="K3819" s="66" t="s">
        <v>18</v>
      </c>
      <c r="L3819" s="66" t="s">
        <v>18</v>
      </c>
      <c r="M3819" s="66" t="s">
        <v>18</v>
      </c>
      <c r="N3819" s="66" t="s">
        <v>18</v>
      </c>
      <c r="O3819" s="66" t="s">
        <v>18</v>
      </c>
      <c r="P3819" s="67" t="s">
        <v>166</v>
      </c>
    </row>
    <row r="3820" spans="1:16" x14ac:dyDescent="0.25">
      <c r="A3820" s="89">
        <v>47</v>
      </c>
      <c r="B3820" s="90">
        <v>438061</v>
      </c>
      <c r="C3820" s="90">
        <v>5688779</v>
      </c>
      <c r="D3820" s="90">
        <v>29</v>
      </c>
      <c r="E3820" s="90" t="s">
        <v>40</v>
      </c>
      <c r="F3820" s="90">
        <v>2025</v>
      </c>
      <c r="G3820" s="90" t="s">
        <v>18</v>
      </c>
      <c r="H3820" s="90" t="s">
        <v>18</v>
      </c>
      <c r="I3820" s="90" t="s">
        <v>18</v>
      </c>
      <c r="J3820" s="90" t="s">
        <v>18</v>
      </c>
      <c r="K3820" s="90" t="s">
        <v>18</v>
      </c>
      <c r="L3820" s="90" t="s">
        <v>18</v>
      </c>
      <c r="M3820" s="90" t="s">
        <v>18</v>
      </c>
      <c r="N3820" s="90" t="s">
        <v>18</v>
      </c>
      <c r="O3820" s="90" t="s">
        <v>18</v>
      </c>
      <c r="P3820" s="90" t="s">
        <v>18</v>
      </c>
    </row>
    <row r="3821" spans="1:16" x14ac:dyDescent="0.25">
      <c r="A3821" s="32">
        <v>48</v>
      </c>
      <c r="B3821" s="33">
        <v>438168.10856199998</v>
      </c>
      <c r="C3821" s="33">
        <v>5688750.3324180003</v>
      </c>
      <c r="D3821" s="48">
        <v>29</v>
      </c>
      <c r="E3821" s="48" t="s">
        <v>40</v>
      </c>
      <c r="F3821" s="48">
        <v>2025</v>
      </c>
      <c r="G3821" s="49" t="s">
        <v>18</v>
      </c>
      <c r="H3821" s="49" t="s">
        <v>18</v>
      </c>
      <c r="I3821" s="49" t="s">
        <v>18</v>
      </c>
      <c r="J3821" s="49" t="s">
        <v>18</v>
      </c>
      <c r="K3821" s="49" t="s">
        <v>18</v>
      </c>
      <c r="L3821" s="49" t="s">
        <v>18</v>
      </c>
      <c r="M3821" s="49" t="s">
        <v>18</v>
      </c>
      <c r="N3821" s="49" t="s">
        <v>18</v>
      </c>
      <c r="O3821" s="49" t="s">
        <v>18</v>
      </c>
      <c r="P3821" s="49" t="s">
        <v>18</v>
      </c>
    </row>
    <row r="3822" spans="1:16" x14ac:dyDescent="0.25">
      <c r="A3822" s="89">
        <v>49</v>
      </c>
      <c r="B3822" s="90">
        <v>437454.10856199998</v>
      </c>
      <c r="C3822" s="90">
        <v>5688869.3324180003</v>
      </c>
      <c r="D3822" s="90">
        <v>29</v>
      </c>
      <c r="E3822" s="90" t="s">
        <v>40</v>
      </c>
      <c r="F3822" s="90">
        <v>2025</v>
      </c>
      <c r="G3822" s="90" t="s">
        <v>18</v>
      </c>
      <c r="H3822" s="90" t="s">
        <v>18</v>
      </c>
      <c r="I3822" s="90" t="s">
        <v>18</v>
      </c>
      <c r="J3822" s="90" t="s">
        <v>18</v>
      </c>
      <c r="K3822" s="90" t="s">
        <v>18</v>
      </c>
      <c r="L3822" s="90" t="s">
        <v>18</v>
      </c>
      <c r="M3822" s="90" t="s">
        <v>18</v>
      </c>
      <c r="N3822" s="90" t="s">
        <v>18</v>
      </c>
      <c r="O3822" s="90" t="s">
        <v>18</v>
      </c>
      <c r="P3822" s="90" t="s">
        <v>18</v>
      </c>
    </row>
    <row r="3823" spans="1:16" x14ac:dyDescent="0.25">
      <c r="A3823" s="29">
        <v>50</v>
      </c>
      <c r="B3823" s="30">
        <v>437811.10856199998</v>
      </c>
      <c r="C3823" s="30">
        <v>5688869.3324180003</v>
      </c>
      <c r="D3823" s="30">
        <v>29</v>
      </c>
      <c r="E3823" s="30" t="s">
        <v>40</v>
      </c>
      <c r="F3823" s="46">
        <v>2025</v>
      </c>
      <c r="G3823" s="84">
        <v>5.7124227476328176E-3</v>
      </c>
      <c r="H3823" s="47">
        <f t="shared" si="461"/>
        <v>3.1288325083622137E-3</v>
      </c>
      <c r="I3823" s="47">
        <v>0</v>
      </c>
      <c r="J3823" s="47">
        <f t="shared" si="462"/>
        <v>0</v>
      </c>
      <c r="K3823" s="47">
        <v>1.956114985541759E-3</v>
      </c>
      <c r="L3823" s="47">
        <f t="shared" si="463"/>
        <v>1.2591446536091594E-3</v>
      </c>
      <c r="M3823" s="47">
        <f t="shared" si="460"/>
        <v>1.8696878547530542E-3</v>
      </c>
      <c r="N3823" s="47">
        <v>0</v>
      </c>
      <c r="O3823" s="47">
        <f t="shared" si="464"/>
        <v>0</v>
      </c>
      <c r="P3823" s="47"/>
    </row>
    <row r="3824" spans="1:16" x14ac:dyDescent="0.25">
      <c r="A3824" s="89">
        <v>51</v>
      </c>
      <c r="B3824" s="90">
        <v>437930.10856199998</v>
      </c>
      <c r="C3824" s="90">
        <v>5688869.3324180003</v>
      </c>
      <c r="D3824" s="90">
        <v>29</v>
      </c>
      <c r="E3824" s="90" t="s">
        <v>40</v>
      </c>
      <c r="F3824" s="90">
        <v>2025</v>
      </c>
      <c r="G3824" s="90" t="s">
        <v>18</v>
      </c>
      <c r="H3824" s="90" t="s">
        <v>18</v>
      </c>
      <c r="I3824" s="90" t="s">
        <v>18</v>
      </c>
      <c r="J3824" s="90" t="s">
        <v>18</v>
      </c>
      <c r="K3824" s="90" t="s">
        <v>18</v>
      </c>
      <c r="L3824" s="90" t="s">
        <v>18</v>
      </c>
      <c r="M3824" s="90" t="s">
        <v>18</v>
      </c>
      <c r="N3824" s="90" t="s">
        <v>18</v>
      </c>
      <c r="O3824" s="90" t="s">
        <v>18</v>
      </c>
      <c r="P3824" s="90" t="s">
        <v>18</v>
      </c>
    </row>
    <row r="3825" spans="1:16" x14ac:dyDescent="0.25">
      <c r="A3825" s="65">
        <v>52</v>
      </c>
      <c r="B3825" s="66">
        <v>438049.10856199998</v>
      </c>
      <c r="C3825" s="66">
        <v>5688869.3324180003</v>
      </c>
      <c r="D3825" s="66">
        <v>29</v>
      </c>
      <c r="E3825" s="66" t="s">
        <v>40</v>
      </c>
      <c r="F3825" s="66">
        <v>2025</v>
      </c>
      <c r="G3825" s="66" t="s">
        <v>18</v>
      </c>
      <c r="H3825" s="66" t="s">
        <v>18</v>
      </c>
      <c r="I3825" s="66" t="s">
        <v>18</v>
      </c>
      <c r="J3825" s="66" t="s">
        <v>18</v>
      </c>
      <c r="K3825" s="66" t="s">
        <v>18</v>
      </c>
      <c r="L3825" s="66" t="s">
        <v>18</v>
      </c>
      <c r="M3825" s="66" t="s">
        <v>18</v>
      </c>
      <c r="N3825" s="66" t="s">
        <v>18</v>
      </c>
      <c r="O3825" s="66" t="s">
        <v>18</v>
      </c>
      <c r="P3825" s="67" t="s">
        <v>166</v>
      </c>
    </row>
    <row r="3826" spans="1:16" x14ac:dyDescent="0.25">
      <c r="A3826" s="89">
        <v>53</v>
      </c>
      <c r="B3826" s="90">
        <v>438287.10856199998</v>
      </c>
      <c r="C3826" s="90">
        <v>5688869.3324180003</v>
      </c>
      <c r="D3826" s="90">
        <v>29</v>
      </c>
      <c r="E3826" s="90" t="s">
        <v>40</v>
      </c>
      <c r="F3826" s="90">
        <v>2025</v>
      </c>
      <c r="G3826" s="90" t="s">
        <v>18</v>
      </c>
      <c r="H3826" s="90" t="s">
        <v>18</v>
      </c>
      <c r="I3826" s="90" t="s">
        <v>18</v>
      </c>
      <c r="J3826" s="90" t="s">
        <v>18</v>
      </c>
      <c r="K3826" s="90" t="s">
        <v>18</v>
      </c>
      <c r="L3826" s="90" t="s">
        <v>18</v>
      </c>
      <c r="M3826" s="90" t="s">
        <v>18</v>
      </c>
      <c r="N3826" s="90" t="s">
        <v>18</v>
      </c>
      <c r="O3826" s="90" t="s">
        <v>18</v>
      </c>
      <c r="P3826" s="90" t="s">
        <v>18</v>
      </c>
    </row>
    <row r="3827" spans="1:16" x14ac:dyDescent="0.25">
      <c r="A3827" s="89">
        <v>54</v>
      </c>
      <c r="B3827" s="90">
        <v>437454.10856199998</v>
      </c>
      <c r="C3827" s="90">
        <v>5688988.3324180003</v>
      </c>
      <c r="D3827" s="90">
        <v>29</v>
      </c>
      <c r="E3827" s="90" t="s">
        <v>40</v>
      </c>
      <c r="F3827" s="90">
        <v>2025</v>
      </c>
      <c r="G3827" s="90" t="s">
        <v>18</v>
      </c>
      <c r="H3827" s="90" t="s">
        <v>18</v>
      </c>
      <c r="I3827" s="90" t="s">
        <v>18</v>
      </c>
      <c r="J3827" s="90" t="s">
        <v>18</v>
      </c>
      <c r="K3827" s="90" t="s">
        <v>18</v>
      </c>
      <c r="L3827" s="90" t="s">
        <v>18</v>
      </c>
      <c r="M3827" s="90" t="s">
        <v>18</v>
      </c>
      <c r="N3827" s="90" t="s">
        <v>18</v>
      </c>
      <c r="O3827" s="90" t="s">
        <v>18</v>
      </c>
      <c r="P3827" s="90" t="s">
        <v>18</v>
      </c>
    </row>
    <row r="3828" spans="1:16" x14ac:dyDescent="0.25">
      <c r="A3828" s="89">
        <v>55</v>
      </c>
      <c r="B3828" s="90">
        <v>438049.10856199998</v>
      </c>
      <c r="C3828" s="90">
        <v>5688988.3324180003</v>
      </c>
      <c r="D3828" s="90">
        <v>29</v>
      </c>
      <c r="E3828" s="90" t="s">
        <v>40</v>
      </c>
      <c r="F3828" s="90">
        <v>2025</v>
      </c>
      <c r="G3828" s="90" t="s">
        <v>18</v>
      </c>
      <c r="H3828" s="90" t="s">
        <v>18</v>
      </c>
      <c r="I3828" s="90" t="s">
        <v>18</v>
      </c>
      <c r="J3828" s="90" t="s">
        <v>18</v>
      </c>
      <c r="K3828" s="90" t="s">
        <v>18</v>
      </c>
      <c r="L3828" s="90" t="s">
        <v>18</v>
      </c>
      <c r="M3828" s="90" t="s">
        <v>18</v>
      </c>
      <c r="N3828" s="90" t="s">
        <v>18</v>
      </c>
      <c r="O3828" s="90" t="s">
        <v>18</v>
      </c>
      <c r="P3828" s="90" t="s">
        <v>18</v>
      </c>
    </row>
    <row r="3829" spans="1:16" x14ac:dyDescent="0.25">
      <c r="A3829" s="29">
        <v>56</v>
      </c>
      <c r="B3829" s="30">
        <v>438168.10856199998</v>
      </c>
      <c r="C3829" s="30">
        <v>5688988.3324180003</v>
      </c>
      <c r="D3829" s="30">
        <v>29</v>
      </c>
      <c r="E3829" s="30" t="s">
        <v>40</v>
      </c>
      <c r="F3829" s="46">
        <v>2025</v>
      </c>
      <c r="G3829" s="84">
        <v>3.5436865680104325E-2</v>
      </c>
      <c r="H3829" s="47">
        <f t="shared" si="461"/>
        <v>1.9409630945175022E-2</v>
      </c>
      <c r="I3829" s="47">
        <v>0</v>
      </c>
      <c r="J3829" s="47">
        <f t="shared" si="462"/>
        <v>0</v>
      </c>
      <c r="K3829" s="47">
        <v>1.2048534331235471E-3</v>
      </c>
      <c r="L3829" s="47">
        <f t="shared" si="463"/>
        <v>7.7556011273027922E-4</v>
      </c>
      <c r="M3829" s="47">
        <f t="shared" si="460"/>
        <v>1.8634070832444744E-2</v>
      </c>
      <c r="N3829" s="47">
        <v>0</v>
      </c>
      <c r="O3829" s="47">
        <f t="shared" si="464"/>
        <v>0</v>
      </c>
      <c r="P3829" s="47"/>
    </row>
    <row r="3830" spans="1:16" x14ac:dyDescent="0.25">
      <c r="A3830" s="40">
        <v>57</v>
      </c>
      <c r="B3830" s="41">
        <v>438146</v>
      </c>
      <c r="C3830" s="41">
        <v>5688977</v>
      </c>
      <c r="D3830" s="41">
        <v>29</v>
      </c>
      <c r="E3830" s="41" t="s">
        <v>40</v>
      </c>
      <c r="F3830" s="50">
        <v>2025</v>
      </c>
      <c r="G3830" s="86">
        <v>2.2339400124737768E-2</v>
      </c>
      <c r="H3830" s="51">
        <f t="shared" si="461"/>
        <v>1.2235831347838334E-2</v>
      </c>
      <c r="I3830" s="51">
        <v>0</v>
      </c>
      <c r="J3830" s="51">
        <f t="shared" si="462"/>
        <v>0</v>
      </c>
      <c r="K3830" s="51">
        <v>4.9611611952146055E-4</v>
      </c>
      <c r="L3830" s="51">
        <f t="shared" si="463"/>
        <v>3.1934828171246792E-4</v>
      </c>
      <c r="M3830" s="51">
        <f t="shared" si="460"/>
        <v>1.1916483066125865E-2</v>
      </c>
      <c r="N3830" s="51">
        <v>0</v>
      </c>
      <c r="O3830" s="51">
        <f t="shared" si="464"/>
        <v>0</v>
      </c>
      <c r="P3830" s="51"/>
    </row>
    <row r="3831" spans="1:16" x14ac:dyDescent="0.25">
      <c r="A3831" s="40">
        <v>58</v>
      </c>
      <c r="B3831" s="41">
        <v>438131</v>
      </c>
      <c r="C3831" s="41">
        <v>5688972</v>
      </c>
      <c r="D3831" s="41">
        <v>29</v>
      </c>
      <c r="E3831" s="41" t="s">
        <v>40</v>
      </c>
      <c r="F3831" s="50">
        <v>2025</v>
      </c>
      <c r="G3831" s="86">
        <v>1.0007370868061461E-2</v>
      </c>
      <c r="H3831" s="51">
        <f t="shared" si="461"/>
        <v>5.4812797789174257E-3</v>
      </c>
      <c r="I3831" s="51">
        <v>0</v>
      </c>
      <c r="J3831" s="51">
        <f t="shared" si="462"/>
        <v>0</v>
      </c>
      <c r="K3831" s="51">
        <v>5.3864035833758568E-4</v>
      </c>
      <c r="L3831" s="51">
        <f t="shared" si="463"/>
        <v>3.4672099157353656E-4</v>
      </c>
      <c r="M3831" s="51">
        <f>H3831-L3831</f>
        <v>5.1345587873438889E-3</v>
      </c>
      <c r="N3831" s="51">
        <v>0</v>
      </c>
      <c r="O3831" s="51">
        <f t="shared" si="464"/>
        <v>0</v>
      </c>
      <c r="P3831" s="51"/>
    </row>
    <row r="3832" spans="1:16" x14ac:dyDescent="0.25">
      <c r="A3832" s="40">
        <v>59</v>
      </c>
      <c r="B3832" s="41">
        <v>438089</v>
      </c>
      <c r="C3832" s="41">
        <v>5688713</v>
      </c>
      <c r="D3832" s="41">
        <v>29</v>
      </c>
      <c r="E3832" s="41" t="s">
        <v>40</v>
      </c>
      <c r="F3832" s="50">
        <v>2025</v>
      </c>
      <c r="G3832" s="86">
        <v>1.9150082213528378E-2</v>
      </c>
      <c r="H3832" s="51">
        <f t="shared" si="461"/>
        <v>1.0488964562772582E-2</v>
      </c>
      <c r="I3832" s="51">
        <v>0</v>
      </c>
      <c r="J3832" s="51">
        <f t="shared" si="462"/>
        <v>0</v>
      </c>
      <c r="K3832" s="51">
        <v>1.8710665079095085E-3</v>
      </c>
      <c r="L3832" s="51">
        <f t="shared" si="463"/>
        <v>1.2043992338870218E-3</v>
      </c>
      <c r="M3832" s="51">
        <f t="shared" si="460"/>
        <v>9.2845653288855592E-3</v>
      </c>
      <c r="N3832" s="51">
        <v>0</v>
      </c>
      <c r="O3832" s="51">
        <f t="shared" si="464"/>
        <v>0</v>
      </c>
      <c r="P3832" s="51"/>
    </row>
    <row r="3833" spans="1:16" x14ac:dyDescent="0.25">
      <c r="A3833" s="40">
        <v>60</v>
      </c>
      <c r="B3833" s="41">
        <v>438099</v>
      </c>
      <c r="C3833" s="41">
        <v>5688719</v>
      </c>
      <c r="D3833" s="41">
        <v>29</v>
      </c>
      <c r="E3833" s="41" t="s">
        <v>40</v>
      </c>
      <c r="F3833" s="50">
        <v>2025</v>
      </c>
      <c r="G3833" s="86">
        <v>7.6260134943584509E-3</v>
      </c>
      <c r="H3833" s="51">
        <f t="shared" si="461"/>
        <v>4.1769525794016649E-3</v>
      </c>
      <c r="I3833" s="51">
        <v>0</v>
      </c>
      <c r="J3833" s="51">
        <f t="shared" si="462"/>
        <v>0</v>
      </c>
      <c r="K3833" s="51">
        <v>1.0772807166751714E-3</v>
      </c>
      <c r="L3833" s="51">
        <f t="shared" si="463"/>
        <v>6.9344198314707313E-4</v>
      </c>
      <c r="M3833" s="51">
        <f t="shared" si="460"/>
        <v>3.4835105962545917E-3</v>
      </c>
      <c r="N3833" s="51">
        <v>0</v>
      </c>
      <c r="O3833" s="51">
        <f t="shared" si="464"/>
        <v>0</v>
      </c>
      <c r="P3833" s="51"/>
    </row>
  </sheetData>
  <autoFilter ref="M1:M2726" xr:uid="{655C2DBC-0AEE-4DE7-B8CF-A3B4D29DFE1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DBD3B-BBFD-4884-B9E7-4FDB47F5472A}">
  <sheetPr filterMode="1"/>
  <dimension ref="A1:L2749"/>
  <sheetViews>
    <sheetView topLeftCell="F1" workbookViewId="0">
      <pane ySplit="1" topLeftCell="A714" activePane="bottomLeft" state="frozen"/>
      <selection pane="bottomLeft" activeCell="K2746" sqref="K2746"/>
    </sheetView>
  </sheetViews>
  <sheetFormatPr defaultColWidth="8.88671875" defaultRowHeight="14.4" x14ac:dyDescent="0.3"/>
  <cols>
    <col min="1" max="1" width="10" style="16" customWidth="1"/>
    <col min="2" max="2" width="6.44140625" style="16" customWidth="1"/>
    <col min="3" max="3" width="9.109375" style="16"/>
    <col min="4" max="4" width="15.109375" customWidth="1"/>
    <col min="5" max="5" width="14.33203125" customWidth="1"/>
    <col min="11" max="11" width="12.33203125" style="87" customWidth="1"/>
    <col min="12" max="12" width="8.88671875" style="87"/>
  </cols>
  <sheetData>
    <row r="1" spans="1:12" x14ac:dyDescent="0.3">
      <c r="A1" s="60" t="s">
        <v>4</v>
      </c>
      <c r="B1" s="61" t="s">
        <v>5</v>
      </c>
      <c r="C1" s="61" t="s">
        <v>152</v>
      </c>
      <c r="D1" t="s">
        <v>157</v>
      </c>
      <c r="E1" t="s">
        <v>158</v>
      </c>
      <c r="F1" t="s">
        <v>160</v>
      </c>
      <c r="G1" t="s">
        <v>161</v>
      </c>
      <c r="H1" t="s">
        <v>163</v>
      </c>
      <c r="I1" t="s">
        <v>162</v>
      </c>
      <c r="K1" s="87" t="s">
        <v>172</v>
      </c>
      <c r="L1" s="87" t="s">
        <v>173</v>
      </c>
    </row>
    <row r="2" spans="1:12" x14ac:dyDescent="0.3">
      <c r="A2" s="9" t="s">
        <v>24</v>
      </c>
      <c r="B2" s="5">
        <v>2009</v>
      </c>
      <c r="C2" s="5" t="s">
        <v>153</v>
      </c>
      <c r="D2">
        <v>8.4273545195204143E-3</v>
      </c>
      <c r="E2">
        <v>1.1417104554431744E-2</v>
      </c>
      <c r="F2">
        <v>2.3472826086956502</v>
      </c>
      <c r="G2">
        <f>F2/1000</f>
        <v>2.3472826086956503E-3</v>
      </c>
      <c r="H2">
        <v>18.282608695652176</v>
      </c>
      <c r="I2">
        <f>H2/1000</f>
        <v>1.8282608695652177E-2</v>
      </c>
      <c r="J2" s="69" t="s">
        <v>159</v>
      </c>
      <c r="K2" s="87">
        <f>E2*4000</f>
        <v>45.66841821772698</v>
      </c>
      <c r="L2" s="87">
        <f>D2*4000</f>
        <v>33.709418078081654</v>
      </c>
    </row>
    <row r="3" spans="1:12" hidden="1" x14ac:dyDescent="0.3">
      <c r="A3" s="9" t="s">
        <v>24</v>
      </c>
      <c r="B3" s="5">
        <v>2009</v>
      </c>
      <c r="C3" s="5"/>
      <c r="K3"/>
      <c r="L3"/>
    </row>
    <row r="4" spans="1:12" hidden="1" x14ac:dyDescent="0.3">
      <c r="A4" s="9" t="s">
        <v>24</v>
      </c>
      <c r="B4" s="5">
        <v>2009</v>
      </c>
      <c r="C4" s="5"/>
      <c r="K4"/>
      <c r="L4"/>
    </row>
    <row r="5" spans="1:12" hidden="1" x14ac:dyDescent="0.3">
      <c r="A5" s="9" t="s">
        <v>24</v>
      </c>
      <c r="B5" s="5">
        <v>2009</v>
      </c>
      <c r="C5" s="5"/>
      <c r="K5"/>
      <c r="L5"/>
    </row>
    <row r="6" spans="1:12" hidden="1" x14ac:dyDescent="0.3">
      <c r="A6" s="9" t="s">
        <v>24</v>
      </c>
      <c r="B6" s="5">
        <v>2009</v>
      </c>
      <c r="C6" s="5"/>
      <c r="K6"/>
      <c r="L6"/>
    </row>
    <row r="7" spans="1:12" hidden="1" x14ac:dyDescent="0.3">
      <c r="A7" s="9" t="s">
        <v>24</v>
      </c>
      <c r="B7" s="5">
        <v>2009</v>
      </c>
      <c r="C7" s="5"/>
      <c r="K7"/>
      <c r="L7"/>
    </row>
    <row r="8" spans="1:12" hidden="1" x14ac:dyDescent="0.3">
      <c r="A8" s="9" t="s">
        <v>24</v>
      </c>
      <c r="B8" s="5">
        <v>2009</v>
      </c>
      <c r="C8" s="5"/>
      <c r="K8"/>
      <c r="L8"/>
    </row>
    <row r="9" spans="1:12" hidden="1" x14ac:dyDescent="0.3">
      <c r="A9" s="9" t="s">
        <v>24</v>
      </c>
      <c r="B9" s="5">
        <v>2009</v>
      </c>
      <c r="C9" s="5"/>
      <c r="K9"/>
      <c r="L9"/>
    </row>
    <row r="10" spans="1:12" hidden="1" x14ac:dyDescent="0.3">
      <c r="A10" s="9" t="s">
        <v>24</v>
      </c>
      <c r="B10" s="5">
        <v>2009</v>
      </c>
      <c r="C10" s="5"/>
      <c r="K10"/>
      <c r="L10"/>
    </row>
    <row r="11" spans="1:12" hidden="1" x14ac:dyDescent="0.3">
      <c r="A11" s="9" t="s">
        <v>24</v>
      </c>
      <c r="B11" s="5">
        <v>2009</v>
      </c>
      <c r="C11" s="5"/>
      <c r="K11"/>
      <c r="L11"/>
    </row>
    <row r="12" spans="1:12" hidden="1" x14ac:dyDescent="0.3">
      <c r="A12" s="9" t="s">
        <v>24</v>
      </c>
      <c r="B12" s="5">
        <v>2009</v>
      </c>
      <c r="C12" s="5"/>
      <c r="K12"/>
      <c r="L12"/>
    </row>
    <row r="13" spans="1:12" hidden="1" x14ac:dyDescent="0.3">
      <c r="A13" s="9" t="s">
        <v>24</v>
      </c>
      <c r="B13" s="5">
        <v>2009</v>
      </c>
      <c r="C13" s="5"/>
      <c r="K13"/>
      <c r="L13"/>
    </row>
    <row r="14" spans="1:12" hidden="1" x14ac:dyDescent="0.3">
      <c r="A14" s="9" t="s">
        <v>24</v>
      </c>
      <c r="B14" s="5">
        <v>2009</v>
      </c>
      <c r="C14" s="5"/>
      <c r="K14"/>
      <c r="L14"/>
    </row>
    <row r="15" spans="1:12" hidden="1" x14ac:dyDescent="0.3">
      <c r="A15" s="34" t="s">
        <v>18</v>
      </c>
      <c r="B15" s="34" t="s">
        <v>18</v>
      </c>
      <c r="C15" s="34"/>
      <c r="K15"/>
      <c r="L15"/>
    </row>
    <row r="16" spans="1:12" hidden="1" x14ac:dyDescent="0.3">
      <c r="A16" s="9" t="s">
        <v>24</v>
      </c>
      <c r="B16" s="5">
        <v>2009</v>
      </c>
      <c r="C16" s="5"/>
      <c r="K16"/>
      <c r="L16"/>
    </row>
    <row r="17" spans="1:3" customFormat="1" hidden="1" x14ac:dyDescent="0.3">
      <c r="A17" s="9" t="s">
        <v>24</v>
      </c>
      <c r="B17" s="5">
        <v>2009</v>
      </c>
      <c r="C17" s="5"/>
    </row>
    <row r="18" spans="1:3" customFormat="1" hidden="1" x14ac:dyDescent="0.3">
      <c r="A18" s="9" t="s">
        <v>24</v>
      </c>
      <c r="B18" s="5">
        <v>2009</v>
      </c>
      <c r="C18" s="5"/>
    </row>
    <row r="19" spans="1:3" customFormat="1" hidden="1" x14ac:dyDescent="0.3">
      <c r="A19" s="9" t="s">
        <v>24</v>
      </c>
      <c r="B19" s="5">
        <v>2009</v>
      </c>
      <c r="C19" s="5"/>
    </row>
    <row r="20" spans="1:3" customFormat="1" hidden="1" x14ac:dyDescent="0.3">
      <c r="A20" s="9" t="s">
        <v>24</v>
      </c>
      <c r="B20" s="5">
        <v>2009</v>
      </c>
      <c r="C20" s="5"/>
    </row>
    <row r="21" spans="1:3" customFormat="1" hidden="1" x14ac:dyDescent="0.3">
      <c r="A21" s="9" t="s">
        <v>24</v>
      </c>
      <c r="B21" s="5">
        <v>2009</v>
      </c>
      <c r="C21" s="5"/>
    </row>
    <row r="22" spans="1:3" customFormat="1" hidden="1" x14ac:dyDescent="0.3">
      <c r="A22" s="9" t="s">
        <v>24</v>
      </c>
      <c r="B22" s="5">
        <v>2009</v>
      </c>
      <c r="C22" s="5"/>
    </row>
    <row r="23" spans="1:3" customFormat="1" hidden="1" x14ac:dyDescent="0.3">
      <c r="A23" s="9" t="s">
        <v>24</v>
      </c>
      <c r="B23" s="5">
        <v>2009</v>
      </c>
      <c r="C23" s="5"/>
    </row>
    <row r="24" spans="1:3" customFormat="1" hidden="1" x14ac:dyDescent="0.3">
      <c r="A24" s="9" t="s">
        <v>24</v>
      </c>
      <c r="B24" s="5">
        <v>2009</v>
      </c>
      <c r="C24" s="5"/>
    </row>
    <row r="25" spans="1:3" customFormat="1" hidden="1" x14ac:dyDescent="0.3">
      <c r="A25" s="9" t="s">
        <v>24</v>
      </c>
      <c r="B25" s="5">
        <v>2009</v>
      </c>
      <c r="C25" s="5"/>
    </row>
    <row r="26" spans="1:3" customFormat="1" hidden="1" x14ac:dyDescent="0.3">
      <c r="A26" s="9" t="s">
        <v>24</v>
      </c>
      <c r="B26" s="5">
        <v>2009</v>
      </c>
      <c r="C26" s="5"/>
    </row>
    <row r="27" spans="1:3" customFormat="1" hidden="1" x14ac:dyDescent="0.3">
      <c r="A27" s="9" t="s">
        <v>24</v>
      </c>
      <c r="B27" s="5">
        <v>2009</v>
      </c>
      <c r="C27" s="5"/>
    </row>
    <row r="28" spans="1:3" customFormat="1" hidden="1" x14ac:dyDescent="0.3">
      <c r="A28" s="34" t="s">
        <v>18</v>
      </c>
      <c r="B28" s="34" t="s">
        <v>18</v>
      </c>
      <c r="C28" s="34"/>
    </row>
    <row r="29" spans="1:3" customFormat="1" hidden="1" x14ac:dyDescent="0.3">
      <c r="A29" s="34" t="s">
        <v>18</v>
      </c>
      <c r="B29" s="34" t="s">
        <v>18</v>
      </c>
      <c r="C29" s="34"/>
    </row>
    <row r="30" spans="1:3" customFormat="1" hidden="1" x14ac:dyDescent="0.3">
      <c r="A30" s="9" t="s">
        <v>24</v>
      </c>
      <c r="B30" s="5">
        <v>2009</v>
      </c>
      <c r="C30" s="5"/>
    </row>
    <row r="31" spans="1:3" customFormat="1" hidden="1" x14ac:dyDescent="0.3">
      <c r="A31" s="9" t="s">
        <v>24</v>
      </c>
      <c r="B31" s="5">
        <v>2009</v>
      </c>
      <c r="C31" s="5"/>
    </row>
    <row r="32" spans="1:3" customFormat="1" hidden="1" x14ac:dyDescent="0.3">
      <c r="A32" s="9" t="s">
        <v>24</v>
      </c>
      <c r="B32" s="5">
        <v>2009</v>
      </c>
      <c r="C32" s="5"/>
    </row>
    <row r="33" spans="1:3" customFormat="1" hidden="1" x14ac:dyDescent="0.3">
      <c r="A33" s="9" t="s">
        <v>24</v>
      </c>
      <c r="B33" s="5">
        <v>2009</v>
      </c>
      <c r="C33" s="5"/>
    </row>
    <row r="34" spans="1:3" customFormat="1" hidden="1" x14ac:dyDescent="0.3">
      <c r="A34" s="9" t="s">
        <v>24</v>
      </c>
      <c r="B34" s="5">
        <v>2009</v>
      </c>
      <c r="C34" s="5"/>
    </row>
    <row r="35" spans="1:3" customFormat="1" hidden="1" x14ac:dyDescent="0.3">
      <c r="A35" s="9" t="s">
        <v>24</v>
      </c>
      <c r="B35" s="5">
        <v>2009</v>
      </c>
      <c r="C35" s="5"/>
    </row>
    <row r="36" spans="1:3" customFormat="1" hidden="1" x14ac:dyDescent="0.3">
      <c r="A36" s="9" t="s">
        <v>24</v>
      </c>
      <c r="B36" s="5">
        <v>2009</v>
      </c>
      <c r="C36" s="5"/>
    </row>
    <row r="37" spans="1:3" customFormat="1" hidden="1" x14ac:dyDescent="0.3">
      <c r="A37" s="9" t="s">
        <v>24</v>
      </c>
      <c r="B37" s="5">
        <v>2009</v>
      </c>
      <c r="C37" s="5"/>
    </row>
    <row r="38" spans="1:3" customFormat="1" hidden="1" x14ac:dyDescent="0.3">
      <c r="A38" s="34" t="s">
        <v>18</v>
      </c>
      <c r="B38" s="34" t="s">
        <v>18</v>
      </c>
      <c r="C38" s="34"/>
    </row>
    <row r="39" spans="1:3" customFormat="1" hidden="1" x14ac:dyDescent="0.3">
      <c r="A39" s="9" t="s">
        <v>24</v>
      </c>
      <c r="B39" s="5">
        <v>2009</v>
      </c>
      <c r="C39" s="5"/>
    </row>
    <row r="40" spans="1:3" customFormat="1" hidden="1" x14ac:dyDescent="0.3">
      <c r="A40" s="34" t="s">
        <v>18</v>
      </c>
      <c r="B40" s="34" t="s">
        <v>18</v>
      </c>
      <c r="C40" s="34"/>
    </row>
    <row r="41" spans="1:3" customFormat="1" hidden="1" x14ac:dyDescent="0.3">
      <c r="A41" s="9" t="s">
        <v>24</v>
      </c>
      <c r="B41" s="5">
        <v>2009</v>
      </c>
      <c r="C41" s="5"/>
    </row>
    <row r="42" spans="1:3" customFormat="1" hidden="1" x14ac:dyDescent="0.3">
      <c r="A42" s="9" t="s">
        <v>24</v>
      </c>
      <c r="B42" s="5">
        <v>2009</v>
      </c>
      <c r="C42" s="5"/>
    </row>
    <row r="43" spans="1:3" customFormat="1" hidden="1" x14ac:dyDescent="0.3">
      <c r="A43" s="9" t="s">
        <v>24</v>
      </c>
      <c r="B43" s="5">
        <v>2009</v>
      </c>
      <c r="C43" s="5"/>
    </row>
    <row r="44" spans="1:3" customFormat="1" hidden="1" x14ac:dyDescent="0.3">
      <c r="A44" s="9" t="s">
        <v>24</v>
      </c>
      <c r="B44" s="5">
        <v>2009</v>
      </c>
      <c r="C44" s="5"/>
    </row>
    <row r="45" spans="1:3" customFormat="1" hidden="1" x14ac:dyDescent="0.3">
      <c r="A45" s="9" t="s">
        <v>24</v>
      </c>
      <c r="B45" s="5">
        <v>2009</v>
      </c>
      <c r="C45" s="5"/>
    </row>
    <row r="46" spans="1:3" customFormat="1" hidden="1" x14ac:dyDescent="0.3">
      <c r="A46" s="9" t="s">
        <v>24</v>
      </c>
      <c r="B46" s="5">
        <v>2009</v>
      </c>
      <c r="C46" s="5"/>
    </row>
    <row r="47" spans="1:3" customFormat="1" hidden="1" x14ac:dyDescent="0.3">
      <c r="A47" s="9" t="s">
        <v>24</v>
      </c>
      <c r="B47" s="5">
        <v>2009</v>
      </c>
      <c r="C47" s="5"/>
    </row>
    <row r="48" spans="1:3" customFormat="1" hidden="1" x14ac:dyDescent="0.3">
      <c r="A48" s="9" t="s">
        <v>24</v>
      </c>
      <c r="B48" s="5">
        <v>2009</v>
      </c>
      <c r="C48" s="5"/>
    </row>
    <row r="49" spans="1:12" hidden="1" x14ac:dyDescent="0.3">
      <c r="A49" s="34" t="s">
        <v>18</v>
      </c>
      <c r="B49" s="34" t="s">
        <v>18</v>
      </c>
      <c r="C49" s="34"/>
      <c r="K49"/>
      <c r="L49"/>
    </row>
    <row r="50" spans="1:12" hidden="1" x14ac:dyDescent="0.3">
      <c r="A50" s="9" t="s">
        <v>24</v>
      </c>
      <c r="B50" s="5">
        <v>2009</v>
      </c>
      <c r="C50" s="5"/>
      <c r="K50"/>
      <c r="L50"/>
    </row>
    <row r="51" spans="1:12" hidden="1" x14ac:dyDescent="0.3">
      <c r="A51" s="9" t="s">
        <v>24</v>
      </c>
      <c r="B51" s="5">
        <v>2009</v>
      </c>
      <c r="C51" s="5"/>
      <c r="K51"/>
      <c r="L51"/>
    </row>
    <row r="52" spans="1:12" hidden="1" x14ac:dyDescent="0.3">
      <c r="A52" s="9" t="s">
        <v>24</v>
      </c>
      <c r="B52" s="5">
        <v>2009</v>
      </c>
      <c r="C52" s="5"/>
      <c r="K52"/>
      <c r="L52"/>
    </row>
    <row r="53" spans="1:12" hidden="1" x14ac:dyDescent="0.3">
      <c r="A53" s="9" t="s">
        <v>24</v>
      </c>
      <c r="B53" s="5">
        <v>2009</v>
      </c>
      <c r="C53" s="5"/>
      <c r="K53"/>
      <c r="L53"/>
    </row>
    <row r="54" spans="1:12" hidden="1" x14ac:dyDescent="0.3">
      <c r="A54" s="9" t="s">
        <v>24</v>
      </c>
      <c r="B54" s="5">
        <v>2009</v>
      </c>
      <c r="C54" s="5"/>
      <c r="K54"/>
      <c r="L54"/>
    </row>
    <row r="55" spans="1:12" hidden="1" x14ac:dyDescent="0.3">
      <c r="A55" s="9" t="s">
        <v>24</v>
      </c>
      <c r="B55" s="5">
        <v>2009</v>
      </c>
      <c r="C55" s="5"/>
      <c r="K55"/>
      <c r="L55"/>
    </row>
    <row r="56" spans="1:12" hidden="1" x14ac:dyDescent="0.3">
      <c r="A56" s="9" t="s">
        <v>24</v>
      </c>
      <c r="B56" s="5">
        <v>2009</v>
      </c>
      <c r="C56" s="5"/>
      <c r="K56"/>
      <c r="L56"/>
    </row>
    <row r="57" spans="1:12" hidden="1" x14ac:dyDescent="0.3">
      <c r="A57" s="9" t="s">
        <v>24</v>
      </c>
      <c r="B57" s="5">
        <v>2009</v>
      </c>
      <c r="C57" s="5"/>
      <c r="K57"/>
      <c r="L57"/>
    </row>
    <row r="58" spans="1:12" x14ac:dyDescent="0.3">
      <c r="A58" s="16" t="s">
        <v>33</v>
      </c>
      <c r="B58" s="5"/>
      <c r="C58" s="5" t="s">
        <v>154</v>
      </c>
      <c r="D58">
        <v>1.0357931091999997E-2</v>
      </c>
      <c r="E58">
        <v>1.5652057561999999E-2</v>
      </c>
      <c r="F58">
        <v>3.6548913043478262</v>
      </c>
      <c r="G58">
        <f>F58/1000</f>
        <v>3.654891304347826E-3</v>
      </c>
      <c r="H58">
        <v>14.336956521739131</v>
      </c>
      <c r="I58">
        <f>H58/1000</f>
        <v>1.4336956521739131E-2</v>
      </c>
      <c r="K58" s="87">
        <f>E58*4000</f>
        <v>62.608230247999998</v>
      </c>
      <c r="L58" s="87">
        <f>D58*4000</f>
        <v>41.43172436799999</v>
      </c>
    </row>
    <row r="59" spans="1:12" hidden="1" x14ac:dyDescent="0.3">
      <c r="A59" s="16" t="s">
        <v>33</v>
      </c>
      <c r="B59" s="5">
        <v>2009</v>
      </c>
      <c r="C59" s="5"/>
      <c r="K59"/>
      <c r="L59"/>
    </row>
    <row r="60" spans="1:12" hidden="1" x14ac:dyDescent="0.3">
      <c r="A60" s="16" t="s">
        <v>33</v>
      </c>
      <c r="B60" s="5">
        <v>2009</v>
      </c>
      <c r="C60" s="5"/>
      <c r="K60"/>
      <c r="L60"/>
    </row>
    <row r="61" spans="1:12" hidden="1" x14ac:dyDescent="0.3">
      <c r="A61" s="16" t="s">
        <v>33</v>
      </c>
      <c r="B61" s="5">
        <v>2009</v>
      </c>
      <c r="C61" s="5"/>
      <c r="K61"/>
      <c r="L61"/>
    </row>
    <row r="62" spans="1:12" hidden="1" x14ac:dyDescent="0.3">
      <c r="A62" s="16" t="s">
        <v>33</v>
      </c>
      <c r="B62" s="5">
        <v>2009</v>
      </c>
      <c r="C62" s="5"/>
      <c r="K62"/>
      <c r="L62"/>
    </row>
    <row r="63" spans="1:12" hidden="1" x14ac:dyDescent="0.3">
      <c r="A63" s="16" t="s">
        <v>33</v>
      </c>
      <c r="B63" s="5">
        <v>2009</v>
      </c>
      <c r="C63" s="5"/>
      <c r="K63"/>
      <c r="L63"/>
    </row>
    <row r="64" spans="1:12" hidden="1" x14ac:dyDescent="0.3">
      <c r="A64" s="16" t="s">
        <v>33</v>
      </c>
      <c r="B64" s="5">
        <v>2009</v>
      </c>
      <c r="C64" s="5"/>
      <c r="K64"/>
      <c r="L64"/>
    </row>
    <row r="65" spans="1:3" customFormat="1" hidden="1" x14ac:dyDescent="0.3">
      <c r="A65" s="16" t="s">
        <v>33</v>
      </c>
      <c r="B65" s="5">
        <v>2009</v>
      </c>
      <c r="C65" s="5"/>
    </row>
    <row r="66" spans="1:3" customFormat="1" hidden="1" x14ac:dyDescent="0.3">
      <c r="A66" s="16" t="s">
        <v>33</v>
      </c>
      <c r="B66" s="5">
        <v>2009</v>
      </c>
      <c r="C66" s="5"/>
    </row>
    <row r="67" spans="1:3" customFormat="1" hidden="1" x14ac:dyDescent="0.3">
      <c r="A67" s="16" t="s">
        <v>33</v>
      </c>
      <c r="B67" s="5">
        <v>2009</v>
      </c>
      <c r="C67" s="5"/>
    </row>
    <row r="68" spans="1:3" customFormat="1" hidden="1" x14ac:dyDescent="0.3">
      <c r="A68" s="16" t="s">
        <v>33</v>
      </c>
      <c r="B68" s="5">
        <v>2009</v>
      </c>
      <c r="C68" s="5"/>
    </row>
    <row r="69" spans="1:3" customFormat="1" hidden="1" x14ac:dyDescent="0.3">
      <c r="A69" s="16" t="s">
        <v>33</v>
      </c>
      <c r="B69" s="5">
        <v>2009</v>
      </c>
      <c r="C69" s="5"/>
    </row>
    <row r="70" spans="1:3" customFormat="1" hidden="1" x14ac:dyDescent="0.3">
      <c r="A70" s="16" t="s">
        <v>33</v>
      </c>
      <c r="B70" s="5">
        <v>2009</v>
      </c>
      <c r="C70" s="5"/>
    </row>
    <row r="71" spans="1:3" customFormat="1" hidden="1" x14ac:dyDescent="0.3">
      <c r="A71" s="35" t="s">
        <v>18</v>
      </c>
      <c r="B71" s="35" t="s">
        <v>18</v>
      </c>
      <c r="C71" s="35"/>
    </row>
    <row r="72" spans="1:3" customFormat="1" hidden="1" x14ac:dyDescent="0.3">
      <c r="A72" s="16" t="s">
        <v>33</v>
      </c>
      <c r="B72" s="5">
        <v>2009</v>
      </c>
      <c r="C72" s="5"/>
    </row>
    <row r="73" spans="1:3" customFormat="1" hidden="1" x14ac:dyDescent="0.3">
      <c r="A73" s="16" t="s">
        <v>33</v>
      </c>
      <c r="B73" s="5">
        <v>2009</v>
      </c>
      <c r="C73" s="5"/>
    </row>
    <row r="74" spans="1:3" customFormat="1" hidden="1" x14ac:dyDescent="0.3">
      <c r="A74" s="16" t="s">
        <v>33</v>
      </c>
      <c r="B74" s="5">
        <v>2009</v>
      </c>
      <c r="C74" s="5"/>
    </row>
    <row r="75" spans="1:3" customFormat="1" hidden="1" x14ac:dyDescent="0.3">
      <c r="A75" s="16" t="s">
        <v>33</v>
      </c>
      <c r="B75" s="5">
        <v>2009</v>
      </c>
      <c r="C75" s="5"/>
    </row>
    <row r="76" spans="1:3" customFormat="1" hidden="1" x14ac:dyDescent="0.3">
      <c r="A76" s="16" t="s">
        <v>33</v>
      </c>
      <c r="B76" s="5">
        <v>2009</v>
      </c>
      <c r="C76" s="5"/>
    </row>
    <row r="77" spans="1:3" customFormat="1" hidden="1" x14ac:dyDescent="0.3">
      <c r="A77" s="16" t="s">
        <v>33</v>
      </c>
      <c r="B77" s="5">
        <v>2009</v>
      </c>
      <c r="C77" s="5"/>
    </row>
    <row r="78" spans="1:3" customFormat="1" hidden="1" x14ac:dyDescent="0.3">
      <c r="A78" s="16" t="s">
        <v>33</v>
      </c>
      <c r="B78" s="5">
        <v>2009</v>
      </c>
      <c r="C78" s="5"/>
    </row>
    <row r="79" spans="1:3" customFormat="1" hidden="1" x14ac:dyDescent="0.3">
      <c r="A79" s="16" t="s">
        <v>33</v>
      </c>
      <c r="B79" s="5">
        <v>2009</v>
      </c>
      <c r="C79" s="5"/>
    </row>
    <row r="80" spans="1:3" customFormat="1" hidden="1" x14ac:dyDescent="0.3">
      <c r="A80" s="16" t="s">
        <v>33</v>
      </c>
      <c r="B80" s="5">
        <v>2009</v>
      </c>
      <c r="C80" s="5"/>
    </row>
    <row r="81" spans="1:3" customFormat="1" hidden="1" x14ac:dyDescent="0.3">
      <c r="A81" s="16" t="s">
        <v>33</v>
      </c>
      <c r="B81" s="5">
        <v>2009</v>
      </c>
      <c r="C81" s="5"/>
    </row>
    <row r="82" spans="1:3" customFormat="1" hidden="1" x14ac:dyDescent="0.3">
      <c r="A82" s="16" t="s">
        <v>33</v>
      </c>
      <c r="B82" s="5">
        <v>2009</v>
      </c>
      <c r="C82" s="5"/>
    </row>
    <row r="83" spans="1:3" customFormat="1" hidden="1" x14ac:dyDescent="0.3">
      <c r="A83" s="16" t="s">
        <v>33</v>
      </c>
      <c r="B83" s="5">
        <v>2009</v>
      </c>
      <c r="C83" s="5"/>
    </row>
    <row r="84" spans="1:3" customFormat="1" hidden="1" x14ac:dyDescent="0.3">
      <c r="A84" s="35" t="s">
        <v>18</v>
      </c>
      <c r="B84" s="35" t="s">
        <v>18</v>
      </c>
      <c r="C84" s="35"/>
    </row>
    <row r="85" spans="1:3" customFormat="1" hidden="1" x14ac:dyDescent="0.3">
      <c r="A85" s="35" t="s">
        <v>18</v>
      </c>
      <c r="B85" s="35" t="s">
        <v>18</v>
      </c>
      <c r="C85" s="35"/>
    </row>
    <row r="86" spans="1:3" customFormat="1" hidden="1" x14ac:dyDescent="0.3">
      <c r="A86" s="16" t="s">
        <v>33</v>
      </c>
      <c r="B86" s="5">
        <v>2009</v>
      </c>
      <c r="C86" s="5"/>
    </row>
    <row r="87" spans="1:3" customFormat="1" hidden="1" x14ac:dyDescent="0.3">
      <c r="A87" s="16" t="s">
        <v>33</v>
      </c>
      <c r="B87" s="5">
        <v>2009</v>
      </c>
      <c r="C87" s="5"/>
    </row>
    <row r="88" spans="1:3" customFormat="1" hidden="1" x14ac:dyDescent="0.3">
      <c r="A88" s="16" t="s">
        <v>33</v>
      </c>
      <c r="B88" s="5">
        <v>2009</v>
      </c>
      <c r="C88" s="5"/>
    </row>
    <row r="89" spans="1:3" customFormat="1" hidden="1" x14ac:dyDescent="0.3">
      <c r="A89" s="16" t="s">
        <v>33</v>
      </c>
      <c r="B89" s="5">
        <v>2009</v>
      </c>
      <c r="C89" s="5"/>
    </row>
    <row r="90" spans="1:3" customFormat="1" hidden="1" x14ac:dyDescent="0.3">
      <c r="A90" s="16" t="s">
        <v>33</v>
      </c>
      <c r="B90" s="5">
        <v>2009</v>
      </c>
      <c r="C90" s="5"/>
    </row>
    <row r="91" spans="1:3" customFormat="1" hidden="1" x14ac:dyDescent="0.3">
      <c r="A91" s="16" t="s">
        <v>33</v>
      </c>
      <c r="B91" s="5">
        <v>2009</v>
      </c>
      <c r="C91" s="5"/>
    </row>
    <row r="92" spans="1:3" customFormat="1" hidden="1" x14ac:dyDescent="0.3">
      <c r="A92" s="16" t="s">
        <v>33</v>
      </c>
      <c r="B92" s="5">
        <v>2009</v>
      </c>
      <c r="C92" s="5"/>
    </row>
    <row r="93" spans="1:3" customFormat="1" hidden="1" x14ac:dyDescent="0.3">
      <c r="A93" s="16" t="s">
        <v>33</v>
      </c>
      <c r="B93" s="5">
        <v>2009</v>
      </c>
      <c r="C93" s="5"/>
    </row>
    <row r="94" spans="1:3" customFormat="1" hidden="1" x14ac:dyDescent="0.3">
      <c r="A94" s="35" t="s">
        <v>18</v>
      </c>
      <c r="B94" s="35" t="s">
        <v>18</v>
      </c>
      <c r="C94" s="35"/>
    </row>
    <row r="95" spans="1:3" customFormat="1" hidden="1" x14ac:dyDescent="0.3">
      <c r="A95" s="16" t="s">
        <v>33</v>
      </c>
      <c r="B95" s="5">
        <v>2009</v>
      </c>
      <c r="C95" s="5"/>
    </row>
    <row r="96" spans="1:3" customFormat="1" hidden="1" x14ac:dyDescent="0.3">
      <c r="A96" s="35" t="s">
        <v>18</v>
      </c>
      <c r="B96" s="35" t="s">
        <v>18</v>
      </c>
      <c r="C96" s="35"/>
    </row>
    <row r="97" spans="1:3" customFormat="1" hidden="1" x14ac:dyDescent="0.3">
      <c r="A97" s="16" t="s">
        <v>33</v>
      </c>
      <c r="B97" s="5">
        <v>2009</v>
      </c>
      <c r="C97" s="5"/>
    </row>
    <row r="98" spans="1:3" customFormat="1" hidden="1" x14ac:dyDescent="0.3">
      <c r="A98" s="16" t="s">
        <v>33</v>
      </c>
      <c r="B98" s="5">
        <v>2009</v>
      </c>
      <c r="C98" s="5"/>
    </row>
    <row r="99" spans="1:3" customFormat="1" hidden="1" x14ac:dyDescent="0.3">
      <c r="A99" s="16" t="s">
        <v>33</v>
      </c>
      <c r="B99" s="5">
        <v>2009</v>
      </c>
      <c r="C99" s="5"/>
    </row>
    <row r="100" spans="1:3" customFormat="1" hidden="1" x14ac:dyDescent="0.3">
      <c r="A100" s="16" t="s">
        <v>33</v>
      </c>
      <c r="B100" s="5">
        <v>2009</v>
      </c>
      <c r="C100" s="5"/>
    </row>
    <row r="101" spans="1:3" customFormat="1" hidden="1" x14ac:dyDescent="0.3">
      <c r="A101" s="16" t="s">
        <v>33</v>
      </c>
      <c r="B101" s="5">
        <v>2009</v>
      </c>
      <c r="C101" s="5"/>
    </row>
    <row r="102" spans="1:3" customFormat="1" hidden="1" x14ac:dyDescent="0.3">
      <c r="A102" s="16" t="s">
        <v>33</v>
      </c>
      <c r="B102" s="5">
        <v>2009</v>
      </c>
      <c r="C102" s="5"/>
    </row>
    <row r="103" spans="1:3" customFormat="1" hidden="1" x14ac:dyDescent="0.3">
      <c r="A103" s="16" t="s">
        <v>33</v>
      </c>
      <c r="B103" s="5">
        <v>2009</v>
      </c>
      <c r="C103" s="5"/>
    </row>
    <row r="104" spans="1:3" customFormat="1" hidden="1" x14ac:dyDescent="0.3">
      <c r="A104" s="16" t="s">
        <v>33</v>
      </c>
      <c r="B104" s="5">
        <v>2009</v>
      </c>
      <c r="C104" s="5"/>
    </row>
    <row r="105" spans="1:3" customFormat="1" hidden="1" x14ac:dyDescent="0.3">
      <c r="A105" s="35" t="s">
        <v>18</v>
      </c>
      <c r="B105" s="35" t="s">
        <v>18</v>
      </c>
      <c r="C105" s="35"/>
    </row>
    <row r="106" spans="1:3" customFormat="1" hidden="1" x14ac:dyDescent="0.3">
      <c r="A106" s="16" t="s">
        <v>33</v>
      </c>
      <c r="B106" s="5">
        <v>2009</v>
      </c>
      <c r="C106" s="5"/>
    </row>
    <row r="107" spans="1:3" customFormat="1" hidden="1" x14ac:dyDescent="0.3">
      <c r="A107" s="16" t="s">
        <v>33</v>
      </c>
      <c r="B107" s="5">
        <v>2009</v>
      </c>
      <c r="C107" s="5"/>
    </row>
    <row r="108" spans="1:3" customFormat="1" hidden="1" x14ac:dyDescent="0.3">
      <c r="A108" s="16" t="s">
        <v>33</v>
      </c>
      <c r="B108" s="5">
        <v>2009</v>
      </c>
      <c r="C108" s="5"/>
    </row>
    <row r="109" spans="1:3" customFormat="1" hidden="1" x14ac:dyDescent="0.3">
      <c r="A109" s="16" t="s">
        <v>33</v>
      </c>
      <c r="B109" s="5">
        <v>2009</v>
      </c>
      <c r="C109" s="5"/>
    </row>
    <row r="110" spans="1:3" customFormat="1" hidden="1" x14ac:dyDescent="0.3">
      <c r="A110" s="16" t="s">
        <v>33</v>
      </c>
      <c r="B110" s="5">
        <v>2009</v>
      </c>
      <c r="C110" s="5"/>
    </row>
    <row r="111" spans="1:3" customFormat="1" hidden="1" x14ac:dyDescent="0.3">
      <c r="A111" s="16" t="s">
        <v>33</v>
      </c>
      <c r="B111" s="5">
        <v>2009</v>
      </c>
      <c r="C111" s="5"/>
    </row>
    <row r="112" spans="1:3" customFormat="1" hidden="1" x14ac:dyDescent="0.3">
      <c r="A112" s="16" t="s">
        <v>33</v>
      </c>
      <c r="B112" s="5">
        <v>2009</v>
      </c>
      <c r="C112" s="5"/>
    </row>
    <row r="113" spans="1:12" hidden="1" x14ac:dyDescent="0.3">
      <c r="A113" s="16" t="s">
        <v>33</v>
      </c>
      <c r="B113" s="5">
        <v>2009</v>
      </c>
      <c r="C113" s="5"/>
      <c r="K113"/>
      <c r="L113"/>
    </row>
    <row r="114" spans="1:12" x14ac:dyDescent="0.3">
      <c r="A114" s="16" t="s">
        <v>36</v>
      </c>
      <c r="B114" s="5"/>
      <c r="C114" s="5" t="s">
        <v>155</v>
      </c>
      <c r="D114">
        <v>2.3278125334953048E-2</v>
      </c>
      <c r="E114">
        <v>2.9976935581835767E-2</v>
      </c>
      <c r="F114">
        <v>2.8989010989010988</v>
      </c>
      <c r="G114">
        <f>F114/1000</f>
        <v>2.8989010989010989E-3</v>
      </c>
      <c r="H114">
        <v>18.263736263736263</v>
      </c>
      <c r="I114">
        <f>H114/1000</f>
        <v>1.8263736263736261E-2</v>
      </c>
      <c r="K114" s="87">
        <f>E114*4000</f>
        <v>119.90774232734307</v>
      </c>
      <c r="L114" s="87">
        <f>D114*4000</f>
        <v>93.112501339812198</v>
      </c>
    </row>
    <row r="115" spans="1:12" hidden="1" x14ac:dyDescent="0.3">
      <c r="A115" s="16" t="s">
        <v>36</v>
      </c>
      <c r="B115" s="5">
        <v>2009</v>
      </c>
      <c r="C115" s="5"/>
      <c r="K115"/>
      <c r="L115"/>
    </row>
    <row r="116" spans="1:12" hidden="1" x14ac:dyDescent="0.3">
      <c r="A116" s="16" t="s">
        <v>36</v>
      </c>
      <c r="B116" s="5">
        <v>2009</v>
      </c>
      <c r="C116" s="5"/>
      <c r="K116"/>
      <c r="L116"/>
    </row>
    <row r="117" spans="1:12" hidden="1" x14ac:dyDescent="0.3">
      <c r="A117" s="16" t="s">
        <v>36</v>
      </c>
      <c r="B117" s="5">
        <v>2009</v>
      </c>
      <c r="C117" s="5"/>
      <c r="K117"/>
      <c r="L117"/>
    </row>
    <row r="118" spans="1:12" hidden="1" x14ac:dyDescent="0.3">
      <c r="A118" s="16" t="s">
        <v>36</v>
      </c>
      <c r="B118" s="5">
        <v>2009</v>
      </c>
      <c r="C118" s="5"/>
      <c r="K118"/>
      <c r="L118"/>
    </row>
    <row r="119" spans="1:12" hidden="1" x14ac:dyDescent="0.3">
      <c r="A119" s="16" t="s">
        <v>36</v>
      </c>
      <c r="B119" s="5">
        <v>2009</v>
      </c>
      <c r="C119" s="5"/>
      <c r="K119"/>
      <c r="L119"/>
    </row>
    <row r="120" spans="1:12" hidden="1" x14ac:dyDescent="0.3">
      <c r="A120" s="16" t="s">
        <v>36</v>
      </c>
      <c r="B120" s="5">
        <v>2009</v>
      </c>
      <c r="C120" s="5"/>
      <c r="K120"/>
      <c r="L120"/>
    </row>
    <row r="121" spans="1:12" hidden="1" x14ac:dyDescent="0.3">
      <c r="A121" s="16" t="s">
        <v>36</v>
      </c>
      <c r="B121" s="5">
        <v>2009</v>
      </c>
      <c r="C121" s="5"/>
      <c r="K121"/>
      <c r="L121"/>
    </row>
    <row r="122" spans="1:12" hidden="1" x14ac:dyDescent="0.3">
      <c r="A122" s="16" t="s">
        <v>36</v>
      </c>
      <c r="B122" s="5">
        <v>2009</v>
      </c>
      <c r="C122" s="5"/>
      <c r="K122"/>
      <c r="L122"/>
    </row>
    <row r="123" spans="1:12" hidden="1" x14ac:dyDescent="0.3">
      <c r="A123" s="16" t="s">
        <v>36</v>
      </c>
      <c r="B123" s="5">
        <v>2009</v>
      </c>
      <c r="C123" s="5"/>
      <c r="K123"/>
      <c r="L123"/>
    </row>
    <row r="124" spans="1:12" hidden="1" x14ac:dyDescent="0.3">
      <c r="A124" s="16" t="s">
        <v>36</v>
      </c>
      <c r="B124" s="5">
        <v>2009</v>
      </c>
      <c r="C124" s="5"/>
      <c r="K124"/>
      <c r="L124"/>
    </row>
    <row r="125" spans="1:12" hidden="1" x14ac:dyDescent="0.3">
      <c r="A125" s="16" t="s">
        <v>36</v>
      </c>
      <c r="B125" s="5">
        <v>2009</v>
      </c>
      <c r="C125" s="5"/>
      <c r="K125"/>
      <c r="L125"/>
    </row>
    <row r="126" spans="1:12" hidden="1" x14ac:dyDescent="0.3">
      <c r="A126" s="16" t="s">
        <v>36</v>
      </c>
      <c r="B126" s="5">
        <v>2009</v>
      </c>
      <c r="C126" s="5"/>
      <c r="K126"/>
      <c r="L126"/>
    </row>
    <row r="127" spans="1:12" hidden="1" x14ac:dyDescent="0.3">
      <c r="A127" s="35" t="s">
        <v>18</v>
      </c>
      <c r="B127" s="35" t="s">
        <v>18</v>
      </c>
      <c r="C127" s="35"/>
      <c r="K127"/>
      <c r="L127"/>
    </row>
    <row r="128" spans="1:12" hidden="1" x14ac:dyDescent="0.3">
      <c r="A128" s="16" t="s">
        <v>36</v>
      </c>
      <c r="B128" s="5">
        <v>2009</v>
      </c>
      <c r="C128" s="5"/>
      <c r="K128"/>
      <c r="L128"/>
    </row>
    <row r="129" spans="1:3" customFormat="1" hidden="1" x14ac:dyDescent="0.3">
      <c r="A129" s="16" t="s">
        <v>36</v>
      </c>
      <c r="B129" s="5">
        <v>2009</v>
      </c>
      <c r="C129" s="5"/>
    </row>
    <row r="130" spans="1:3" customFormat="1" hidden="1" x14ac:dyDescent="0.3">
      <c r="A130" s="16" t="s">
        <v>36</v>
      </c>
      <c r="B130" s="5">
        <v>2009</v>
      </c>
      <c r="C130" s="5"/>
    </row>
    <row r="131" spans="1:3" customFormat="1" hidden="1" x14ac:dyDescent="0.3">
      <c r="A131" s="16" t="s">
        <v>36</v>
      </c>
      <c r="B131" s="5">
        <v>2009</v>
      </c>
      <c r="C131" s="5"/>
    </row>
    <row r="132" spans="1:3" customFormat="1" hidden="1" x14ac:dyDescent="0.3">
      <c r="A132" s="16" t="s">
        <v>18</v>
      </c>
      <c r="B132" s="16" t="s">
        <v>18</v>
      </c>
      <c r="C132" s="16"/>
    </row>
    <row r="133" spans="1:3" customFormat="1" hidden="1" x14ac:dyDescent="0.3">
      <c r="A133" s="16" t="s">
        <v>36</v>
      </c>
      <c r="B133" s="5">
        <v>2009</v>
      </c>
      <c r="C133" s="5"/>
    </row>
    <row r="134" spans="1:3" customFormat="1" hidden="1" x14ac:dyDescent="0.3">
      <c r="A134" s="16" t="s">
        <v>36</v>
      </c>
      <c r="B134" s="5">
        <v>2009</v>
      </c>
      <c r="C134" s="5"/>
    </row>
    <row r="135" spans="1:3" customFormat="1" hidden="1" x14ac:dyDescent="0.3">
      <c r="A135" s="16" t="s">
        <v>36</v>
      </c>
      <c r="B135" s="5">
        <v>2009</v>
      </c>
      <c r="C135" s="5"/>
    </row>
    <row r="136" spans="1:3" customFormat="1" hidden="1" x14ac:dyDescent="0.3">
      <c r="A136" s="16" t="s">
        <v>36</v>
      </c>
      <c r="B136" s="5">
        <v>2009</v>
      </c>
      <c r="C136" s="5"/>
    </row>
    <row r="137" spans="1:3" customFormat="1" hidden="1" x14ac:dyDescent="0.3">
      <c r="A137" s="16" t="s">
        <v>36</v>
      </c>
      <c r="B137" s="5">
        <v>2009</v>
      </c>
      <c r="C137" s="5"/>
    </row>
    <row r="138" spans="1:3" customFormat="1" hidden="1" x14ac:dyDescent="0.3">
      <c r="A138" s="16" t="s">
        <v>36</v>
      </c>
      <c r="B138" s="5">
        <v>2009</v>
      </c>
      <c r="C138" s="5"/>
    </row>
    <row r="139" spans="1:3" customFormat="1" hidden="1" x14ac:dyDescent="0.3">
      <c r="A139" s="16" t="s">
        <v>36</v>
      </c>
      <c r="B139" s="5">
        <v>2009</v>
      </c>
      <c r="C139" s="5"/>
    </row>
    <row r="140" spans="1:3" customFormat="1" hidden="1" x14ac:dyDescent="0.3">
      <c r="A140" s="35" t="s">
        <v>18</v>
      </c>
      <c r="B140" s="35" t="s">
        <v>18</v>
      </c>
      <c r="C140" s="35"/>
    </row>
    <row r="141" spans="1:3" customFormat="1" hidden="1" x14ac:dyDescent="0.3">
      <c r="A141" s="35" t="s">
        <v>18</v>
      </c>
      <c r="B141" s="35" t="s">
        <v>18</v>
      </c>
      <c r="C141" s="35"/>
    </row>
    <row r="142" spans="1:3" customFormat="1" hidden="1" x14ac:dyDescent="0.3">
      <c r="A142" s="16" t="s">
        <v>36</v>
      </c>
      <c r="B142" s="5">
        <v>2009</v>
      </c>
      <c r="C142" s="5"/>
    </row>
    <row r="143" spans="1:3" customFormat="1" hidden="1" x14ac:dyDescent="0.3">
      <c r="A143" s="16" t="s">
        <v>18</v>
      </c>
      <c r="B143" s="16" t="s">
        <v>18</v>
      </c>
      <c r="C143" s="16"/>
    </row>
    <row r="144" spans="1:3" customFormat="1" hidden="1" x14ac:dyDescent="0.3">
      <c r="A144" s="16" t="s">
        <v>36</v>
      </c>
      <c r="B144" s="5">
        <v>2009</v>
      </c>
      <c r="C144" s="5"/>
    </row>
    <row r="145" spans="1:3" customFormat="1" hidden="1" x14ac:dyDescent="0.3">
      <c r="A145" s="16" t="s">
        <v>36</v>
      </c>
      <c r="B145" s="5">
        <v>2009</v>
      </c>
      <c r="C145" s="5"/>
    </row>
    <row r="146" spans="1:3" customFormat="1" hidden="1" x14ac:dyDescent="0.3">
      <c r="A146" s="16" t="s">
        <v>36</v>
      </c>
      <c r="B146" s="5">
        <v>2009</v>
      </c>
      <c r="C146" s="5"/>
    </row>
    <row r="147" spans="1:3" customFormat="1" hidden="1" x14ac:dyDescent="0.3">
      <c r="A147" s="16" t="s">
        <v>36</v>
      </c>
      <c r="B147" s="5">
        <v>2009</v>
      </c>
      <c r="C147" s="5"/>
    </row>
    <row r="148" spans="1:3" customFormat="1" hidden="1" x14ac:dyDescent="0.3">
      <c r="A148" s="16" t="s">
        <v>36</v>
      </c>
      <c r="B148" s="5">
        <v>2009</v>
      </c>
      <c r="C148" s="5"/>
    </row>
    <row r="149" spans="1:3" customFormat="1" hidden="1" x14ac:dyDescent="0.3">
      <c r="A149" s="16" t="s">
        <v>36</v>
      </c>
      <c r="B149" s="5">
        <v>2009</v>
      </c>
      <c r="C149" s="5"/>
    </row>
    <row r="150" spans="1:3" customFormat="1" hidden="1" x14ac:dyDescent="0.3">
      <c r="A150" s="35" t="s">
        <v>18</v>
      </c>
      <c r="B150" s="35" t="s">
        <v>18</v>
      </c>
      <c r="C150" s="35"/>
    </row>
    <row r="151" spans="1:3" customFormat="1" hidden="1" x14ac:dyDescent="0.3">
      <c r="A151" s="16" t="s">
        <v>36</v>
      </c>
      <c r="B151" s="5">
        <v>2009</v>
      </c>
      <c r="C151" s="5"/>
    </row>
    <row r="152" spans="1:3" customFormat="1" hidden="1" x14ac:dyDescent="0.3">
      <c r="A152" s="35" t="s">
        <v>18</v>
      </c>
      <c r="B152" s="35" t="s">
        <v>18</v>
      </c>
      <c r="C152" s="35"/>
    </row>
    <row r="153" spans="1:3" customFormat="1" hidden="1" x14ac:dyDescent="0.3">
      <c r="A153" s="16" t="s">
        <v>36</v>
      </c>
      <c r="B153" s="5">
        <v>2009</v>
      </c>
      <c r="C153" s="5"/>
    </row>
    <row r="154" spans="1:3" customFormat="1" hidden="1" x14ac:dyDescent="0.3">
      <c r="A154" s="16" t="s">
        <v>36</v>
      </c>
      <c r="B154" s="5">
        <v>2009</v>
      </c>
      <c r="C154" s="5"/>
    </row>
    <row r="155" spans="1:3" customFormat="1" hidden="1" x14ac:dyDescent="0.3">
      <c r="A155" s="16" t="s">
        <v>36</v>
      </c>
      <c r="B155" s="5">
        <v>2009</v>
      </c>
      <c r="C155" s="5"/>
    </row>
    <row r="156" spans="1:3" customFormat="1" hidden="1" x14ac:dyDescent="0.3">
      <c r="A156" s="16" t="s">
        <v>36</v>
      </c>
      <c r="B156" s="5">
        <v>2009</v>
      </c>
      <c r="C156" s="5"/>
    </row>
    <row r="157" spans="1:3" customFormat="1" hidden="1" x14ac:dyDescent="0.3">
      <c r="A157" s="16" t="s">
        <v>36</v>
      </c>
      <c r="B157" s="5">
        <v>2009</v>
      </c>
      <c r="C157" s="5"/>
    </row>
    <row r="158" spans="1:3" customFormat="1" hidden="1" x14ac:dyDescent="0.3">
      <c r="A158" s="16" t="s">
        <v>36</v>
      </c>
      <c r="B158" s="5">
        <v>2009</v>
      </c>
      <c r="C158" s="5"/>
    </row>
    <row r="159" spans="1:3" customFormat="1" hidden="1" x14ac:dyDescent="0.3">
      <c r="A159" s="16" t="s">
        <v>36</v>
      </c>
      <c r="B159" s="5">
        <v>2009</v>
      </c>
      <c r="C159" s="5"/>
    </row>
    <row r="160" spans="1:3" customFormat="1" hidden="1" x14ac:dyDescent="0.3">
      <c r="A160" s="16" t="s">
        <v>36</v>
      </c>
      <c r="B160" s="5">
        <v>2009</v>
      </c>
      <c r="C160" s="5"/>
    </row>
    <row r="161" spans="1:12" hidden="1" x14ac:dyDescent="0.3">
      <c r="A161" s="35" t="s">
        <v>18</v>
      </c>
      <c r="B161" s="35" t="s">
        <v>18</v>
      </c>
      <c r="C161" s="35"/>
      <c r="K161"/>
      <c r="L161"/>
    </row>
    <row r="162" spans="1:12" hidden="1" x14ac:dyDescent="0.3">
      <c r="A162" s="16" t="s">
        <v>36</v>
      </c>
      <c r="B162" s="5">
        <v>2009</v>
      </c>
      <c r="C162" s="5"/>
      <c r="K162"/>
      <c r="L162"/>
    </row>
    <row r="163" spans="1:12" hidden="1" x14ac:dyDescent="0.3">
      <c r="A163" s="16" t="s">
        <v>36</v>
      </c>
      <c r="B163" s="5">
        <v>2009</v>
      </c>
      <c r="C163" s="5"/>
      <c r="K163"/>
      <c r="L163"/>
    </row>
    <row r="164" spans="1:12" hidden="1" x14ac:dyDescent="0.3">
      <c r="A164" s="16" t="s">
        <v>36</v>
      </c>
      <c r="B164" s="5">
        <v>2009</v>
      </c>
      <c r="C164" s="5"/>
      <c r="K164"/>
      <c r="L164"/>
    </row>
    <row r="165" spans="1:12" hidden="1" x14ac:dyDescent="0.3">
      <c r="A165" s="16" t="s">
        <v>36</v>
      </c>
      <c r="B165" s="5">
        <v>2009</v>
      </c>
      <c r="C165" s="5"/>
      <c r="K165"/>
      <c r="L165"/>
    </row>
    <row r="166" spans="1:12" hidden="1" x14ac:dyDescent="0.3">
      <c r="A166" s="16" t="s">
        <v>36</v>
      </c>
      <c r="B166" s="5">
        <v>2009</v>
      </c>
      <c r="C166" s="5"/>
      <c r="K166"/>
      <c r="L166"/>
    </row>
    <row r="167" spans="1:12" hidden="1" x14ac:dyDescent="0.3">
      <c r="A167" s="16" t="s">
        <v>36</v>
      </c>
      <c r="B167" s="5">
        <v>2009</v>
      </c>
      <c r="C167" s="5"/>
      <c r="K167"/>
      <c r="L167"/>
    </row>
    <row r="168" spans="1:12" hidden="1" x14ac:dyDescent="0.3">
      <c r="A168" s="16" t="s">
        <v>36</v>
      </c>
      <c r="B168" s="5">
        <v>2009</v>
      </c>
      <c r="C168" s="5"/>
      <c r="K168"/>
      <c r="L168"/>
    </row>
    <row r="169" spans="1:12" hidden="1" x14ac:dyDescent="0.3">
      <c r="A169" s="16" t="s">
        <v>36</v>
      </c>
      <c r="B169" s="5">
        <v>2009</v>
      </c>
      <c r="C169" s="5"/>
      <c r="K169"/>
      <c r="L169"/>
    </row>
    <row r="170" spans="1:12" hidden="1" x14ac:dyDescent="0.3">
      <c r="A170" s="36" t="s">
        <v>36</v>
      </c>
      <c r="B170" s="37">
        <v>2009</v>
      </c>
      <c r="C170" s="37"/>
      <c r="K170"/>
      <c r="L170"/>
    </row>
    <row r="171" spans="1:12" hidden="1" x14ac:dyDescent="0.3">
      <c r="A171" s="36" t="s">
        <v>36</v>
      </c>
      <c r="B171" s="37">
        <v>2009</v>
      </c>
      <c r="C171" s="37"/>
      <c r="K171"/>
      <c r="L171"/>
    </row>
    <row r="172" spans="1:12" hidden="1" x14ac:dyDescent="0.3">
      <c r="A172" s="36" t="s">
        <v>36</v>
      </c>
      <c r="B172" s="37">
        <v>2009</v>
      </c>
      <c r="C172" s="37"/>
      <c r="K172"/>
      <c r="L172"/>
    </row>
    <row r="173" spans="1:12" hidden="1" x14ac:dyDescent="0.3">
      <c r="A173" s="36" t="s">
        <v>36</v>
      </c>
      <c r="B173" s="37">
        <v>2009</v>
      </c>
      <c r="C173" s="37"/>
      <c r="K173"/>
      <c r="L173"/>
    </row>
    <row r="174" spans="1:12" x14ac:dyDescent="0.3">
      <c r="A174" s="16" t="s">
        <v>40</v>
      </c>
      <c r="B174" s="5">
        <v>2010</v>
      </c>
      <c r="C174" s="5" t="s">
        <v>156</v>
      </c>
      <c r="D174">
        <v>2.309934183463597E-2</v>
      </c>
      <c r="E174">
        <v>3.0869600987248062E-2</v>
      </c>
      <c r="F174">
        <v>2.0738888888888884</v>
      </c>
      <c r="G174">
        <f>F174/1000</f>
        <v>2.0738888888888886E-3</v>
      </c>
      <c r="H174">
        <v>22.933333333333334</v>
      </c>
      <c r="I174">
        <f>H174/1000</f>
        <v>2.2933333333333333E-2</v>
      </c>
      <c r="K174" s="87">
        <f>E174*4000</f>
        <v>123.47840394899225</v>
      </c>
      <c r="L174" s="87">
        <f>D174*4000</f>
        <v>92.397367338543887</v>
      </c>
    </row>
    <row r="175" spans="1:12" hidden="1" x14ac:dyDescent="0.3">
      <c r="A175" s="16" t="s">
        <v>40</v>
      </c>
      <c r="B175" s="5">
        <v>2010</v>
      </c>
      <c r="C175" s="5"/>
      <c r="K175"/>
      <c r="L175"/>
    </row>
    <row r="176" spans="1:12" hidden="1" x14ac:dyDescent="0.3">
      <c r="A176" s="16" t="s">
        <v>40</v>
      </c>
      <c r="B176" s="5">
        <v>2010</v>
      </c>
      <c r="C176" s="5"/>
      <c r="K176"/>
      <c r="L176"/>
    </row>
    <row r="177" spans="1:3" customFormat="1" hidden="1" x14ac:dyDescent="0.3">
      <c r="A177" s="16" t="s">
        <v>40</v>
      </c>
      <c r="B177" s="5">
        <v>2010</v>
      </c>
      <c r="C177" s="5"/>
    </row>
    <row r="178" spans="1:3" customFormat="1" hidden="1" x14ac:dyDescent="0.3">
      <c r="A178" s="16" t="s">
        <v>40</v>
      </c>
      <c r="B178" s="5">
        <v>2010</v>
      </c>
      <c r="C178" s="5"/>
    </row>
    <row r="179" spans="1:3" customFormat="1" hidden="1" x14ac:dyDescent="0.3">
      <c r="A179" s="16" t="s">
        <v>40</v>
      </c>
      <c r="B179" s="5">
        <v>2010</v>
      </c>
      <c r="C179" s="5"/>
    </row>
    <row r="180" spans="1:3" customFormat="1" hidden="1" x14ac:dyDescent="0.3">
      <c r="A180" s="16" t="s">
        <v>40</v>
      </c>
      <c r="B180" s="5">
        <v>2010</v>
      </c>
      <c r="C180" s="5"/>
    </row>
    <row r="181" spans="1:3" customFormat="1" hidden="1" x14ac:dyDescent="0.3">
      <c r="A181" s="16" t="s">
        <v>40</v>
      </c>
      <c r="B181" s="5">
        <v>2010</v>
      </c>
      <c r="C181" s="5"/>
    </row>
    <row r="182" spans="1:3" customFormat="1" hidden="1" x14ac:dyDescent="0.3">
      <c r="A182" s="16" t="s">
        <v>40</v>
      </c>
      <c r="B182" s="5">
        <v>2010</v>
      </c>
      <c r="C182" s="5"/>
    </row>
    <row r="183" spans="1:3" customFormat="1" hidden="1" x14ac:dyDescent="0.3">
      <c r="A183" s="16" t="s">
        <v>40</v>
      </c>
      <c r="B183" s="5">
        <v>2010</v>
      </c>
      <c r="C183" s="5"/>
    </row>
    <row r="184" spans="1:3" customFormat="1" hidden="1" x14ac:dyDescent="0.3">
      <c r="A184" s="16" t="s">
        <v>40</v>
      </c>
      <c r="B184" s="5">
        <v>2010</v>
      </c>
      <c r="C184" s="5"/>
    </row>
    <row r="185" spans="1:3" customFormat="1" hidden="1" x14ac:dyDescent="0.3">
      <c r="A185" s="16" t="s">
        <v>40</v>
      </c>
      <c r="B185" s="5">
        <v>2010</v>
      </c>
      <c r="C185" s="5"/>
    </row>
    <row r="186" spans="1:3" customFormat="1" hidden="1" x14ac:dyDescent="0.3">
      <c r="A186" s="16" t="s">
        <v>40</v>
      </c>
      <c r="B186" s="5">
        <v>2010</v>
      </c>
      <c r="C186" s="5"/>
    </row>
    <row r="187" spans="1:3" customFormat="1" hidden="1" x14ac:dyDescent="0.3">
      <c r="A187" s="35" t="s">
        <v>18</v>
      </c>
      <c r="B187" s="35" t="s">
        <v>18</v>
      </c>
      <c r="C187" s="35"/>
    </row>
    <row r="188" spans="1:3" customFormat="1" hidden="1" x14ac:dyDescent="0.3">
      <c r="A188" s="16" t="s">
        <v>40</v>
      </c>
      <c r="B188" s="5">
        <v>2010</v>
      </c>
      <c r="C188" s="5"/>
    </row>
    <row r="189" spans="1:3" customFormat="1" hidden="1" x14ac:dyDescent="0.3">
      <c r="A189" s="16" t="s">
        <v>40</v>
      </c>
      <c r="B189" s="5">
        <v>2010</v>
      </c>
      <c r="C189" s="5"/>
    </row>
    <row r="190" spans="1:3" customFormat="1" hidden="1" x14ac:dyDescent="0.3">
      <c r="A190" s="16" t="s">
        <v>40</v>
      </c>
      <c r="B190" s="5">
        <v>2010</v>
      </c>
      <c r="C190" s="5"/>
    </row>
    <row r="191" spans="1:3" customFormat="1" hidden="1" x14ac:dyDescent="0.3">
      <c r="A191" s="16" t="s">
        <v>40</v>
      </c>
      <c r="B191" s="5">
        <v>2010</v>
      </c>
      <c r="C191" s="5"/>
    </row>
    <row r="192" spans="1:3" customFormat="1" hidden="1" x14ac:dyDescent="0.3">
      <c r="A192" s="16" t="s">
        <v>40</v>
      </c>
      <c r="B192" s="5">
        <v>2010</v>
      </c>
      <c r="C192" s="5"/>
    </row>
    <row r="193" spans="1:3" customFormat="1" hidden="1" x14ac:dyDescent="0.3">
      <c r="A193" s="16" t="s">
        <v>40</v>
      </c>
      <c r="B193" s="5">
        <v>2010</v>
      </c>
      <c r="C193" s="5"/>
    </row>
    <row r="194" spans="1:3" customFormat="1" hidden="1" x14ac:dyDescent="0.3">
      <c r="A194" s="16" t="s">
        <v>40</v>
      </c>
      <c r="B194" s="5">
        <v>2010</v>
      </c>
      <c r="C194" s="5"/>
    </row>
    <row r="195" spans="1:3" customFormat="1" hidden="1" x14ac:dyDescent="0.3">
      <c r="A195" s="16" t="s">
        <v>40</v>
      </c>
      <c r="B195" s="5">
        <v>2010</v>
      </c>
      <c r="C195" s="5"/>
    </row>
    <row r="196" spans="1:3" customFormat="1" hidden="1" x14ac:dyDescent="0.3">
      <c r="A196" s="16" t="s">
        <v>40</v>
      </c>
      <c r="B196" s="5">
        <v>2010</v>
      </c>
      <c r="C196" s="5"/>
    </row>
    <row r="197" spans="1:3" customFormat="1" hidden="1" x14ac:dyDescent="0.3">
      <c r="A197" s="16" t="s">
        <v>40</v>
      </c>
      <c r="B197" s="5">
        <v>2010</v>
      </c>
      <c r="C197" s="5"/>
    </row>
    <row r="198" spans="1:3" customFormat="1" hidden="1" x14ac:dyDescent="0.3">
      <c r="A198" s="16" t="s">
        <v>40</v>
      </c>
      <c r="B198" s="5">
        <v>2010</v>
      </c>
      <c r="C198" s="5"/>
    </row>
    <row r="199" spans="1:3" customFormat="1" hidden="1" x14ac:dyDescent="0.3">
      <c r="A199" s="16" t="s">
        <v>40</v>
      </c>
      <c r="B199" s="5">
        <v>2010</v>
      </c>
      <c r="C199" s="5"/>
    </row>
    <row r="200" spans="1:3" customFormat="1" hidden="1" x14ac:dyDescent="0.3">
      <c r="A200" s="35" t="s">
        <v>18</v>
      </c>
      <c r="B200" s="35" t="s">
        <v>18</v>
      </c>
      <c r="C200" s="35"/>
    </row>
    <row r="201" spans="1:3" customFormat="1" hidden="1" x14ac:dyDescent="0.3">
      <c r="A201" s="35" t="s">
        <v>18</v>
      </c>
      <c r="B201" s="35" t="s">
        <v>18</v>
      </c>
      <c r="C201" s="35"/>
    </row>
    <row r="202" spans="1:3" customFormat="1" hidden="1" x14ac:dyDescent="0.3">
      <c r="A202" s="16" t="s">
        <v>40</v>
      </c>
      <c r="B202" s="5">
        <v>2010</v>
      </c>
      <c r="C202" s="5"/>
    </row>
    <row r="203" spans="1:3" customFormat="1" hidden="1" x14ac:dyDescent="0.3">
      <c r="A203" s="16" t="s">
        <v>40</v>
      </c>
      <c r="B203" s="5">
        <v>2010</v>
      </c>
      <c r="C203" s="5"/>
    </row>
    <row r="204" spans="1:3" customFormat="1" hidden="1" x14ac:dyDescent="0.3">
      <c r="A204" s="16" t="s">
        <v>40</v>
      </c>
      <c r="B204" s="5">
        <v>2010</v>
      </c>
      <c r="C204" s="5"/>
    </row>
    <row r="205" spans="1:3" customFormat="1" hidden="1" x14ac:dyDescent="0.3">
      <c r="A205" s="16" t="s">
        <v>40</v>
      </c>
      <c r="B205" s="5">
        <v>2010</v>
      </c>
      <c r="C205" s="5"/>
    </row>
    <row r="206" spans="1:3" customFormat="1" hidden="1" x14ac:dyDescent="0.3">
      <c r="A206" s="16" t="s">
        <v>40</v>
      </c>
      <c r="B206" s="5">
        <v>2010</v>
      </c>
      <c r="C206" s="5"/>
    </row>
    <row r="207" spans="1:3" customFormat="1" hidden="1" x14ac:dyDescent="0.3">
      <c r="A207" s="16" t="s">
        <v>40</v>
      </c>
      <c r="B207" s="5">
        <v>2010</v>
      </c>
      <c r="C207" s="5"/>
    </row>
    <row r="208" spans="1:3" customFormat="1" hidden="1" x14ac:dyDescent="0.3">
      <c r="A208" s="16" t="s">
        <v>40</v>
      </c>
      <c r="B208" s="5">
        <v>2010</v>
      </c>
      <c r="C208" s="5"/>
    </row>
    <row r="209" spans="1:3" customFormat="1" hidden="1" x14ac:dyDescent="0.3">
      <c r="A209" s="16" t="s">
        <v>40</v>
      </c>
      <c r="B209" s="5">
        <v>2010</v>
      </c>
      <c r="C209" s="5"/>
    </row>
    <row r="210" spans="1:3" customFormat="1" hidden="1" x14ac:dyDescent="0.3">
      <c r="A210" s="35" t="s">
        <v>18</v>
      </c>
      <c r="B210" s="35" t="s">
        <v>18</v>
      </c>
      <c r="C210" s="35"/>
    </row>
    <row r="211" spans="1:3" customFormat="1" hidden="1" x14ac:dyDescent="0.3">
      <c r="A211" s="16" t="s">
        <v>40</v>
      </c>
      <c r="B211" s="5">
        <v>2010</v>
      </c>
      <c r="C211" s="5"/>
    </row>
    <row r="212" spans="1:3" customFormat="1" hidden="1" x14ac:dyDescent="0.3">
      <c r="A212" s="35" t="s">
        <v>18</v>
      </c>
      <c r="B212" s="35" t="s">
        <v>18</v>
      </c>
      <c r="C212" s="35"/>
    </row>
    <row r="213" spans="1:3" customFormat="1" hidden="1" x14ac:dyDescent="0.3">
      <c r="A213" s="16" t="s">
        <v>40</v>
      </c>
      <c r="B213" s="5">
        <v>2010</v>
      </c>
      <c r="C213" s="5"/>
    </row>
    <row r="214" spans="1:3" customFormat="1" hidden="1" x14ac:dyDescent="0.3">
      <c r="A214" s="16" t="s">
        <v>40</v>
      </c>
      <c r="B214" s="5">
        <v>2010</v>
      </c>
      <c r="C214" s="5"/>
    </row>
    <row r="215" spans="1:3" customFormat="1" hidden="1" x14ac:dyDescent="0.3">
      <c r="A215" s="16" t="s">
        <v>40</v>
      </c>
      <c r="B215" s="5">
        <v>2010</v>
      </c>
      <c r="C215" s="5"/>
    </row>
    <row r="216" spans="1:3" customFormat="1" hidden="1" x14ac:dyDescent="0.3">
      <c r="A216" s="16" t="s">
        <v>40</v>
      </c>
      <c r="B216" s="5">
        <v>2010</v>
      </c>
      <c r="C216" s="5"/>
    </row>
    <row r="217" spans="1:3" customFormat="1" hidden="1" x14ac:dyDescent="0.3">
      <c r="A217" s="16" t="s">
        <v>40</v>
      </c>
      <c r="B217" s="5">
        <v>2010</v>
      </c>
      <c r="C217" s="5"/>
    </row>
    <row r="218" spans="1:3" customFormat="1" hidden="1" x14ac:dyDescent="0.3">
      <c r="A218" s="16" t="s">
        <v>40</v>
      </c>
      <c r="B218" s="5">
        <v>2010</v>
      </c>
      <c r="C218" s="5"/>
    </row>
    <row r="219" spans="1:3" customFormat="1" hidden="1" x14ac:dyDescent="0.3">
      <c r="A219" s="16" t="s">
        <v>40</v>
      </c>
      <c r="B219" s="5">
        <v>2010</v>
      </c>
      <c r="C219" s="5"/>
    </row>
    <row r="220" spans="1:3" customFormat="1" hidden="1" x14ac:dyDescent="0.3">
      <c r="A220" s="16" t="s">
        <v>40</v>
      </c>
      <c r="B220" s="5">
        <v>2010</v>
      </c>
      <c r="C220" s="5"/>
    </row>
    <row r="221" spans="1:3" customFormat="1" hidden="1" x14ac:dyDescent="0.3">
      <c r="A221" s="35" t="s">
        <v>18</v>
      </c>
      <c r="B221" s="35" t="s">
        <v>18</v>
      </c>
      <c r="C221" s="35"/>
    </row>
    <row r="222" spans="1:3" customFormat="1" hidden="1" x14ac:dyDescent="0.3">
      <c r="A222" s="16" t="s">
        <v>40</v>
      </c>
      <c r="B222" s="5">
        <v>2010</v>
      </c>
      <c r="C222" s="5"/>
    </row>
    <row r="223" spans="1:3" customFormat="1" hidden="1" x14ac:dyDescent="0.3">
      <c r="A223" s="16" t="s">
        <v>40</v>
      </c>
      <c r="B223" s="5">
        <v>2010</v>
      </c>
      <c r="C223" s="5"/>
    </row>
    <row r="224" spans="1:3" customFormat="1" hidden="1" x14ac:dyDescent="0.3">
      <c r="A224" s="16" t="s">
        <v>40</v>
      </c>
      <c r="B224" s="5">
        <v>2010</v>
      </c>
      <c r="C224" s="5"/>
    </row>
    <row r="225" spans="1:12" hidden="1" x14ac:dyDescent="0.3">
      <c r="A225" s="16" t="s">
        <v>40</v>
      </c>
      <c r="B225" s="5">
        <v>2010</v>
      </c>
      <c r="C225" s="5"/>
      <c r="K225"/>
      <c r="L225"/>
    </row>
    <row r="226" spans="1:12" hidden="1" x14ac:dyDescent="0.3">
      <c r="A226" s="16" t="s">
        <v>40</v>
      </c>
      <c r="B226" s="5">
        <v>2010</v>
      </c>
      <c r="C226" s="5"/>
      <c r="K226"/>
      <c r="L226"/>
    </row>
    <row r="227" spans="1:12" hidden="1" x14ac:dyDescent="0.3">
      <c r="A227" s="16" t="s">
        <v>40</v>
      </c>
      <c r="B227" s="5">
        <v>2010</v>
      </c>
      <c r="C227" s="5"/>
      <c r="K227"/>
      <c r="L227"/>
    </row>
    <row r="228" spans="1:12" hidden="1" x14ac:dyDescent="0.3">
      <c r="A228" s="16" t="s">
        <v>40</v>
      </c>
      <c r="B228" s="5">
        <v>2010</v>
      </c>
      <c r="C228" s="5"/>
      <c r="K228"/>
      <c r="L228"/>
    </row>
    <row r="229" spans="1:12" hidden="1" x14ac:dyDescent="0.3">
      <c r="A229" s="16" t="s">
        <v>40</v>
      </c>
      <c r="B229" s="5">
        <v>2010</v>
      </c>
      <c r="C229" s="5"/>
      <c r="K229"/>
      <c r="L229"/>
    </row>
    <row r="230" spans="1:12" hidden="1" x14ac:dyDescent="0.3">
      <c r="A230" s="36" t="s">
        <v>40</v>
      </c>
      <c r="B230" s="37">
        <v>2010</v>
      </c>
      <c r="C230" s="37"/>
      <c r="K230"/>
      <c r="L230"/>
    </row>
    <row r="231" spans="1:12" hidden="1" x14ac:dyDescent="0.3">
      <c r="A231" s="36" t="s">
        <v>40</v>
      </c>
      <c r="B231" s="37">
        <v>2010</v>
      </c>
      <c r="C231" s="37"/>
      <c r="K231"/>
      <c r="L231"/>
    </row>
    <row r="232" spans="1:12" hidden="1" x14ac:dyDescent="0.3">
      <c r="A232" s="36" t="s">
        <v>40</v>
      </c>
      <c r="B232" s="37">
        <v>2010</v>
      </c>
      <c r="C232" s="37"/>
      <c r="K232"/>
      <c r="L232"/>
    </row>
    <row r="233" spans="1:12" hidden="1" x14ac:dyDescent="0.3">
      <c r="A233" s="36" t="s">
        <v>40</v>
      </c>
      <c r="B233" s="37">
        <v>2010</v>
      </c>
      <c r="C233" s="37"/>
      <c r="K233"/>
      <c r="L233"/>
    </row>
    <row r="234" spans="1:12" x14ac:dyDescent="0.3">
      <c r="A234" s="16" t="s">
        <v>24</v>
      </c>
      <c r="B234" s="5"/>
      <c r="C234" s="5" t="s">
        <v>153</v>
      </c>
      <c r="D234">
        <v>3.1491441792592591E-2</v>
      </c>
      <c r="E234">
        <v>4.3106291792592594E-2</v>
      </c>
      <c r="F234">
        <v>2.2597826086956521</v>
      </c>
      <c r="G234">
        <f>F234/1000</f>
        <v>2.2597826086956522E-3</v>
      </c>
      <c r="H234">
        <v>19.815217391304348</v>
      </c>
      <c r="I234">
        <f>H234/1000</f>
        <v>1.9815217391304346E-2</v>
      </c>
      <c r="K234" s="87">
        <f>E234*4000</f>
        <v>172.42516717037037</v>
      </c>
      <c r="L234" s="87">
        <f>D234*4000</f>
        <v>125.96576717037037</v>
      </c>
    </row>
    <row r="235" spans="1:12" hidden="1" x14ac:dyDescent="0.3">
      <c r="A235" s="16" t="s">
        <v>24</v>
      </c>
      <c r="B235" s="5">
        <v>2010</v>
      </c>
      <c r="C235" s="5"/>
      <c r="K235"/>
      <c r="L235"/>
    </row>
    <row r="236" spans="1:12" hidden="1" x14ac:dyDescent="0.3">
      <c r="A236" s="16" t="s">
        <v>24</v>
      </c>
      <c r="B236" s="5">
        <v>2010</v>
      </c>
      <c r="C236" s="5"/>
      <c r="K236"/>
      <c r="L236"/>
    </row>
    <row r="237" spans="1:12" hidden="1" x14ac:dyDescent="0.3">
      <c r="A237" s="16" t="s">
        <v>24</v>
      </c>
      <c r="B237" s="5">
        <v>2010</v>
      </c>
      <c r="C237" s="5"/>
      <c r="K237"/>
      <c r="L237"/>
    </row>
    <row r="238" spans="1:12" hidden="1" x14ac:dyDescent="0.3">
      <c r="A238" s="16" t="s">
        <v>24</v>
      </c>
      <c r="B238" s="5">
        <v>2010</v>
      </c>
      <c r="C238" s="5"/>
      <c r="K238"/>
      <c r="L238"/>
    </row>
    <row r="239" spans="1:12" hidden="1" x14ac:dyDescent="0.3">
      <c r="A239" s="16" t="s">
        <v>24</v>
      </c>
      <c r="B239" s="5">
        <v>2010</v>
      </c>
      <c r="C239" s="5"/>
      <c r="K239"/>
      <c r="L239"/>
    </row>
    <row r="240" spans="1:12" hidden="1" x14ac:dyDescent="0.3">
      <c r="A240" s="16" t="s">
        <v>24</v>
      </c>
      <c r="B240" s="5">
        <v>2010</v>
      </c>
      <c r="C240" s="5"/>
      <c r="K240"/>
      <c r="L240"/>
    </row>
    <row r="241" spans="1:3" customFormat="1" hidden="1" x14ac:dyDescent="0.3">
      <c r="A241" s="16" t="s">
        <v>24</v>
      </c>
      <c r="B241" s="5">
        <v>2010</v>
      </c>
      <c r="C241" s="5"/>
    </row>
    <row r="242" spans="1:3" customFormat="1" hidden="1" x14ac:dyDescent="0.3">
      <c r="A242" s="16" t="s">
        <v>24</v>
      </c>
      <c r="B242" s="5">
        <v>2010</v>
      </c>
      <c r="C242" s="5"/>
    </row>
    <row r="243" spans="1:3" customFormat="1" hidden="1" x14ac:dyDescent="0.3">
      <c r="A243" s="16" t="s">
        <v>24</v>
      </c>
      <c r="B243" s="5">
        <v>2010</v>
      </c>
      <c r="C243" s="5"/>
    </row>
    <row r="244" spans="1:3" customFormat="1" hidden="1" x14ac:dyDescent="0.3">
      <c r="A244" s="16" t="s">
        <v>24</v>
      </c>
      <c r="B244" s="5">
        <v>2010</v>
      </c>
      <c r="C244" s="5"/>
    </row>
    <row r="245" spans="1:3" customFormat="1" hidden="1" x14ac:dyDescent="0.3">
      <c r="A245" s="16" t="s">
        <v>24</v>
      </c>
      <c r="B245" s="5">
        <v>2010</v>
      </c>
      <c r="C245" s="5"/>
    </row>
    <row r="246" spans="1:3" customFormat="1" hidden="1" x14ac:dyDescent="0.3">
      <c r="A246" s="16" t="s">
        <v>24</v>
      </c>
      <c r="B246" s="5">
        <v>2010</v>
      </c>
      <c r="C246" s="5"/>
    </row>
    <row r="247" spans="1:3" customFormat="1" hidden="1" x14ac:dyDescent="0.3">
      <c r="A247" s="35" t="s">
        <v>18</v>
      </c>
      <c r="B247" s="35" t="s">
        <v>18</v>
      </c>
      <c r="C247" s="35"/>
    </row>
    <row r="248" spans="1:3" customFormat="1" hidden="1" x14ac:dyDescent="0.3">
      <c r="A248" s="16" t="s">
        <v>24</v>
      </c>
      <c r="B248" s="5">
        <v>2010</v>
      </c>
      <c r="C248" s="5"/>
    </row>
    <row r="249" spans="1:3" customFormat="1" hidden="1" x14ac:dyDescent="0.3">
      <c r="A249" s="16" t="s">
        <v>24</v>
      </c>
      <c r="B249" s="5">
        <v>2010</v>
      </c>
      <c r="C249" s="5"/>
    </row>
    <row r="250" spans="1:3" customFormat="1" hidden="1" x14ac:dyDescent="0.3">
      <c r="A250" s="16" t="s">
        <v>24</v>
      </c>
      <c r="B250" s="5">
        <v>2010</v>
      </c>
      <c r="C250" s="5"/>
    </row>
    <row r="251" spans="1:3" customFormat="1" hidden="1" x14ac:dyDescent="0.3">
      <c r="A251" s="16" t="s">
        <v>24</v>
      </c>
      <c r="B251" s="5">
        <v>2010</v>
      </c>
      <c r="C251" s="5"/>
    </row>
    <row r="252" spans="1:3" customFormat="1" hidden="1" x14ac:dyDescent="0.3">
      <c r="A252" s="16" t="s">
        <v>24</v>
      </c>
      <c r="B252" s="5">
        <v>2010</v>
      </c>
      <c r="C252" s="16"/>
    </row>
    <row r="253" spans="1:3" customFormat="1" hidden="1" x14ac:dyDescent="0.3">
      <c r="A253" s="16" t="s">
        <v>24</v>
      </c>
      <c r="B253" s="5">
        <v>2010</v>
      </c>
      <c r="C253" s="5"/>
    </row>
    <row r="254" spans="1:3" customFormat="1" hidden="1" x14ac:dyDescent="0.3">
      <c r="A254" s="16" t="s">
        <v>24</v>
      </c>
      <c r="B254" s="5">
        <v>2010</v>
      </c>
      <c r="C254" s="5"/>
    </row>
    <row r="255" spans="1:3" customFormat="1" hidden="1" x14ac:dyDescent="0.3">
      <c r="A255" s="16" t="s">
        <v>24</v>
      </c>
      <c r="B255" s="5">
        <v>2010</v>
      </c>
      <c r="C255" s="5"/>
    </row>
    <row r="256" spans="1:3" customFormat="1" hidden="1" x14ac:dyDescent="0.3">
      <c r="A256" s="16" t="s">
        <v>24</v>
      </c>
      <c r="B256" s="5">
        <v>2010</v>
      </c>
      <c r="C256" s="5"/>
    </row>
    <row r="257" spans="1:3" customFormat="1" hidden="1" x14ac:dyDescent="0.3">
      <c r="A257" s="16" t="s">
        <v>24</v>
      </c>
      <c r="B257" s="5">
        <v>2010</v>
      </c>
      <c r="C257" s="5"/>
    </row>
    <row r="258" spans="1:3" customFormat="1" hidden="1" x14ac:dyDescent="0.3">
      <c r="A258" s="16" t="s">
        <v>24</v>
      </c>
      <c r="B258" s="5">
        <v>2010</v>
      </c>
      <c r="C258" s="5"/>
    </row>
    <row r="259" spans="1:3" customFormat="1" hidden="1" x14ac:dyDescent="0.3">
      <c r="A259" s="16" t="s">
        <v>24</v>
      </c>
      <c r="B259" s="5">
        <v>2010</v>
      </c>
      <c r="C259" s="5"/>
    </row>
    <row r="260" spans="1:3" customFormat="1" hidden="1" x14ac:dyDescent="0.3">
      <c r="A260" s="35" t="s">
        <v>18</v>
      </c>
      <c r="B260" s="35" t="s">
        <v>18</v>
      </c>
      <c r="C260" s="35"/>
    </row>
    <row r="261" spans="1:3" customFormat="1" hidden="1" x14ac:dyDescent="0.3">
      <c r="A261" s="35" t="s">
        <v>18</v>
      </c>
      <c r="B261" s="35" t="s">
        <v>18</v>
      </c>
      <c r="C261" s="35"/>
    </row>
    <row r="262" spans="1:3" customFormat="1" hidden="1" x14ac:dyDescent="0.3">
      <c r="A262" s="16" t="s">
        <v>24</v>
      </c>
      <c r="B262" s="5">
        <v>2010</v>
      </c>
      <c r="C262" s="5"/>
    </row>
    <row r="263" spans="1:3" customFormat="1" hidden="1" x14ac:dyDescent="0.3">
      <c r="A263" s="16" t="s">
        <v>24</v>
      </c>
      <c r="B263" s="5">
        <v>2010</v>
      </c>
      <c r="C263" s="16"/>
    </row>
    <row r="264" spans="1:3" customFormat="1" hidden="1" x14ac:dyDescent="0.3">
      <c r="A264" s="16" t="s">
        <v>24</v>
      </c>
      <c r="B264" s="5">
        <v>2010</v>
      </c>
      <c r="C264" s="5"/>
    </row>
    <row r="265" spans="1:3" customFormat="1" hidden="1" x14ac:dyDescent="0.3">
      <c r="A265" s="16" t="s">
        <v>24</v>
      </c>
      <c r="B265" s="5">
        <v>2010</v>
      </c>
      <c r="C265" s="5"/>
    </row>
    <row r="266" spans="1:3" customFormat="1" hidden="1" x14ac:dyDescent="0.3">
      <c r="A266" s="16" t="s">
        <v>24</v>
      </c>
      <c r="B266" s="5">
        <v>2010</v>
      </c>
      <c r="C266" s="5"/>
    </row>
    <row r="267" spans="1:3" customFormat="1" hidden="1" x14ac:dyDescent="0.3">
      <c r="A267" s="16" t="s">
        <v>24</v>
      </c>
      <c r="B267" s="5">
        <v>2010</v>
      </c>
      <c r="C267" s="5"/>
    </row>
    <row r="268" spans="1:3" customFormat="1" hidden="1" x14ac:dyDescent="0.3">
      <c r="A268" s="16" t="s">
        <v>24</v>
      </c>
      <c r="B268" s="5">
        <v>2010</v>
      </c>
      <c r="C268" s="5"/>
    </row>
    <row r="269" spans="1:3" customFormat="1" hidden="1" x14ac:dyDescent="0.3">
      <c r="A269" s="16" t="s">
        <v>24</v>
      </c>
      <c r="B269" s="5">
        <v>2010</v>
      </c>
      <c r="C269" s="5"/>
    </row>
    <row r="270" spans="1:3" customFormat="1" hidden="1" x14ac:dyDescent="0.3">
      <c r="A270" s="35" t="s">
        <v>18</v>
      </c>
      <c r="B270" s="35" t="s">
        <v>18</v>
      </c>
      <c r="C270" s="35"/>
    </row>
    <row r="271" spans="1:3" customFormat="1" hidden="1" x14ac:dyDescent="0.3">
      <c r="A271" s="16" t="s">
        <v>24</v>
      </c>
      <c r="B271" s="5">
        <v>2010</v>
      </c>
      <c r="C271" s="5"/>
    </row>
    <row r="272" spans="1:3" customFormat="1" hidden="1" x14ac:dyDescent="0.3">
      <c r="A272" s="35" t="s">
        <v>18</v>
      </c>
      <c r="B272" s="35" t="s">
        <v>18</v>
      </c>
      <c r="C272" s="35"/>
    </row>
    <row r="273" spans="1:3" customFormat="1" hidden="1" x14ac:dyDescent="0.3">
      <c r="A273" s="16" t="s">
        <v>24</v>
      </c>
      <c r="B273" s="5">
        <v>2010</v>
      </c>
      <c r="C273" s="5"/>
    </row>
    <row r="274" spans="1:3" customFormat="1" hidden="1" x14ac:dyDescent="0.3">
      <c r="A274" s="16" t="s">
        <v>24</v>
      </c>
      <c r="B274" s="5">
        <v>2010</v>
      </c>
      <c r="C274" s="5"/>
    </row>
    <row r="275" spans="1:3" customFormat="1" hidden="1" x14ac:dyDescent="0.3">
      <c r="A275" s="16" t="s">
        <v>24</v>
      </c>
      <c r="B275" s="5">
        <v>2010</v>
      </c>
      <c r="C275" s="5"/>
    </row>
    <row r="276" spans="1:3" customFormat="1" hidden="1" x14ac:dyDescent="0.3">
      <c r="A276" s="16" t="s">
        <v>24</v>
      </c>
      <c r="B276" s="5">
        <v>2010</v>
      </c>
      <c r="C276" s="5"/>
    </row>
    <row r="277" spans="1:3" customFormat="1" hidden="1" x14ac:dyDescent="0.3">
      <c r="A277" s="16" t="s">
        <v>24</v>
      </c>
      <c r="B277" s="5">
        <v>2010</v>
      </c>
      <c r="C277" s="5"/>
    </row>
    <row r="278" spans="1:3" customFormat="1" hidden="1" x14ac:dyDescent="0.3">
      <c r="A278" s="16" t="s">
        <v>24</v>
      </c>
      <c r="B278" s="5">
        <v>2010</v>
      </c>
      <c r="C278" s="5"/>
    </row>
    <row r="279" spans="1:3" customFormat="1" hidden="1" x14ac:dyDescent="0.3">
      <c r="A279" s="16" t="s">
        <v>24</v>
      </c>
      <c r="B279" s="5">
        <v>2010</v>
      </c>
      <c r="C279" s="5"/>
    </row>
    <row r="280" spans="1:3" customFormat="1" hidden="1" x14ac:dyDescent="0.3">
      <c r="A280" s="16" t="s">
        <v>24</v>
      </c>
      <c r="B280" s="5">
        <v>2010</v>
      </c>
      <c r="C280" s="5"/>
    </row>
    <row r="281" spans="1:3" customFormat="1" hidden="1" x14ac:dyDescent="0.3">
      <c r="A281" s="35" t="s">
        <v>18</v>
      </c>
      <c r="B281" s="35" t="s">
        <v>18</v>
      </c>
      <c r="C281" s="35"/>
    </row>
    <row r="282" spans="1:3" customFormat="1" hidden="1" x14ac:dyDescent="0.3">
      <c r="A282" s="16" t="s">
        <v>24</v>
      </c>
      <c r="B282" s="5">
        <v>2010</v>
      </c>
      <c r="C282" s="5"/>
    </row>
    <row r="283" spans="1:3" customFormat="1" hidden="1" x14ac:dyDescent="0.3">
      <c r="A283" s="16" t="s">
        <v>24</v>
      </c>
      <c r="B283" s="5">
        <v>2010</v>
      </c>
      <c r="C283" s="5"/>
    </row>
    <row r="284" spans="1:3" customFormat="1" hidden="1" x14ac:dyDescent="0.3">
      <c r="A284" s="16" t="s">
        <v>24</v>
      </c>
      <c r="B284" s="5">
        <v>2010</v>
      </c>
      <c r="C284" s="5"/>
    </row>
    <row r="285" spans="1:3" customFormat="1" hidden="1" x14ac:dyDescent="0.3">
      <c r="A285" s="16" t="s">
        <v>24</v>
      </c>
      <c r="B285" s="5">
        <v>2010</v>
      </c>
      <c r="C285" s="5"/>
    </row>
    <row r="286" spans="1:3" customFormat="1" hidden="1" x14ac:dyDescent="0.3">
      <c r="A286" s="16" t="s">
        <v>24</v>
      </c>
      <c r="B286" s="5">
        <v>2010</v>
      </c>
      <c r="C286" s="5"/>
    </row>
    <row r="287" spans="1:3" customFormat="1" hidden="1" x14ac:dyDescent="0.3">
      <c r="A287" s="16" t="s">
        <v>24</v>
      </c>
      <c r="B287" s="5">
        <v>2010</v>
      </c>
      <c r="C287" s="5"/>
    </row>
    <row r="288" spans="1:3" customFormat="1" hidden="1" x14ac:dyDescent="0.3">
      <c r="A288" s="16" t="s">
        <v>24</v>
      </c>
      <c r="B288" s="5">
        <v>2010</v>
      </c>
      <c r="C288" s="5"/>
    </row>
    <row r="289" spans="1:12" hidden="1" x14ac:dyDescent="0.3">
      <c r="A289" s="16" t="s">
        <v>24</v>
      </c>
      <c r="B289" s="5">
        <v>2010</v>
      </c>
      <c r="C289" s="5"/>
      <c r="K289"/>
      <c r="L289"/>
    </row>
    <row r="290" spans="1:12" hidden="1" x14ac:dyDescent="0.3">
      <c r="A290" s="36" t="s">
        <v>24</v>
      </c>
      <c r="B290" s="37">
        <v>2010</v>
      </c>
      <c r="C290" s="37"/>
      <c r="K290"/>
      <c r="L290"/>
    </row>
    <row r="291" spans="1:12" hidden="1" x14ac:dyDescent="0.3">
      <c r="A291" s="36" t="s">
        <v>24</v>
      </c>
      <c r="B291" s="37">
        <v>2010</v>
      </c>
      <c r="C291" s="37"/>
      <c r="K291"/>
      <c r="L291"/>
    </row>
    <row r="292" spans="1:12" hidden="1" x14ac:dyDescent="0.3">
      <c r="A292" s="36" t="s">
        <v>24</v>
      </c>
      <c r="B292" s="37">
        <v>2010</v>
      </c>
      <c r="C292" s="37"/>
      <c r="K292"/>
      <c r="L292"/>
    </row>
    <row r="293" spans="1:12" hidden="1" x14ac:dyDescent="0.3">
      <c r="A293" s="36" t="s">
        <v>24</v>
      </c>
      <c r="B293" s="37">
        <v>2010</v>
      </c>
      <c r="C293" s="37"/>
      <c r="K293"/>
      <c r="L293"/>
    </row>
    <row r="294" spans="1:12" x14ac:dyDescent="0.3">
      <c r="A294" s="16" t="s">
        <v>33</v>
      </c>
      <c r="B294" s="5"/>
      <c r="C294" s="5" t="s">
        <v>154</v>
      </c>
      <c r="D294">
        <v>2.2135634757925689E-2</v>
      </c>
      <c r="E294">
        <v>3.0621873674414504E-2</v>
      </c>
      <c r="F294">
        <v>3.2173913043478262</v>
      </c>
      <c r="G294">
        <f>F294/1000</f>
        <v>3.217391304347826E-3</v>
      </c>
      <c r="H294">
        <v>13.77173913043478</v>
      </c>
      <c r="I294">
        <f>H294/1000</f>
        <v>1.3771739130434779E-2</v>
      </c>
      <c r="K294" s="87">
        <f>E294*4000</f>
        <v>122.48749469765802</v>
      </c>
      <c r="L294" s="87">
        <f>D294*4000</f>
        <v>88.542539031702759</v>
      </c>
    </row>
    <row r="295" spans="1:12" hidden="1" x14ac:dyDescent="0.3">
      <c r="A295" s="16" t="s">
        <v>33</v>
      </c>
      <c r="B295" s="5">
        <v>2010</v>
      </c>
      <c r="C295" s="5"/>
      <c r="K295"/>
      <c r="L295"/>
    </row>
    <row r="296" spans="1:12" hidden="1" x14ac:dyDescent="0.3">
      <c r="A296" s="16" t="s">
        <v>33</v>
      </c>
      <c r="B296" s="5">
        <v>2010</v>
      </c>
      <c r="C296" s="5"/>
      <c r="K296"/>
      <c r="L296"/>
    </row>
    <row r="297" spans="1:12" hidden="1" x14ac:dyDescent="0.3">
      <c r="A297" s="16" t="s">
        <v>33</v>
      </c>
      <c r="B297" s="5">
        <v>2010</v>
      </c>
      <c r="C297" s="5"/>
      <c r="K297"/>
      <c r="L297"/>
    </row>
    <row r="298" spans="1:12" hidden="1" x14ac:dyDescent="0.3">
      <c r="A298" s="16" t="s">
        <v>33</v>
      </c>
      <c r="B298" s="5">
        <v>2010</v>
      </c>
      <c r="C298" s="5"/>
      <c r="K298"/>
      <c r="L298"/>
    </row>
    <row r="299" spans="1:12" hidden="1" x14ac:dyDescent="0.3">
      <c r="A299" s="16" t="s">
        <v>33</v>
      </c>
      <c r="B299" s="5">
        <v>2010</v>
      </c>
      <c r="C299" s="5"/>
      <c r="K299"/>
      <c r="L299"/>
    </row>
    <row r="300" spans="1:12" hidden="1" x14ac:dyDescent="0.3">
      <c r="A300" s="16" t="s">
        <v>33</v>
      </c>
      <c r="B300" s="5">
        <v>2010</v>
      </c>
      <c r="C300" s="5"/>
      <c r="K300"/>
      <c r="L300"/>
    </row>
    <row r="301" spans="1:12" hidden="1" x14ac:dyDescent="0.3">
      <c r="A301" s="16" t="s">
        <v>33</v>
      </c>
      <c r="B301" s="5">
        <v>2010</v>
      </c>
      <c r="C301" s="5"/>
      <c r="K301"/>
      <c r="L301"/>
    </row>
    <row r="302" spans="1:12" hidden="1" x14ac:dyDescent="0.3">
      <c r="A302" s="16" t="s">
        <v>33</v>
      </c>
      <c r="B302" s="5">
        <v>2010</v>
      </c>
      <c r="C302" s="5"/>
      <c r="K302"/>
      <c r="L302"/>
    </row>
    <row r="303" spans="1:12" hidden="1" x14ac:dyDescent="0.3">
      <c r="A303" s="16" t="s">
        <v>33</v>
      </c>
      <c r="B303" s="5">
        <v>2010</v>
      </c>
      <c r="C303" s="5"/>
      <c r="K303"/>
      <c r="L303"/>
    </row>
    <row r="304" spans="1:12" hidden="1" x14ac:dyDescent="0.3">
      <c r="A304" s="16" t="s">
        <v>33</v>
      </c>
      <c r="B304" s="5">
        <v>2010</v>
      </c>
      <c r="C304" s="5"/>
      <c r="K304"/>
      <c r="L304"/>
    </row>
    <row r="305" spans="1:3" customFormat="1" hidden="1" x14ac:dyDescent="0.3">
      <c r="A305" s="16" t="s">
        <v>33</v>
      </c>
      <c r="B305" s="5">
        <v>2010</v>
      </c>
      <c r="C305" s="5"/>
    </row>
    <row r="306" spans="1:3" customFormat="1" hidden="1" x14ac:dyDescent="0.3">
      <c r="A306" s="16" t="s">
        <v>33</v>
      </c>
      <c r="B306" s="5">
        <v>2010</v>
      </c>
      <c r="C306" s="5"/>
    </row>
    <row r="307" spans="1:3" customFormat="1" hidden="1" x14ac:dyDescent="0.3">
      <c r="A307" s="35" t="s">
        <v>18</v>
      </c>
      <c r="B307" s="35" t="s">
        <v>18</v>
      </c>
      <c r="C307" s="35"/>
    </row>
    <row r="308" spans="1:3" customFormat="1" hidden="1" x14ac:dyDescent="0.3">
      <c r="A308" s="16" t="s">
        <v>33</v>
      </c>
      <c r="B308" s="5">
        <v>2010</v>
      </c>
      <c r="C308" s="5"/>
    </row>
    <row r="309" spans="1:3" customFormat="1" hidden="1" x14ac:dyDescent="0.3">
      <c r="A309" s="16" t="s">
        <v>33</v>
      </c>
      <c r="B309" s="5">
        <v>2010</v>
      </c>
      <c r="C309" s="5"/>
    </row>
    <row r="310" spans="1:3" customFormat="1" hidden="1" x14ac:dyDescent="0.3">
      <c r="A310" s="16" t="s">
        <v>33</v>
      </c>
      <c r="B310" s="5">
        <v>2010</v>
      </c>
      <c r="C310" s="5"/>
    </row>
    <row r="311" spans="1:3" customFormat="1" hidden="1" x14ac:dyDescent="0.3">
      <c r="A311" s="16" t="s">
        <v>33</v>
      </c>
      <c r="B311" s="5">
        <v>2010</v>
      </c>
      <c r="C311" s="5"/>
    </row>
    <row r="312" spans="1:3" customFormat="1" hidden="1" x14ac:dyDescent="0.3">
      <c r="A312" s="16" t="s">
        <v>33</v>
      </c>
      <c r="B312" s="5">
        <v>2010</v>
      </c>
      <c r="C312" s="5"/>
    </row>
    <row r="313" spans="1:3" customFormat="1" hidden="1" x14ac:dyDescent="0.3">
      <c r="A313" s="16" t="s">
        <v>33</v>
      </c>
      <c r="B313" s="5">
        <v>2010</v>
      </c>
      <c r="C313" s="5"/>
    </row>
    <row r="314" spans="1:3" customFormat="1" hidden="1" x14ac:dyDescent="0.3">
      <c r="A314" s="16" t="s">
        <v>33</v>
      </c>
      <c r="B314" s="5">
        <v>2010</v>
      </c>
      <c r="C314" s="5"/>
    </row>
    <row r="315" spans="1:3" customFormat="1" hidden="1" x14ac:dyDescent="0.3">
      <c r="A315" s="16" t="s">
        <v>33</v>
      </c>
      <c r="B315" s="5">
        <v>2010</v>
      </c>
      <c r="C315" s="5"/>
    </row>
    <row r="316" spans="1:3" customFormat="1" hidden="1" x14ac:dyDescent="0.3">
      <c r="A316" s="16" t="s">
        <v>33</v>
      </c>
      <c r="B316" s="5">
        <v>2010</v>
      </c>
      <c r="C316" s="5"/>
    </row>
    <row r="317" spans="1:3" customFormat="1" hidden="1" x14ac:dyDescent="0.3">
      <c r="A317" s="16" t="s">
        <v>33</v>
      </c>
      <c r="B317" s="5">
        <v>2010</v>
      </c>
      <c r="C317" s="5"/>
    </row>
    <row r="318" spans="1:3" customFormat="1" hidden="1" x14ac:dyDescent="0.3">
      <c r="A318" s="16" t="s">
        <v>33</v>
      </c>
      <c r="B318" s="5">
        <v>2010</v>
      </c>
      <c r="C318" s="5"/>
    </row>
    <row r="319" spans="1:3" customFormat="1" hidden="1" x14ac:dyDescent="0.3">
      <c r="A319" s="16" t="s">
        <v>33</v>
      </c>
      <c r="B319" s="5">
        <v>2010</v>
      </c>
      <c r="C319" s="5"/>
    </row>
    <row r="320" spans="1:3" customFormat="1" hidden="1" x14ac:dyDescent="0.3">
      <c r="A320" s="35" t="s">
        <v>18</v>
      </c>
      <c r="B320" s="35" t="s">
        <v>18</v>
      </c>
      <c r="C320" s="35"/>
    </row>
    <row r="321" spans="1:3" customFormat="1" hidden="1" x14ac:dyDescent="0.3">
      <c r="A321" s="35" t="s">
        <v>18</v>
      </c>
      <c r="B321" s="35" t="s">
        <v>18</v>
      </c>
      <c r="C321" s="35"/>
    </row>
    <row r="322" spans="1:3" customFormat="1" hidden="1" x14ac:dyDescent="0.3">
      <c r="A322" s="16" t="s">
        <v>33</v>
      </c>
      <c r="B322" s="5">
        <v>2010</v>
      </c>
      <c r="C322" s="5"/>
    </row>
    <row r="323" spans="1:3" customFormat="1" hidden="1" x14ac:dyDescent="0.3">
      <c r="A323" s="16" t="s">
        <v>33</v>
      </c>
      <c r="B323" s="5">
        <v>2010</v>
      </c>
      <c r="C323" s="5"/>
    </row>
    <row r="324" spans="1:3" customFormat="1" hidden="1" x14ac:dyDescent="0.3">
      <c r="A324" s="16" t="s">
        <v>33</v>
      </c>
      <c r="B324" s="5">
        <v>2010</v>
      </c>
      <c r="C324" s="5"/>
    </row>
    <row r="325" spans="1:3" customFormat="1" hidden="1" x14ac:dyDescent="0.3">
      <c r="A325" s="16" t="s">
        <v>33</v>
      </c>
      <c r="B325" s="5">
        <v>2010</v>
      </c>
      <c r="C325" s="5"/>
    </row>
    <row r="326" spans="1:3" customFormat="1" hidden="1" x14ac:dyDescent="0.3">
      <c r="A326" s="16" t="s">
        <v>33</v>
      </c>
      <c r="B326" s="5">
        <v>2010</v>
      </c>
      <c r="C326" s="5"/>
    </row>
    <row r="327" spans="1:3" customFormat="1" hidden="1" x14ac:dyDescent="0.3">
      <c r="A327" s="16" t="s">
        <v>33</v>
      </c>
      <c r="B327" s="5">
        <v>2010</v>
      </c>
      <c r="C327" s="5"/>
    </row>
    <row r="328" spans="1:3" customFormat="1" hidden="1" x14ac:dyDescent="0.3">
      <c r="A328" s="16" t="s">
        <v>33</v>
      </c>
      <c r="B328" s="5">
        <v>2010</v>
      </c>
      <c r="C328" s="5"/>
    </row>
    <row r="329" spans="1:3" customFormat="1" hidden="1" x14ac:dyDescent="0.3">
      <c r="A329" s="16" t="s">
        <v>33</v>
      </c>
      <c r="B329" s="5">
        <v>2010</v>
      </c>
      <c r="C329" s="5"/>
    </row>
    <row r="330" spans="1:3" customFormat="1" hidden="1" x14ac:dyDescent="0.3">
      <c r="A330" s="35" t="s">
        <v>18</v>
      </c>
      <c r="B330" s="35" t="s">
        <v>18</v>
      </c>
      <c r="C330" s="35"/>
    </row>
    <row r="331" spans="1:3" customFormat="1" hidden="1" x14ac:dyDescent="0.3">
      <c r="A331" s="16" t="s">
        <v>33</v>
      </c>
      <c r="B331" s="5">
        <v>2010</v>
      </c>
      <c r="C331" s="5"/>
    </row>
    <row r="332" spans="1:3" customFormat="1" hidden="1" x14ac:dyDescent="0.3">
      <c r="A332" s="35" t="s">
        <v>18</v>
      </c>
      <c r="B332" s="35" t="s">
        <v>18</v>
      </c>
      <c r="C332" s="35"/>
    </row>
    <row r="333" spans="1:3" customFormat="1" hidden="1" x14ac:dyDescent="0.3">
      <c r="A333" s="16" t="s">
        <v>33</v>
      </c>
      <c r="B333" s="5">
        <v>2010</v>
      </c>
      <c r="C333" s="5"/>
    </row>
    <row r="334" spans="1:3" customFormat="1" hidden="1" x14ac:dyDescent="0.3">
      <c r="A334" s="16" t="s">
        <v>33</v>
      </c>
      <c r="B334" s="5">
        <v>2010</v>
      </c>
      <c r="C334" s="5"/>
    </row>
    <row r="335" spans="1:3" customFormat="1" hidden="1" x14ac:dyDescent="0.3">
      <c r="A335" s="16" t="s">
        <v>33</v>
      </c>
      <c r="B335" s="5">
        <v>2010</v>
      </c>
      <c r="C335" s="5"/>
    </row>
    <row r="336" spans="1:3" customFormat="1" hidden="1" x14ac:dyDescent="0.3">
      <c r="A336" s="16" t="s">
        <v>33</v>
      </c>
      <c r="B336" s="5">
        <v>2010</v>
      </c>
      <c r="C336" s="5"/>
    </row>
    <row r="337" spans="1:3" customFormat="1" hidden="1" x14ac:dyDescent="0.3">
      <c r="A337" s="16" t="s">
        <v>33</v>
      </c>
      <c r="B337" s="5">
        <v>2010</v>
      </c>
      <c r="C337" s="5"/>
    </row>
    <row r="338" spans="1:3" customFormat="1" hidden="1" x14ac:dyDescent="0.3">
      <c r="A338" s="16" t="s">
        <v>33</v>
      </c>
      <c r="B338" s="5">
        <v>2010</v>
      </c>
      <c r="C338" s="5"/>
    </row>
    <row r="339" spans="1:3" customFormat="1" hidden="1" x14ac:dyDescent="0.3">
      <c r="A339" s="16" t="s">
        <v>33</v>
      </c>
      <c r="B339" s="5">
        <v>2010</v>
      </c>
      <c r="C339" s="5"/>
    </row>
    <row r="340" spans="1:3" customFormat="1" hidden="1" x14ac:dyDescent="0.3">
      <c r="A340" s="16" t="s">
        <v>33</v>
      </c>
      <c r="B340" s="5">
        <v>2010</v>
      </c>
      <c r="C340" s="5"/>
    </row>
    <row r="341" spans="1:3" customFormat="1" hidden="1" x14ac:dyDescent="0.3">
      <c r="A341" s="35" t="s">
        <v>18</v>
      </c>
      <c r="B341" s="35" t="s">
        <v>18</v>
      </c>
      <c r="C341" s="35"/>
    </row>
    <row r="342" spans="1:3" customFormat="1" hidden="1" x14ac:dyDescent="0.3">
      <c r="A342" s="16" t="s">
        <v>33</v>
      </c>
      <c r="B342" s="5">
        <v>2010</v>
      </c>
      <c r="C342" s="5"/>
    </row>
    <row r="343" spans="1:3" customFormat="1" hidden="1" x14ac:dyDescent="0.3">
      <c r="A343" s="16" t="s">
        <v>33</v>
      </c>
      <c r="B343" s="5">
        <v>2010</v>
      </c>
      <c r="C343" s="5"/>
    </row>
    <row r="344" spans="1:3" customFormat="1" hidden="1" x14ac:dyDescent="0.3">
      <c r="A344" s="16" t="s">
        <v>33</v>
      </c>
      <c r="B344" s="5">
        <v>2010</v>
      </c>
      <c r="C344" s="5"/>
    </row>
    <row r="345" spans="1:3" customFormat="1" hidden="1" x14ac:dyDescent="0.3">
      <c r="A345" s="16" t="s">
        <v>33</v>
      </c>
      <c r="B345" s="5">
        <v>2010</v>
      </c>
      <c r="C345" s="5"/>
    </row>
    <row r="346" spans="1:3" customFormat="1" hidden="1" x14ac:dyDescent="0.3">
      <c r="A346" s="16" t="s">
        <v>33</v>
      </c>
      <c r="B346" s="5">
        <v>2010</v>
      </c>
      <c r="C346" s="5"/>
    </row>
    <row r="347" spans="1:3" customFormat="1" hidden="1" x14ac:dyDescent="0.3">
      <c r="A347" s="16" t="s">
        <v>33</v>
      </c>
      <c r="B347" s="5">
        <v>2010</v>
      </c>
      <c r="C347" s="5"/>
    </row>
    <row r="348" spans="1:3" customFormat="1" hidden="1" x14ac:dyDescent="0.3">
      <c r="A348" s="16" t="s">
        <v>33</v>
      </c>
      <c r="B348" s="5">
        <v>2010</v>
      </c>
      <c r="C348" s="5"/>
    </row>
    <row r="349" spans="1:3" customFormat="1" hidden="1" x14ac:dyDescent="0.3">
      <c r="A349" s="16" t="s">
        <v>33</v>
      </c>
      <c r="B349" s="5">
        <v>2010</v>
      </c>
      <c r="C349" s="5"/>
    </row>
    <row r="350" spans="1:3" customFormat="1" hidden="1" x14ac:dyDescent="0.3">
      <c r="A350" s="36" t="s">
        <v>33</v>
      </c>
      <c r="B350" s="37">
        <v>2010</v>
      </c>
      <c r="C350" s="37"/>
    </row>
    <row r="351" spans="1:3" customFormat="1" hidden="1" x14ac:dyDescent="0.3">
      <c r="A351" s="36" t="s">
        <v>18</v>
      </c>
      <c r="B351" s="36" t="s">
        <v>18</v>
      </c>
      <c r="C351" s="37"/>
    </row>
    <row r="352" spans="1:3" customFormat="1" hidden="1" x14ac:dyDescent="0.3">
      <c r="A352" s="36" t="s">
        <v>33</v>
      </c>
      <c r="B352" s="37">
        <v>2010</v>
      </c>
      <c r="C352" s="37"/>
    </row>
    <row r="353" spans="1:12" hidden="1" x14ac:dyDescent="0.3">
      <c r="A353" s="36" t="s">
        <v>33</v>
      </c>
      <c r="B353" s="37">
        <v>2010</v>
      </c>
      <c r="C353" s="37"/>
      <c r="K353"/>
      <c r="L353"/>
    </row>
    <row r="354" spans="1:12" x14ac:dyDescent="0.3">
      <c r="A354" s="16" t="s">
        <v>61</v>
      </c>
      <c r="B354" s="5"/>
      <c r="C354" s="5" t="s">
        <v>155</v>
      </c>
      <c r="D354">
        <v>3.133206557964887E-2</v>
      </c>
      <c r="E354">
        <v>4.6817444236618773E-2</v>
      </c>
      <c r="F354">
        <v>2.3670329670329666</v>
      </c>
      <c r="G354">
        <f>F354/1000</f>
        <v>2.3670329670329665E-3</v>
      </c>
      <c r="H354">
        <v>17.461538461538453</v>
      </c>
      <c r="I354">
        <f>H354/1000</f>
        <v>1.7461538461538452E-2</v>
      </c>
      <c r="K354" s="87">
        <f>E354*4000</f>
        <v>187.2697769464751</v>
      </c>
      <c r="L354" s="87">
        <f>D354*4000</f>
        <v>125.32826231859548</v>
      </c>
    </row>
    <row r="355" spans="1:12" hidden="1" x14ac:dyDescent="0.3">
      <c r="A355" s="16" t="s">
        <v>61</v>
      </c>
      <c r="B355" s="5">
        <v>2010</v>
      </c>
      <c r="C355" s="5"/>
      <c r="K355"/>
      <c r="L355"/>
    </row>
    <row r="356" spans="1:12" hidden="1" x14ac:dyDescent="0.3">
      <c r="A356" s="16" t="s">
        <v>61</v>
      </c>
      <c r="B356" s="5">
        <v>2010</v>
      </c>
      <c r="C356" s="5"/>
      <c r="K356"/>
      <c r="L356"/>
    </row>
    <row r="357" spans="1:12" hidden="1" x14ac:dyDescent="0.3">
      <c r="A357" s="16" t="s">
        <v>61</v>
      </c>
      <c r="B357" s="5">
        <v>2010</v>
      </c>
      <c r="C357" s="5"/>
      <c r="K357"/>
      <c r="L357"/>
    </row>
    <row r="358" spans="1:12" hidden="1" x14ac:dyDescent="0.3">
      <c r="A358" s="16" t="s">
        <v>61</v>
      </c>
      <c r="B358" s="5">
        <v>2010</v>
      </c>
      <c r="C358" s="5"/>
      <c r="K358"/>
      <c r="L358"/>
    </row>
    <row r="359" spans="1:12" hidden="1" x14ac:dyDescent="0.3">
      <c r="A359" s="16" t="s">
        <v>61</v>
      </c>
      <c r="B359" s="5">
        <v>2010</v>
      </c>
      <c r="C359" s="5"/>
      <c r="K359"/>
      <c r="L359"/>
    </row>
    <row r="360" spans="1:12" hidden="1" x14ac:dyDescent="0.3">
      <c r="A360" s="16" t="s">
        <v>61</v>
      </c>
      <c r="B360" s="5">
        <v>2010</v>
      </c>
      <c r="C360" s="5"/>
      <c r="K360"/>
      <c r="L360"/>
    </row>
    <row r="361" spans="1:12" hidden="1" x14ac:dyDescent="0.3">
      <c r="A361" s="16" t="s">
        <v>61</v>
      </c>
      <c r="B361" s="5">
        <v>2010</v>
      </c>
      <c r="C361" s="5"/>
      <c r="K361"/>
      <c r="L361"/>
    </row>
    <row r="362" spans="1:12" hidden="1" x14ac:dyDescent="0.3">
      <c r="A362" s="16" t="s">
        <v>61</v>
      </c>
      <c r="B362" s="5">
        <v>2010</v>
      </c>
      <c r="C362" s="5"/>
      <c r="K362"/>
      <c r="L362"/>
    </row>
    <row r="363" spans="1:12" hidden="1" x14ac:dyDescent="0.3">
      <c r="A363" s="16" t="s">
        <v>61</v>
      </c>
      <c r="B363" s="5">
        <v>2010</v>
      </c>
      <c r="C363" s="5"/>
      <c r="K363"/>
      <c r="L363"/>
    </row>
    <row r="364" spans="1:12" hidden="1" x14ac:dyDescent="0.3">
      <c r="A364" s="16" t="s">
        <v>61</v>
      </c>
      <c r="B364" s="5">
        <v>2010</v>
      </c>
      <c r="C364" s="5"/>
      <c r="K364"/>
      <c r="L364"/>
    </row>
    <row r="365" spans="1:12" hidden="1" x14ac:dyDescent="0.3">
      <c r="A365" s="16" t="s">
        <v>61</v>
      </c>
      <c r="B365" s="5">
        <v>2010</v>
      </c>
      <c r="C365" s="5"/>
      <c r="K365"/>
      <c r="L365"/>
    </row>
    <row r="366" spans="1:12" hidden="1" x14ac:dyDescent="0.3">
      <c r="A366" s="16" t="s">
        <v>61</v>
      </c>
      <c r="B366" s="5">
        <v>2010</v>
      </c>
      <c r="C366" s="5"/>
      <c r="K366"/>
      <c r="L366"/>
    </row>
    <row r="367" spans="1:12" hidden="1" x14ac:dyDescent="0.3">
      <c r="A367" s="35" t="s">
        <v>18</v>
      </c>
      <c r="B367" s="35" t="s">
        <v>18</v>
      </c>
      <c r="C367" s="35"/>
      <c r="K367"/>
      <c r="L367"/>
    </row>
    <row r="368" spans="1:12" hidden="1" x14ac:dyDescent="0.3">
      <c r="A368" s="16" t="s">
        <v>61</v>
      </c>
      <c r="B368" s="5">
        <v>2010</v>
      </c>
      <c r="C368" s="5"/>
      <c r="K368"/>
      <c r="L368"/>
    </row>
    <row r="369" spans="1:3" customFormat="1" hidden="1" x14ac:dyDescent="0.3">
      <c r="A369" s="16" t="s">
        <v>61</v>
      </c>
      <c r="B369" s="5">
        <v>2010</v>
      </c>
      <c r="C369" s="5"/>
    </row>
    <row r="370" spans="1:3" customFormat="1" hidden="1" x14ac:dyDescent="0.3">
      <c r="A370" s="16" t="s">
        <v>61</v>
      </c>
      <c r="B370" s="5">
        <v>2010</v>
      </c>
      <c r="C370" s="5"/>
    </row>
    <row r="371" spans="1:3" customFormat="1" hidden="1" x14ac:dyDescent="0.3">
      <c r="A371" s="16" t="s">
        <v>61</v>
      </c>
      <c r="B371" s="5">
        <v>2010</v>
      </c>
      <c r="C371" s="5"/>
    </row>
    <row r="372" spans="1:3" customFormat="1" hidden="1" x14ac:dyDescent="0.3">
      <c r="A372" s="16" t="s">
        <v>61</v>
      </c>
      <c r="B372" s="5">
        <v>2010</v>
      </c>
      <c r="C372" s="16"/>
    </row>
    <row r="373" spans="1:3" customFormat="1" hidden="1" x14ac:dyDescent="0.3">
      <c r="A373" s="16" t="s">
        <v>61</v>
      </c>
      <c r="B373" s="5">
        <v>2010</v>
      </c>
      <c r="C373" s="5"/>
    </row>
    <row r="374" spans="1:3" customFormat="1" hidden="1" x14ac:dyDescent="0.3">
      <c r="A374" s="16" t="s">
        <v>61</v>
      </c>
      <c r="B374" s="5">
        <v>2010</v>
      </c>
      <c r="C374" s="5"/>
    </row>
    <row r="375" spans="1:3" customFormat="1" hidden="1" x14ac:dyDescent="0.3">
      <c r="A375" s="16" t="s">
        <v>61</v>
      </c>
      <c r="B375" s="5">
        <v>2010</v>
      </c>
      <c r="C375" s="5"/>
    </row>
    <row r="376" spans="1:3" customFormat="1" hidden="1" x14ac:dyDescent="0.3">
      <c r="A376" s="16" t="s">
        <v>61</v>
      </c>
      <c r="B376" s="5">
        <v>2010</v>
      </c>
      <c r="C376" s="5"/>
    </row>
    <row r="377" spans="1:3" customFormat="1" hidden="1" x14ac:dyDescent="0.3">
      <c r="A377" s="16" t="s">
        <v>61</v>
      </c>
      <c r="B377" s="5">
        <v>2010</v>
      </c>
      <c r="C377" s="5"/>
    </row>
    <row r="378" spans="1:3" customFormat="1" hidden="1" x14ac:dyDescent="0.3">
      <c r="A378" s="16" t="s">
        <v>61</v>
      </c>
      <c r="B378" s="5">
        <v>2010</v>
      </c>
      <c r="C378" s="5"/>
    </row>
    <row r="379" spans="1:3" customFormat="1" hidden="1" x14ac:dyDescent="0.3">
      <c r="A379" s="16" t="s">
        <v>61</v>
      </c>
      <c r="B379" s="5">
        <v>2010</v>
      </c>
      <c r="C379" s="5"/>
    </row>
    <row r="380" spans="1:3" customFormat="1" hidden="1" x14ac:dyDescent="0.3">
      <c r="A380" s="35" t="s">
        <v>18</v>
      </c>
      <c r="B380" s="35" t="s">
        <v>18</v>
      </c>
      <c r="C380" s="35"/>
    </row>
    <row r="381" spans="1:3" customFormat="1" hidden="1" x14ac:dyDescent="0.3">
      <c r="A381" s="35" t="s">
        <v>18</v>
      </c>
      <c r="B381" s="35" t="s">
        <v>18</v>
      </c>
      <c r="C381" s="35"/>
    </row>
    <row r="382" spans="1:3" customFormat="1" hidden="1" x14ac:dyDescent="0.3">
      <c r="A382" s="16" t="s">
        <v>61</v>
      </c>
      <c r="B382" s="5">
        <v>2010</v>
      </c>
      <c r="C382" s="5"/>
    </row>
    <row r="383" spans="1:3" customFormat="1" hidden="1" x14ac:dyDescent="0.3">
      <c r="A383" s="16" t="s">
        <v>61</v>
      </c>
      <c r="B383" s="5">
        <v>2010</v>
      </c>
      <c r="C383" s="16"/>
    </row>
    <row r="384" spans="1:3" customFormat="1" hidden="1" x14ac:dyDescent="0.3">
      <c r="A384" s="16" t="s">
        <v>61</v>
      </c>
      <c r="B384" s="5">
        <v>2010</v>
      </c>
      <c r="C384" s="5"/>
    </row>
    <row r="385" spans="1:3" customFormat="1" hidden="1" x14ac:dyDescent="0.3">
      <c r="A385" s="16" t="s">
        <v>61</v>
      </c>
      <c r="B385" s="5">
        <v>2010</v>
      </c>
      <c r="C385" s="5"/>
    </row>
    <row r="386" spans="1:3" customFormat="1" hidden="1" x14ac:dyDescent="0.3">
      <c r="A386" s="16" t="s">
        <v>61</v>
      </c>
      <c r="B386" s="5">
        <v>2010</v>
      </c>
      <c r="C386" s="5"/>
    </row>
    <row r="387" spans="1:3" customFormat="1" hidden="1" x14ac:dyDescent="0.3">
      <c r="A387" s="16" t="s">
        <v>61</v>
      </c>
      <c r="B387" s="5">
        <v>2010</v>
      </c>
      <c r="C387" s="5"/>
    </row>
    <row r="388" spans="1:3" customFormat="1" hidden="1" x14ac:dyDescent="0.3">
      <c r="A388" s="16" t="s">
        <v>61</v>
      </c>
      <c r="B388" s="5">
        <v>2010</v>
      </c>
      <c r="C388" s="5"/>
    </row>
    <row r="389" spans="1:3" customFormat="1" hidden="1" x14ac:dyDescent="0.3">
      <c r="A389" s="16" t="s">
        <v>61</v>
      </c>
      <c r="B389" s="5">
        <v>2010</v>
      </c>
      <c r="C389" s="5"/>
    </row>
    <row r="390" spans="1:3" customFormat="1" hidden="1" x14ac:dyDescent="0.3">
      <c r="A390" s="35" t="s">
        <v>18</v>
      </c>
      <c r="B390" s="35" t="s">
        <v>18</v>
      </c>
      <c r="C390" s="35"/>
    </row>
    <row r="391" spans="1:3" customFormat="1" hidden="1" x14ac:dyDescent="0.3">
      <c r="A391" s="16" t="s">
        <v>61</v>
      </c>
      <c r="B391" s="5">
        <v>2010</v>
      </c>
      <c r="C391" s="5"/>
    </row>
    <row r="392" spans="1:3" customFormat="1" hidden="1" x14ac:dyDescent="0.3">
      <c r="A392" s="35" t="s">
        <v>18</v>
      </c>
      <c r="B392" s="35" t="s">
        <v>18</v>
      </c>
      <c r="C392" s="35"/>
    </row>
    <row r="393" spans="1:3" customFormat="1" hidden="1" x14ac:dyDescent="0.3">
      <c r="A393" s="16" t="s">
        <v>61</v>
      </c>
      <c r="B393" s="5">
        <v>2010</v>
      </c>
      <c r="C393" s="5"/>
    </row>
    <row r="394" spans="1:3" customFormat="1" hidden="1" x14ac:dyDescent="0.3">
      <c r="A394" s="16" t="s">
        <v>61</v>
      </c>
      <c r="B394" s="5">
        <v>2010</v>
      </c>
      <c r="C394" s="5"/>
    </row>
    <row r="395" spans="1:3" customFormat="1" hidden="1" x14ac:dyDescent="0.3">
      <c r="A395" s="16" t="s">
        <v>61</v>
      </c>
      <c r="B395" s="5">
        <v>2010</v>
      </c>
      <c r="C395" s="5"/>
    </row>
    <row r="396" spans="1:3" customFormat="1" hidden="1" x14ac:dyDescent="0.3">
      <c r="A396" s="16" t="s">
        <v>61</v>
      </c>
      <c r="B396" s="5">
        <v>2010</v>
      </c>
      <c r="C396" s="5"/>
    </row>
    <row r="397" spans="1:3" customFormat="1" hidden="1" x14ac:dyDescent="0.3">
      <c r="A397" s="16" t="s">
        <v>61</v>
      </c>
      <c r="B397" s="5">
        <v>2010</v>
      </c>
      <c r="C397" s="5"/>
    </row>
    <row r="398" spans="1:3" customFormat="1" hidden="1" x14ac:dyDescent="0.3">
      <c r="A398" s="16" t="s">
        <v>61</v>
      </c>
      <c r="B398" s="5">
        <v>2010</v>
      </c>
      <c r="C398" s="5"/>
    </row>
    <row r="399" spans="1:3" customFormat="1" hidden="1" x14ac:dyDescent="0.3">
      <c r="A399" s="16" t="s">
        <v>61</v>
      </c>
      <c r="B399" s="5">
        <v>2010</v>
      </c>
      <c r="C399" s="5"/>
    </row>
    <row r="400" spans="1:3" customFormat="1" hidden="1" x14ac:dyDescent="0.3">
      <c r="A400" s="16" t="s">
        <v>61</v>
      </c>
      <c r="B400" s="5">
        <v>2010</v>
      </c>
      <c r="C400" s="5"/>
    </row>
    <row r="401" spans="1:12" hidden="1" x14ac:dyDescent="0.3">
      <c r="A401" s="35" t="s">
        <v>18</v>
      </c>
      <c r="B401" s="35" t="s">
        <v>18</v>
      </c>
      <c r="C401" s="35"/>
      <c r="K401"/>
      <c r="L401"/>
    </row>
    <row r="402" spans="1:12" hidden="1" x14ac:dyDescent="0.3">
      <c r="A402" s="16" t="s">
        <v>61</v>
      </c>
      <c r="B402" s="5">
        <v>2010</v>
      </c>
      <c r="C402" s="5"/>
      <c r="K402"/>
      <c r="L402"/>
    </row>
    <row r="403" spans="1:12" hidden="1" x14ac:dyDescent="0.3">
      <c r="A403" s="16" t="s">
        <v>61</v>
      </c>
      <c r="B403" s="5">
        <v>2010</v>
      </c>
      <c r="C403" s="5"/>
      <c r="K403"/>
      <c r="L403"/>
    </row>
    <row r="404" spans="1:12" hidden="1" x14ac:dyDescent="0.3">
      <c r="A404" s="16" t="s">
        <v>61</v>
      </c>
      <c r="B404" s="5">
        <v>2010</v>
      </c>
      <c r="C404" s="5"/>
      <c r="K404"/>
      <c r="L404"/>
    </row>
    <row r="405" spans="1:12" hidden="1" x14ac:dyDescent="0.3">
      <c r="A405" s="16" t="s">
        <v>61</v>
      </c>
      <c r="B405" s="5">
        <v>2010</v>
      </c>
      <c r="C405" s="5"/>
      <c r="K405"/>
      <c r="L405"/>
    </row>
    <row r="406" spans="1:12" hidden="1" x14ac:dyDescent="0.3">
      <c r="A406" s="16" t="s">
        <v>61</v>
      </c>
      <c r="B406" s="5">
        <v>2010</v>
      </c>
      <c r="C406" s="5"/>
      <c r="K406"/>
      <c r="L406"/>
    </row>
    <row r="407" spans="1:12" hidden="1" x14ac:dyDescent="0.3">
      <c r="A407" s="16" t="s">
        <v>61</v>
      </c>
      <c r="B407" s="5">
        <v>2010</v>
      </c>
      <c r="C407" s="5"/>
      <c r="K407"/>
      <c r="L407"/>
    </row>
    <row r="408" spans="1:12" hidden="1" x14ac:dyDescent="0.3">
      <c r="A408" s="16" t="s">
        <v>61</v>
      </c>
      <c r="B408" s="5">
        <v>2010</v>
      </c>
      <c r="C408" s="5"/>
      <c r="K408"/>
      <c r="L408"/>
    </row>
    <row r="409" spans="1:12" hidden="1" x14ac:dyDescent="0.3">
      <c r="A409" s="16" t="s">
        <v>61</v>
      </c>
      <c r="B409" s="5">
        <v>2010</v>
      </c>
      <c r="C409" s="5"/>
      <c r="K409"/>
      <c r="L409"/>
    </row>
    <row r="410" spans="1:12" hidden="1" x14ac:dyDescent="0.3">
      <c r="A410" s="36" t="s">
        <v>61</v>
      </c>
      <c r="B410" s="37">
        <v>2010</v>
      </c>
      <c r="C410" s="37"/>
      <c r="K410"/>
      <c r="L410"/>
    </row>
    <row r="411" spans="1:12" hidden="1" x14ac:dyDescent="0.3">
      <c r="A411" s="36" t="s">
        <v>61</v>
      </c>
      <c r="B411" s="37">
        <v>2010</v>
      </c>
      <c r="C411" s="37"/>
      <c r="K411"/>
      <c r="L411"/>
    </row>
    <row r="412" spans="1:12" hidden="1" x14ac:dyDescent="0.3">
      <c r="A412" s="36" t="s">
        <v>61</v>
      </c>
      <c r="B412" s="37">
        <v>2010</v>
      </c>
      <c r="C412" s="37"/>
      <c r="K412"/>
      <c r="L412"/>
    </row>
    <row r="413" spans="1:12" hidden="1" x14ac:dyDescent="0.3">
      <c r="A413" s="36" t="s">
        <v>61</v>
      </c>
      <c r="B413" s="37">
        <v>2010</v>
      </c>
      <c r="C413" s="37"/>
      <c r="K413"/>
      <c r="L413"/>
    </row>
    <row r="414" spans="1:12" x14ac:dyDescent="0.3">
      <c r="A414" s="16" t="s">
        <v>64</v>
      </c>
      <c r="B414" s="16">
        <v>2011</v>
      </c>
      <c r="C414" s="5" t="s">
        <v>156</v>
      </c>
      <c r="D414">
        <v>2.9234860644369975E-2</v>
      </c>
      <c r="E414">
        <v>4.1889596177811211E-2</v>
      </c>
      <c r="F414">
        <v>3.0577777777777775</v>
      </c>
      <c r="G414">
        <f>F414/1000</f>
        <v>3.0577777777777773E-3</v>
      </c>
      <c r="H414">
        <v>22.114444444444437</v>
      </c>
      <c r="I414">
        <f>H414/1000</f>
        <v>2.2114444444444437E-2</v>
      </c>
      <c r="K414" s="87">
        <f>E414*4000</f>
        <v>167.55838471124486</v>
      </c>
      <c r="L414" s="87">
        <f>D414*4000</f>
        <v>116.93944257747989</v>
      </c>
    </row>
    <row r="415" spans="1:12" hidden="1" x14ac:dyDescent="0.3">
      <c r="A415" s="16" t="s">
        <v>64</v>
      </c>
      <c r="B415" s="16">
        <v>2011</v>
      </c>
      <c r="C415" s="5"/>
      <c r="K415"/>
      <c r="L415"/>
    </row>
    <row r="416" spans="1:12" hidden="1" x14ac:dyDescent="0.3">
      <c r="A416" s="16" t="s">
        <v>64</v>
      </c>
      <c r="B416" s="16">
        <v>2011</v>
      </c>
      <c r="C416" s="5"/>
      <c r="K416"/>
      <c r="L416"/>
    </row>
    <row r="417" spans="1:3" customFormat="1" hidden="1" x14ac:dyDescent="0.3">
      <c r="A417" s="16" t="s">
        <v>64</v>
      </c>
      <c r="B417" s="16">
        <v>2011</v>
      </c>
      <c r="C417" s="5"/>
    </row>
    <row r="418" spans="1:3" customFormat="1" hidden="1" x14ac:dyDescent="0.3">
      <c r="A418" s="16" t="s">
        <v>64</v>
      </c>
      <c r="B418" s="16">
        <v>2011</v>
      </c>
      <c r="C418" s="5"/>
    </row>
    <row r="419" spans="1:3" customFormat="1" hidden="1" x14ac:dyDescent="0.3">
      <c r="A419" s="16" t="s">
        <v>64</v>
      </c>
      <c r="B419" s="16">
        <v>2011</v>
      </c>
      <c r="C419" s="5"/>
    </row>
    <row r="420" spans="1:3" customFormat="1" hidden="1" x14ac:dyDescent="0.3">
      <c r="A420" s="16" t="s">
        <v>64</v>
      </c>
      <c r="B420" s="16">
        <v>2011</v>
      </c>
      <c r="C420" s="5"/>
    </row>
    <row r="421" spans="1:3" customFormat="1" hidden="1" x14ac:dyDescent="0.3">
      <c r="A421" s="16" t="s">
        <v>64</v>
      </c>
      <c r="B421" s="16">
        <v>2011</v>
      </c>
      <c r="C421" s="5"/>
    </row>
    <row r="422" spans="1:3" customFormat="1" hidden="1" x14ac:dyDescent="0.3">
      <c r="A422" s="16" t="s">
        <v>64</v>
      </c>
      <c r="B422" s="16">
        <v>2011</v>
      </c>
      <c r="C422" s="5"/>
    </row>
    <row r="423" spans="1:3" customFormat="1" hidden="1" x14ac:dyDescent="0.3">
      <c r="A423" s="16" t="s">
        <v>64</v>
      </c>
      <c r="B423" s="16">
        <v>2011</v>
      </c>
      <c r="C423" s="5"/>
    </row>
    <row r="424" spans="1:3" customFormat="1" hidden="1" x14ac:dyDescent="0.3">
      <c r="A424" s="16" t="s">
        <v>64</v>
      </c>
      <c r="B424" s="16">
        <v>2011</v>
      </c>
      <c r="C424" s="5"/>
    </row>
    <row r="425" spans="1:3" customFormat="1" hidden="1" x14ac:dyDescent="0.3">
      <c r="A425" s="16" t="s">
        <v>64</v>
      </c>
      <c r="B425" s="16">
        <v>2011</v>
      </c>
      <c r="C425" s="5"/>
    </row>
    <row r="426" spans="1:3" customFormat="1" hidden="1" x14ac:dyDescent="0.3">
      <c r="A426" s="16" t="s">
        <v>64</v>
      </c>
      <c r="B426" s="16">
        <v>2011</v>
      </c>
      <c r="C426" s="5"/>
    </row>
    <row r="427" spans="1:3" customFormat="1" hidden="1" x14ac:dyDescent="0.3">
      <c r="A427" s="35" t="s">
        <v>18</v>
      </c>
      <c r="B427" s="35" t="s">
        <v>18</v>
      </c>
      <c r="C427" s="35"/>
    </row>
    <row r="428" spans="1:3" customFormat="1" hidden="1" x14ac:dyDescent="0.3">
      <c r="A428" s="16" t="s">
        <v>64</v>
      </c>
      <c r="B428" s="16">
        <v>2011</v>
      </c>
      <c r="C428" s="5"/>
    </row>
    <row r="429" spans="1:3" customFormat="1" hidden="1" x14ac:dyDescent="0.3">
      <c r="A429" s="16" t="s">
        <v>64</v>
      </c>
      <c r="B429" s="16">
        <v>2011</v>
      </c>
      <c r="C429" s="5"/>
    </row>
    <row r="430" spans="1:3" customFormat="1" hidden="1" x14ac:dyDescent="0.3">
      <c r="A430" s="16" t="s">
        <v>64</v>
      </c>
      <c r="B430" s="16">
        <v>2011</v>
      </c>
      <c r="C430" s="5"/>
    </row>
    <row r="431" spans="1:3" customFormat="1" hidden="1" x14ac:dyDescent="0.3">
      <c r="A431" s="16" t="s">
        <v>64</v>
      </c>
      <c r="B431" s="16">
        <v>2011</v>
      </c>
      <c r="C431" s="5"/>
    </row>
    <row r="432" spans="1:3" customFormat="1" hidden="1" x14ac:dyDescent="0.3">
      <c r="A432" s="16" t="s">
        <v>64</v>
      </c>
      <c r="B432" s="16">
        <v>2011</v>
      </c>
      <c r="C432" s="5"/>
    </row>
    <row r="433" spans="1:3" customFormat="1" hidden="1" x14ac:dyDescent="0.3">
      <c r="A433" s="16" t="s">
        <v>64</v>
      </c>
      <c r="B433" s="16">
        <v>2011</v>
      </c>
      <c r="C433" s="5"/>
    </row>
    <row r="434" spans="1:3" customFormat="1" hidden="1" x14ac:dyDescent="0.3">
      <c r="A434" s="16" t="s">
        <v>64</v>
      </c>
      <c r="B434" s="16">
        <v>2011</v>
      </c>
      <c r="C434" s="5"/>
    </row>
    <row r="435" spans="1:3" customFormat="1" hidden="1" x14ac:dyDescent="0.3">
      <c r="A435" s="16" t="s">
        <v>64</v>
      </c>
      <c r="B435" s="16">
        <v>2011</v>
      </c>
      <c r="C435" s="5"/>
    </row>
    <row r="436" spans="1:3" customFormat="1" hidden="1" x14ac:dyDescent="0.3">
      <c r="A436" s="16" t="s">
        <v>64</v>
      </c>
      <c r="B436" s="16">
        <v>2011</v>
      </c>
      <c r="C436" s="5"/>
    </row>
    <row r="437" spans="1:3" customFormat="1" hidden="1" x14ac:dyDescent="0.3">
      <c r="A437" s="16" t="s">
        <v>64</v>
      </c>
      <c r="B437" s="16">
        <v>2011</v>
      </c>
      <c r="C437" s="5"/>
    </row>
    <row r="438" spans="1:3" customFormat="1" hidden="1" x14ac:dyDescent="0.3">
      <c r="A438" s="16" t="s">
        <v>64</v>
      </c>
      <c r="B438" s="16">
        <v>2011</v>
      </c>
      <c r="C438" s="5"/>
    </row>
    <row r="439" spans="1:3" customFormat="1" hidden="1" x14ac:dyDescent="0.3">
      <c r="A439" s="16" t="s">
        <v>64</v>
      </c>
      <c r="B439" s="16">
        <v>2011</v>
      </c>
      <c r="C439" s="5"/>
    </row>
    <row r="440" spans="1:3" customFormat="1" hidden="1" x14ac:dyDescent="0.3">
      <c r="A440" s="35" t="s">
        <v>18</v>
      </c>
      <c r="B440" s="35" t="s">
        <v>18</v>
      </c>
      <c r="C440" s="35"/>
    </row>
    <row r="441" spans="1:3" customFormat="1" hidden="1" x14ac:dyDescent="0.3">
      <c r="A441" s="35" t="s">
        <v>18</v>
      </c>
      <c r="B441" s="35" t="s">
        <v>18</v>
      </c>
      <c r="C441" s="35"/>
    </row>
    <row r="442" spans="1:3" customFormat="1" hidden="1" x14ac:dyDescent="0.3">
      <c r="A442" s="16" t="s">
        <v>64</v>
      </c>
      <c r="B442" s="16">
        <v>2011</v>
      </c>
      <c r="C442" s="5"/>
    </row>
    <row r="443" spans="1:3" customFormat="1" hidden="1" x14ac:dyDescent="0.3">
      <c r="A443" s="16" t="s">
        <v>64</v>
      </c>
      <c r="B443" s="16">
        <v>2011</v>
      </c>
      <c r="C443" s="5"/>
    </row>
    <row r="444" spans="1:3" customFormat="1" hidden="1" x14ac:dyDescent="0.3">
      <c r="A444" s="16" t="s">
        <v>64</v>
      </c>
      <c r="B444" s="16">
        <v>2011</v>
      </c>
      <c r="C444" s="5"/>
    </row>
    <row r="445" spans="1:3" customFormat="1" hidden="1" x14ac:dyDescent="0.3">
      <c r="A445" s="16" t="s">
        <v>64</v>
      </c>
      <c r="B445" s="16">
        <v>2011</v>
      </c>
      <c r="C445" s="5"/>
    </row>
    <row r="446" spans="1:3" customFormat="1" hidden="1" x14ac:dyDescent="0.3">
      <c r="A446" s="16" t="s">
        <v>64</v>
      </c>
      <c r="B446" s="16">
        <v>2011</v>
      </c>
      <c r="C446" s="5"/>
    </row>
    <row r="447" spans="1:3" customFormat="1" hidden="1" x14ac:dyDescent="0.3">
      <c r="A447" s="16" t="s">
        <v>64</v>
      </c>
      <c r="B447" s="16">
        <v>2011</v>
      </c>
      <c r="C447" s="5"/>
    </row>
    <row r="448" spans="1:3" customFormat="1" hidden="1" x14ac:dyDescent="0.3">
      <c r="A448" s="16" t="s">
        <v>64</v>
      </c>
      <c r="B448" s="16">
        <v>2011</v>
      </c>
      <c r="C448" s="5"/>
    </row>
    <row r="449" spans="1:3" customFormat="1" hidden="1" x14ac:dyDescent="0.3">
      <c r="A449" s="16" t="s">
        <v>64</v>
      </c>
      <c r="B449" s="16">
        <v>2011</v>
      </c>
      <c r="C449" s="5"/>
    </row>
    <row r="450" spans="1:3" customFormat="1" hidden="1" x14ac:dyDescent="0.3">
      <c r="A450" s="35" t="s">
        <v>18</v>
      </c>
      <c r="B450" s="35" t="s">
        <v>18</v>
      </c>
      <c r="C450" s="35"/>
    </row>
    <row r="451" spans="1:3" customFormat="1" hidden="1" x14ac:dyDescent="0.3">
      <c r="A451" s="16" t="s">
        <v>64</v>
      </c>
      <c r="B451" s="16">
        <v>2011</v>
      </c>
      <c r="C451" s="5"/>
    </row>
    <row r="452" spans="1:3" customFormat="1" hidden="1" x14ac:dyDescent="0.3">
      <c r="A452" s="35" t="s">
        <v>18</v>
      </c>
      <c r="B452" s="35" t="s">
        <v>18</v>
      </c>
      <c r="C452" s="35"/>
    </row>
    <row r="453" spans="1:3" customFormat="1" hidden="1" x14ac:dyDescent="0.3">
      <c r="A453" s="16" t="s">
        <v>64</v>
      </c>
      <c r="B453" s="16">
        <v>2011</v>
      </c>
      <c r="C453" s="5"/>
    </row>
    <row r="454" spans="1:3" customFormat="1" hidden="1" x14ac:dyDescent="0.3">
      <c r="A454" s="16" t="s">
        <v>64</v>
      </c>
      <c r="B454" s="16">
        <v>2011</v>
      </c>
      <c r="C454" s="5"/>
    </row>
    <row r="455" spans="1:3" customFormat="1" hidden="1" x14ac:dyDescent="0.3">
      <c r="A455" s="16" t="s">
        <v>64</v>
      </c>
      <c r="B455" s="16">
        <v>2011</v>
      </c>
      <c r="C455" s="5"/>
    </row>
    <row r="456" spans="1:3" customFormat="1" hidden="1" x14ac:dyDescent="0.3">
      <c r="A456" s="16" t="s">
        <v>64</v>
      </c>
      <c r="B456" s="16">
        <v>2011</v>
      </c>
      <c r="C456" s="5"/>
    </row>
    <row r="457" spans="1:3" customFormat="1" hidden="1" x14ac:dyDescent="0.3">
      <c r="A457" s="16" t="s">
        <v>64</v>
      </c>
      <c r="B457" s="16">
        <v>2011</v>
      </c>
      <c r="C457" s="5"/>
    </row>
    <row r="458" spans="1:3" customFormat="1" hidden="1" x14ac:dyDescent="0.3">
      <c r="A458" s="16" t="s">
        <v>64</v>
      </c>
      <c r="B458" s="16">
        <v>2011</v>
      </c>
      <c r="C458" s="5"/>
    </row>
    <row r="459" spans="1:3" customFormat="1" hidden="1" x14ac:dyDescent="0.3">
      <c r="A459" s="16" t="s">
        <v>64</v>
      </c>
      <c r="B459" s="16">
        <v>2011</v>
      </c>
      <c r="C459" s="5"/>
    </row>
    <row r="460" spans="1:3" customFormat="1" hidden="1" x14ac:dyDescent="0.3">
      <c r="A460" s="16" t="s">
        <v>64</v>
      </c>
      <c r="B460" s="16">
        <v>2011</v>
      </c>
      <c r="C460" s="5"/>
    </row>
    <row r="461" spans="1:3" customFormat="1" hidden="1" x14ac:dyDescent="0.3">
      <c r="A461" s="35" t="s">
        <v>18</v>
      </c>
      <c r="B461" s="35" t="s">
        <v>18</v>
      </c>
      <c r="C461" s="35"/>
    </row>
    <row r="462" spans="1:3" customFormat="1" hidden="1" x14ac:dyDescent="0.3">
      <c r="A462" s="16" t="s">
        <v>64</v>
      </c>
      <c r="B462" s="16">
        <v>2011</v>
      </c>
      <c r="C462" s="5"/>
    </row>
    <row r="463" spans="1:3" customFormat="1" hidden="1" x14ac:dyDescent="0.3">
      <c r="A463" s="16" t="s">
        <v>64</v>
      </c>
      <c r="B463" s="16">
        <v>2011</v>
      </c>
      <c r="C463" s="5"/>
    </row>
    <row r="464" spans="1:3" customFormat="1" hidden="1" x14ac:dyDescent="0.3">
      <c r="A464" s="16" t="s">
        <v>64</v>
      </c>
      <c r="B464" s="16">
        <v>2011</v>
      </c>
      <c r="C464" s="5"/>
    </row>
    <row r="465" spans="1:12" hidden="1" x14ac:dyDescent="0.3">
      <c r="A465" s="16" t="s">
        <v>64</v>
      </c>
      <c r="B465" s="16">
        <v>2011</v>
      </c>
      <c r="C465" s="5"/>
      <c r="K465"/>
      <c r="L465"/>
    </row>
    <row r="466" spans="1:12" hidden="1" x14ac:dyDescent="0.3">
      <c r="A466" s="16" t="s">
        <v>64</v>
      </c>
      <c r="B466" s="16">
        <v>2011</v>
      </c>
      <c r="C466" s="5"/>
      <c r="K466"/>
      <c r="L466"/>
    </row>
    <row r="467" spans="1:12" hidden="1" x14ac:dyDescent="0.3">
      <c r="A467" s="16" t="s">
        <v>64</v>
      </c>
      <c r="B467" s="16">
        <v>2011</v>
      </c>
      <c r="C467" s="5"/>
      <c r="K467"/>
      <c r="L467"/>
    </row>
    <row r="468" spans="1:12" hidden="1" x14ac:dyDescent="0.3">
      <c r="A468" s="16" t="s">
        <v>64</v>
      </c>
      <c r="B468" s="16">
        <v>2011</v>
      </c>
      <c r="C468" s="5"/>
      <c r="K468"/>
      <c r="L468"/>
    </row>
    <row r="469" spans="1:12" hidden="1" x14ac:dyDescent="0.3">
      <c r="A469" s="16" t="s">
        <v>64</v>
      </c>
      <c r="B469" s="16">
        <v>2011</v>
      </c>
      <c r="C469" s="5"/>
      <c r="K469"/>
      <c r="L469"/>
    </row>
    <row r="470" spans="1:12" hidden="1" x14ac:dyDescent="0.3">
      <c r="A470" s="36" t="s">
        <v>64</v>
      </c>
      <c r="B470" s="36">
        <v>2011</v>
      </c>
      <c r="C470" s="37"/>
      <c r="K470"/>
      <c r="L470"/>
    </row>
    <row r="471" spans="1:12" hidden="1" x14ac:dyDescent="0.3">
      <c r="A471" s="36" t="s">
        <v>64</v>
      </c>
      <c r="B471" s="36">
        <v>2011</v>
      </c>
      <c r="C471" s="37"/>
      <c r="K471"/>
      <c r="L471"/>
    </row>
    <row r="472" spans="1:12" hidden="1" x14ac:dyDescent="0.3">
      <c r="A472" s="36" t="s">
        <v>64</v>
      </c>
      <c r="B472" s="36">
        <v>2011</v>
      </c>
      <c r="C472" s="37"/>
      <c r="K472"/>
      <c r="L472"/>
    </row>
    <row r="473" spans="1:12" hidden="1" x14ac:dyDescent="0.3">
      <c r="A473" s="36" t="s">
        <v>64</v>
      </c>
      <c r="B473" s="36">
        <v>2011</v>
      </c>
      <c r="C473" s="37"/>
      <c r="K473"/>
      <c r="L473"/>
    </row>
    <row r="474" spans="1:12" x14ac:dyDescent="0.3">
      <c r="A474" s="16" t="s">
        <v>24</v>
      </c>
      <c r="C474" s="16" t="s">
        <v>153</v>
      </c>
      <c r="D474">
        <v>1.2778954601058027E-2</v>
      </c>
      <c r="E474">
        <v>3.1344185809034059E-2</v>
      </c>
      <c r="F474">
        <v>3.7739130434782595</v>
      </c>
      <c r="G474">
        <f>F474/1000</f>
        <v>3.7739130434782595E-3</v>
      </c>
      <c r="H474">
        <v>17.634782608695659</v>
      </c>
      <c r="I474">
        <f>H474/1000</f>
        <v>1.7634782608695658E-2</v>
      </c>
      <c r="K474" s="87">
        <f>E474*4000</f>
        <v>125.37674323613624</v>
      </c>
      <c r="L474" s="87">
        <f>D474*4000</f>
        <v>51.115818404232108</v>
      </c>
    </row>
    <row r="475" spans="1:12" hidden="1" x14ac:dyDescent="0.3">
      <c r="A475" s="16" t="s">
        <v>24</v>
      </c>
      <c r="B475" s="16">
        <v>2011</v>
      </c>
      <c r="K475"/>
      <c r="L475"/>
    </row>
    <row r="476" spans="1:12" hidden="1" x14ac:dyDescent="0.3">
      <c r="A476" s="16" t="s">
        <v>24</v>
      </c>
      <c r="B476" s="16">
        <v>2011</v>
      </c>
      <c r="K476"/>
      <c r="L476"/>
    </row>
    <row r="477" spans="1:12" hidden="1" x14ac:dyDescent="0.3">
      <c r="A477" s="16" t="s">
        <v>24</v>
      </c>
      <c r="B477" s="16">
        <v>2011</v>
      </c>
      <c r="K477"/>
      <c r="L477"/>
    </row>
    <row r="478" spans="1:12" hidden="1" x14ac:dyDescent="0.3">
      <c r="A478" s="16" t="s">
        <v>24</v>
      </c>
      <c r="B478" s="16">
        <v>2011</v>
      </c>
      <c r="K478"/>
      <c r="L478"/>
    </row>
    <row r="479" spans="1:12" hidden="1" x14ac:dyDescent="0.3">
      <c r="A479" s="16" t="s">
        <v>24</v>
      </c>
      <c r="B479" s="16">
        <v>2011</v>
      </c>
      <c r="K479"/>
      <c r="L479"/>
    </row>
    <row r="480" spans="1:12" hidden="1" x14ac:dyDescent="0.3">
      <c r="A480" s="16" t="s">
        <v>24</v>
      </c>
      <c r="B480" s="16">
        <v>2011</v>
      </c>
      <c r="K480"/>
      <c r="L480"/>
    </row>
    <row r="481" spans="1:3" customFormat="1" hidden="1" x14ac:dyDescent="0.3">
      <c r="A481" s="16" t="s">
        <v>24</v>
      </c>
      <c r="B481" s="16">
        <v>2011</v>
      </c>
      <c r="C481" s="16"/>
    </row>
    <row r="482" spans="1:3" customFormat="1" hidden="1" x14ac:dyDescent="0.3">
      <c r="A482" s="16" t="s">
        <v>24</v>
      </c>
      <c r="B482" s="16">
        <v>2011</v>
      </c>
      <c r="C482" s="16"/>
    </row>
    <row r="483" spans="1:3" customFormat="1" hidden="1" x14ac:dyDescent="0.3">
      <c r="A483" s="16" t="s">
        <v>24</v>
      </c>
      <c r="B483" s="16">
        <v>2011</v>
      </c>
      <c r="C483" s="16"/>
    </row>
    <row r="484" spans="1:3" customFormat="1" hidden="1" x14ac:dyDescent="0.3">
      <c r="A484" s="16" t="s">
        <v>24</v>
      </c>
      <c r="B484" s="16">
        <v>2011</v>
      </c>
      <c r="C484" s="16"/>
    </row>
    <row r="485" spans="1:3" customFormat="1" hidden="1" x14ac:dyDescent="0.3">
      <c r="A485" s="16" t="s">
        <v>24</v>
      </c>
      <c r="B485" s="16">
        <v>2011</v>
      </c>
      <c r="C485" s="16"/>
    </row>
    <row r="486" spans="1:3" customFormat="1" hidden="1" x14ac:dyDescent="0.3">
      <c r="A486" s="16" t="s">
        <v>24</v>
      </c>
      <c r="B486" s="16">
        <v>2011</v>
      </c>
      <c r="C486" s="16"/>
    </row>
    <row r="487" spans="1:3" customFormat="1" hidden="1" x14ac:dyDescent="0.3">
      <c r="A487" s="35" t="s">
        <v>18</v>
      </c>
      <c r="B487" s="35" t="s">
        <v>18</v>
      </c>
      <c r="C487" s="35"/>
    </row>
    <row r="488" spans="1:3" customFormat="1" hidden="1" x14ac:dyDescent="0.3">
      <c r="A488" s="16" t="s">
        <v>24</v>
      </c>
      <c r="B488" s="16">
        <v>2011</v>
      </c>
      <c r="C488" s="16"/>
    </row>
    <row r="489" spans="1:3" customFormat="1" hidden="1" x14ac:dyDescent="0.3">
      <c r="A489" s="16" t="s">
        <v>24</v>
      </c>
      <c r="B489" s="16">
        <v>2011</v>
      </c>
      <c r="C489" s="16"/>
    </row>
    <row r="490" spans="1:3" customFormat="1" hidden="1" x14ac:dyDescent="0.3">
      <c r="A490" s="16" t="s">
        <v>24</v>
      </c>
      <c r="B490" s="16">
        <v>2011</v>
      </c>
      <c r="C490" s="16"/>
    </row>
    <row r="491" spans="1:3" customFormat="1" hidden="1" x14ac:dyDescent="0.3">
      <c r="A491" s="16" t="s">
        <v>24</v>
      </c>
      <c r="B491" s="16">
        <v>2011</v>
      </c>
      <c r="C491" s="16"/>
    </row>
    <row r="492" spans="1:3" customFormat="1" hidden="1" x14ac:dyDescent="0.3">
      <c r="A492" s="16" t="s">
        <v>24</v>
      </c>
      <c r="B492" s="16">
        <v>2011</v>
      </c>
      <c r="C492" s="16"/>
    </row>
    <row r="493" spans="1:3" customFormat="1" hidden="1" x14ac:dyDescent="0.3">
      <c r="A493" s="16" t="s">
        <v>24</v>
      </c>
      <c r="B493" s="16">
        <v>2011</v>
      </c>
      <c r="C493" s="16"/>
    </row>
    <row r="494" spans="1:3" customFormat="1" hidden="1" x14ac:dyDescent="0.3">
      <c r="A494" s="16" t="s">
        <v>24</v>
      </c>
      <c r="B494" s="16">
        <v>2011</v>
      </c>
      <c r="C494" s="16"/>
    </row>
    <row r="495" spans="1:3" customFormat="1" hidden="1" x14ac:dyDescent="0.3">
      <c r="A495" s="16" t="s">
        <v>24</v>
      </c>
      <c r="B495" s="16">
        <v>2011</v>
      </c>
      <c r="C495" s="16"/>
    </row>
    <row r="496" spans="1:3" customFormat="1" hidden="1" x14ac:dyDescent="0.3">
      <c r="A496" s="16" t="s">
        <v>24</v>
      </c>
      <c r="B496" s="16">
        <v>2011</v>
      </c>
      <c r="C496" s="16"/>
    </row>
    <row r="497" spans="1:3" customFormat="1" hidden="1" x14ac:dyDescent="0.3">
      <c r="A497" s="16" t="s">
        <v>24</v>
      </c>
      <c r="B497" s="16">
        <v>2011</v>
      </c>
      <c r="C497" s="16"/>
    </row>
    <row r="498" spans="1:3" customFormat="1" hidden="1" x14ac:dyDescent="0.3">
      <c r="A498" s="16" t="s">
        <v>24</v>
      </c>
      <c r="B498" s="16">
        <v>2011</v>
      </c>
      <c r="C498" s="16"/>
    </row>
    <row r="499" spans="1:3" customFormat="1" hidden="1" x14ac:dyDescent="0.3">
      <c r="A499" s="16" t="s">
        <v>24</v>
      </c>
      <c r="B499" s="16">
        <v>2011</v>
      </c>
      <c r="C499" s="16"/>
    </row>
    <row r="500" spans="1:3" customFormat="1" hidden="1" x14ac:dyDescent="0.3">
      <c r="A500" s="35" t="s">
        <v>18</v>
      </c>
      <c r="B500" s="35" t="s">
        <v>18</v>
      </c>
      <c r="C500" s="35"/>
    </row>
    <row r="501" spans="1:3" customFormat="1" hidden="1" x14ac:dyDescent="0.3">
      <c r="A501" s="35" t="s">
        <v>18</v>
      </c>
      <c r="B501" s="35" t="s">
        <v>18</v>
      </c>
      <c r="C501" s="35"/>
    </row>
    <row r="502" spans="1:3" customFormat="1" hidden="1" x14ac:dyDescent="0.3">
      <c r="A502" s="16" t="s">
        <v>24</v>
      </c>
      <c r="B502" s="16">
        <v>2011</v>
      </c>
      <c r="C502" s="16"/>
    </row>
    <row r="503" spans="1:3" customFormat="1" hidden="1" x14ac:dyDescent="0.3">
      <c r="A503" s="16" t="s">
        <v>24</v>
      </c>
      <c r="B503" s="16">
        <v>2011</v>
      </c>
      <c r="C503" s="16"/>
    </row>
    <row r="504" spans="1:3" customFormat="1" hidden="1" x14ac:dyDescent="0.3">
      <c r="A504" s="16" t="s">
        <v>24</v>
      </c>
      <c r="B504" s="16">
        <v>2011</v>
      </c>
      <c r="C504" s="16"/>
    </row>
    <row r="505" spans="1:3" customFormat="1" hidden="1" x14ac:dyDescent="0.3">
      <c r="A505" s="16" t="s">
        <v>24</v>
      </c>
      <c r="B505" s="16">
        <v>2011</v>
      </c>
      <c r="C505" s="16"/>
    </row>
    <row r="506" spans="1:3" customFormat="1" hidden="1" x14ac:dyDescent="0.3">
      <c r="A506" s="16" t="s">
        <v>24</v>
      </c>
      <c r="B506" s="16">
        <v>2011</v>
      </c>
      <c r="C506" s="16"/>
    </row>
    <row r="507" spans="1:3" customFormat="1" hidden="1" x14ac:dyDescent="0.3">
      <c r="A507" s="16" t="s">
        <v>24</v>
      </c>
      <c r="B507" s="16">
        <v>2011</v>
      </c>
      <c r="C507" s="16"/>
    </row>
    <row r="508" spans="1:3" customFormat="1" hidden="1" x14ac:dyDescent="0.3">
      <c r="A508" s="16" t="s">
        <v>24</v>
      </c>
      <c r="B508" s="16">
        <v>2011</v>
      </c>
      <c r="C508" s="16"/>
    </row>
    <row r="509" spans="1:3" customFormat="1" hidden="1" x14ac:dyDescent="0.3">
      <c r="A509" s="16" t="s">
        <v>24</v>
      </c>
      <c r="B509" s="16">
        <v>2011</v>
      </c>
      <c r="C509" s="16"/>
    </row>
    <row r="510" spans="1:3" customFormat="1" hidden="1" x14ac:dyDescent="0.3">
      <c r="A510" s="35" t="s">
        <v>18</v>
      </c>
      <c r="B510" s="35" t="s">
        <v>18</v>
      </c>
      <c r="C510" s="35"/>
    </row>
    <row r="511" spans="1:3" customFormat="1" hidden="1" x14ac:dyDescent="0.3">
      <c r="A511" s="16" t="s">
        <v>24</v>
      </c>
      <c r="B511" s="16">
        <v>2011</v>
      </c>
      <c r="C511" s="16"/>
    </row>
    <row r="512" spans="1:3" customFormat="1" hidden="1" x14ac:dyDescent="0.3">
      <c r="A512" s="35" t="s">
        <v>18</v>
      </c>
      <c r="B512" s="35" t="s">
        <v>18</v>
      </c>
      <c r="C512" s="35"/>
    </row>
    <row r="513" spans="1:3" customFormat="1" hidden="1" x14ac:dyDescent="0.3">
      <c r="A513" s="16" t="s">
        <v>24</v>
      </c>
      <c r="B513" s="16">
        <v>2011</v>
      </c>
      <c r="C513" s="16"/>
    </row>
    <row r="514" spans="1:3" customFormat="1" hidden="1" x14ac:dyDescent="0.3">
      <c r="A514" s="16" t="s">
        <v>24</v>
      </c>
      <c r="B514" s="16">
        <v>2011</v>
      </c>
      <c r="C514" s="16"/>
    </row>
    <row r="515" spans="1:3" customFormat="1" hidden="1" x14ac:dyDescent="0.3">
      <c r="A515" s="16" t="s">
        <v>24</v>
      </c>
      <c r="B515" s="16">
        <v>2011</v>
      </c>
      <c r="C515" s="16"/>
    </row>
    <row r="516" spans="1:3" customFormat="1" hidden="1" x14ac:dyDescent="0.3">
      <c r="A516" s="16" t="s">
        <v>24</v>
      </c>
      <c r="B516" s="16">
        <v>2011</v>
      </c>
      <c r="C516" s="16"/>
    </row>
    <row r="517" spans="1:3" customFormat="1" hidden="1" x14ac:dyDescent="0.3">
      <c r="A517" s="16" t="s">
        <v>24</v>
      </c>
      <c r="B517" s="16">
        <v>2011</v>
      </c>
      <c r="C517" s="16"/>
    </row>
    <row r="518" spans="1:3" customFormat="1" hidden="1" x14ac:dyDescent="0.3">
      <c r="A518" s="16" t="s">
        <v>24</v>
      </c>
      <c r="B518" s="16">
        <v>2011</v>
      </c>
      <c r="C518" s="16"/>
    </row>
    <row r="519" spans="1:3" customFormat="1" hidden="1" x14ac:dyDescent="0.3">
      <c r="A519" s="16" t="s">
        <v>24</v>
      </c>
      <c r="B519" s="16">
        <v>2011</v>
      </c>
      <c r="C519" s="16"/>
    </row>
    <row r="520" spans="1:3" customFormat="1" hidden="1" x14ac:dyDescent="0.3">
      <c r="A520" s="16" t="s">
        <v>24</v>
      </c>
      <c r="B520" s="16">
        <v>2011</v>
      </c>
      <c r="C520" s="16"/>
    </row>
    <row r="521" spans="1:3" customFormat="1" hidden="1" x14ac:dyDescent="0.3">
      <c r="A521" s="35" t="s">
        <v>18</v>
      </c>
      <c r="B521" s="35" t="s">
        <v>18</v>
      </c>
      <c r="C521" s="35"/>
    </row>
    <row r="522" spans="1:3" customFormat="1" hidden="1" x14ac:dyDescent="0.3">
      <c r="A522" s="16" t="s">
        <v>24</v>
      </c>
      <c r="B522" s="16">
        <v>2011</v>
      </c>
      <c r="C522" s="16"/>
    </row>
    <row r="523" spans="1:3" customFormat="1" hidden="1" x14ac:dyDescent="0.3">
      <c r="A523" s="16" t="s">
        <v>24</v>
      </c>
      <c r="B523" s="16">
        <v>2011</v>
      </c>
      <c r="C523" s="16"/>
    </row>
    <row r="524" spans="1:3" customFormat="1" hidden="1" x14ac:dyDescent="0.3">
      <c r="A524" s="16" t="s">
        <v>24</v>
      </c>
      <c r="B524" s="16">
        <v>2011</v>
      </c>
      <c r="C524" s="16"/>
    </row>
    <row r="525" spans="1:3" customFormat="1" hidden="1" x14ac:dyDescent="0.3">
      <c r="A525" s="16" t="s">
        <v>24</v>
      </c>
      <c r="B525" s="16">
        <v>2011</v>
      </c>
      <c r="C525" s="16"/>
    </row>
    <row r="526" spans="1:3" customFormat="1" hidden="1" x14ac:dyDescent="0.3">
      <c r="A526" s="16" t="s">
        <v>24</v>
      </c>
      <c r="B526" s="16">
        <v>2011</v>
      </c>
      <c r="C526" s="16"/>
    </row>
    <row r="527" spans="1:3" customFormat="1" hidden="1" x14ac:dyDescent="0.3">
      <c r="A527" s="16" t="s">
        <v>24</v>
      </c>
      <c r="B527" s="16">
        <v>2011</v>
      </c>
      <c r="C527" s="16"/>
    </row>
    <row r="528" spans="1:3" customFormat="1" hidden="1" x14ac:dyDescent="0.3">
      <c r="A528" s="16" t="s">
        <v>24</v>
      </c>
      <c r="B528" s="16">
        <v>2011</v>
      </c>
      <c r="C528" s="16"/>
    </row>
    <row r="529" spans="1:12" hidden="1" x14ac:dyDescent="0.3">
      <c r="A529" s="16" t="s">
        <v>24</v>
      </c>
      <c r="B529" s="16">
        <v>2011</v>
      </c>
      <c r="K529"/>
      <c r="L529"/>
    </row>
    <row r="530" spans="1:12" hidden="1" x14ac:dyDescent="0.3">
      <c r="A530" s="36" t="s">
        <v>24</v>
      </c>
      <c r="B530" s="36">
        <v>2011</v>
      </c>
      <c r="C530" s="36"/>
      <c r="K530"/>
      <c r="L530"/>
    </row>
    <row r="531" spans="1:12" hidden="1" x14ac:dyDescent="0.3">
      <c r="A531" s="36" t="s">
        <v>24</v>
      </c>
      <c r="B531" s="36">
        <v>2011</v>
      </c>
      <c r="C531" s="36"/>
      <c r="K531"/>
      <c r="L531"/>
    </row>
    <row r="532" spans="1:12" hidden="1" x14ac:dyDescent="0.3">
      <c r="A532" s="36" t="s">
        <v>24</v>
      </c>
      <c r="B532" s="36">
        <v>2011</v>
      </c>
      <c r="C532" s="36"/>
      <c r="K532"/>
      <c r="L532"/>
    </row>
    <row r="533" spans="1:12" hidden="1" x14ac:dyDescent="0.3">
      <c r="A533" s="36" t="s">
        <v>24</v>
      </c>
      <c r="B533" s="36">
        <v>2011</v>
      </c>
      <c r="C533" s="36"/>
      <c r="K533"/>
      <c r="L533"/>
    </row>
    <row r="534" spans="1:12" x14ac:dyDescent="0.3">
      <c r="A534" s="16" t="s">
        <v>33</v>
      </c>
      <c r="C534" s="16" t="s">
        <v>154</v>
      </c>
      <c r="D534">
        <v>1.7020705620883161E-2</v>
      </c>
      <c r="E534">
        <v>2.7832063332406815E-2</v>
      </c>
      <c r="F534">
        <v>2.8565217391304332</v>
      </c>
      <c r="G534">
        <f>F534/1000</f>
        <v>2.856521739130433E-3</v>
      </c>
      <c r="H534">
        <v>13.838043478260863</v>
      </c>
      <c r="I534">
        <f>H534/1000</f>
        <v>1.3838043478260863E-2</v>
      </c>
      <c r="K534" s="87">
        <f>E534*4000</f>
        <v>111.32825332962726</v>
      </c>
      <c r="L534" s="87">
        <f>D534*4000</f>
        <v>68.082822483532652</v>
      </c>
    </row>
    <row r="535" spans="1:12" hidden="1" x14ac:dyDescent="0.3">
      <c r="A535" s="16" t="s">
        <v>33</v>
      </c>
      <c r="B535" s="16">
        <v>2011</v>
      </c>
      <c r="K535"/>
      <c r="L535"/>
    </row>
    <row r="536" spans="1:12" hidden="1" x14ac:dyDescent="0.3">
      <c r="A536" s="16" t="s">
        <v>33</v>
      </c>
      <c r="B536" s="16">
        <v>2011</v>
      </c>
      <c r="K536"/>
      <c r="L536"/>
    </row>
    <row r="537" spans="1:12" hidden="1" x14ac:dyDescent="0.3">
      <c r="A537" s="16" t="s">
        <v>33</v>
      </c>
      <c r="B537" s="16">
        <v>2011</v>
      </c>
      <c r="K537"/>
      <c r="L537"/>
    </row>
    <row r="538" spans="1:12" hidden="1" x14ac:dyDescent="0.3">
      <c r="A538" s="16" t="s">
        <v>33</v>
      </c>
      <c r="B538" s="16">
        <v>2011</v>
      </c>
      <c r="K538"/>
      <c r="L538"/>
    </row>
    <row r="539" spans="1:12" hidden="1" x14ac:dyDescent="0.3">
      <c r="A539" s="16" t="s">
        <v>33</v>
      </c>
      <c r="B539" s="16">
        <v>2011</v>
      </c>
      <c r="K539"/>
      <c r="L539"/>
    </row>
    <row r="540" spans="1:12" hidden="1" x14ac:dyDescent="0.3">
      <c r="A540" s="16" t="s">
        <v>33</v>
      </c>
      <c r="B540" s="16">
        <v>2011</v>
      </c>
      <c r="K540"/>
      <c r="L540"/>
    </row>
    <row r="541" spans="1:12" hidden="1" x14ac:dyDescent="0.3">
      <c r="A541" s="16" t="s">
        <v>33</v>
      </c>
      <c r="B541" s="16">
        <v>2011</v>
      </c>
      <c r="K541"/>
      <c r="L541"/>
    </row>
    <row r="542" spans="1:12" hidden="1" x14ac:dyDescent="0.3">
      <c r="A542" s="16" t="s">
        <v>33</v>
      </c>
      <c r="B542" s="16">
        <v>2011</v>
      </c>
      <c r="K542"/>
      <c r="L542"/>
    </row>
    <row r="543" spans="1:12" hidden="1" x14ac:dyDescent="0.3">
      <c r="A543" s="16" t="s">
        <v>33</v>
      </c>
      <c r="B543" s="16">
        <v>2011</v>
      </c>
      <c r="K543"/>
      <c r="L543"/>
    </row>
    <row r="544" spans="1:12" hidden="1" x14ac:dyDescent="0.3">
      <c r="A544" s="16" t="s">
        <v>33</v>
      </c>
      <c r="B544" s="16">
        <v>2011</v>
      </c>
      <c r="K544"/>
      <c r="L544"/>
    </row>
    <row r="545" spans="1:3" customFormat="1" hidden="1" x14ac:dyDescent="0.3">
      <c r="A545" s="16" t="s">
        <v>33</v>
      </c>
      <c r="B545" s="16">
        <v>2011</v>
      </c>
      <c r="C545" s="16"/>
    </row>
    <row r="546" spans="1:3" customFormat="1" hidden="1" x14ac:dyDescent="0.3">
      <c r="A546" s="16" t="s">
        <v>33</v>
      </c>
      <c r="B546" s="16">
        <v>2011</v>
      </c>
      <c r="C546" s="16"/>
    </row>
    <row r="547" spans="1:3" customFormat="1" hidden="1" x14ac:dyDescent="0.3">
      <c r="A547" s="35" t="s">
        <v>18</v>
      </c>
      <c r="B547" s="35" t="s">
        <v>18</v>
      </c>
      <c r="C547" s="35"/>
    </row>
    <row r="548" spans="1:3" customFormat="1" hidden="1" x14ac:dyDescent="0.3">
      <c r="A548" s="16" t="s">
        <v>33</v>
      </c>
      <c r="B548" s="16">
        <v>2011</v>
      </c>
      <c r="C548" s="16"/>
    </row>
    <row r="549" spans="1:3" customFormat="1" hidden="1" x14ac:dyDescent="0.3">
      <c r="A549" s="16" t="s">
        <v>33</v>
      </c>
      <c r="B549" s="16">
        <v>2011</v>
      </c>
      <c r="C549" s="16"/>
    </row>
    <row r="550" spans="1:3" customFormat="1" hidden="1" x14ac:dyDescent="0.3">
      <c r="A550" s="16" t="s">
        <v>33</v>
      </c>
      <c r="B550" s="16">
        <v>2011</v>
      </c>
      <c r="C550" s="16"/>
    </row>
    <row r="551" spans="1:3" customFormat="1" hidden="1" x14ac:dyDescent="0.3">
      <c r="A551" s="16" t="s">
        <v>33</v>
      </c>
      <c r="B551" s="16">
        <v>2011</v>
      </c>
      <c r="C551" s="16"/>
    </row>
    <row r="552" spans="1:3" customFormat="1" hidden="1" x14ac:dyDescent="0.3">
      <c r="A552" s="16" t="s">
        <v>33</v>
      </c>
      <c r="B552" s="16">
        <v>2011</v>
      </c>
      <c r="C552" s="16"/>
    </row>
    <row r="553" spans="1:3" customFormat="1" hidden="1" x14ac:dyDescent="0.3">
      <c r="A553" s="16" t="s">
        <v>33</v>
      </c>
      <c r="B553" s="16">
        <v>2011</v>
      </c>
      <c r="C553" s="16"/>
    </row>
    <row r="554" spans="1:3" customFormat="1" hidden="1" x14ac:dyDescent="0.3">
      <c r="A554" s="16" t="s">
        <v>33</v>
      </c>
      <c r="B554" s="16">
        <v>2011</v>
      </c>
      <c r="C554" s="16"/>
    </row>
    <row r="555" spans="1:3" customFormat="1" hidden="1" x14ac:dyDescent="0.3">
      <c r="A555" s="16" t="s">
        <v>33</v>
      </c>
      <c r="B555" s="16">
        <v>2011</v>
      </c>
      <c r="C555" s="16"/>
    </row>
    <row r="556" spans="1:3" customFormat="1" hidden="1" x14ac:dyDescent="0.3">
      <c r="A556" s="16" t="s">
        <v>33</v>
      </c>
      <c r="B556" s="16">
        <v>2011</v>
      </c>
      <c r="C556" s="16"/>
    </row>
    <row r="557" spans="1:3" customFormat="1" hidden="1" x14ac:dyDescent="0.3">
      <c r="A557" s="16" t="s">
        <v>33</v>
      </c>
      <c r="B557" s="16">
        <v>2011</v>
      </c>
      <c r="C557" s="16"/>
    </row>
    <row r="558" spans="1:3" customFormat="1" hidden="1" x14ac:dyDescent="0.3">
      <c r="A558" s="16" t="s">
        <v>33</v>
      </c>
      <c r="B558" s="16">
        <v>2011</v>
      </c>
      <c r="C558" s="16"/>
    </row>
    <row r="559" spans="1:3" customFormat="1" hidden="1" x14ac:dyDescent="0.3">
      <c r="A559" s="5" t="s">
        <v>18</v>
      </c>
      <c r="B559" s="5" t="s">
        <v>18</v>
      </c>
      <c r="C559" s="5"/>
    </row>
    <row r="560" spans="1:3" customFormat="1" hidden="1" x14ac:dyDescent="0.3">
      <c r="A560" s="35" t="s">
        <v>18</v>
      </c>
      <c r="B560" s="35" t="s">
        <v>18</v>
      </c>
      <c r="C560" s="35"/>
    </row>
    <row r="561" spans="1:3" customFormat="1" hidden="1" x14ac:dyDescent="0.3">
      <c r="A561" s="35" t="s">
        <v>18</v>
      </c>
      <c r="B561" s="35" t="s">
        <v>18</v>
      </c>
      <c r="C561" s="35"/>
    </row>
    <row r="562" spans="1:3" customFormat="1" hidden="1" x14ac:dyDescent="0.3">
      <c r="A562" s="16" t="s">
        <v>33</v>
      </c>
      <c r="B562" s="16">
        <v>2011</v>
      </c>
      <c r="C562" s="16"/>
    </row>
    <row r="563" spans="1:3" customFormat="1" hidden="1" x14ac:dyDescent="0.3">
      <c r="A563" s="16" t="s">
        <v>33</v>
      </c>
      <c r="B563" s="16">
        <v>2011</v>
      </c>
      <c r="C563" s="16"/>
    </row>
    <row r="564" spans="1:3" customFormat="1" hidden="1" x14ac:dyDescent="0.3">
      <c r="A564" s="16" t="s">
        <v>33</v>
      </c>
      <c r="B564" s="16">
        <v>2011</v>
      </c>
      <c r="C564" s="16"/>
    </row>
    <row r="565" spans="1:3" customFormat="1" hidden="1" x14ac:dyDescent="0.3">
      <c r="A565" s="16" t="s">
        <v>33</v>
      </c>
      <c r="B565" s="16">
        <v>2011</v>
      </c>
      <c r="C565" s="16"/>
    </row>
    <row r="566" spans="1:3" customFormat="1" hidden="1" x14ac:dyDescent="0.3">
      <c r="A566" s="16" t="s">
        <v>33</v>
      </c>
      <c r="B566" s="16">
        <v>2011</v>
      </c>
      <c r="C566" s="16"/>
    </row>
    <row r="567" spans="1:3" customFormat="1" hidden="1" x14ac:dyDescent="0.3">
      <c r="A567" s="16" t="s">
        <v>33</v>
      </c>
      <c r="B567" s="16">
        <v>2011</v>
      </c>
      <c r="C567" s="16"/>
    </row>
    <row r="568" spans="1:3" customFormat="1" hidden="1" x14ac:dyDescent="0.3">
      <c r="A568" s="5" t="s">
        <v>18</v>
      </c>
      <c r="B568" s="5" t="s">
        <v>18</v>
      </c>
      <c r="C568" s="5"/>
    </row>
    <row r="569" spans="1:3" customFormat="1" hidden="1" x14ac:dyDescent="0.3">
      <c r="A569" s="5" t="s">
        <v>18</v>
      </c>
      <c r="B569" s="5" t="s">
        <v>18</v>
      </c>
      <c r="C569" s="5"/>
    </row>
    <row r="570" spans="1:3" customFormat="1" hidden="1" x14ac:dyDescent="0.3">
      <c r="A570" s="35" t="s">
        <v>18</v>
      </c>
      <c r="B570" s="35" t="s">
        <v>18</v>
      </c>
      <c r="C570" s="35"/>
    </row>
    <row r="571" spans="1:3" customFormat="1" hidden="1" x14ac:dyDescent="0.3">
      <c r="A571" s="16" t="s">
        <v>33</v>
      </c>
      <c r="B571" s="16">
        <v>2011</v>
      </c>
      <c r="C571" s="16"/>
    </row>
    <row r="572" spans="1:3" customFormat="1" hidden="1" x14ac:dyDescent="0.3">
      <c r="A572" s="35" t="s">
        <v>18</v>
      </c>
      <c r="B572" s="35" t="s">
        <v>18</v>
      </c>
      <c r="C572" s="35"/>
    </row>
    <row r="573" spans="1:3" customFormat="1" hidden="1" x14ac:dyDescent="0.3">
      <c r="A573" s="16" t="s">
        <v>33</v>
      </c>
      <c r="B573" s="16">
        <v>2011</v>
      </c>
      <c r="C573" s="16"/>
    </row>
    <row r="574" spans="1:3" customFormat="1" hidden="1" x14ac:dyDescent="0.3">
      <c r="A574" s="16" t="s">
        <v>33</v>
      </c>
      <c r="B574" s="16">
        <v>2011</v>
      </c>
      <c r="C574" s="16"/>
    </row>
    <row r="575" spans="1:3" customFormat="1" hidden="1" x14ac:dyDescent="0.3">
      <c r="A575" s="16" t="s">
        <v>33</v>
      </c>
      <c r="B575" s="16">
        <v>2011</v>
      </c>
      <c r="C575" s="16"/>
    </row>
    <row r="576" spans="1:3" customFormat="1" hidden="1" x14ac:dyDescent="0.3">
      <c r="A576" s="16" t="s">
        <v>33</v>
      </c>
      <c r="B576" s="16">
        <v>2011</v>
      </c>
      <c r="C576" s="16"/>
    </row>
    <row r="577" spans="1:3" customFormat="1" hidden="1" x14ac:dyDescent="0.3">
      <c r="A577" s="16" t="s">
        <v>33</v>
      </c>
      <c r="B577" s="16">
        <v>2011</v>
      </c>
      <c r="C577" s="16"/>
    </row>
    <row r="578" spans="1:3" customFormat="1" hidden="1" x14ac:dyDescent="0.3">
      <c r="A578" s="16" t="s">
        <v>33</v>
      </c>
      <c r="B578" s="16">
        <v>2011</v>
      </c>
      <c r="C578" s="16"/>
    </row>
    <row r="579" spans="1:3" customFormat="1" hidden="1" x14ac:dyDescent="0.3">
      <c r="A579" s="16" t="s">
        <v>33</v>
      </c>
      <c r="B579" s="16">
        <v>2011</v>
      </c>
      <c r="C579" s="16"/>
    </row>
    <row r="580" spans="1:3" customFormat="1" hidden="1" x14ac:dyDescent="0.3">
      <c r="A580" s="16" t="s">
        <v>33</v>
      </c>
      <c r="B580" s="16">
        <v>2011</v>
      </c>
      <c r="C580" s="16"/>
    </row>
    <row r="581" spans="1:3" customFormat="1" hidden="1" x14ac:dyDescent="0.3">
      <c r="A581" s="35" t="s">
        <v>18</v>
      </c>
      <c r="B581" s="35" t="s">
        <v>18</v>
      </c>
      <c r="C581" s="35"/>
    </row>
    <row r="582" spans="1:3" customFormat="1" hidden="1" x14ac:dyDescent="0.3">
      <c r="A582" s="16" t="s">
        <v>33</v>
      </c>
      <c r="B582" s="16">
        <v>2011</v>
      </c>
      <c r="C582" s="16"/>
    </row>
    <row r="583" spans="1:3" customFormat="1" hidden="1" x14ac:dyDescent="0.3">
      <c r="A583" s="5" t="s">
        <v>18</v>
      </c>
      <c r="B583" s="5" t="s">
        <v>18</v>
      </c>
      <c r="C583" s="5"/>
    </row>
    <row r="584" spans="1:3" customFormat="1" hidden="1" x14ac:dyDescent="0.3">
      <c r="A584" s="5" t="s">
        <v>18</v>
      </c>
      <c r="B584" s="5" t="s">
        <v>18</v>
      </c>
      <c r="C584" s="5"/>
    </row>
    <row r="585" spans="1:3" customFormat="1" hidden="1" x14ac:dyDescent="0.3">
      <c r="A585" s="16" t="s">
        <v>33</v>
      </c>
      <c r="B585" s="16">
        <v>2011</v>
      </c>
      <c r="C585" s="16"/>
    </row>
    <row r="586" spans="1:3" customFormat="1" hidden="1" x14ac:dyDescent="0.3">
      <c r="A586" s="16" t="s">
        <v>33</v>
      </c>
      <c r="B586" s="16">
        <v>2011</v>
      </c>
      <c r="C586" s="16"/>
    </row>
    <row r="587" spans="1:3" customFormat="1" hidden="1" x14ac:dyDescent="0.3">
      <c r="A587" s="16" t="s">
        <v>33</v>
      </c>
      <c r="B587" s="16">
        <v>2011</v>
      </c>
      <c r="C587" s="16"/>
    </row>
    <row r="588" spans="1:3" customFormat="1" hidden="1" x14ac:dyDescent="0.3">
      <c r="A588" s="16" t="s">
        <v>33</v>
      </c>
      <c r="B588" s="16">
        <v>2011</v>
      </c>
      <c r="C588" s="16"/>
    </row>
    <row r="589" spans="1:3" customFormat="1" hidden="1" x14ac:dyDescent="0.3">
      <c r="A589" s="16" t="s">
        <v>33</v>
      </c>
      <c r="B589" s="16">
        <v>2011</v>
      </c>
      <c r="C589" s="16"/>
    </row>
    <row r="590" spans="1:3" customFormat="1" hidden="1" x14ac:dyDescent="0.3">
      <c r="A590" s="36" t="s">
        <v>33</v>
      </c>
      <c r="B590" s="36">
        <v>2011</v>
      </c>
      <c r="C590" s="36"/>
    </row>
    <row r="591" spans="1:3" customFormat="1" hidden="1" x14ac:dyDescent="0.3">
      <c r="A591" s="36" t="s">
        <v>33</v>
      </c>
      <c r="B591" s="36">
        <v>2011</v>
      </c>
      <c r="C591" s="36"/>
    </row>
    <row r="592" spans="1:3" customFormat="1" hidden="1" x14ac:dyDescent="0.3">
      <c r="A592" s="36" t="s">
        <v>33</v>
      </c>
      <c r="B592" s="36">
        <v>2011</v>
      </c>
      <c r="C592" s="36"/>
    </row>
    <row r="593" spans="1:12" hidden="1" x14ac:dyDescent="0.3">
      <c r="A593" s="36" t="s">
        <v>33</v>
      </c>
      <c r="B593" s="36">
        <v>2011</v>
      </c>
      <c r="C593" s="36"/>
      <c r="K593"/>
      <c r="L593"/>
    </row>
    <row r="594" spans="1:12" x14ac:dyDescent="0.3">
      <c r="A594" s="16" t="s">
        <v>61</v>
      </c>
      <c r="C594" s="16" t="s">
        <v>155</v>
      </c>
      <c r="D594">
        <v>5.1828180000000001E-2</v>
      </c>
      <c r="E594">
        <v>6.653619999999999E-2</v>
      </c>
      <c r="F594">
        <v>2.3164835164835158</v>
      </c>
      <c r="G594">
        <f>F594/1000</f>
        <v>2.3164835164835159E-3</v>
      </c>
      <c r="H594">
        <v>18.676923076923089</v>
      </c>
      <c r="I594">
        <f>H594/1000</f>
        <v>1.8676923076923087E-2</v>
      </c>
      <c r="K594" s="87">
        <f>E594*4000</f>
        <v>266.14479999999998</v>
      </c>
      <c r="L594" s="87">
        <f>D594*4000</f>
        <v>207.31272000000001</v>
      </c>
    </row>
    <row r="595" spans="1:12" hidden="1" x14ac:dyDescent="0.3">
      <c r="A595" s="16" t="s">
        <v>61</v>
      </c>
      <c r="B595" s="16">
        <v>2011</v>
      </c>
      <c r="K595"/>
      <c r="L595"/>
    </row>
    <row r="596" spans="1:12" hidden="1" x14ac:dyDescent="0.3">
      <c r="A596" s="16" t="s">
        <v>61</v>
      </c>
      <c r="B596" s="16">
        <v>2011</v>
      </c>
      <c r="K596"/>
      <c r="L596"/>
    </row>
    <row r="597" spans="1:12" hidden="1" x14ac:dyDescent="0.3">
      <c r="A597" s="16" t="s">
        <v>61</v>
      </c>
      <c r="B597" s="16">
        <v>2011</v>
      </c>
      <c r="K597"/>
      <c r="L597"/>
    </row>
    <row r="598" spans="1:12" hidden="1" x14ac:dyDescent="0.3">
      <c r="A598" s="16" t="s">
        <v>61</v>
      </c>
      <c r="B598" s="16">
        <v>2011</v>
      </c>
      <c r="K598"/>
      <c r="L598"/>
    </row>
    <row r="599" spans="1:12" hidden="1" x14ac:dyDescent="0.3">
      <c r="A599" s="16" t="s">
        <v>61</v>
      </c>
      <c r="B599" s="16">
        <v>2011</v>
      </c>
      <c r="K599"/>
      <c r="L599"/>
    </row>
    <row r="600" spans="1:12" hidden="1" x14ac:dyDescent="0.3">
      <c r="A600" s="16" t="s">
        <v>61</v>
      </c>
      <c r="B600" s="16">
        <v>2011</v>
      </c>
      <c r="K600"/>
      <c r="L600"/>
    </row>
    <row r="601" spans="1:12" hidden="1" x14ac:dyDescent="0.3">
      <c r="A601" s="16" t="s">
        <v>61</v>
      </c>
      <c r="B601" s="16">
        <v>2011</v>
      </c>
      <c r="K601"/>
      <c r="L601"/>
    </row>
    <row r="602" spans="1:12" hidden="1" x14ac:dyDescent="0.3">
      <c r="A602" s="16" t="s">
        <v>61</v>
      </c>
      <c r="B602" s="16">
        <v>2011</v>
      </c>
      <c r="K602"/>
      <c r="L602"/>
    </row>
    <row r="603" spans="1:12" hidden="1" x14ac:dyDescent="0.3">
      <c r="A603" s="16" t="s">
        <v>61</v>
      </c>
      <c r="B603" s="16">
        <v>2011</v>
      </c>
      <c r="K603"/>
      <c r="L603"/>
    </row>
    <row r="604" spans="1:12" hidden="1" x14ac:dyDescent="0.3">
      <c r="A604" s="16" t="s">
        <v>61</v>
      </c>
      <c r="B604" s="16">
        <v>2011</v>
      </c>
      <c r="K604"/>
      <c r="L604"/>
    </row>
    <row r="605" spans="1:12" hidden="1" x14ac:dyDescent="0.3">
      <c r="A605" s="16" t="s">
        <v>61</v>
      </c>
      <c r="B605" s="16">
        <v>2011</v>
      </c>
      <c r="K605"/>
      <c r="L605"/>
    </row>
    <row r="606" spans="1:12" hidden="1" x14ac:dyDescent="0.3">
      <c r="A606" s="16" t="s">
        <v>61</v>
      </c>
      <c r="B606" s="16">
        <v>2011</v>
      </c>
      <c r="K606"/>
      <c r="L606"/>
    </row>
    <row r="607" spans="1:12" hidden="1" x14ac:dyDescent="0.3">
      <c r="A607" s="35" t="s">
        <v>18</v>
      </c>
      <c r="B607" s="35" t="s">
        <v>18</v>
      </c>
      <c r="C607" s="35"/>
      <c r="K607"/>
      <c r="L607"/>
    </row>
    <row r="608" spans="1:12" hidden="1" x14ac:dyDescent="0.3">
      <c r="A608" s="16" t="s">
        <v>61</v>
      </c>
      <c r="B608" s="16">
        <v>2011</v>
      </c>
      <c r="K608"/>
      <c r="L608"/>
    </row>
    <row r="609" spans="1:3" customFormat="1" hidden="1" x14ac:dyDescent="0.3">
      <c r="A609" s="16" t="s">
        <v>61</v>
      </c>
      <c r="B609" s="16">
        <v>2011</v>
      </c>
      <c r="C609" s="16"/>
    </row>
    <row r="610" spans="1:3" customFormat="1" hidden="1" x14ac:dyDescent="0.3">
      <c r="A610" s="16" t="s">
        <v>61</v>
      </c>
      <c r="B610" s="16">
        <v>2011</v>
      </c>
      <c r="C610" s="16"/>
    </row>
    <row r="611" spans="1:3" customFormat="1" hidden="1" x14ac:dyDescent="0.3">
      <c r="A611" s="16" t="s">
        <v>61</v>
      </c>
      <c r="B611" s="16">
        <v>2011</v>
      </c>
      <c r="C611" s="16"/>
    </row>
    <row r="612" spans="1:3" customFormat="1" hidden="1" x14ac:dyDescent="0.3">
      <c r="A612" s="16" t="s">
        <v>61</v>
      </c>
      <c r="B612" s="16">
        <v>2011</v>
      </c>
      <c r="C612" s="16"/>
    </row>
    <row r="613" spans="1:3" customFormat="1" hidden="1" x14ac:dyDescent="0.3">
      <c r="A613" s="16" t="s">
        <v>61</v>
      </c>
      <c r="B613" s="16">
        <v>2011</v>
      </c>
      <c r="C613" s="16"/>
    </row>
    <row r="614" spans="1:3" customFormat="1" hidden="1" x14ac:dyDescent="0.3">
      <c r="A614" s="16" t="s">
        <v>61</v>
      </c>
      <c r="B614" s="16">
        <v>2011</v>
      </c>
      <c r="C614" s="16"/>
    </row>
    <row r="615" spans="1:3" customFormat="1" hidden="1" x14ac:dyDescent="0.3">
      <c r="A615" s="16" t="s">
        <v>61</v>
      </c>
      <c r="B615" s="16">
        <v>2011</v>
      </c>
      <c r="C615" s="16"/>
    </row>
    <row r="616" spans="1:3" customFormat="1" hidden="1" x14ac:dyDescent="0.3">
      <c r="A616" s="16" t="s">
        <v>61</v>
      </c>
      <c r="B616" s="16">
        <v>2011</v>
      </c>
      <c r="C616" s="16"/>
    </row>
    <row r="617" spans="1:3" customFormat="1" hidden="1" x14ac:dyDescent="0.3">
      <c r="A617" s="16" t="s">
        <v>61</v>
      </c>
      <c r="B617" s="16">
        <v>2011</v>
      </c>
      <c r="C617" s="16"/>
    </row>
    <row r="618" spans="1:3" customFormat="1" hidden="1" x14ac:dyDescent="0.3">
      <c r="A618" s="16" t="s">
        <v>61</v>
      </c>
      <c r="B618" s="16">
        <v>2011</v>
      </c>
      <c r="C618" s="16"/>
    </row>
    <row r="619" spans="1:3" customFormat="1" hidden="1" x14ac:dyDescent="0.3">
      <c r="A619" s="16" t="s">
        <v>61</v>
      </c>
      <c r="B619" s="16">
        <v>2011</v>
      </c>
      <c r="C619" s="16"/>
    </row>
    <row r="620" spans="1:3" customFormat="1" hidden="1" x14ac:dyDescent="0.3">
      <c r="A620" s="35" t="s">
        <v>18</v>
      </c>
      <c r="B620" s="35" t="s">
        <v>18</v>
      </c>
      <c r="C620" s="35"/>
    </row>
    <row r="621" spans="1:3" customFormat="1" hidden="1" x14ac:dyDescent="0.3">
      <c r="A621" s="35" t="s">
        <v>18</v>
      </c>
      <c r="B621" s="35" t="s">
        <v>18</v>
      </c>
      <c r="C621" s="35"/>
    </row>
    <row r="622" spans="1:3" customFormat="1" hidden="1" x14ac:dyDescent="0.3">
      <c r="A622" s="16" t="s">
        <v>61</v>
      </c>
      <c r="B622" s="16">
        <v>2011</v>
      </c>
      <c r="C622" s="16"/>
    </row>
    <row r="623" spans="1:3" customFormat="1" hidden="1" x14ac:dyDescent="0.3">
      <c r="A623" s="16" t="s">
        <v>61</v>
      </c>
      <c r="B623" s="16">
        <v>2011</v>
      </c>
      <c r="C623" s="16"/>
    </row>
    <row r="624" spans="1:3" customFormat="1" hidden="1" x14ac:dyDescent="0.3">
      <c r="A624" s="16" t="s">
        <v>61</v>
      </c>
      <c r="B624" s="16">
        <v>2011</v>
      </c>
      <c r="C624" s="16"/>
    </row>
    <row r="625" spans="1:3" customFormat="1" hidden="1" x14ac:dyDescent="0.3">
      <c r="A625" s="16" t="s">
        <v>61</v>
      </c>
      <c r="B625" s="16">
        <v>2011</v>
      </c>
      <c r="C625" s="16"/>
    </row>
    <row r="626" spans="1:3" customFormat="1" hidden="1" x14ac:dyDescent="0.3">
      <c r="A626" s="16" t="s">
        <v>61</v>
      </c>
      <c r="B626" s="16">
        <v>2011</v>
      </c>
      <c r="C626" s="16"/>
    </row>
    <row r="627" spans="1:3" customFormat="1" hidden="1" x14ac:dyDescent="0.3">
      <c r="A627" s="16" t="s">
        <v>61</v>
      </c>
      <c r="B627" s="16">
        <v>2011</v>
      </c>
      <c r="C627" s="16"/>
    </row>
    <row r="628" spans="1:3" customFormat="1" hidden="1" x14ac:dyDescent="0.3">
      <c r="A628" s="16" t="s">
        <v>61</v>
      </c>
      <c r="B628" s="16">
        <v>2011</v>
      </c>
      <c r="C628" s="16"/>
    </row>
    <row r="629" spans="1:3" customFormat="1" hidden="1" x14ac:dyDescent="0.3">
      <c r="A629" s="16" t="s">
        <v>61</v>
      </c>
      <c r="B629" s="16">
        <v>2011</v>
      </c>
      <c r="C629" s="16"/>
    </row>
    <row r="630" spans="1:3" customFormat="1" hidden="1" x14ac:dyDescent="0.3">
      <c r="A630" s="35" t="s">
        <v>18</v>
      </c>
      <c r="B630" s="35" t="s">
        <v>18</v>
      </c>
      <c r="C630" s="35"/>
    </row>
    <row r="631" spans="1:3" customFormat="1" hidden="1" x14ac:dyDescent="0.3">
      <c r="A631" s="16" t="s">
        <v>61</v>
      </c>
      <c r="B631" s="16">
        <v>2011</v>
      </c>
      <c r="C631" s="16"/>
    </row>
    <row r="632" spans="1:3" customFormat="1" hidden="1" x14ac:dyDescent="0.3">
      <c r="A632" s="35" t="s">
        <v>18</v>
      </c>
      <c r="B632" s="35" t="s">
        <v>18</v>
      </c>
      <c r="C632" s="35"/>
    </row>
    <row r="633" spans="1:3" customFormat="1" hidden="1" x14ac:dyDescent="0.3">
      <c r="A633" s="16" t="s">
        <v>61</v>
      </c>
      <c r="B633" s="16">
        <v>2011</v>
      </c>
      <c r="C633" s="16"/>
    </row>
    <row r="634" spans="1:3" customFormat="1" hidden="1" x14ac:dyDescent="0.3">
      <c r="A634" s="16" t="s">
        <v>61</v>
      </c>
      <c r="B634" s="16">
        <v>2011</v>
      </c>
      <c r="C634" s="16"/>
    </row>
    <row r="635" spans="1:3" customFormat="1" hidden="1" x14ac:dyDescent="0.3">
      <c r="A635" s="16" t="s">
        <v>61</v>
      </c>
      <c r="B635" s="16">
        <v>2011</v>
      </c>
      <c r="C635" s="16"/>
    </row>
    <row r="636" spans="1:3" customFormat="1" hidden="1" x14ac:dyDescent="0.3">
      <c r="A636" s="16" t="s">
        <v>61</v>
      </c>
      <c r="B636" s="16">
        <v>2011</v>
      </c>
      <c r="C636" s="16"/>
    </row>
    <row r="637" spans="1:3" customFormat="1" hidden="1" x14ac:dyDescent="0.3">
      <c r="A637" s="16" t="s">
        <v>61</v>
      </c>
      <c r="B637" s="16">
        <v>2011</v>
      </c>
      <c r="C637" s="16"/>
    </row>
    <row r="638" spans="1:3" customFormat="1" hidden="1" x14ac:dyDescent="0.3">
      <c r="A638" s="16" t="s">
        <v>61</v>
      </c>
      <c r="B638" s="16">
        <v>2011</v>
      </c>
      <c r="C638" s="16"/>
    </row>
    <row r="639" spans="1:3" customFormat="1" hidden="1" x14ac:dyDescent="0.3">
      <c r="A639" s="16" t="s">
        <v>61</v>
      </c>
      <c r="B639" s="16">
        <v>2011</v>
      </c>
      <c r="C639" s="16"/>
    </row>
    <row r="640" spans="1:3" customFormat="1" hidden="1" x14ac:dyDescent="0.3">
      <c r="A640" s="16" t="s">
        <v>61</v>
      </c>
      <c r="B640" s="16">
        <v>2011</v>
      </c>
      <c r="C640" s="16"/>
    </row>
    <row r="641" spans="1:12" hidden="1" x14ac:dyDescent="0.3">
      <c r="A641" s="35" t="s">
        <v>18</v>
      </c>
      <c r="B641" s="35" t="s">
        <v>18</v>
      </c>
      <c r="C641" s="35"/>
      <c r="K641"/>
      <c r="L641"/>
    </row>
    <row r="642" spans="1:12" hidden="1" x14ac:dyDescent="0.3">
      <c r="A642" s="16" t="s">
        <v>61</v>
      </c>
      <c r="B642" s="16">
        <v>2011</v>
      </c>
      <c r="K642"/>
      <c r="L642"/>
    </row>
    <row r="643" spans="1:12" hidden="1" x14ac:dyDescent="0.3">
      <c r="A643" s="16" t="s">
        <v>18</v>
      </c>
      <c r="B643" s="16" t="s">
        <v>18</v>
      </c>
      <c r="K643"/>
      <c r="L643"/>
    </row>
    <row r="644" spans="1:12" hidden="1" x14ac:dyDescent="0.3">
      <c r="A644" s="16" t="s">
        <v>18</v>
      </c>
      <c r="B644" s="16" t="s">
        <v>18</v>
      </c>
      <c r="K644"/>
      <c r="L644"/>
    </row>
    <row r="645" spans="1:12" hidden="1" x14ac:dyDescent="0.3">
      <c r="A645" s="16" t="s">
        <v>61</v>
      </c>
      <c r="B645" s="16">
        <v>2011</v>
      </c>
      <c r="K645"/>
      <c r="L645"/>
    </row>
    <row r="646" spans="1:12" hidden="1" x14ac:dyDescent="0.3">
      <c r="A646" s="16" t="s">
        <v>61</v>
      </c>
      <c r="B646" s="16">
        <v>2011</v>
      </c>
      <c r="K646"/>
      <c r="L646"/>
    </row>
    <row r="647" spans="1:12" hidden="1" x14ac:dyDescent="0.3">
      <c r="A647" s="16" t="s">
        <v>61</v>
      </c>
      <c r="B647" s="16">
        <v>2011</v>
      </c>
      <c r="K647"/>
      <c r="L647"/>
    </row>
    <row r="648" spans="1:12" hidden="1" x14ac:dyDescent="0.3">
      <c r="A648" s="16" t="s">
        <v>61</v>
      </c>
      <c r="B648" s="16">
        <v>2011</v>
      </c>
      <c r="K648"/>
      <c r="L648"/>
    </row>
    <row r="649" spans="1:12" hidden="1" x14ac:dyDescent="0.3">
      <c r="A649" s="16" t="s">
        <v>61</v>
      </c>
      <c r="B649" s="16">
        <v>2011</v>
      </c>
      <c r="K649"/>
      <c r="L649"/>
    </row>
    <row r="650" spans="1:12" hidden="1" x14ac:dyDescent="0.3">
      <c r="A650" s="36" t="s">
        <v>61</v>
      </c>
      <c r="B650" s="36">
        <v>2011</v>
      </c>
      <c r="C650" s="36"/>
      <c r="K650"/>
      <c r="L650"/>
    </row>
    <row r="651" spans="1:12" hidden="1" x14ac:dyDescent="0.3">
      <c r="A651" s="36" t="s">
        <v>61</v>
      </c>
      <c r="B651" s="36">
        <v>2011</v>
      </c>
      <c r="C651" s="36"/>
      <c r="K651"/>
      <c r="L651"/>
    </row>
    <row r="652" spans="1:12" hidden="1" x14ac:dyDescent="0.3">
      <c r="A652" s="36" t="s">
        <v>61</v>
      </c>
      <c r="B652" s="36">
        <v>2011</v>
      </c>
      <c r="C652" s="36"/>
      <c r="K652"/>
      <c r="L652"/>
    </row>
    <row r="653" spans="1:12" hidden="1" x14ac:dyDescent="0.3">
      <c r="A653" s="36" t="s">
        <v>61</v>
      </c>
      <c r="B653" s="36">
        <v>2011</v>
      </c>
      <c r="C653" s="36"/>
      <c r="K653"/>
      <c r="L653"/>
    </row>
    <row r="654" spans="1:12" x14ac:dyDescent="0.3">
      <c r="A654" s="5" t="s">
        <v>64</v>
      </c>
      <c r="B654" s="5">
        <v>2012</v>
      </c>
      <c r="C654" s="5" t="s">
        <v>156</v>
      </c>
      <c r="D654">
        <v>4.7232019230769237E-2</v>
      </c>
      <c r="E654">
        <v>5.5505423076923084E-2</v>
      </c>
      <c r="F654">
        <v>1.8296703296703301</v>
      </c>
      <c r="G654">
        <f>F654/1000</f>
        <v>1.8296703296703301E-3</v>
      </c>
      <c r="H654">
        <v>22.449450549450543</v>
      </c>
      <c r="I654">
        <f>H654/1000</f>
        <v>2.2449450549450543E-2</v>
      </c>
      <c r="K654" s="87">
        <f>E654*4000</f>
        <v>222.02169230769235</v>
      </c>
      <c r="L654" s="87">
        <f>D654*4000</f>
        <v>188.92807692307696</v>
      </c>
    </row>
    <row r="655" spans="1:12" hidden="1" x14ac:dyDescent="0.3">
      <c r="A655" s="5" t="s">
        <v>64</v>
      </c>
      <c r="B655" s="5">
        <v>2012</v>
      </c>
      <c r="C655" s="5"/>
      <c r="K655"/>
      <c r="L655"/>
    </row>
    <row r="656" spans="1:12" hidden="1" x14ac:dyDescent="0.3">
      <c r="A656" s="5" t="s">
        <v>64</v>
      </c>
      <c r="B656" s="5">
        <v>2012</v>
      </c>
      <c r="C656" s="5"/>
      <c r="K656"/>
      <c r="L656"/>
    </row>
    <row r="657" spans="1:3" customFormat="1" hidden="1" x14ac:dyDescent="0.3">
      <c r="A657" s="5" t="s">
        <v>64</v>
      </c>
      <c r="B657" s="5">
        <v>2012</v>
      </c>
      <c r="C657" s="5"/>
    </row>
    <row r="658" spans="1:3" customFormat="1" hidden="1" x14ac:dyDescent="0.3">
      <c r="A658" s="5" t="s">
        <v>64</v>
      </c>
      <c r="B658" s="5">
        <v>2012</v>
      </c>
      <c r="C658" s="5"/>
    </row>
    <row r="659" spans="1:3" customFormat="1" hidden="1" x14ac:dyDescent="0.3">
      <c r="A659" s="5" t="s">
        <v>64</v>
      </c>
      <c r="B659" s="5">
        <v>2012</v>
      </c>
      <c r="C659" s="5"/>
    </row>
    <row r="660" spans="1:3" customFormat="1" hidden="1" x14ac:dyDescent="0.3">
      <c r="A660" s="5" t="s">
        <v>64</v>
      </c>
      <c r="B660" s="5">
        <v>2012</v>
      </c>
      <c r="C660" s="5"/>
    </row>
    <row r="661" spans="1:3" customFormat="1" hidden="1" x14ac:dyDescent="0.3">
      <c r="A661" s="5" t="s">
        <v>64</v>
      </c>
      <c r="B661" s="5">
        <v>2012</v>
      </c>
      <c r="C661" s="5"/>
    </row>
    <row r="662" spans="1:3" customFormat="1" hidden="1" x14ac:dyDescent="0.3">
      <c r="A662" s="5" t="s">
        <v>64</v>
      </c>
      <c r="B662" s="5">
        <v>2012</v>
      </c>
      <c r="C662" s="5"/>
    </row>
    <row r="663" spans="1:3" customFormat="1" hidden="1" x14ac:dyDescent="0.3">
      <c r="A663" s="5" t="s">
        <v>64</v>
      </c>
      <c r="B663" s="5">
        <v>2012</v>
      </c>
      <c r="C663" s="5"/>
    </row>
    <row r="664" spans="1:3" customFormat="1" hidden="1" x14ac:dyDescent="0.3">
      <c r="A664" s="5" t="s">
        <v>64</v>
      </c>
      <c r="B664" s="5">
        <v>2012</v>
      </c>
      <c r="C664" s="5"/>
    </row>
    <row r="665" spans="1:3" customFormat="1" hidden="1" x14ac:dyDescent="0.3">
      <c r="A665" s="5" t="s">
        <v>64</v>
      </c>
      <c r="B665" s="5">
        <v>2012</v>
      </c>
      <c r="C665" s="5"/>
    </row>
    <row r="666" spans="1:3" customFormat="1" hidden="1" x14ac:dyDescent="0.3">
      <c r="A666" s="5" t="s">
        <v>64</v>
      </c>
      <c r="B666" s="5">
        <v>2012</v>
      </c>
      <c r="C666" s="5"/>
    </row>
    <row r="667" spans="1:3" customFormat="1" hidden="1" x14ac:dyDescent="0.3">
      <c r="A667" s="35" t="s">
        <v>18</v>
      </c>
      <c r="B667" s="35" t="s">
        <v>18</v>
      </c>
      <c r="C667" s="35"/>
    </row>
    <row r="668" spans="1:3" customFormat="1" hidden="1" x14ac:dyDescent="0.3">
      <c r="A668" s="5" t="s">
        <v>64</v>
      </c>
      <c r="B668" s="5">
        <v>2012</v>
      </c>
      <c r="C668" s="5"/>
    </row>
    <row r="669" spans="1:3" customFormat="1" hidden="1" x14ac:dyDescent="0.3">
      <c r="A669" s="5" t="s">
        <v>64</v>
      </c>
      <c r="B669" s="5">
        <v>2012</v>
      </c>
      <c r="C669" s="5"/>
    </row>
    <row r="670" spans="1:3" customFormat="1" hidden="1" x14ac:dyDescent="0.3">
      <c r="A670" s="5" t="s">
        <v>64</v>
      </c>
      <c r="B670" s="5">
        <v>2012</v>
      </c>
      <c r="C670" s="5"/>
    </row>
    <row r="671" spans="1:3" customFormat="1" hidden="1" x14ac:dyDescent="0.3">
      <c r="A671" s="5" t="s">
        <v>64</v>
      </c>
      <c r="B671" s="5">
        <v>2012</v>
      </c>
      <c r="C671" s="5"/>
    </row>
    <row r="672" spans="1:3" customFormat="1" hidden="1" x14ac:dyDescent="0.3">
      <c r="A672" s="5" t="s">
        <v>64</v>
      </c>
      <c r="B672" s="5">
        <v>2012</v>
      </c>
      <c r="C672" s="5"/>
    </row>
    <row r="673" spans="1:3" customFormat="1" hidden="1" x14ac:dyDescent="0.3">
      <c r="A673" s="5" t="s">
        <v>64</v>
      </c>
      <c r="B673" s="5">
        <v>2012</v>
      </c>
      <c r="C673" s="5"/>
    </row>
    <row r="674" spans="1:3" customFormat="1" hidden="1" x14ac:dyDescent="0.3">
      <c r="A674" s="5" t="s">
        <v>64</v>
      </c>
      <c r="B674" s="5">
        <v>2012</v>
      </c>
      <c r="C674" s="5"/>
    </row>
    <row r="675" spans="1:3" customFormat="1" hidden="1" x14ac:dyDescent="0.3">
      <c r="A675" s="5" t="s">
        <v>64</v>
      </c>
      <c r="B675" s="5">
        <v>2012</v>
      </c>
      <c r="C675" s="5"/>
    </row>
    <row r="676" spans="1:3" customFormat="1" hidden="1" x14ac:dyDescent="0.3">
      <c r="A676" s="5" t="s">
        <v>64</v>
      </c>
      <c r="B676" s="5">
        <v>2012</v>
      </c>
      <c r="C676" s="5"/>
    </row>
    <row r="677" spans="1:3" customFormat="1" hidden="1" x14ac:dyDescent="0.3">
      <c r="A677" s="5" t="s">
        <v>64</v>
      </c>
      <c r="B677" s="5">
        <v>2012</v>
      </c>
      <c r="C677" s="5"/>
    </row>
    <row r="678" spans="1:3" customFormat="1" hidden="1" x14ac:dyDescent="0.3">
      <c r="A678" s="5" t="s">
        <v>64</v>
      </c>
      <c r="B678" s="5">
        <v>2012</v>
      </c>
      <c r="C678" s="5"/>
    </row>
    <row r="679" spans="1:3" customFormat="1" hidden="1" x14ac:dyDescent="0.3">
      <c r="A679" s="5" t="s">
        <v>64</v>
      </c>
      <c r="B679" s="5">
        <v>2012</v>
      </c>
      <c r="C679" s="5"/>
    </row>
    <row r="680" spans="1:3" customFormat="1" hidden="1" x14ac:dyDescent="0.3">
      <c r="A680" s="35" t="s">
        <v>18</v>
      </c>
      <c r="B680" s="35" t="s">
        <v>18</v>
      </c>
      <c r="C680" s="35"/>
    </row>
    <row r="681" spans="1:3" customFormat="1" hidden="1" x14ac:dyDescent="0.3">
      <c r="A681" s="35" t="s">
        <v>18</v>
      </c>
      <c r="B681" s="35" t="s">
        <v>18</v>
      </c>
      <c r="C681" s="35"/>
    </row>
    <row r="682" spans="1:3" customFormat="1" hidden="1" x14ac:dyDescent="0.3">
      <c r="A682" s="5" t="s">
        <v>64</v>
      </c>
      <c r="B682" s="5">
        <v>2012</v>
      </c>
      <c r="C682" s="5"/>
    </row>
    <row r="683" spans="1:3" customFormat="1" hidden="1" x14ac:dyDescent="0.3">
      <c r="A683" s="5" t="s">
        <v>64</v>
      </c>
      <c r="B683" s="5">
        <v>2012</v>
      </c>
      <c r="C683" s="5"/>
    </row>
    <row r="684" spans="1:3" customFormat="1" hidden="1" x14ac:dyDescent="0.3">
      <c r="A684" s="5" t="s">
        <v>64</v>
      </c>
      <c r="B684" s="5">
        <v>2012</v>
      </c>
      <c r="C684" s="5"/>
    </row>
    <row r="685" spans="1:3" customFormat="1" hidden="1" x14ac:dyDescent="0.3">
      <c r="A685" s="5" t="s">
        <v>64</v>
      </c>
      <c r="B685" s="5">
        <v>2012</v>
      </c>
      <c r="C685" s="5"/>
    </row>
    <row r="686" spans="1:3" customFormat="1" hidden="1" x14ac:dyDescent="0.3">
      <c r="A686" s="5" t="s">
        <v>64</v>
      </c>
      <c r="B686" s="5">
        <v>2012</v>
      </c>
      <c r="C686" s="5"/>
    </row>
    <row r="687" spans="1:3" customFormat="1" hidden="1" x14ac:dyDescent="0.3">
      <c r="A687" s="5" t="s">
        <v>64</v>
      </c>
      <c r="B687" s="5">
        <v>2012</v>
      </c>
      <c r="C687" s="5"/>
    </row>
    <row r="688" spans="1:3" customFormat="1" hidden="1" x14ac:dyDescent="0.3">
      <c r="A688" s="5" t="s">
        <v>64</v>
      </c>
      <c r="B688" s="5">
        <v>2012</v>
      </c>
      <c r="C688" s="5"/>
    </row>
    <row r="689" spans="1:3" customFormat="1" hidden="1" x14ac:dyDescent="0.3">
      <c r="A689" s="5" t="s">
        <v>64</v>
      </c>
      <c r="B689" s="5">
        <v>2012</v>
      </c>
      <c r="C689" s="5"/>
    </row>
    <row r="690" spans="1:3" customFormat="1" hidden="1" x14ac:dyDescent="0.3">
      <c r="A690" s="35" t="s">
        <v>18</v>
      </c>
      <c r="B690" s="35" t="s">
        <v>18</v>
      </c>
      <c r="C690" s="35"/>
    </row>
    <row r="691" spans="1:3" customFormat="1" hidden="1" x14ac:dyDescent="0.3">
      <c r="A691" s="5" t="s">
        <v>64</v>
      </c>
      <c r="B691" s="5">
        <v>2012</v>
      </c>
      <c r="C691" s="5"/>
    </row>
    <row r="692" spans="1:3" customFormat="1" hidden="1" x14ac:dyDescent="0.3">
      <c r="A692" s="35" t="s">
        <v>18</v>
      </c>
      <c r="B692" s="35" t="s">
        <v>18</v>
      </c>
      <c r="C692" s="35"/>
    </row>
    <row r="693" spans="1:3" customFormat="1" hidden="1" x14ac:dyDescent="0.3">
      <c r="A693" s="5" t="s">
        <v>64</v>
      </c>
      <c r="B693" s="5">
        <v>2012</v>
      </c>
      <c r="C693" s="5"/>
    </row>
    <row r="694" spans="1:3" customFormat="1" hidden="1" x14ac:dyDescent="0.3">
      <c r="A694" s="5" t="s">
        <v>64</v>
      </c>
      <c r="B694" s="5">
        <v>2012</v>
      </c>
      <c r="C694" s="5"/>
    </row>
    <row r="695" spans="1:3" customFormat="1" hidden="1" x14ac:dyDescent="0.3">
      <c r="A695" s="5" t="s">
        <v>64</v>
      </c>
      <c r="B695" s="5">
        <v>2012</v>
      </c>
      <c r="C695" s="5"/>
    </row>
    <row r="696" spans="1:3" customFormat="1" hidden="1" x14ac:dyDescent="0.3">
      <c r="A696" s="5" t="s">
        <v>64</v>
      </c>
      <c r="B696" s="5">
        <v>2012</v>
      </c>
      <c r="C696" s="5"/>
    </row>
    <row r="697" spans="1:3" customFormat="1" hidden="1" x14ac:dyDescent="0.3">
      <c r="A697" s="5" t="s">
        <v>64</v>
      </c>
      <c r="B697" s="5">
        <v>2012</v>
      </c>
      <c r="C697" s="5"/>
    </row>
    <row r="698" spans="1:3" customFormat="1" hidden="1" x14ac:dyDescent="0.3">
      <c r="A698" s="5" t="s">
        <v>64</v>
      </c>
      <c r="B698" s="5">
        <v>2012</v>
      </c>
      <c r="C698" s="5"/>
    </row>
    <row r="699" spans="1:3" customFormat="1" hidden="1" x14ac:dyDescent="0.3">
      <c r="A699" s="5" t="s">
        <v>64</v>
      </c>
      <c r="B699" s="5">
        <v>2012</v>
      </c>
      <c r="C699" s="5"/>
    </row>
    <row r="700" spans="1:3" customFormat="1" hidden="1" x14ac:dyDescent="0.3">
      <c r="A700" s="5" t="s">
        <v>64</v>
      </c>
      <c r="B700" s="5">
        <v>2012</v>
      </c>
      <c r="C700" s="5"/>
    </row>
    <row r="701" spans="1:3" customFormat="1" hidden="1" x14ac:dyDescent="0.3">
      <c r="A701" s="35" t="s">
        <v>18</v>
      </c>
      <c r="B701" s="35" t="s">
        <v>18</v>
      </c>
      <c r="C701" s="35"/>
    </row>
    <row r="702" spans="1:3" customFormat="1" hidden="1" x14ac:dyDescent="0.3">
      <c r="A702" s="5" t="s">
        <v>64</v>
      </c>
      <c r="B702" s="5">
        <v>2012</v>
      </c>
      <c r="C702" s="5"/>
    </row>
    <row r="703" spans="1:3" customFormat="1" hidden="1" x14ac:dyDescent="0.3">
      <c r="A703" s="5" t="s">
        <v>64</v>
      </c>
      <c r="B703" s="5">
        <v>2012</v>
      </c>
      <c r="C703" s="5"/>
    </row>
    <row r="704" spans="1:3" customFormat="1" hidden="1" x14ac:dyDescent="0.3">
      <c r="A704" s="5" t="s">
        <v>64</v>
      </c>
      <c r="B704" s="5">
        <v>2012</v>
      </c>
      <c r="C704" s="5"/>
    </row>
    <row r="705" spans="1:12" hidden="1" x14ac:dyDescent="0.3">
      <c r="A705" s="5" t="s">
        <v>64</v>
      </c>
      <c r="B705" s="5">
        <v>2012</v>
      </c>
      <c r="C705" s="5"/>
      <c r="K705"/>
      <c r="L705"/>
    </row>
    <row r="706" spans="1:12" hidden="1" x14ac:dyDescent="0.3">
      <c r="A706" s="5" t="s">
        <v>64</v>
      </c>
      <c r="B706" s="5">
        <v>2012</v>
      </c>
      <c r="C706" s="5"/>
      <c r="K706"/>
      <c r="L706"/>
    </row>
    <row r="707" spans="1:12" hidden="1" x14ac:dyDescent="0.3">
      <c r="A707" s="5" t="s">
        <v>64</v>
      </c>
      <c r="B707" s="5">
        <v>2012</v>
      </c>
      <c r="C707" s="5"/>
      <c r="K707"/>
      <c r="L707"/>
    </row>
    <row r="708" spans="1:12" hidden="1" x14ac:dyDescent="0.3">
      <c r="A708" s="5" t="s">
        <v>64</v>
      </c>
      <c r="B708" s="5">
        <v>2012</v>
      </c>
      <c r="C708" s="5"/>
      <c r="K708"/>
      <c r="L708"/>
    </row>
    <row r="709" spans="1:12" hidden="1" x14ac:dyDescent="0.3">
      <c r="A709" s="5" t="s">
        <v>64</v>
      </c>
      <c r="B709" s="5">
        <v>2012</v>
      </c>
      <c r="C709" s="5"/>
      <c r="K709"/>
      <c r="L709"/>
    </row>
    <row r="710" spans="1:12" hidden="1" x14ac:dyDescent="0.3">
      <c r="A710" s="37" t="s">
        <v>64</v>
      </c>
      <c r="B710" s="37">
        <v>2012</v>
      </c>
      <c r="C710" s="37"/>
      <c r="K710"/>
      <c r="L710"/>
    </row>
    <row r="711" spans="1:12" hidden="1" x14ac:dyDescent="0.3">
      <c r="A711" s="37" t="s">
        <v>64</v>
      </c>
      <c r="B711" s="37">
        <v>2012</v>
      </c>
      <c r="C711" s="37"/>
      <c r="K711"/>
      <c r="L711"/>
    </row>
    <row r="712" spans="1:12" hidden="1" x14ac:dyDescent="0.3">
      <c r="A712" s="37" t="s">
        <v>64</v>
      </c>
      <c r="B712" s="37">
        <v>2012</v>
      </c>
      <c r="C712" s="37"/>
      <c r="K712"/>
      <c r="L712"/>
    </row>
    <row r="713" spans="1:12" hidden="1" x14ac:dyDescent="0.3">
      <c r="A713" s="37" t="s">
        <v>64</v>
      </c>
      <c r="B713" s="37">
        <v>2012</v>
      </c>
      <c r="C713" s="37"/>
      <c r="K713"/>
      <c r="L713"/>
    </row>
    <row r="714" spans="1:12" x14ac:dyDescent="0.3">
      <c r="A714" s="16" t="s">
        <v>24</v>
      </c>
      <c r="C714" s="16" t="s">
        <v>153</v>
      </c>
      <c r="D714">
        <v>1.4476481481481481E-2</v>
      </c>
      <c r="E714">
        <v>2.3990925925925926E-2</v>
      </c>
      <c r="F714">
        <v>3.6549450549450557</v>
      </c>
      <c r="G714">
        <f>F714/1000</f>
        <v>3.6549450549450556E-3</v>
      </c>
      <c r="H714">
        <v>19.104395604395606</v>
      </c>
      <c r="I714">
        <f>H714/1000</f>
        <v>1.9104395604395606E-2</v>
      </c>
      <c r="K714" s="87">
        <f>E714*4000</f>
        <v>95.9637037037037</v>
      </c>
      <c r="L714" s="87">
        <f>D714*4000</f>
        <v>57.905925925925921</v>
      </c>
    </row>
    <row r="715" spans="1:12" hidden="1" x14ac:dyDescent="0.3">
      <c r="A715" s="16" t="s">
        <v>24</v>
      </c>
      <c r="B715" s="16">
        <v>2012</v>
      </c>
      <c r="K715"/>
      <c r="L715"/>
    </row>
    <row r="716" spans="1:12" hidden="1" x14ac:dyDescent="0.3">
      <c r="A716" s="16" t="s">
        <v>24</v>
      </c>
      <c r="B716" s="16">
        <v>2012</v>
      </c>
      <c r="K716"/>
      <c r="L716"/>
    </row>
    <row r="717" spans="1:12" hidden="1" x14ac:dyDescent="0.3">
      <c r="A717" s="16" t="s">
        <v>24</v>
      </c>
      <c r="B717" s="16">
        <v>2012</v>
      </c>
      <c r="K717"/>
      <c r="L717"/>
    </row>
    <row r="718" spans="1:12" hidden="1" x14ac:dyDescent="0.3">
      <c r="A718" s="16" t="s">
        <v>24</v>
      </c>
      <c r="B718" s="16">
        <v>2012</v>
      </c>
      <c r="K718"/>
      <c r="L718"/>
    </row>
    <row r="719" spans="1:12" hidden="1" x14ac:dyDescent="0.3">
      <c r="A719" s="16" t="s">
        <v>24</v>
      </c>
      <c r="B719" s="16">
        <v>2012</v>
      </c>
      <c r="K719"/>
      <c r="L719"/>
    </row>
    <row r="720" spans="1:12" hidden="1" x14ac:dyDescent="0.3">
      <c r="A720" s="16" t="s">
        <v>24</v>
      </c>
      <c r="B720" s="16">
        <v>2012</v>
      </c>
      <c r="K720"/>
      <c r="L720"/>
    </row>
    <row r="721" spans="1:3" customFormat="1" hidden="1" x14ac:dyDescent="0.3">
      <c r="A721" s="16" t="s">
        <v>24</v>
      </c>
      <c r="B721" s="16">
        <v>2012</v>
      </c>
      <c r="C721" s="16"/>
    </row>
    <row r="722" spans="1:3" customFormat="1" hidden="1" x14ac:dyDescent="0.3">
      <c r="A722" s="16" t="s">
        <v>24</v>
      </c>
      <c r="B722" s="16">
        <v>2012</v>
      </c>
      <c r="C722" s="16"/>
    </row>
    <row r="723" spans="1:3" customFormat="1" hidden="1" x14ac:dyDescent="0.3">
      <c r="A723" s="16" t="s">
        <v>24</v>
      </c>
      <c r="B723" s="16">
        <v>2012</v>
      </c>
      <c r="C723" s="16"/>
    </row>
    <row r="724" spans="1:3" customFormat="1" hidden="1" x14ac:dyDescent="0.3">
      <c r="A724" s="16" t="s">
        <v>24</v>
      </c>
      <c r="B724" s="16">
        <v>2012</v>
      </c>
      <c r="C724" s="16"/>
    </row>
    <row r="725" spans="1:3" customFormat="1" hidden="1" x14ac:dyDescent="0.3">
      <c r="A725" s="16" t="s">
        <v>24</v>
      </c>
      <c r="B725" s="16">
        <v>2012</v>
      </c>
      <c r="C725" s="16"/>
    </row>
    <row r="726" spans="1:3" customFormat="1" hidden="1" x14ac:dyDescent="0.3">
      <c r="A726" s="16" t="s">
        <v>24</v>
      </c>
      <c r="B726" s="16">
        <v>2012</v>
      </c>
      <c r="C726" s="16"/>
    </row>
    <row r="727" spans="1:3" customFormat="1" hidden="1" x14ac:dyDescent="0.3">
      <c r="A727" s="35" t="s">
        <v>18</v>
      </c>
      <c r="B727" s="35" t="s">
        <v>18</v>
      </c>
      <c r="C727" s="35"/>
    </row>
    <row r="728" spans="1:3" customFormat="1" hidden="1" x14ac:dyDescent="0.3">
      <c r="A728" s="16" t="s">
        <v>24</v>
      </c>
      <c r="B728" s="16">
        <v>2012</v>
      </c>
      <c r="C728" s="16"/>
    </row>
    <row r="729" spans="1:3" customFormat="1" hidden="1" x14ac:dyDescent="0.3">
      <c r="A729" s="16" t="s">
        <v>24</v>
      </c>
      <c r="B729" s="16">
        <v>2012</v>
      </c>
      <c r="C729" s="16"/>
    </row>
    <row r="730" spans="1:3" customFormat="1" hidden="1" x14ac:dyDescent="0.3">
      <c r="A730" s="16" t="s">
        <v>24</v>
      </c>
      <c r="B730" s="16">
        <v>2012</v>
      </c>
      <c r="C730" s="16"/>
    </row>
    <row r="731" spans="1:3" customFormat="1" hidden="1" x14ac:dyDescent="0.3">
      <c r="A731" s="16" t="s">
        <v>24</v>
      </c>
      <c r="B731" s="16">
        <v>2012</v>
      </c>
      <c r="C731" s="16"/>
    </row>
    <row r="732" spans="1:3" customFormat="1" hidden="1" x14ac:dyDescent="0.3">
      <c r="A732" s="16" t="s">
        <v>24</v>
      </c>
      <c r="B732" s="16">
        <v>2012</v>
      </c>
      <c r="C732" s="16"/>
    </row>
    <row r="733" spans="1:3" customFormat="1" hidden="1" x14ac:dyDescent="0.3">
      <c r="A733" s="16" t="s">
        <v>24</v>
      </c>
      <c r="B733" s="16">
        <v>2012</v>
      </c>
      <c r="C733" s="16"/>
    </row>
    <row r="734" spans="1:3" customFormat="1" hidden="1" x14ac:dyDescent="0.3">
      <c r="A734" s="16" t="s">
        <v>24</v>
      </c>
      <c r="B734" s="16">
        <v>2012</v>
      </c>
      <c r="C734" s="16"/>
    </row>
    <row r="735" spans="1:3" customFormat="1" hidden="1" x14ac:dyDescent="0.3">
      <c r="A735" s="16" t="s">
        <v>24</v>
      </c>
      <c r="B735" s="16">
        <v>2012</v>
      </c>
      <c r="C735" s="16"/>
    </row>
    <row r="736" spans="1:3" customFormat="1" hidden="1" x14ac:dyDescent="0.3">
      <c r="A736" s="16" t="s">
        <v>24</v>
      </c>
      <c r="B736" s="16">
        <v>2012</v>
      </c>
      <c r="C736" s="16"/>
    </row>
    <row r="737" spans="1:3" customFormat="1" hidden="1" x14ac:dyDescent="0.3">
      <c r="A737" s="16" t="s">
        <v>24</v>
      </c>
      <c r="B737" s="16">
        <v>2012</v>
      </c>
      <c r="C737" s="16"/>
    </row>
    <row r="738" spans="1:3" customFormat="1" hidden="1" x14ac:dyDescent="0.3">
      <c r="A738" s="16" t="s">
        <v>24</v>
      </c>
      <c r="B738" s="16">
        <v>2012</v>
      </c>
      <c r="C738" s="16"/>
    </row>
    <row r="739" spans="1:3" customFormat="1" hidden="1" x14ac:dyDescent="0.3">
      <c r="A739" s="16" t="s">
        <v>24</v>
      </c>
      <c r="B739" s="16">
        <v>2012</v>
      </c>
      <c r="C739" s="16"/>
    </row>
    <row r="740" spans="1:3" customFormat="1" hidden="1" x14ac:dyDescent="0.3">
      <c r="A740" s="35" t="s">
        <v>18</v>
      </c>
      <c r="B740" s="35" t="s">
        <v>18</v>
      </c>
      <c r="C740" s="35"/>
    </row>
    <row r="741" spans="1:3" customFormat="1" hidden="1" x14ac:dyDescent="0.3">
      <c r="A741" s="35" t="s">
        <v>18</v>
      </c>
      <c r="B741" s="35" t="s">
        <v>18</v>
      </c>
      <c r="C741" s="35"/>
    </row>
    <row r="742" spans="1:3" customFormat="1" hidden="1" x14ac:dyDescent="0.3">
      <c r="A742" s="16" t="s">
        <v>24</v>
      </c>
      <c r="B742" s="16">
        <v>2012</v>
      </c>
      <c r="C742" s="16"/>
    </row>
    <row r="743" spans="1:3" customFormat="1" hidden="1" x14ac:dyDescent="0.3">
      <c r="A743" s="16" t="s">
        <v>24</v>
      </c>
      <c r="B743" s="16">
        <v>2012</v>
      </c>
      <c r="C743" s="16"/>
    </row>
    <row r="744" spans="1:3" customFormat="1" hidden="1" x14ac:dyDescent="0.3">
      <c r="A744" s="16" t="s">
        <v>24</v>
      </c>
      <c r="B744" s="16">
        <v>2012</v>
      </c>
      <c r="C744" s="16"/>
    </row>
    <row r="745" spans="1:3" customFormat="1" hidden="1" x14ac:dyDescent="0.3">
      <c r="A745" s="16" t="s">
        <v>24</v>
      </c>
      <c r="B745" s="16">
        <v>2012</v>
      </c>
      <c r="C745" s="16"/>
    </row>
    <row r="746" spans="1:3" customFormat="1" hidden="1" x14ac:dyDescent="0.3">
      <c r="A746" s="16" t="s">
        <v>24</v>
      </c>
      <c r="B746" s="16">
        <v>2012</v>
      </c>
      <c r="C746" s="16"/>
    </row>
    <row r="747" spans="1:3" customFormat="1" hidden="1" x14ac:dyDescent="0.3">
      <c r="A747" s="16" t="s">
        <v>24</v>
      </c>
      <c r="B747" s="16">
        <v>2012</v>
      </c>
      <c r="C747" s="16"/>
    </row>
    <row r="748" spans="1:3" customFormat="1" hidden="1" x14ac:dyDescent="0.3">
      <c r="A748" s="16" t="s">
        <v>24</v>
      </c>
      <c r="B748" s="16">
        <v>2012</v>
      </c>
      <c r="C748" s="16"/>
    </row>
    <row r="749" spans="1:3" customFormat="1" hidden="1" x14ac:dyDescent="0.3">
      <c r="A749" s="16" t="s">
        <v>24</v>
      </c>
      <c r="B749" s="16">
        <v>2012</v>
      </c>
      <c r="C749" s="16"/>
    </row>
    <row r="750" spans="1:3" customFormat="1" hidden="1" x14ac:dyDescent="0.3">
      <c r="A750" s="35" t="s">
        <v>18</v>
      </c>
      <c r="B750" s="35" t="s">
        <v>18</v>
      </c>
      <c r="C750" s="35"/>
    </row>
    <row r="751" spans="1:3" customFormat="1" hidden="1" x14ac:dyDescent="0.3">
      <c r="A751" s="16" t="s">
        <v>24</v>
      </c>
      <c r="B751" s="16">
        <v>2012</v>
      </c>
      <c r="C751" s="16"/>
    </row>
    <row r="752" spans="1:3" customFormat="1" hidden="1" x14ac:dyDescent="0.3">
      <c r="A752" s="35" t="s">
        <v>18</v>
      </c>
      <c r="B752" s="35" t="s">
        <v>18</v>
      </c>
      <c r="C752" s="35"/>
    </row>
    <row r="753" spans="1:3" customFormat="1" hidden="1" x14ac:dyDescent="0.3">
      <c r="A753" s="16" t="s">
        <v>24</v>
      </c>
      <c r="B753" s="16">
        <v>2012</v>
      </c>
      <c r="C753" s="16"/>
    </row>
    <row r="754" spans="1:3" customFormat="1" hidden="1" x14ac:dyDescent="0.3">
      <c r="A754" s="16" t="s">
        <v>24</v>
      </c>
      <c r="B754" s="16">
        <v>2012</v>
      </c>
      <c r="C754" s="16"/>
    </row>
    <row r="755" spans="1:3" customFormat="1" hidden="1" x14ac:dyDescent="0.3">
      <c r="A755" s="16" t="s">
        <v>24</v>
      </c>
      <c r="B755" s="16">
        <v>2012</v>
      </c>
      <c r="C755" s="16"/>
    </row>
    <row r="756" spans="1:3" customFormat="1" hidden="1" x14ac:dyDescent="0.3">
      <c r="A756" s="16" t="s">
        <v>24</v>
      </c>
      <c r="B756" s="16">
        <v>2012</v>
      </c>
      <c r="C756" s="16"/>
    </row>
    <row r="757" spans="1:3" customFormat="1" hidden="1" x14ac:dyDescent="0.3">
      <c r="A757" s="16" t="s">
        <v>24</v>
      </c>
      <c r="B757" s="16">
        <v>2012</v>
      </c>
      <c r="C757" s="16"/>
    </row>
    <row r="758" spans="1:3" customFormat="1" hidden="1" x14ac:dyDescent="0.3">
      <c r="A758" s="16" t="s">
        <v>24</v>
      </c>
      <c r="B758" s="16">
        <v>2012</v>
      </c>
      <c r="C758" s="16"/>
    </row>
    <row r="759" spans="1:3" customFormat="1" hidden="1" x14ac:dyDescent="0.3">
      <c r="A759" s="16" t="s">
        <v>24</v>
      </c>
      <c r="B759" s="16">
        <v>2012</v>
      </c>
      <c r="C759" s="16"/>
    </row>
    <row r="760" spans="1:3" customFormat="1" hidden="1" x14ac:dyDescent="0.3">
      <c r="A760" s="16" t="s">
        <v>24</v>
      </c>
      <c r="B760" s="16">
        <v>2012</v>
      </c>
      <c r="C760" s="16"/>
    </row>
    <row r="761" spans="1:3" customFormat="1" hidden="1" x14ac:dyDescent="0.3">
      <c r="A761" s="35" t="s">
        <v>18</v>
      </c>
      <c r="B761" s="35" t="s">
        <v>18</v>
      </c>
      <c r="C761" s="35"/>
    </row>
    <row r="762" spans="1:3" customFormat="1" hidden="1" x14ac:dyDescent="0.3">
      <c r="A762" s="16" t="s">
        <v>24</v>
      </c>
      <c r="B762" s="16">
        <v>2012</v>
      </c>
      <c r="C762" s="16"/>
    </row>
    <row r="763" spans="1:3" customFormat="1" hidden="1" x14ac:dyDescent="0.3">
      <c r="A763" s="16" t="s">
        <v>24</v>
      </c>
      <c r="B763" s="16">
        <v>2012</v>
      </c>
      <c r="C763" s="16"/>
    </row>
    <row r="764" spans="1:3" customFormat="1" hidden="1" x14ac:dyDescent="0.3">
      <c r="A764" s="16" t="s">
        <v>24</v>
      </c>
      <c r="B764" s="16">
        <v>2012</v>
      </c>
      <c r="C764" s="16"/>
    </row>
    <row r="765" spans="1:3" customFormat="1" hidden="1" x14ac:dyDescent="0.3">
      <c r="A765" s="16" t="s">
        <v>24</v>
      </c>
      <c r="B765" s="16">
        <v>2012</v>
      </c>
      <c r="C765" s="16"/>
    </row>
    <row r="766" spans="1:3" customFormat="1" hidden="1" x14ac:dyDescent="0.3">
      <c r="A766" s="16" t="s">
        <v>24</v>
      </c>
      <c r="B766" s="16">
        <v>2012</v>
      </c>
      <c r="C766" s="16"/>
    </row>
    <row r="767" spans="1:3" customFormat="1" hidden="1" x14ac:dyDescent="0.3">
      <c r="A767" s="16" t="s">
        <v>24</v>
      </c>
      <c r="B767" s="16">
        <v>2012</v>
      </c>
      <c r="C767" s="16"/>
    </row>
    <row r="768" spans="1:3" customFormat="1" hidden="1" x14ac:dyDescent="0.3">
      <c r="A768" s="16" t="s">
        <v>24</v>
      </c>
      <c r="B768" s="16">
        <v>2012</v>
      </c>
      <c r="C768" s="16"/>
    </row>
    <row r="769" spans="1:12" hidden="1" x14ac:dyDescent="0.3">
      <c r="A769" s="16" t="s">
        <v>24</v>
      </c>
      <c r="B769" s="16">
        <v>2012</v>
      </c>
      <c r="K769"/>
      <c r="L769"/>
    </row>
    <row r="770" spans="1:12" hidden="1" x14ac:dyDescent="0.3">
      <c r="A770" s="36" t="s">
        <v>24</v>
      </c>
      <c r="B770" s="36">
        <v>2012</v>
      </c>
      <c r="C770" s="36"/>
      <c r="K770"/>
      <c r="L770"/>
    </row>
    <row r="771" spans="1:12" hidden="1" x14ac:dyDescent="0.3">
      <c r="A771" s="36" t="s">
        <v>24</v>
      </c>
      <c r="B771" s="36">
        <v>2012</v>
      </c>
      <c r="C771" s="36"/>
      <c r="K771"/>
      <c r="L771"/>
    </row>
    <row r="772" spans="1:12" hidden="1" x14ac:dyDescent="0.3">
      <c r="A772" s="36" t="s">
        <v>24</v>
      </c>
      <c r="B772" s="36">
        <v>2012</v>
      </c>
      <c r="C772" s="36"/>
      <c r="K772"/>
      <c r="L772"/>
    </row>
    <row r="773" spans="1:12" hidden="1" x14ac:dyDescent="0.3">
      <c r="A773" s="36" t="s">
        <v>24</v>
      </c>
      <c r="B773" s="36">
        <v>2012</v>
      </c>
      <c r="C773" s="36"/>
      <c r="K773"/>
      <c r="L773"/>
    </row>
    <row r="774" spans="1:12" x14ac:dyDescent="0.3">
      <c r="A774" s="16" t="s">
        <v>33</v>
      </c>
      <c r="C774" s="16" t="s">
        <v>154</v>
      </c>
      <c r="D774">
        <v>9.2849061956703123E-3</v>
      </c>
      <c r="E774">
        <v>1.6991221784663876E-2</v>
      </c>
      <c r="F774">
        <v>2.2782608695652171</v>
      </c>
      <c r="G774">
        <f>F774/1000</f>
        <v>2.278260869565217E-3</v>
      </c>
      <c r="H774">
        <v>13.989130434782618</v>
      </c>
      <c r="I774">
        <f>H774/1000</f>
        <v>1.3989130434782619E-2</v>
      </c>
      <c r="K774" s="87">
        <f>E774*4000</f>
        <v>67.964887138655499</v>
      </c>
      <c r="L774" s="87">
        <f>D774*4000</f>
        <v>37.139624782681253</v>
      </c>
    </row>
    <row r="775" spans="1:12" hidden="1" x14ac:dyDescent="0.3">
      <c r="A775" s="16" t="s">
        <v>33</v>
      </c>
      <c r="B775" s="16">
        <v>2012</v>
      </c>
      <c r="K775"/>
      <c r="L775"/>
    </row>
    <row r="776" spans="1:12" hidden="1" x14ac:dyDescent="0.3">
      <c r="A776" s="16" t="s">
        <v>33</v>
      </c>
      <c r="B776" s="16">
        <v>2012</v>
      </c>
      <c r="K776"/>
      <c r="L776"/>
    </row>
    <row r="777" spans="1:12" hidden="1" x14ac:dyDescent="0.3">
      <c r="A777" s="16" t="s">
        <v>33</v>
      </c>
      <c r="B777" s="16">
        <v>2012</v>
      </c>
      <c r="K777"/>
      <c r="L777"/>
    </row>
    <row r="778" spans="1:12" hidden="1" x14ac:dyDescent="0.3">
      <c r="A778" s="16" t="s">
        <v>33</v>
      </c>
      <c r="B778" s="16">
        <v>2012</v>
      </c>
      <c r="K778"/>
      <c r="L778"/>
    </row>
    <row r="779" spans="1:12" hidden="1" x14ac:dyDescent="0.3">
      <c r="A779" s="16" t="s">
        <v>33</v>
      </c>
      <c r="B779" s="16">
        <v>2012</v>
      </c>
      <c r="K779"/>
      <c r="L779"/>
    </row>
    <row r="780" spans="1:12" hidden="1" x14ac:dyDescent="0.3">
      <c r="A780" s="16" t="s">
        <v>33</v>
      </c>
      <c r="B780" s="16">
        <v>2012</v>
      </c>
      <c r="K780"/>
      <c r="L780"/>
    </row>
    <row r="781" spans="1:12" hidden="1" x14ac:dyDescent="0.3">
      <c r="A781" s="16" t="s">
        <v>33</v>
      </c>
      <c r="B781" s="16">
        <v>2012</v>
      </c>
      <c r="K781"/>
      <c r="L781"/>
    </row>
    <row r="782" spans="1:12" hidden="1" x14ac:dyDescent="0.3">
      <c r="A782" s="16" t="s">
        <v>33</v>
      </c>
      <c r="B782" s="16">
        <v>2012</v>
      </c>
      <c r="K782"/>
      <c r="L782"/>
    </row>
    <row r="783" spans="1:12" hidden="1" x14ac:dyDescent="0.3">
      <c r="A783" s="16" t="s">
        <v>33</v>
      </c>
      <c r="B783" s="16">
        <v>2012</v>
      </c>
      <c r="K783"/>
      <c r="L783"/>
    </row>
    <row r="784" spans="1:12" hidden="1" x14ac:dyDescent="0.3">
      <c r="A784" s="16" t="s">
        <v>33</v>
      </c>
      <c r="B784" s="16">
        <v>2012</v>
      </c>
      <c r="K784"/>
      <c r="L784"/>
    </row>
    <row r="785" spans="1:3" customFormat="1" hidden="1" x14ac:dyDescent="0.3">
      <c r="A785" s="16" t="s">
        <v>33</v>
      </c>
      <c r="B785" s="16">
        <v>2012</v>
      </c>
      <c r="C785" s="16"/>
    </row>
    <row r="786" spans="1:3" customFormat="1" hidden="1" x14ac:dyDescent="0.3">
      <c r="A786" s="16" t="s">
        <v>33</v>
      </c>
      <c r="B786" s="16">
        <v>2012</v>
      </c>
      <c r="C786" s="16"/>
    </row>
    <row r="787" spans="1:3" customFormat="1" hidden="1" x14ac:dyDescent="0.3">
      <c r="A787" s="35" t="s">
        <v>18</v>
      </c>
      <c r="B787" s="35" t="s">
        <v>18</v>
      </c>
      <c r="C787" s="35"/>
    </row>
    <row r="788" spans="1:3" customFormat="1" hidden="1" x14ac:dyDescent="0.3">
      <c r="A788" s="16" t="s">
        <v>33</v>
      </c>
      <c r="B788" s="16">
        <v>2012</v>
      </c>
      <c r="C788" s="16"/>
    </row>
    <row r="789" spans="1:3" customFormat="1" hidden="1" x14ac:dyDescent="0.3">
      <c r="A789" s="16" t="s">
        <v>33</v>
      </c>
      <c r="B789" s="16">
        <v>2012</v>
      </c>
      <c r="C789" s="16"/>
    </row>
    <row r="790" spans="1:3" customFormat="1" hidden="1" x14ac:dyDescent="0.3">
      <c r="A790" s="16" t="s">
        <v>33</v>
      </c>
      <c r="B790" s="16">
        <v>2012</v>
      </c>
      <c r="C790" s="16"/>
    </row>
    <row r="791" spans="1:3" customFormat="1" hidden="1" x14ac:dyDescent="0.3">
      <c r="A791" s="16" t="s">
        <v>33</v>
      </c>
      <c r="B791" s="16">
        <v>2012</v>
      </c>
      <c r="C791" s="16"/>
    </row>
    <row r="792" spans="1:3" customFormat="1" hidden="1" x14ac:dyDescent="0.3">
      <c r="A792" s="16" t="s">
        <v>33</v>
      </c>
      <c r="B792" s="16">
        <v>2012</v>
      </c>
      <c r="C792" s="16"/>
    </row>
    <row r="793" spans="1:3" customFormat="1" hidden="1" x14ac:dyDescent="0.3">
      <c r="A793" s="16" t="s">
        <v>33</v>
      </c>
      <c r="B793" s="16">
        <v>2012</v>
      </c>
      <c r="C793" s="16"/>
    </row>
    <row r="794" spans="1:3" customFormat="1" hidden="1" x14ac:dyDescent="0.3">
      <c r="A794" s="16" t="s">
        <v>33</v>
      </c>
      <c r="B794" s="16">
        <v>2012</v>
      </c>
      <c r="C794" s="16"/>
    </row>
    <row r="795" spans="1:3" customFormat="1" hidden="1" x14ac:dyDescent="0.3">
      <c r="A795" s="16" t="s">
        <v>33</v>
      </c>
      <c r="B795" s="16">
        <v>2012</v>
      </c>
      <c r="C795" s="16"/>
    </row>
    <row r="796" spans="1:3" customFormat="1" hidden="1" x14ac:dyDescent="0.3">
      <c r="A796" s="16" t="s">
        <v>33</v>
      </c>
      <c r="B796" s="16">
        <v>2012</v>
      </c>
      <c r="C796" s="16"/>
    </row>
    <row r="797" spans="1:3" customFormat="1" hidden="1" x14ac:dyDescent="0.3">
      <c r="A797" s="16" t="s">
        <v>33</v>
      </c>
      <c r="B797" s="16">
        <v>2012</v>
      </c>
      <c r="C797" s="16"/>
    </row>
    <row r="798" spans="1:3" customFormat="1" hidden="1" x14ac:dyDescent="0.3">
      <c r="A798" s="16" t="s">
        <v>33</v>
      </c>
      <c r="B798" s="16">
        <v>2012</v>
      </c>
      <c r="C798" s="16"/>
    </row>
    <row r="799" spans="1:3" customFormat="1" hidden="1" x14ac:dyDescent="0.3">
      <c r="A799" s="16" t="s">
        <v>33</v>
      </c>
      <c r="B799" s="16">
        <v>2012</v>
      </c>
      <c r="C799" s="5"/>
    </row>
    <row r="800" spans="1:3" customFormat="1" hidden="1" x14ac:dyDescent="0.3">
      <c r="A800" s="35" t="s">
        <v>18</v>
      </c>
      <c r="B800" s="35" t="s">
        <v>18</v>
      </c>
      <c r="C800" s="35"/>
    </row>
    <row r="801" spans="1:3" customFormat="1" hidden="1" x14ac:dyDescent="0.3">
      <c r="A801" s="35" t="s">
        <v>18</v>
      </c>
      <c r="B801" s="35" t="s">
        <v>18</v>
      </c>
      <c r="C801" s="35"/>
    </row>
    <row r="802" spans="1:3" customFormat="1" hidden="1" x14ac:dyDescent="0.3">
      <c r="A802" s="16" t="s">
        <v>33</v>
      </c>
      <c r="B802" s="16">
        <v>2012</v>
      </c>
      <c r="C802" s="16"/>
    </row>
    <row r="803" spans="1:3" customFormat="1" hidden="1" x14ac:dyDescent="0.3">
      <c r="A803" s="16" t="s">
        <v>33</v>
      </c>
      <c r="B803" s="16">
        <v>2012</v>
      </c>
      <c r="C803" s="16"/>
    </row>
    <row r="804" spans="1:3" customFormat="1" hidden="1" x14ac:dyDescent="0.3">
      <c r="A804" s="16" t="s">
        <v>33</v>
      </c>
      <c r="B804" s="16">
        <v>2012</v>
      </c>
      <c r="C804" s="16"/>
    </row>
    <row r="805" spans="1:3" customFormat="1" hidden="1" x14ac:dyDescent="0.3">
      <c r="A805" s="16" t="s">
        <v>33</v>
      </c>
      <c r="B805" s="16">
        <v>2012</v>
      </c>
      <c r="C805" s="16"/>
    </row>
    <row r="806" spans="1:3" customFormat="1" hidden="1" x14ac:dyDescent="0.3">
      <c r="A806" s="16" t="s">
        <v>33</v>
      </c>
      <c r="B806" s="16">
        <v>2012</v>
      </c>
      <c r="C806" s="16"/>
    </row>
    <row r="807" spans="1:3" customFormat="1" hidden="1" x14ac:dyDescent="0.3">
      <c r="A807" s="16" t="s">
        <v>33</v>
      </c>
      <c r="B807" s="16">
        <v>2012</v>
      </c>
      <c r="C807" s="16"/>
    </row>
    <row r="808" spans="1:3" customFormat="1" hidden="1" x14ac:dyDescent="0.3">
      <c r="A808" s="16" t="s">
        <v>33</v>
      </c>
      <c r="B808" s="16">
        <v>2012</v>
      </c>
      <c r="C808" s="5"/>
    </row>
    <row r="809" spans="1:3" customFormat="1" hidden="1" x14ac:dyDescent="0.3">
      <c r="A809" s="16" t="s">
        <v>33</v>
      </c>
      <c r="B809" s="16">
        <v>2012</v>
      </c>
      <c r="C809" s="5"/>
    </row>
    <row r="810" spans="1:3" customFormat="1" hidden="1" x14ac:dyDescent="0.3">
      <c r="A810" s="35" t="s">
        <v>18</v>
      </c>
      <c r="B810" s="35" t="s">
        <v>18</v>
      </c>
      <c r="C810" s="35"/>
    </row>
    <row r="811" spans="1:3" customFormat="1" hidden="1" x14ac:dyDescent="0.3">
      <c r="A811" s="16" t="s">
        <v>18</v>
      </c>
      <c r="B811" s="16" t="s">
        <v>18</v>
      </c>
      <c r="C811" s="16"/>
    </row>
    <row r="812" spans="1:3" customFormat="1" hidden="1" x14ac:dyDescent="0.3">
      <c r="A812" s="35" t="s">
        <v>18</v>
      </c>
      <c r="B812" s="35" t="s">
        <v>18</v>
      </c>
      <c r="C812" s="35"/>
    </row>
    <row r="813" spans="1:3" customFormat="1" hidden="1" x14ac:dyDescent="0.3">
      <c r="A813" s="16" t="s">
        <v>33</v>
      </c>
      <c r="B813" s="16">
        <v>2012</v>
      </c>
      <c r="C813" s="16"/>
    </row>
    <row r="814" spans="1:3" customFormat="1" hidden="1" x14ac:dyDescent="0.3">
      <c r="A814" s="16" t="s">
        <v>33</v>
      </c>
      <c r="B814" s="16">
        <v>2012</v>
      </c>
      <c r="C814" s="16"/>
    </row>
    <row r="815" spans="1:3" customFormat="1" hidden="1" x14ac:dyDescent="0.3">
      <c r="A815" s="16" t="s">
        <v>33</v>
      </c>
      <c r="B815" s="16">
        <v>2012</v>
      </c>
      <c r="C815" s="16"/>
    </row>
    <row r="816" spans="1:3" customFormat="1" hidden="1" x14ac:dyDescent="0.3">
      <c r="A816" s="16" t="s">
        <v>33</v>
      </c>
      <c r="B816" s="16">
        <v>2012</v>
      </c>
      <c r="C816" s="16"/>
    </row>
    <row r="817" spans="1:3" customFormat="1" hidden="1" x14ac:dyDescent="0.3">
      <c r="A817" s="16" t="s">
        <v>33</v>
      </c>
      <c r="B817" s="16">
        <v>2012</v>
      </c>
      <c r="C817" s="16"/>
    </row>
    <row r="818" spans="1:3" customFormat="1" hidden="1" x14ac:dyDescent="0.3">
      <c r="A818" s="16" t="s">
        <v>33</v>
      </c>
      <c r="B818" s="16">
        <v>2012</v>
      </c>
      <c r="C818" s="16"/>
    </row>
    <row r="819" spans="1:3" customFormat="1" hidden="1" x14ac:dyDescent="0.3">
      <c r="A819" s="16" t="s">
        <v>33</v>
      </c>
      <c r="B819" s="16">
        <v>2012</v>
      </c>
      <c r="C819" s="16"/>
    </row>
    <row r="820" spans="1:3" customFormat="1" hidden="1" x14ac:dyDescent="0.3">
      <c r="A820" s="16" t="s">
        <v>33</v>
      </c>
      <c r="B820" s="16">
        <v>2012</v>
      </c>
      <c r="C820" s="16"/>
    </row>
    <row r="821" spans="1:3" customFormat="1" hidden="1" x14ac:dyDescent="0.3">
      <c r="A821" s="35" t="s">
        <v>18</v>
      </c>
      <c r="B821" s="35" t="s">
        <v>18</v>
      </c>
      <c r="C821" s="35"/>
    </row>
    <row r="822" spans="1:3" customFormat="1" hidden="1" x14ac:dyDescent="0.3">
      <c r="A822" s="16" t="s">
        <v>33</v>
      </c>
      <c r="B822" s="16">
        <v>2012</v>
      </c>
      <c r="C822" s="16"/>
    </row>
    <row r="823" spans="1:3" customFormat="1" hidden="1" x14ac:dyDescent="0.3">
      <c r="A823" s="16" t="s">
        <v>33</v>
      </c>
      <c r="B823" s="16">
        <v>2012</v>
      </c>
      <c r="C823" s="5"/>
    </row>
    <row r="824" spans="1:3" customFormat="1" hidden="1" x14ac:dyDescent="0.3">
      <c r="A824" s="16" t="s">
        <v>33</v>
      </c>
      <c r="B824" s="16">
        <v>2012</v>
      </c>
      <c r="C824" s="5"/>
    </row>
    <row r="825" spans="1:3" customFormat="1" hidden="1" x14ac:dyDescent="0.3">
      <c r="A825" s="16" t="s">
        <v>33</v>
      </c>
      <c r="B825" s="16">
        <v>2012</v>
      </c>
      <c r="C825" s="16"/>
    </row>
    <row r="826" spans="1:3" customFormat="1" hidden="1" x14ac:dyDescent="0.3">
      <c r="A826" s="16" t="s">
        <v>33</v>
      </c>
      <c r="B826" s="16">
        <v>2012</v>
      </c>
      <c r="C826" s="16"/>
    </row>
    <row r="827" spans="1:3" customFormat="1" hidden="1" x14ac:dyDescent="0.3">
      <c r="A827" s="16" t="s">
        <v>33</v>
      </c>
      <c r="B827" s="16">
        <v>2012</v>
      </c>
      <c r="C827" s="16"/>
    </row>
    <row r="828" spans="1:3" customFormat="1" hidden="1" x14ac:dyDescent="0.3">
      <c r="A828" s="16" t="s">
        <v>33</v>
      </c>
      <c r="B828" s="16">
        <v>2012</v>
      </c>
      <c r="C828" s="16"/>
    </row>
    <row r="829" spans="1:3" customFormat="1" hidden="1" x14ac:dyDescent="0.3">
      <c r="A829" s="16" t="s">
        <v>33</v>
      </c>
      <c r="B829" s="16">
        <v>2012</v>
      </c>
      <c r="C829" s="16"/>
    </row>
    <row r="830" spans="1:3" customFormat="1" hidden="1" x14ac:dyDescent="0.3">
      <c r="A830" s="36" t="s">
        <v>33</v>
      </c>
      <c r="B830" s="36">
        <v>2012</v>
      </c>
      <c r="C830" s="36"/>
    </row>
    <row r="831" spans="1:3" customFormat="1" hidden="1" x14ac:dyDescent="0.3">
      <c r="A831" s="36" t="s">
        <v>33</v>
      </c>
      <c r="B831" s="36">
        <v>2012</v>
      </c>
      <c r="C831" s="36"/>
    </row>
    <row r="832" spans="1:3" customFormat="1" hidden="1" x14ac:dyDescent="0.3">
      <c r="A832" s="36" t="s">
        <v>33</v>
      </c>
      <c r="B832" s="36">
        <v>2012</v>
      </c>
      <c r="C832" s="36"/>
    </row>
    <row r="833" spans="1:12" hidden="1" x14ac:dyDescent="0.3">
      <c r="A833" s="36" t="s">
        <v>33</v>
      </c>
      <c r="B833" s="36">
        <v>2012</v>
      </c>
      <c r="C833" s="36"/>
      <c r="K833"/>
      <c r="L833"/>
    </row>
    <row r="834" spans="1:12" x14ac:dyDescent="0.3">
      <c r="A834" s="16" t="s">
        <v>61</v>
      </c>
      <c r="C834" s="16" t="s">
        <v>155</v>
      </c>
      <c r="D834">
        <v>2.09179347505235E-2</v>
      </c>
      <c r="E834">
        <v>2.7224486016789232E-2</v>
      </c>
      <c r="F834">
        <v>1.9076923076923076</v>
      </c>
      <c r="G834">
        <f>F834/1000</f>
        <v>1.9076923076923075E-3</v>
      </c>
      <c r="H834">
        <v>18.171428571428574</v>
      </c>
      <c r="I834">
        <f>H834/1000</f>
        <v>1.8171428571428574E-2</v>
      </c>
      <c r="K834" s="87">
        <f>E834*4000</f>
        <v>108.89794406715693</v>
      </c>
      <c r="L834" s="87">
        <f>D834*4000</f>
        <v>83.671739002094</v>
      </c>
    </row>
    <row r="835" spans="1:12" hidden="1" x14ac:dyDescent="0.3">
      <c r="A835" s="16" t="s">
        <v>61</v>
      </c>
      <c r="B835" s="16">
        <v>2012</v>
      </c>
      <c r="K835"/>
      <c r="L835"/>
    </row>
    <row r="836" spans="1:12" hidden="1" x14ac:dyDescent="0.3">
      <c r="A836" s="16" t="s">
        <v>61</v>
      </c>
      <c r="B836" s="16">
        <v>2012</v>
      </c>
      <c r="K836"/>
      <c r="L836"/>
    </row>
    <row r="837" spans="1:12" hidden="1" x14ac:dyDescent="0.3">
      <c r="A837" s="16" t="s">
        <v>61</v>
      </c>
      <c r="B837" s="16">
        <v>2012</v>
      </c>
      <c r="K837"/>
      <c r="L837"/>
    </row>
    <row r="838" spans="1:12" hidden="1" x14ac:dyDescent="0.3">
      <c r="A838" s="16" t="s">
        <v>61</v>
      </c>
      <c r="B838" s="16">
        <v>2012</v>
      </c>
      <c r="K838"/>
      <c r="L838"/>
    </row>
    <row r="839" spans="1:12" hidden="1" x14ac:dyDescent="0.3">
      <c r="A839" s="16" t="s">
        <v>61</v>
      </c>
      <c r="B839" s="16">
        <v>2012</v>
      </c>
      <c r="K839"/>
      <c r="L839"/>
    </row>
    <row r="840" spans="1:12" hidden="1" x14ac:dyDescent="0.3">
      <c r="A840" s="16" t="s">
        <v>61</v>
      </c>
      <c r="B840" s="16">
        <v>2012</v>
      </c>
      <c r="K840"/>
      <c r="L840"/>
    </row>
    <row r="841" spans="1:12" hidden="1" x14ac:dyDescent="0.3">
      <c r="A841" s="16" t="s">
        <v>61</v>
      </c>
      <c r="B841" s="16">
        <v>2012</v>
      </c>
      <c r="K841"/>
      <c r="L841"/>
    </row>
    <row r="842" spans="1:12" hidden="1" x14ac:dyDescent="0.3">
      <c r="A842" s="16" t="s">
        <v>61</v>
      </c>
      <c r="B842" s="16">
        <v>2012</v>
      </c>
      <c r="K842"/>
      <c r="L842"/>
    </row>
    <row r="843" spans="1:12" hidden="1" x14ac:dyDescent="0.3">
      <c r="A843" s="16" t="s">
        <v>61</v>
      </c>
      <c r="B843" s="16">
        <v>2012</v>
      </c>
      <c r="K843"/>
      <c r="L843"/>
    </row>
    <row r="844" spans="1:12" hidden="1" x14ac:dyDescent="0.3">
      <c r="A844" s="16" t="s">
        <v>61</v>
      </c>
      <c r="B844" s="16">
        <v>2012</v>
      </c>
      <c r="K844"/>
      <c r="L844"/>
    </row>
    <row r="845" spans="1:12" hidden="1" x14ac:dyDescent="0.3">
      <c r="A845" s="16" t="s">
        <v>61</v>
      </c>
      <c r="B845" s="16">
        <v>2012</v>
      </c>
      <c r="K845"/>
      <c r="L845"/>
    </row>
    <row r="846" spans="1:12" hidden="1" x14ac:dyDescent="0.3">
      <c r="A846" s="16" t="s">
        <v>61</v>
      </c>
      <c r="B846" s="16">
        <v>2012</v>
      </c>
      <c r="K846"/>
      <c r="L846"/>
    </row>
    <row r="847" spans="1:12" hidden="1" x14ac:dyDescent="0.3">
      <c r="A847" s="35" t="s">
        <v>18</v>
      </c>
      <c r="B847" s="35" t="s">
        <v>18</v>
      </c>
      <c r="C847" s="35"/>
      <c r="K847"/>
      <c r="L847"/>
    </row>
    <row r="848" spans="1:12" hidden="1" x14ac:dyDescent="0.3">
      <c r="A848" s="16" t="s">
        <v>61</v>
      </c>
      <c r="B848" s="16">
        <v>2012</v>
      </c>
      <c r="K848"/>
      <c r="L848"/>
    </row>
    <row r="849" spans="1:3" customFormat="1" hidden="1" x14ac:dyDescent="0.3">
      <c r="A849" s="16" t="s">
        <v>61</v>
      </c>
      <c r="B849" s="16">
        <v>2012</v>
      </c>
      <c r="C849" s="16"/>
    </row>
    <row r="850" spans="1:3" customFormat="1" hidden="1" x14ac:dyDescent="0.3">
      <c r="A850" s="16" t="s">
        <v>61</v>
      </c>
      <c r="B850" s="16">
        <v>2012</v>
      </c>
      <c r="C850" s="16"/>
    </row>
    <row r="851" spans="1:3" customFormat="1" hidden="1" x14ac:dyDescent="0.3">
      <c r="A851" s="16" t="s">
        <v>61</v>
      </c>
      <c r="B851" s="16">
        <v>2012</v>
      </c>
      <c r="C851" s="16"/>
    </row>
    <row r="852" spans="1:3" customFormat="1" hidden="1" x14ac:dyDescent="0.3">
      <c r="A852" s="16" t="s">
        <v>61</v>
      </c>
      <c r="B852" s="16">
        <v>2012</v>
      </c>
      <c r="C852" s="16"/>
    </row>
    <row r="853" spans="1:3" customFormat="1" hidden="1" x14ac:dyDescent="0.3">
      <c r="A853" s="16" t="s">
        <v>61</v>
      </c>
      <c r="B853" s="16">
        <v>2012</v>
      </c>
      <c r="C853" s="16"/>
    </row>
    <row r="854" spans="1:3" customFormat="1" hidden="1" x14ac:dyDescent="0.3">
      <c r="A854" s="16" t="s">
        <v>61</v>
      </c>
      <c r="B854" s="16">
        <v>2012</v>
      </c>
      <c r="C854" s="16"/>
    </row>
    <row r="855" spans="1:3" customFormat="1" hidden="1" x14ac:dyDescent="0.3">
      <c r="A855" s="16" t="s">
        <v>61</v>
      </c>
      <c r="B855" s="16">
        <v>2012</v>
      </c>
      <c r="C855" s="16"/>
    </row>
    <row r="856" spans="1:3" customFormat="1" hidden="1" x14ac:dyDescent="0.3">
      <c r="A856" s="16" t="s">
        <v>61</v>
      </c>
      <c r="B856" s="16">
        <v>2012</v>
      </c>
      <c r="C856" s="16"/>
    </row>
    <row r="857" spans="1:3" customFormat="1" hidden="1" x14ac:dyDescent="0.3">
      <c r="A857" s="16" t="s">
        <v>61</v>
      </c>
      <c r="B857" s="16">
        <v>2012</v>
      </c>
      <c r="C857" s="16"/>
    </row>
    <row r="858" spans="1:3" customFormat="1" hidden="1" x14ac:dyDescent="0.3">
      <c r="A858" s="16" t="s">
        <v>61</v>
      </c>
      <c r="B858" s="16">
        <v>2012</v>
      </c>
      <c r="C858" s="16"/>
    </row>
    <row r="859" spans="1:3" customFormat="1" hidden="1" x14ac:dyDescent="0.3">
      <c r="A859" s="16" t="s">
        <v>61</v>
      </c>
      <c r="B859" s="16">
        <v>2012</v>
      </c>
      <c r="C859" s="16"/>
    </row>
    <row r="860" spans="1:3" customFormat="1" hidden="1" x14ac:dyDescent="0.3">
      <c r="A860" s="35" t="s">
        <v>18</v>
      </c>
      <c r="B860" s="35" t="s">
        <v>18</v>
      </c>
      <c r="C860" s="35"/>
    </row>
    <row r="861" spans="1:3" customFormat="1" hidden="1" x14ac:dyDescent="0.3">
      <c r="A861" s="35" t="s">
        <v>18</v>
      </c>
      <c r="B861" s="35" t="s">
        <v>18</v>
      </c>
      <c r="C861" s="35"/>
    </row>
    <row r="862" spans="1:3" customFormat="1" hidden="1" x14ac:dyDescent="0.3">
      <c r="A862" s="16" t="s">
        <v>61</v>
      </c>
      <c r="B862" s="16">
        <v>2012</v>
      </c>
      <c r="C862" s="16"/>
    </row>
    <row r="863" spans="1:3" customFormat="1" hidden="1" x14ac:dyDescent="0.3">
      <c r="A863" s="16" t="s">
        <v>61</v>
      </c>
      <c r="B863" s="16">
        <v>2012</v>
      </c>
      <c r="C863" s="16"/>
    </row>
    <row r="864" spans="1:3" customFormat="1" hidden="1" x14ac:dyDescent="0.3">
      <c r="A864" s="16" t="s">
        <v>61</v>
      </c>
      <c r="B864" s="16">
        <v>2012</v>
      </c>
      <c r="C864" s="16"/>
    </row>
    <row r="865" spans="1:3" customFormat="1" hidden="1" x14ac:dyDescent="0.3">
      <c r="A865" s="16" t="s">
        <v>61</v>
      </c>
      <c r="B865" s="16">
        <v>2012</v>
      </c>
      <c r="C865" s="16"/>
    </row>
    <row r="866" spans="1:3" customFormat="1" hidden="1" x14ac:dyDescent="0.3">
      <c r="A866" s="16" t="s">
        <v>61</v>
      </c>
      <c r="B866" s="16">
        <v>2012</v>
      </c>
      <c r="C866" s="16"/>
    </row>
    <row r="867" spans="1:3" customFormat="1" hidden="1" x14ac:dyDescent="0.3">
      <c r="A867" s="16" t="s">
        <v>61</v>
      </c>
      <c r="B867" s="16">
        <v>2012</v>
      </c>
      <c r="C867" s="16"/>
    </row>
    <row r="868" spans="1:3" customFormat="1" hidden="1" x14ac:dyDescent="0.3">
      <c r="A868" s="16" t="s">
        <v>61</v>
      </c>
      <c r="B868" s="16">
        <v>2012</v>
      </c>
      <c r="C868" s="16"/>
    </row>
    <row r="869" spans="1:3" customFormat="1" hidden="1" x14ac:dyDescent="0.3">
      <c r="A869" s="16" t="s">
        <v>61</v>
      </c>
      <c r="B869" s="16">
        <v>2012</v>
      </c>
      <c r="C869" s="16"/>
    </row>
    <row r="870" spans="1:3" customFormat="1" hidden="1" x14ac:dyDescent="0.3">
      <c r="A870" s="35" t="s">
        <v>18</v>
      </c>
      <c r="B870" s="35" t="s">
        <v>18</v>
      </c>
      <c r="C870" s="35"/>
    </row>
    <row r="871" spans="1:3" customFormat="1" hidden="1" x14ac:dyDescent="0.3">
      <c r="A871" s="16" t="s">
        <v>61</v>
      </c>
      <c r="B871" s="16">
        <v>2012</v>
      </c>
      <c r="C871" s="16"/>
    </row>
    <row r="872" spans="1:3" customFormat="1" hidden="1" x14ac:dyDescent="0.3">
      <c r="A872" s="35" t="s">
        <v>18</v>
      </c>
      <c r="B872" s="35" t="s">
        <v>18</v>
      </c>
      <c r="C872" s="35"/>
    </row>
    <row r="873" spans="1:3" customFormat="1" hidden="1" x14ac:dyDescent="0.3">
      <c r="A873" s="16" t="s">
        <v>61</v>
      </c>
      <c r="B873" s="16">
        <v>2012</v>
      </c>
      <c r="C873" s="16"/>
    </row>
    <row r="874" spans="1:3" customFormat="1" hidden="1" x14ac:dyDescent="0.3">
      <c r="A874" s="16" t="s">
        <v>61</v>
      </c>
      <c r="B874" s="16">
        <v>2012</v>
      </c>
      <c r="C874" s="16"/>
    </row>
    <row r="875" spans="1:3" customFormat="1" hidden="1" x14ac:dyDescent="0.3">
      <c r="A875" s="16" t="s">
        <v>61</v>
      </c>
      <c r="B875" s="16">
        <v>2012</v>
      </c>
      <c r="C875" s="16"/>
    </row>
    <row r="876" spans="1:3" customFormat="1" hidden="1" x14ac:dyDescent="0.3">
      <c r="A876" s="16" t="s">
        <v>61</v>
      </c>
      <c r="B876" s="16">
        <v>2012</v>
      </c>
      <c r="C876" s="16"/>
    </row>
    <row r="877" spans="1:3" customFormat="1" hidden="1" x14ac:dyDescent="0.3">
      <c r="A877" s="16" t="s">
        <v>61</v>
      </c>
      <c r="B877" s="16">
        <v>2012</v>
      </c>
      <c r="C877" s="16"/>
    </row>
    <row r="878" spans="1:3" customFormat="1" hidden="1" x14ac:dyDescent="0.3">
      <c r="A878" s="16" t="s">
        <v>61</v>
      </c>
      <c r="B878" s="16">
        <v>2012</v>
      </c>
      <c r="C878" s="16"/>
    </row>
    <row r="879" spans="1:3" customFormat="1" hidden="1" x14ac:dyDescent="0.3">
      <c r="A879" s="16" t="s">
        <v>61</v>
      </c>
      <c r="B879" s="16">
        <v>2012</v>
      </c>
      <c r="C879" s="16"/>
    </row>
    <row r="880" spans="1:3" customFormat="1" hidden="1" x14ac:dyDescent="0.3">
      <c r="A880" s="16" t="s">
        <v>61</v>
      </c>
      <c r="B880" s="16">
        <v>2012</v>
      </c>
      <c r="C880" s="16"/>
    </row>
    <row r="881" spans="1:12" hidden="1" x14ac:dyDescent="0.3">
      <c r="A881" s="35" t="s">
        <v>18</v>
      </c>
      <c r="B881" s="35" t="s">
        <v>18</v>
      </c>
      <c r="C881" s="35"/>
      <c r="K881"/>
      <c r="L881"/>
    </row>
    <row r="882" spans="1:12" hidden="1" x14ac:dyDescent="0.3">
      <c r="A882" s="16" t="s">
        <v>61</v>
      </c>
      <c r="B882" s="16">
        <v>2012</v>
      </c>
      <c r="K882"/>
      <c r="L882"/>
    </row>
    <row r="883" spans="1:12" hidden="1" x14ac:dyDescent="0.3">
      <c r="A883" s="16" t="s">
        <v>61</v>
      </c>
      <c r="B883" s="16">
        <v>2012</v>
      </c>
      <c r="K883"/>
      <c r="L883"/>
    </row>
    <row r="884" spans="1:12" hidden="1" x14ac:dyDescent="0.3">
      <c r="A884" s="16" t="s">
        <v>61</v>
      </c>
      <c r="B884" s="16">
        <v>2012</v>
      </c>
      <c r="K884"/>
      <c r="L884"/>
    </row>
    <row r="885" spans="1:12" hidden="1" x14ac:dyDescent="0.3">
      <c r="A885" s="16" t="s">
        <v>61</v>
      </c>
      <c r="B885" s="16">
        <v>2012</v>
      </c>
      <c r="K885"/>
      <c r="L885"/>
    </row>
    <row r="886" spans="1:12" hidden="1" x14ac:dyDescent="0.3">
      <c r="A886" s="16" t="s">
        <v>61</v>
      </c>
      <c r="B886" s="16">
        <v>2012</v>
      </c>
      <c r="K886"/>
      <c r="L886"/>
    </row>
    <row r="887" spans="1:12" hidden="1" x14ac:dyDescent="0.3">
      <c r="A887" s="16" t="s">
        <v>61</v>
      </c>
      <c r="B887" s="16">
        <v>2012</v>
      </c>
      <c r="K887"/>
      <c r="L887"/>
    </row>
    <row r="888" spans="1:12" hidden="1" x14ac:dyDescent="0.3">
      <c r="A888" s="16" t="s">
        <v>61</v>
      </c>
      <c r="B888" s="16">
        <v>2012</v>
      </c>
      <c r="K888"/>
      <c r="L888"/>
    </row>
    <row r="889" spans="1:12" hidden="1" x14ac:dyDescent="0.3">
      <c r="A889" s="16" t="s">
        <v>61</v>
      </c>
      <c r="B889" s="16">
        <v>2012</v>
      </c>
      <c r="K889"/>
      <c r="L889"/>
    </row>
    <row r="890" spans="1:12" hidden="1" x14ac:dyDescent="0.3">
      <c r="A890" s="36" t="s">
        <v>61</v>
      </c>
      <c r="B890" s="36">
        <v>2012</v>
      </c>
      <c r="C890" s="36"/>
      <c r="K890"/>
      <c r="L890"/>
    </row>
    <row r="891" spans="1:12" hidden="1" x14ac:dyDescent="0.3">
      <c r="A891" s="36" t="s">
        <v>61</v>
      </c>
      <c r="B891" s="36">
        <v>2012</v>
      </c>
      <c r="C891" s="36"/>
      <c r="K891"/>
      <c r="L891"/>
    </row>
    <row r="892" spans="1:12" hidden="1" x14ac:dyDescent="0.3">
      <c r="A892" s="36" t="s">
        <v>61</v>
      </c>
      <c r="B892" s="36">
        <v>2012</v>
      </c>
      <c r="C892" s="36"/>
      <c r="K892"/>
      <c r="L892"/>
    </row>
    <row r="893" spans="1:12" hidden="1" x14ac:dyDescent="0.3">
      <c r="A893" s="36" t="s">
        <v>61</v>
      </c>
      <c r="B893" s="36">
        <v>2012</v>
      </c>
      <c r="C893" s="36"/>
      <c r="K893"/>
      <c r="L893"/>
    </row>
    <row r="894" spans="1:12" x14ac:dyDescent="0.3">
      <c r="A894" s="16" t="s">
        <v>40</v>
      </c>
      <c r="B894" s="16">
        <v>2013</v>
      </c>
      <c r="C894" s="5" t="s">
        <v>156</v>
      </c>
      <c r="D894">
        <v>1.0054488751609612E-2</v>
      </c>
      <c r="E894">
        <v>1.3414673516746991E-2</v>
      </c>
      <c r="F894">
        <v>0.96222222222222231</v>
      </c>
      <c r="G894">
        <f>F894/1000</f>
        <v>9.6222222222222228E-4</v>
      </c>
      <c r="H894">
        <v>22.796666666666656</v>
      </c>
      <c r="I894">
        <f>H894/1000</f>
        <v>2.2796666666666656E-2</v>
      </c>
      <c r="K894" s="87">
        <f>E894*4000</f>
        <v>53.658694066987962</v>
      </c>
      <c r="L894" s="87">
        <f>D894*4000</f>
        <v>40.217955006438444</v>
      </c>
    </row>
    <row r="895" spans="1:12" hidden="1" x14ac:dyDescent="0.3">
      <c r="A895" s="16" t="s">
        <v>40</v>
      </c>
      <c r="B895" s="16">
        <v>2013</v>
      </c>
      <c r="C895" s="5"/>
      <c r="K895"/>
      <c r="L895"/>
    </row>
    <row r="896" spans="1:12" hidden="1" x14ac:dyDescent="0.3">
      <c r="A896" s="16" t="s">
        <v>40</v>
      </c>
      <c r="B896" s="16">
        <v>2013</v>
      </c>
      <c r="C896" s="5"/>
      <c r="K896"/>
      <c r="L896"/>
    </row>
    <row r="897" spans="1:3" customFormat="1" hidden="1" x14ac:dyDescent="0.3">
      <c r="A897" s="16" t="s">
        <v>40</v>
      </c>
      <c r="B897" s="16">
        <v>2013</v>
      </c>
      <c r="C897" s="5"/>
    </row>
    <row r="898" spans="1:3" customFormat="1" hidden="1" x14ac:dyDescent="0.3">
      <c r="A898" s="16" t="s">
        <v>40</v>
      </c>
      <c r="B898" s="16">
        <v>2013</v>
      </c>
      <c r="C898" s="5"/>
    </row>
    <row r="899" spans="1:3" customFormat="1" hidden="1" x14ac:dyDescent="0.3">
      <c r="A899" s="16" t="s">
        <v>40</v>
      </c>
      <c r="B899" s="16">
        <v>2013</v>
      </c>
      <c r="C899" s="5"/>
    </row>
    <row r="900" spans="1:3" customFormat="1" hidden="1" x14ac:dyDescent="0.3">
      <c r="A900" s="16" t="s">
        <v>40</v>
      </c>
      <c r="B900" s="16">
        <v>2013</v>
      </c>
      <c r="C900" s="5"/>
    </row>
    <row r="901" spans="1:3" customFormat="1" hidden="1" x14ac:dyDescent="0.3">
      <c r="A901" s="16" t="s">
        <v>40</v>
      </c>
      <c r="B901" s="16">
        <v>2013</v>
      </c>
      <c r="C901" s="5"/>
    </row>
    <row r="902" spans="1:3" customFormat="1" hidden="1" x14ac:dyDescent="0.3">
      <c r="A902" s="16" t="s">
        <v>40</v>
      </c>
      <c r="B902" s="16">
        <v>2013</v>
      </c>
      <c r="C902" s="5"/>
    </row>
    <row r="903" spans="1:3" customFormat="1" hidden="1" x14ac:dyDescent="0.3">
      <c r="A903" s="16" t="s">
        <v>40</v>
      </c>
      <c r="B903" s="16">
        <v>2013</v>
      </c>
      <c r="C903" s="5"/>
    </row>
    <row r="904" spans="1:3" customFormat="1" hidden="1" x14ac:dyDescent="0.3">
      <c r="A904" s="16" t="s">
        <v>40</v>
      </c>
      <c r="B904" s="16">
        <v>2013</v>
      </c>
      <c r="C904" s="5"/>
    </row>
    <row r="905" spans="1:3" customFormat="1" hidden="1" x14ac:dyDescent="0.3">
      <c r="A905" s="16" t="s">
        <v>40</v>
      </c>
      <c r="B905" s="16">
        <v>2013</v>
      </c>
      <c r="C905" s="5"/>
    </row>
    <row r="906" spans="1:3" customFormat="1" hidden="1" x14ac:dyDescent="0.3">
      <c r="A906" s="16" t="s">
        <v>40</v>
      </c>
      <c r="B906" s="16">
        <v>2013</v>
      </c>
      <c r="C906" s="5"/>
    </row>
    <row r="907" spans="1:3" customFormat="1" hidden="1" x14ac:dyDescent="0.3">
      <c r="A907" s="35" t="s">
        <v>18</v>
      </c>
      <c r="B907" s="35" t="s">
        <v>18</v>
      </c>
      <c r="C907" s="35"/>
    </row>
    <row r="908" spans="1:3" customFormat="1" hidden="1" x14ac:dyDescent="0.3">
      <c r="A908" s="16" t="s">
        <v>40</v>
      </c>
      <c r="B908" s="16">
        <v>2013</v>
      </c>
      <c r="C908" s="5"/>
    </row>
    <row r="909" spans="1:3" customFormat="1" hidden="1" x14ac:dyDescent="0.3">
      <c r="A909" s="16" t="s">
        <v>40</v>
      </c>
      <c r="B909" s="16">
        <v>2013</v>
      </c>
      <c r="C909" s="5"/>
    </row>
    <row r="910" spans="1:3" customFormat="1" hidden="1" x14ac:dyDescent="0.3">
      <c r="A910" s="16" t="s">
        <v>40</v>
      </c>
      <c r="B910" s="16">
        <v>2013</v>
      </c>
      <c r="C910" s="5"/>
    </row>
    <row r="911" spans="1:3" customFormat="1" hidden="1" x14ac:dyDescent="0.3">
      <c r="A911" s="16" t="s">
        <v>40</v>
      </c>
      <c r="B911" s="16">
        <v>2013</v>
      </c>
      <c r="C911" s="5"/>
    </row>
    <row r="912" spans="1:3" customFormat="1" hidden="1" x14ac:dyDescent="0.3">
      <c r="A912" s="16" t="s">
        <v>40</v>
      </c>
      <c r="B912" s="16">
        <v>2013</v>
      </c>
      <c r="C912" s="5"/>
    </row>
    <row r="913" spans="1:3" customFormat="1" hidden="1" x14ac:dyDescent="0.3">
      <c r="A913" s="16" t="s">
        <v>40</v>
      </c>
      <c r="B913" s="16">
        <v>2013</v>
      </c>
      <c r="C913" s="5"/>
    </row>
    <row r="914" spans="1:3" customFormat="1" hidden="1" x14ac:dyDescent="0.3">
      <c r="A914" s="16" t="s">
        <v>40</v>
      </c>
      <c r="B914" s="16">
        <v>2013</v>
      </c>
      <c r="C914" s="5"/>
    </row>
    <row r="915" spans="1:3" customFormat="1" hidden="1" x14ac:dyDescent="0.3">
      <c r="A915" s="16" t="s">
        <v>40</v>
      </c>
      <c r="B915" s="16">
        <v>2013</v>
      </c>
      <c r="C915" s="5"/>
    </row>
    <row r="916" spans="1:3" customFormat="1" hidden="1" x14ac:dyDescent="0.3">
      <c r="A916" s="16" t="s">
        <v>40</v>
      </c>
      <c r="B916" s="16">
        <v>2013</v>
      </c>
      <c r="C916" s="5"/>
    </row>
    <row r="917" spans="1:3" customFormat="1" hidden="1" x14ac:dyDescent="0.3">
      <c r="A917" s="16" t="s">
        <v>40</v>
      </c>
      <c r="B917" s="16">
        <v>2013</v>
      </c>
      <c r="C917" s="5"/>
    </row>
    <row r="918" spans="1:3" customFormat="1" hidden="1" x14ac:dyDescent="0.3">
      <c r="A918" s="16" t="s">
        <v>40</v>
      </c>
      <c r="B918" s="16">
        <v>2013</v>
      </c>
      <c r="C918" s="5"/>
    </row>
    <row r="919" spans="1:3" customFormat="1" hidden="1" x14ac:dyDescent="0.3">
      <c r="A919" s="16" t="s">
        <v>40</v>
      </c>
      <c r="B919" s="16">
        <v>2013</v>
      </c>
      <c r="C919" s="5"/>
    </row>
    <row r="920" spans="1:3" customFormat="1" hidden="1" x14ac:dyDescent="0.3">
      <c r="A920" s="35" t="s">
        <v>18</v>
      </c>
      <c r="B920" s="35" t="s">
        <v>18</v>
      </c>
      <c r="C920" s="35"/>
    </row>
    <row r="921" spans="1:3" customFormat="1" hidden="1" x14ac:dyDescent="0.3">
      <c r="A921" s="35" t="s">
        <v>18</v>
      </c>
      <c r="B921" s="35" t="s">
        <v>18</v>
      </c>
      <c r="C921" s="35"/>
    </row>
    <row r="922" spans="1:3" customFormat="1" hidden="1" x14ac:dyDescent="0.3">
      <c r="A922" s="16" t="s">
        <v>40</v>
      </c>
      <c r="B922" s="16">
        <v>2013</v>
      </c>
      <c r="C922" s="5"/>
    </row>
    <row r="923" spans="1:3" customFormat="1" hidden="1" x14ac:dyDescent="0.3">
      <c r="A923" s="16" t="s">
        <v>40</v>
      </c>
      <c r="B923" s="16">
        <v>2013</v>
      </c>
      <c r="C923" s="5"/>
    </row>
    <row r="924" spans="1:3" customFormat="1" hidden="1" x14ac:dyDescent="0.3">
      <c r="A924" s="16" t="s">
        <v>40</v>
      </c>
      <c r="B924" s="16">
        <v>2013</v>
      </c>
      <c r="C924" s="5"/>
    </row>
    <row r="925" spans="1:3" customFormat="1" hidden="1" x14ac:dyDescent="0.3">
      <c r="A925" s="16" t="s">
        <v>40</v>
      </c>
      <c r="B925" s="16">
        <v>2013</v>
      </c>
      <c r="C925" s="5"/>
    </row>
    <row r="926" spans="1:3" customFormat="1" hidden="1" x14ac:dyDescent="0.3">
      <c r="A926" s="16" t="s">
        <v>40</v>
      </c>
      <c r="B926" s="16">
        <v>2013</v>
      </c>
      <c r="C926" s="5"/>
    </row>
    <row r="927" spans="1:3" customFormat="1" hidden="1" x14ac:dyDescent="0.3">
      <c r="A927" s="16" t="s">
        <v>40</v>
      </c>
      <c r="B927" s="16">
        <v>2013</v>
      </c>
      <c r="C927" s="5"/>
    </row>
    <row r="928" spans="1:3" customFormat="1" hidden="1" x14ac:dyDescent="0.3">
      <c r="A928" s="16" t="s">
        <v>40</v>
      </c>
      <c r="B928" s="16">
        <v>2013</v>
      </c>
      <c r="C928" s="5"/>
    </row>
    <row r="929" spans="1:3" customFormat="1" hidden="1" x14ac:dyDescent="0.3">
      <c r="A929" s="16" t="s">
        <v>40</v>
      </c>
      <c r="B929" s="16">
        <v>2013</v>
      </c>
      <c r="C929" s="5"/>
    </row>
    <row r="930" spans="1:3" customFormat="1" hidden="1" x14ac:dyDescent="0.3">
      <c r="A930" s="35" t="s">
        <v>18</v>
      </c>
      <c r="B930" s="35" t="s">
        <v>18</v>
      </c>
      <c r="C930" s="35"/>
    </row>
    <row r="931" spans="1:3" customFormat="1" hidden="1" x14ac:dyDescent="0.3">
      <c r="A931" s="16" t="s">
        <v>40</v>
      </c>
      <c r="B931" s="16">
        <v>2013</v>
      </c>
      <c r="C931" s="5"/>
    </row>
    <row r="932" spans="1:3" customFormat="1" hidden="1" x14ac:dyDescent="0.3">
      <c r="A932" s="35" t="s">
        <v>18</v>
      </c>
      <c r="B932" s="35" t="s">
        <v>18</v>
      </c>
      <c r="C932" s="35"/>
    </row>
    <row r="933" spans="1:3" customFormat="1" hidden="1" x14ac:dyDescent="0.3">
      <c r="A933" s="16" t="s">
        <v>40</v>
      </c>
      <c r="B933" s="16">
        <v>2013</v>
      </c>
      <c r="C933" s="5"/>
    </row>
    <row r="934" spans="1:3" customFormat="1" hidden="1" x14ac:dyDescent="0.3">
      <c r="A934" s="16" t="s">
        <v>40</v>
      </c>
      <c r="B934" s="16">
        <v>2013</v>
      </c>
      <c r="C934" s="5"/>
    </row>
    <row r="935" spans="1:3" customFormat="1" hidden="1" x14ac:dyDescent="0.3">
      <c r="A935" s="16" t="s">
        <v>40</v>
      </c>
      <c r="B935" s="16">
        <v>2013</v>
      </c>
      <c r="C935" s="5"/>
    </row>
    <row r="936" spans="1:3" customFormat="1" hidden="1" x14ac:dyDescent="0.3">
      <c r="A936" s="16" t="s">
        <v>40</v>
      </c>
      <c r="B936" s="16">
        <v>2013</v>
      </c>
      <c r="C936" s="5"/>
    </row>
    <row r="937" spans="1:3" customFormat="1" hidden="1" x14ac:dyDescent="0.3">
      <c r="A937" s="16" t="s">
        <v>40</v>
      </c>
      <c r="B937" s="16">
        <v>2013</v>
      </c>
      <c r="C937" s="5"/>
    </row>
    <row r="938" spans="1:3" customFormat="1" hidden="1" x14ac:dyDescent="0.3">
      <c r="A938" s="16" t="s">
        <v>40</v>
      </c>
      <c r="B938" s="16">
        <v>2013</v>
      </c>
      <c r="C938" s="5"/>
    </row>
    <row r="939" spans="1:3" customFormat="1" hidden="1" x14ac:dyDescent="0.3">
      <c r="A939" s="16" t="s">
        <v>40</v>
      </c>
      <c r="B939" s="16">
        <v>2013</v>
      </c>
      <c r="C939" s="5"/>
    </row>
    <row r="940" spans="1:3" customFormat="1" hidden="1" x14ac:dyDescent="0.3">
      <c r="A940" s="16" t="s">
        <v>40</v>
      </c>
      <c r="B940" s="16">
        <v>2013</v>
      </c>
      <c r="C940" s="5"/>
    </row>
    <row r="941" spans="1:3" customFormat="1" hidden="1" x14ac:dyDescent="0.3">
      <c r="A941" s="35" t="s">
        <v>18</v>
      </c>
      <c r="B941" s="35" t="s">
        <v>18</v>
      </c>
      <c r="C941" s="35"/>
    </row>
    <row r="942" spans="1:3" customFormat="1" hidden="1" x14ac:dyDescent="0.3">
      <c r="A942" s="16" t="s">
        <v>40</v>
      </c>
      <c r="B942" s="16">
        <v>2013</v>
      </c>
      <c r="C942" s="5"/>
    </row>
    <row r="943" spans="1:3" customFormat="1" hidden="1" x14ac:dyDescent="0.3">
      <c r="A943" s="16" t="s">
        <v>40</v>
      </c>
      <c r="B943" s="16">
        <v>2013</v>
      </c>
      <c r="C943" s="5"/>
    </row>
    <row r="944" spans="1:3" customFormat="1" hidden="1" x14ac:dyDescent="0.3">
      <c r="A944" s="16" t="s">
        <v>40</v>
      </c>
      <c r="B944" s="16">
        <v>2013</v>
      </c>
      <c r="C944" s="5"/>
    </row>
    <row r="945" spans="1:12" hidden="1" x14ac:dyDescent="0.3">
      <c r="A945" s="16" t="s">
        <v>40</v>
      </c>
      <c r="B945" s="16">
        <v>2013</v>
      </c>
      <c r="C945" s="5"/>
      <c r="K945"/>
      <c r="L945"/>
    </row>
    <row r="946" spans="1:12" hidden="1" x14ac:dyDescent="0.3">
      <c r="A946" s="16" t="s">
        <v>40</v>
      </c>
      <c r="B946" s="16">
        <v>2013</v>
      </c>
      <c r="C946" s="5"/>
      <c r="K946"/>
      <c r="L946"/>
    </row>
    <row r="947" spans="1:12" hidden="1" x14ac:dyDescent="0.3">
      <c r="A947" s="16" t="s">
        <v>40</v>
      </c>
      <c r="B947" s="16">
        <v>2013</v>
      </c>
      <c r="C947" s="5"/>
      <c r="K947"/>
      <c r="L947"/>
    </row>
    <row r="948" spans="1:12" hidden="1" x14ac:dyDescent="0.3">
      <c r="A948" s="16" t="s">
        <v>40</v>
      </c>
      <c r="B948" s="16">
        <v>2013</v>
      </c>
      <c r="C948" s="5"/>
      <c r="K948"/>
      <c r="L948"/>
    </row>
    <row r="949" spans="1:12" hidden="1" x14ac:dyDescent="0.3">
      <c r="A949" s="16" t="s">
        <v>40</v>
      </c>
      <c r="B949" s="16">
        <v>2013</v>
      </c>
      <c r="C949" s="5"/>
      <c r="K949"/>
      <c r="L949"/>
    </row>
    <row r="950" spans="1:12" hidden="1" x14ac:dyDescent="0.3">
      <c r="A950" s="36" t="s">
        <v>40</v>
      </c>
      <c r="B950" s="36">
        <v>2013</v>
      </c>
      <c r="C950" s="37"/>
      <c r="K950"/>
      <c r="L950"/>
    </row>
    <row r="951" spans="1:12" hidden="1" x14ac:dyDescent="0.3">
      <c r="A951" s="36" t="s">
        <v>40</v>
      </c>
      <c r="B951" s="36">
        <v>2013</v>
      </c>
      <c r="C951" s="37"/>
      <c r="K951"/>
      <c r="L951"/>
    </row>
    <row r="952" spans="1:12" hidden="1" x14ac:dyDescent="0.3">
      <c r="A952" s="36" t="s">
        <v>40</v>
      </c>
      <c r="B952" s="36">
        <v>2013</v>
      </c>
      <c r="C952" s="37"/>
      <c r="K952"/>
      <c r="L952"/>
    </row>
    <row r="953" spans="1:12" hidden="1" x14ac:dyDescent="0.3">
      <c r="A953" s="36" t="s">
        <v>40</v>
      </c>
      <c r="B953" s="36">
        <v>2013</v>
      </c>
      <c r="C953" s="37"/>
      <c r="K953"/>
      <c r="L953"/>
    </row>
    <row r="954" spans="1:12" x14ac:dyDescent="0.3">
      <c r="A954" s="16" t="s">
        <v>96</v>
      </c>
      <c r="C954" s="16" t="s">
        <v>153</v>
      </c>
      <c r="D954">
        <v>1.2399204586173667E-2</v>
      </c>
      <c r="E954">
        <v>1.6593061063648537E-2</v>
      </c>
      <c r="F954">
        <v>1.4652173913043482</v>
      </c>
      <c r="G954">
        <f>F954/1000</f>
        <v>1.4652173913043483E-3</v>
      </c>
      <c r="H954">
        <v>20.380434782608699</v>
      </c>
      <c r="I954">
        <f>H954/1000</f>
        <v>2.0380434782608699E-2</v>
      </c>
      <c r="K954" s="87">
        <f>E954*4000</f>
        <v>66.37224425459415</v>
      </c>
      <c r="L954" s="87">
        <f>D954*4000</f>
        <v>49.596818344694668</v>
      </c>
    </row>
    <row r="955" spans="1:12" hidden="1" x14ac:dyDescent="0.3">
      <c r="A955" s="16" t="s">
        <v>96</v>
      </c>
      <c r="B955" s="16">
        <v>2013</v>
      </c>
      <c r="K955"/>
      <c r="L955"/>
    </row>
    <row r="956" spans="1:12" hidden="1" x14ac:dyDescent="0.3">
      <c r="A956" s="16" t="s">
        <v>96</v>
      </c>
      <c r="B956" s="16">
        <v>2013</v>
      </c>
      <c r="K956"/>
      <c r="L956"/>
    </row>
    <row r="957" spans="1:12" hidden="1" x14ac:dyDescent="0.3">
      <c r="A957" s="16" t="s">
        <v>96</v>
      </c>
      <c r="B957" s="16">
        <v>2013</v>
      </c>
      <c r="K957"/>
      <c r="L957"/>
    </row>
    <row r="958" spans="1:12" hidden="1" x14ac:dyDescent="0.3">
      <c r="A958" s="16" t="s">
        <v>96</v>
      </c>
      <c r="B958" s="16">
        <v>2013</v>
      </c>
      <c r="K958"/>
      <c r="L958"/>
    </row>
    <row r="959" spans="1:12" hidden="1" x14ac:dyDescent="0.3">
      <c r="A959" s="16" t="s">
        <v>96</v>
      </c>
      <c r="B959" s="16">
        <v>2013</v>
      </c>
      <c r="K959"/>
      <c r="L959"/>
    </row>
    <row r="960" spans="1:12" hidden="1" x14ac:dyDescent="0.3">
      <c r="A960" s="16" t="s">
        <v>96</v>
      </c>
      <c r="B960" s="16">
        <v>2013</v>
      </c>
      <c r="K960"/>
      <c r="L960"/>
    </row>
    <row r="961" spans="1:3" customFormat="1" hidden="1" x14ac:dyDescent="0.3">
      <c r="A961" s="16" t="s">
        <v>96</v>
      </c>
      <c r="B961" s="16">
        <v>2013</v>
      </c>
      <c r="C961" s="16"/>
    </row>
    <row r="962" spans="1:3" customFormat="1" hidden="1" x14ac:dyDescent="0.3">
      <c r="A962" s="16" t="s">
        <v>96</v>
      </c>
      <c r="B962" s="16">
        <v>2013</v>
      </c>
      <c r="C962" s="16"/>
    </row>
    <row r="963" spans="1:3" customFormat="1" hidden="1" x14ac:dyDescent="0.3">
      <c r="A963" s="16" t="s">
        <v>96</v>
      </c>
      <c r="B963" s="16">
        <v>2013</v>
      </c>
      <c r="C963" s="16"/>
    </row>
    <row r="964" spans="1:3" customFormat="1" hidden="1" x14ac:dyDescent="0.3">
      <c r="A964" s="16" t="s">
        <v>96</v>
      </c>
      <c r="B964" s="16">
        <v>2013</v>
      </c>
      <c r="C964" s="16"/>
    </row>
    <row r="965" spans="1:3" customFormat="1" hidden="1" x14ac:dyDescent="0.3">
      <c r="A965" s="16" t="s">
        <v>96</v>
      </c>
      <c r="B965" s="16">
        <v>2013</v>
      </c>
      <c r="C965" s="16"/>
    </row>
    <row r="966" spans="1:3" customFormat="1" hidden="1" x14ac:dyDescent="0.3">
      <c r="A966" s="16" t="s">
        <v>96</v>
      </c>
      <c r="B966" s="16">
        <v>2013</v>
      </c>
      <c r="C966" s="16"/>
    </row>
    <row r="967" spans="1:3" customFormat="1" hidden="1" x14ac:dyDescent="0.3">
      <c r="A967" s="35" t="s">
        <v>18</v>
      </c>
      <c r="B967" s="35" t="s">
        <v>18</v>
      </c>
      <c r="C967" s="35"/>
    </row>
    <row r="968" spans="1:3" customFormat="1" hidden="1" x14ac:dyDescent="0.3">
      <c r="A968" s="16" t="s">
        <v>96</v>
      </c>
      <c r="B968" s="16">
        <v>2013</v>
      </c>
      <c r="C968" s="16"/>
    </row>
    <row r="969" spans="1:3" customFormat="1" hidden="1" x14ac:dyDescent="0.3">
      <c r="A969" s="16" t="s">
        <v>96</v>
      </c>
      <c r="B969" s="16">
        <v>2013</v>
      </c>
      <c r="C969" s="16"/>
    </row>
    <row r="970" spans="1:3" customFormat="1" hidden="1" x14ac:dyDescent="0.3">
      <c r="A970" s="16" t="s">
        <v>96</v>
      </c>
      <c r="B970" s="16">
        <v>2013</v>
      </c>
      <c r="C970" s="16"/>
    </row>
    <row r="971" spans="1:3" customFormat="1" hidden="1" x14ac:dyDescent="0.3">
      <c r="A971" s="16" t="s">
        <v>96</v>
      </c>
      <c r="B971" s="16">
        <v>2013</v>
      </c>
      <c r="C971" s="16"/>
    </row>
    <row r="972" spans="1:3" customFormat="1" hidden="1" x14ac:dyDescent="0.3">
      <c r="A972" s="16" t="s">
        <v>96</v>
      </c>
      <c r="B972" s="16">
        <v>2013</v>
      </c>
      <c r="C972" s="16"/>
    </row>
    <row r="973" spans="1:3" customFormat="1" hidden="1" x14ac:dyDescent="0.3">
      <c r="A973" s="16" t="s">
        <v>96</v>
      </c>
      <c r="B973" s="16">
        <v>2013</v>
      </c>
      <c r="C973" s="16"/>
    </row>
    <row r="974" spans="1:3" customFormat="1" hidden="1" x14ac:dyDescent="0.3">
      <c r="A974" s="16" t="s">
        <v>96</v>
      </c>
      <c r="B974" s="16">
        <v>2013</v>
      </c>
      <c r="C974" s="16"/>
    </row>
    <row r="975" spans="1:3" customFormat="1" hidden="1" x14ac:dyDescent="0.3">
      <c r="A975" s="16" t="s">
        <v>96</v>
      </c>
      <c r="B975" s="16">
        <v>2013</v>
      </c>
      <c r="C975" s="16"/>
    </row>
    <row r="976" spans="1:3" customFormat="1" hidden="1" x14ac:dyDescent="0.3">
      <c r="A976" s="16" t="s">
        <v>96</v>
      </c>
      <c r="B976" s="16">
        <v>2013</v>
      </c>
      <c r="C976" s="16"/>
    </row>
    <row r="977" spans="1:3" customFormat="1" hidden="1" x14ac:dyDescent="0.3">
      <c r="A977" s="16" t="s">
        <v>96</v>
      </c>
      <c r="B977" s="16">
        <v>2013</v>
      </c>
      <c r="C977" s="16"/>
    </row>
    <row r="978" spans="1:3" customFormat="1" hidden="1" x14ac:dyDescent="0.3">
      <c r="A978" s="16" t="s">
        <v>96</v>
      </c>
      <c r="B978" s="16">
        <v>2013</v>
      </c>
      <c r="C978" s="16"/>
    </row>
    <row r="979" spans="1:3" customFormat="1" hidden="1" x14ac:dyDescent="0.3">
      <c r="A979" s="16" t="s">
        <v>96</v>
      </c>
      <c r="B979" s="16">
        <v>2013</v>
      </c>
      <c r="C979" s="16"/>
    </row>
    <row r="980" spans="1:3" customFormat="1" hidden="1" x14ac:dyDescent="0.3">
      <c r="A980" s="35" t="s">
        <v>18</v>
      </c>
      <c r="B980" s="35" t="s">
        <v>18</v>
      </c>
      <c r="C980" s="35"/>
    </row>
    <row r="981" spans="1:3" customFormat="1" hidden="1" x14ac:dyDescent="0.3">
      <c r="A981" s="35" t="s">
        <v>18</v>
      </c>
      <c r="B981" s="35" t="s">
        <v>18</v>
      </c>
      <c r="C981" s="35"/>
    </row>
    <row r="982" spans="1:3" customFormat="1" hidden="1" x14ac:dyDescent="0.3">
      <c r="A982" s="16" t="s">
        <v>96</v>
      </c>
      <c r="B982" s="16">
        <v>2013</v>
      </c>
      <c r="C982" s="16"/>
    </row>
    <row r="983" spans="1:3" customFormat="1" hidden="1" x14ac:dyDescent="0.3">
      <c r="A983" s="16" t="s">
        <v>96</v>
      </c>
      <c r="B983" s="16">
        <v>2013</v>
      </c>
      <c r="C983" s="16"/>
    </row>
    <row r="984" spans="1:3" customFormat="1" hidden="1" x14ac:dyDescent="0.3">
      <c r="A984" s="16" t="s">
        <v>96</v>
      </c>
      <c r="B984" s="16">
        <v>2013</v>
      </c>
      <c r="C984" s="16"/>
    </row>
    <row r="985" spans="1:3" customFormat="1" hidden="1" x14ac:dyDescent="0.3">
      <c r="A985" s="16" t="s">
        <v>96</v>
      </c>
      <c r="B985" s="16">
        <v>2013</v>
      </c>
      <c r="C985" s="16"/>
    </row>
    <row r="986" spans="1:3" customFormat="1" hidden="1" x14ac:dyDescent="0.3">
      <c r="A986" s="16" t="s">
        <v>96</v>
      </c>
      <c r="B986" s="16">
        <v>2013</v>
      </c>
      <c r="C986" s="16"/>
    </row>
    <row r="987" spans="1:3" customFormat="1" hidden="1" x14ac:dyDescent="0.3">
      <c r="A987" s="16" t="s">
        <v>96</v>
      </c>
      <c r="B987" s="16">
        <v>2013</v>
      </c>
      <c r="C987" s="16"/>
    </row>
    <row r="988" spans="1:3" customFormat="1" hidden="1" x14ac:dyDescent="0.3">
      <c r="A988" s="16" t="s">
        <v>96</v>
      </c>
      <c r="B988" s="16">
        <v>2013</v>
      </c>
      <c r="C988" s="16"/>
    </row>
    <row r="989" spans="1:3" customFormat="1" hidden="1" x14ac:dyDescent="0.3">
      <c r="A989" s="16" t="s">
        <v>96</v>
      </c>
      <c r="B989" s="16">
        <v>2013</v>
      </c>
      <c r="C989" s="16"/>
    </row>
    <row r="990" spans="1:3" customFormat="1" hidden="1" x14ac:dyDescent="0.3">
      <c r="A990" s="35" t="s">
        <v>18</v>
      </c>
      <c r="B990" s="35" t="s">
        <v>18</v>
      </c>
      <c r="C990" s="35"/>
    </row>
    <row r="991" spans="1:3" customFormat="1" hidden="1" x14ac:dyDescent="0.3">
      <c r="A991" s="16" t="s">
        <v>96</v>
      </c>
      <c r="B991" s="16">
        <v>2013</v>
      </c>
      <c r="C991" s="16"/>
    </row>
    <row r="992" spans="1:3" customFormat="1" hidden="1" x14ac:dyDescent="0.3">
      <c r="A992" s="35" t="s">
        <v>18</v>
      </c>
      <c r="B992" s="35" t="s">
        <v>18</v>
      </c>
      <c r="C992" s="35"/>
    </row>
    <row r="993" spans="1:3" customFormat="1" hidden="1" x14ac:dyDescent="0.3">
      <c r="A993" s="16" t="s">
        <v>96</v>
      </c>
      <c r="B993" s="16">
        <v>2013</v>
      </c>
      <c r="C993" s="16"/>
    </row>
    <row r="994" spans="1:3" customFormat="1" hidden="1" x14ac:dyDescent="0.3">
      <c r="A994" s="16" t="s">
        <v>96</v>
      </c>
      <c r="B994" s="16">
        <v>2013</v>
      </c>
      <c r="C994" s="16"/>
    </row>
    <row r="995" spans="1:3" customFormat="1" hidden="1" x14ac:dyDescent="0.3">
      <c r="A995" s="16" t="s">
        <v>96</v>
      </c>
      <c r="B995" s="16">
        <v>2013</v>
      </c>
      <c r="C995" s="16"/>
    </row>
    <row r="996" spans="1:3" customFormat="1" hidden="1" x14ac:dyDescent="0.3">
      <c r="A996" s="16" t="s">
        <v>96</v>
      </c>
      <c r="B996" s="16">
        <v>2013</v>
      </c>
      <c r="C996" s="16"/>
    </row>
    <row r="997" spans="1:3" customFormat="1" hidden="1" x14ac:dyDescent="0.3">
      <c r="A997" s="16" t="s">
        <v>96</v>
      </c>
      <c r="B997" s="16">
        <v>2013</v>
      </c>
      <c r="C997" s="16"/>
    </row>
    <row r="998" spans="1:3" customFormat="1" hidden="1" x14ac:dyDescent="0.3">
      <c r="A998" s="16" t="s">
        <v>96</v>
      </c>
      <c r="B998" s="16">
        <v>2013</v>
      </c>
      <c r="C998" s="16"/>
    </row>
    <row r="999" spans="1:3" customFormat="1" hidden="1" x14ac:dyDescent="0.3">
      <c r="A999" s="16" t="s">
        <v>96</v>
      </c>
      <c r="B999" s="16">
        <v>2013</v>
      </c>
      <c r="C999" s="16"/>
    </row>
    <row r="1000" spans="1:3" customFormat="1" hidden="1" x14ac:dyDescent="0.3">
      <c r="A1000" s="16" t="s">
        <v>96</v>
      </c>
      <c r="B1000" s="16">
        <v>2013</v>
      </c>
      <c r="C1000" s="16"/>
    </row>
    <row r="1001" spans="1:3" customFormat="1" hidden="1" x14ac:dyDescent="0.3">
      <c r="A1001" s="35" t="s">
        <v>18</v>
      </c>
      <c r="B1001" s="35" t="s">
        <v>18</v>
      </c>
      <c r="C1001" s="35"/>
    </row>
    <row r="1002" spans="1:3" customFormat="1" hidden="1" x14ac:dyDescent="0.3">
      <c r="A1002" s="16" t="s">
        <v>96</v>
      </c>
      <c r="B1002" s="16">
        <v>2013</v>
      </c>
      <c r="C1002" s="16"/>
    </row>
    <row r="1003" spans="1:3" customFormat="1" hidden="1" x14ac:dyDescent="0.3">
      <c r="A1003" s="16" t="s">
        <v>96</v>
      </c>
      <c r="B1003" s="16">
        <v>2013</v>
      </c>
      <c r="C1003" s="16"/>
    </row>
    <row r="1004" spans="1:3" customFormat="1" hidden="1" x14ac:dyDescent="0.3">
      <c r="A1004" s="16" t="s">
        <v>96</v>
      </c>
      <c r="B1004" s="16">
        <v>2013</v>
      </c>
      <c r="C1004" s="16"/>
    </row>
    <row r="1005" spans="1:3" customFormat="1" hidden="1" x14ac:dyDescent="0.3">
      <c r="A1005" s="16" t="s">
        <v>96</v>
      </c>
      <c r="B1005" s="16">
        <v>2013</v>
      </c>
      <c r="C1005" s="16"/>
    </row>
    <row r="1006" spans="1:3" customFormat="1" hidden="1" x14ac:dyDescent="0.3">
      <c r="A1006" s="16" t="s">
        <v>96</v>
      </c>
      <c r="B1006" s="16">
        <v>2013</v>
      </c>
      <c r="C1006" s="16"/>
    </row>
    <row r="1007" spans="1:3" customFormat="1" hidden="1" x14ac:dyDescent="0.3">
      <c r="A1007" s="16" t="s">
        <v>96</v>
      </c>
      <c r="B1007" s="16">
        <v>2013</v>
      </c>
      <c r="C1007" s="16"/>
    </row>
    <row r="1008" spans="1:3" customFormat="1" hidden="1" x14ac:dyDescent="0.3">
      <c r="A1008" s="16" t="s">
        <v>96</v>
      </c>
      <c r="B1008" s="16">
        <v>2013</v>
      </c>
      <c r="C1008" s="16"/>
    </row>
    <row r="1009" spans="1:12" hidden="1" x14ac:dyDescent="0.3">
      <c r="A1009" s="16" t="s">
        <v>96</v>
      </c>
      <c r="B1009" s="16">
        <v>2013</v>
      </c>
      <c r="K1009"/>
      <c r="L1009"/>
    </row>
    <row r="1010" spans="1:12" hidden="1" x14ac:dyDescent="0.3">
      <c r="A1010" s="36" t="s">
        <v>96</v>
      </c>
      <c r="B1010" s="36">
        <v>2013</v>
      </c>
      <c r="C1010" s="36"/>
      <c r="K1010"/>
      <c r="L1010"/>
    </row>
    <row r="1011" spans="1:12" hidden="1" x14ac:dyDescent="0.3">
      <c r="A1011" s="36" t="s">
        <v>96</v>
      </c>
      <c r="B1011" s="36">
        <v>2013</v>
      </c>
      <c r="C1011" s="36"/>
      <c r="K1011"/>
      <c r="L1011"/>
    </row>
    <row r="1012" spans="1:12" hidden="1" x14ac:dyDescent="0.3">
      <c r="A1012" s="36" t="s">
        <v>96</v>
      </c>
      <c r="B1012" s="36">
        <v>2013</v>
      </c>
      <c r="C1012" s="36"/>
      <c r="K1012"/>
      <c r="L1012"/>
    </row>
    <row r="1013" spans="1:12" hidden="1" x14ac:dyDescent="0.3">
      <c r="A1013" s="36" t="s">
        <v>96</v>
      </c>
      <c r="B1013" s="36">
        <v>2013</v>
      </c>
      <c r="C1013" s="36"/>
      <c r="K1013"/>
      <c r="L1013"/>
    </row>
    <row r="1014" spans="1:12" x14ac:dyDescent="0.3">
      <c r="A1014" s="16" t="s">
        <v>99</v>
      </c>
      <c r="C1014" s="16" t="s">
        <v>154</v>
      </c>
      <c r="D1014">
        <v>7.0527029166981888E-3</v>
      </c>
      <c r="E1014">
        <v>8.9179854396439617E-3</v>
      </c>
      <c r="F1014">
        <v>4.0754098360655728</v>
      </c>
      <c r="G1014">
        <f>F1014/1000</f>
        <v>4.075409836065573E-3</v>
      </c>
      <c r="H1014">
        <v>15.412295081967219</v>
      </c>
      <c r="I1014">
        <f>H1014/1000</f>
        <v>1.5412295081967219E-2</v>
      </c>
      <c r="K1014" s="87">
        <f>E1014*4000</f>
        <v>35.671941758575848</v>
      </c>
      <c r="L1014" s="87">
        <f>D1014*4000</f>
        <v>28.210811666792754</v>
      </c>
    </row>
    <row r="1015" spans="1:12" hidden="1" x14ac:dyDescent="0.3">
      <c r="A1015" s="16" t="s">
        <v>99</v>
      </c>
      <c r="B1015" s="16">
        <v>2013</v>
      </c>
      <c r="K1015"/>
      <c r="L1015"/>
    </row>
    <row r="1016" spans="1:12" hidden="1" x14ac:dyDescent="0.3">
      <c r="A1016" s="16" t="s">
        <v>99</v>
      </c>
      <c r="B1016" s="16">
        <v>2013</v>
      </c>
      <c r="K1016"/>
      <c r="L1016"/>
    </row>
    <row r="1017" spans="1:12" hidden="1" x14ac:dyDescent="0.3">
      <c r="A1017" s="16" t="s">
        <v>99</v>
      </c>
      <c r="B1017" s="16">
        <v>2013</v>
      </c>
      <c r="K1017"/>
      <c r="L1017"/>
    </row>
    <row r="1018" spans="1:12" hidden="1" x14ac:dyDescent="0.3">
      <c r="A1018" s="16" t="s">
        <v>99</v>
      </c>
      <c r="B1018" s="16">
        <v>2013</v>
      </c>
      <c r="K1018"/>
      <c r="L1018"/>
    </row>
    <row r="1019" spans="1:12" hidden="1" x14ac:dyDescent="0.3">
      <c r="A1019" s="16" t="s">
        <v>99</v>
      </c>
      <c r="B1019" s="16">
        <v>2013</v>
      </c>
      <c r="K1019"/>
      <c r="L1019"/>
    </row>
    <row r="1020" spans="1:12" hidden="1" x14ac:dyDescent="0.3">
      <c r="A1020" s="16" t="s">
        <v>99</v>
      </c>
      <c r="B1020" s="16">
        <v>2013</v>
      </c>
      <c r="K1020"/>
      <c r="L1020"/>
    </row>
    <row r="1021" spans="1:12" hidden="1" x14ac:dyDescent="0.3">
      <c r="A1021" s="16" t="s">
        <v>99</v>
      </c>
      <c r="B1021" s="16">
        <v>2013</v>
      </c>
      <c r="K1021"/>
      <c r="L1021"/>
    </row>
    <row r="1022" spans="1:12" hidden="1" x14ac:dyDescent="0.3">
      <c r="A1022" s="16" t="s">
        <v>99</v>
      </c>
      <c r="B1022" s="16">
        <v>2013</v>
      </c>
      <c r="K1022"/>
      <c r="L1022"/>
    </row>
    <row r="1023" spans="1:12" hidden="1" x14ac:dyDescent="0.3">
      <c r="A1023" s="16" t="s">
        <v>99</v>
      </c>
      <c r="B1023" s="16">
        <v>2013</v>
      </c>
      <c r="K1023"/>
      <c r="L1023"/>
    </row>
    <row r="1024" spans="1:12" hidden="1" x14ac:dyDescent="0.3">
      <c r="A1024" s="16" t="s">
        <v>99</v>
      </c>
      <c r="B1024" s="16">
        <v>2013</v>
      </c>
      <c r="K1024"/>
      <c r="L1024"/>
    </row>
    <row r="1025" spans="1:3" customFormat="1" hidden="1" x14ac:dyDescent="0.3">
      <c r="A1025" s="16" t="s">
        <v>99</v>
      </c>
      <c r="B1025" s="16">
        <v>2013</v>
      </c>
      <c r="C1025" s="16"/>
    </row>
    <row r="1026" spans="1:3" customFormat="1" hidden="1" x14ac:dyDescent="0.3">
      <c r="A1026" s="16" t="s">
        <v>99</v>
      </c>
      <c r="B1026" s="16">
        <v>2013</v>
      </c>
      <c r="C1026" s="16"/>
    </row>
    <row r="1027" spans="1:3" customFormat="1" hidden="1" x14ac:dyDescent="0.3">
      <c r="A1027" s="35" t="s">
        <v>18</v>
      </c>
      <c r="B1027" s="35" t="s">
        <v>18</v>
      </c>
      <c r="C1027" s="35"/>
    </row>
    <row r="1028" spans="1:3" customFormat="1" hidden="1" x14ac:dyDescent="0.3">
      <c r="A1028" s="16" t="s">
        <v>99</v>
      </c>
      <c r="B1028" s="16">
        <v>2013</v>
      </c>
      <c r="C1028" s="16"/>
    </row>
    <row r="1029" spans="1:3" customFormat="1" hidden="1" x14ac:dyDescent="0.3">
      <c r="A1029" s="16" t="s">
        <v>99</v>
      </c>
      <c r="B1029" s="16">
        <v>2013</v>
      </c>
      <c r="C1029" s="16"/>
    </row>
    <row r="1030" spans="1:3" customFormat="1" hidden="1" x14ac:dyDescent="0.3">
      <c r="A1030" s="16" t="s">
        <v>99</v>
      </c>
      <c r="B1030" s="16">
        <v>2013</v>
      </c>
      <c r="C1030" s="16"/>
    </row>
    <row r="1031" spans="1:3" customFormat="1" hidden="1" x14ac:dyDescent="0.3">
      <c r="A1031" s="16" t="s">
        <v>99</v>
      </c>
      <c r="B1031" s="16">
        <v>2013</v>
      </c>
      <c r="C1031" s="16"/>
    </row>
    <row r="1032" spans="1:3" customFormat="1" hidden="1" x14ac:dyDescent="0.3">
      <c r="A1032" s="16" t="s">
        <v>99</v>
      </c>
      <c r="B1032" s="16">
        <v>2013</v>
      </c>
      <c r="C1032" s="16"/>
    </row>
    <row r="1033" spans="1:3" customFormat="1" hidden="1" x14ac:dyDescent="0.3">
      <c r="A1033" s="16" t="s">
        <v>99</v>
      </c>
      <c r="B1033" s="16">
        <v>2013</v>
      </c>
      <c r="C1033" s="16"/>
    </row>
    <row r="1034" spans="1:3" customFormat="1" hidden="1" x14ac:dyDescent="0.3">
      <c r="A1034" s="16" t="s">
        <v>99</v>
      </c>
      <c r="B1034" s="16">
        <v>2013</v>
      </c>
      <c r="C1034" s="16"/>
    </row>
    <row r="1035" spans="1:3" customFormat="1" hidden="1" x14ac:dyDescent="0.3">
      <c r="A1035" s="16" t="s">
        <v>99</v>
      </c>
      <c r="B1035" s="16">
        <v>2013</v>
      </c>
      <c r="C1035" s="16"/>
    </row>
    <row r="1036" spans="1:3" customFormat="1" hidden="1" x14ac:dyDescent="0.3">
      <c r="A1036" s="16" t="s">
        <v>99</v>
      </c>
      <c r="B1036" s="16">
        <v>2013</v>
      </c>
      <c r="C1036" s="16"/>
    </row>
    <row r="1037" spans="1:3" customFormat="1" hidden="1" x14ac:dyDescent="0.3">
      <c r="A1037" s="16" t="s">
        <v>99</v>
      </c>
      <c r="B1037" s="16">
        <v>2013</v>
      </c>
      <c r="C1037" s="16"/>
    </row>
    <row r="1038" spans="1:3" customFormat="1" hidden="1" x14ac:dyDescent="0.3">
      <c r="A1038" s="16" t="s">
        <v>99</v>
      </c>
      <c r="B1038" s="16">
        <v>2013</v>
      </c>
      <c r="C1038" s="16"/>
    </row>
    <row r="1039" spans="1:3" customFormat="1" hidden="1" x14ac:dyDescent="0.3">
      <c r="A1039" s="16" t="s">
        <v>99</v>
      </c>
      <c r="B1039" s="16">
        <v>2013</v>
      </c>
      <c r="C1039" s="5"/>
    </row>
    <row r="1040" spans="1:3" customFormat="1" hidden="1" x14ac:dyDescent="0.3">
      <c r="A1040" s="35" t="s">
        <v>18</v>
      </c>
      <c r="B1040" s="35" t="s">
        <v>18</v>
      </c>
      <c r="C1040" s="35"/>
    </row>
    <row r="1041" spans="1:3" customFormat="1" hidden="1" x14ac:dyDescent="0.3">
      <c r="A1041" s="35" t="s">
        <v>18</v>
      </c>
      <c r="B1041" s="35" t="s">
        <v>18</v>
      </c>
      <c r="C1041" s="35"/>
    </row>
    <row r="1042" spans="1:3" customFormat="1" hidden="1" x14ac:dyDescent="0.3">
      <c r="A1042" s="16" t="s">
        <v>99</v>
      </c>
      <c r="B1042" s="16">
        <v>2013</v>
      </c>
      <c r="C1042" s="16"/>
    </row>
    <row r="1043" spans="1:3" customFormat="1" hidden="1" x14ac:dyDescent="0.3">
      <c r="A1043" s="16" t="s">
        <v>99</v>
      </c>
      <c r="B1043" s="16">
        <v>2013</v>
      </c>
      <c r="C1043" s="16"/>
    </row>
    <row r="1044" spans="1:3" customFormat="1" hidden="1" x14ac:dyDescent="0.3">
      <c r="A1044" s="16" t="s">
        <v>99</v>
      </c>
      <c r="B1044" s="16">
        <v>2013</v>
      </c>
      <c r="C1044" s="16"/>
    </row>
    <row r="1045" spans="1:3" customFormat="1" hidden="1" x14ac:dyDescent="0.3">
      <c r="A1045" s="16" t="s">
        <v>99</v>
      </c>
      <c r="B1045" s="16">
        <v>2013</v>
      </c>
      <c r="C1045" s="16"/>
    </row>
    <row r="1046" spans="1:3" customFormat="1" hidden="1" x14ac:dyDescent="0.3">
      <c r="A1046" s="16" t="s">
        <v>99</v>
      </c>
      <c r="B1046" s="16">
        <v>2013</v>
      </c>
      <c r="C1046" s="16"/>
    </row>
    <row r="1047" spans="1:3" customFormat="1" hidden="1" x14ac:dyDescent="0.3">
      <c r="A1047" s="16" t="s">
        <v>99</v>
      </c>
      <c r="B1047" s="16">
        <v>2013</v>
      </c>
      <c r="C1047" s="16"/>
    </row>
    <row r="1048" spans="1:3" customFormat="1" hidden="1" x14ac:dyDescent="0.3">
      <c r="A1048" s="16" t="s">
        <v>99</v>
      </c>
      <c r="B1048" s="16">
        <v>2013</v>
      </c>
      <c r="C1048" s="5"/>
    </row>
    <row r="1049" spans="1:3" customFormat="1" hidden="1" x14ac:dyDescent="0.3">
      <c r="A1049" s="16" t="s">
        <v>99</v>
      </c>
      <c r="B1049" s="16">
        <v>2013</v>
      </c>
      <c r="C1049" s="5"/>
    </row>
    <row r="1050" spans="1:3" customFormat="1" hidden="1" x14ac:dyDescent="0.3">
      <c r="A1050" s="35" t="s">
        <v>18</v>
      </c>
      <c r="B1050" s="35" t="s">
        <v>18</v>
      </c>
      <c r="C1050" s="35"/>
    </row>
    <row r="1051" spans="1:3" customFormat="1" hidden="1" x14ac:dyDescent="0.3">
      <c r="A1051" s="16" t="s">
        <v>99</v>
      </c>
      <c r="B1051" s="16">
        <v>2013</v>
      </c>
      <c r="C1051" s="16"/>
    </row>
    <row r="1052" spans="1:3" customFormat="1" hidden="1" x14ac:dyDescent="0.3">
      <c r="A1052" s="35" t="s">
        <v>18</v>
      </c>
      <c r="B1052" s="35" t="s">
        <v>18</v>
      </c>
      <c r="C1052" s="35"/>
    </row>
    <row r="1053" spans="1:3" customFormat="1" hidden="1" x14ac:dyDescent="0.3">
      <c r="A1053" s="16" t="s">
        <v>99</v>
      </c>
      <c r="B1053" s="16">
        <v>2013</v>
      </c>
      <c r="C1053" s="16"/>
    </row>
    <row r="1054" spans="1:3" customFormat="1" hidden="1" x14ac:dyDescent="0.3">
      <c r="A1054" s="16" t="s">
        <v>99</v>
      </c>
      <c r="B1054" s="16">
        <v>2013</v>
      </c>
      <c r="C1054" s="16"/>
    </row>
    <row r="1055" spans="1:3" customFormat="1" hidden="1" x14ac:dyDescent="0.3">
      <c r="A1055" s="16" t="s">
        <v>99</v>
      </c>
      <c r="B1055" s="16">
        <v>2013</v>
      </c>
      <c r="C1055" s="16"/>
    </row>
    <row r="1056" spans="1:3" customFormat="1" hidden="1" x14ac:dyDescent="0.3">
      <c r="A1056" s="16" t="s">
        <v>99</v>
      </c>
      <c r="B1056" s="16">
        <v>2013</v>
      </c>
      <c r="C1056" s="16"/>
    </row>
    <row r="1057" spans="1:3" customFormat="1" hidden="1" x14ac:dyDescent="0.3">
      <c r="A1057" s="16" t="s">
        <v>99</v>
      </c>
      <c r="B1057" s="16">
        <v>2013</v>
      </c>
      <c r="C1057" s="16"/>
    </row>
    <row r="1058" spans="1:3" customFormat="1" hidden="1" x14ac:dyDescent="0.3">
      <c r="A1058" s="16" t="s">
        <v>99</v>
      </c>
      <c r="B1058" s="16">
        <v>2013</v>
      </c>
      <c r="C1058" s="16"/>
    </row>
    <row r="1059" spans="1:3" customFormat="1" hidden="1" x14ac:dyDescent="0.3">
      <c r="A1059" s="16" t="s">
        <v>99</v>
      </c>
      <c r="B1059" s="16">
        <v>2013</v>
      </c>
      <c r="C1059" s="16"/>
    </row>
    <row r="1060" spans="1:3" customFormat="1" hidden="1" x14ac:dyDescent="0.3">
      <c r="A1060" s="16" t="s">
        <v>99</v>
      </c>
      <c r="B1060" s="16">
        <v>2013</v>
      </c>
      <c r="C1060" s="16"/>
    </row>
    <row r="1061" spans="1:3" customFormat="1" hidden="1" x14ac:dyDescent="0.3">
      <c r="A1061" s="35" t="s">
        <v>18</v>
      </c>
      <c r="B1061" s="35" t="s">
        <v>18</v>
      </c>
      <c r="C1061" s="35"/>
    </row>
    <row r="1062" spans="1:3" customFormat="1" hidden="1" x14ac:dyDescent="0.3">
      <c r="A1062" s="16" t="s">
        <v>99</v>
      </c>
      <c r="B1062" s="16">
        <v>2013</v>
      </c>
      <c r="C1062" s="16"/>
    </row>
    <row r="1063" spans="1:3" customFormat="1" hidden="1" x14ac:dyDescent="0.3">
      <c r="A1063" s="16" t="s">
        <v>99</v>
      </c>
      <c r="B1063" s="16">
        <v>2013</v>
      </c>
      <c r="C1063" s="5"/>
    </row>
    <row r="1064" spans="1:3" customFormat="1" hidden="1" x14ac:dyDescent="0.3">
      <c r="A1064" s="16" t="s">
        <v>99</v>
      </c>
      <c r="B1064" s="16">
        <v>2013</v>
      </c>
      <c r="C1064" s="5"/>
    </row>
    <row r="1065" spans="1:3" customFormat="1" hidden="1" x14ac:dyDescent="0.3">
      <c r="A1065" s="16" t="s">
        <v>99</v>
      </c>
      <c r="B1065" s="16">
        <v>2013</v>
      </c>
      <c r="C1065" s="16"/>
    </row>
    <row r="1066" spans="1:3" customFormat="1" hidden="1" x14ac:dyDescent="0.3">
      <c r="A1066" s="16" t="s">
        <v>99</v>
      </c>
      <c r="B1066" s="16">
        <v>2013</v>
      </c>
      <c r="C1066" s="16"/>
    </row>
    <row r="1067" spans="1:3" customFormat="1" hidden="1" x14ac:dyDescent="0.3">
      <c r="A1067" s="16" t="s">
        <v>99</v>
      </c>
      <c r="B1067" s="16">
        <v>2013</v>
      </c>
      <c r="C1067" s="16"/>
    </row>
    <row r="1068" spans="1:3" customFormat="1" hidden="1" x14ac:dyDescent="0.3">
      <c r="A1068" s="16" t="s">
        <v>99</v>
      </c>
      <c r="B1068" s="16">
        <v>2013</v>
      </c>
      <c r="C1068" s="16"/>
    </row>
    <row r="1069" spans="1:3" customFormat="1" hidden="1" x14ac:dyDescent="0.3">
      <c r="A1069" s="16" t="s">
        <v>99</v>
      </c>
      <c r="B1069" s="16">
        <v>2013</v>
      </c>
      <c r="C1069" s="16"/>
    </row>
    <row r="1070" spans="1:3" customFormat="1" hidden="1" x14ac:dyDescent="0.3">
      <c r="A1070" s="36" t="s">
        <v>99</v>
      </c>
      <c r="B1070" s="36">
        <v>2013</v>
      </c>
      <c r="C1070" s="36"/>
    </row>
    <row r="1071" spans="1:3" customFormat="1" hidden="1" x14ac:dyDescent="0.3">
      <c r="A1071" s="36" t="s">
        <v>99</v>
      </c>
      <c r="B1071" s="36">
        <v>2013</v>
      </c>
      <c r="C1071" s="36"/>
    </row>
    <row r="1072" spans="1:3" customFormat="1" hidden="1" x14ac:dyDescent="0.3">
      <c r="A1072" s="36" t="s">
        <v>99</v>
      </c>
      <c r="B1072" s="36">
        <v>2013</v>
      </c>
      <c r="C1072" s="36"/>
    </row>
    <row r="1073" spans="1:12" hidden="1" x14ac:dyDescent="0.3">
      <c r="A1073" s="36" t="s">
        <v>99</v>
      </c>
      <c r="B1073" s="36">
        <v>2013</v>
      </c>
      <c r="C1073" s="36"/>
      <c r="K1073"/>
      <c r="L1073"/>
    </row>
    <row r="1074" spans="1:12" x14ac:dyDescent="0.3">
      <c r="A1074" s="16" t="s">
        <v>61</v>
      </c>
      <c r="C1074" s="16" t="s">
        <v>155</v>
      </c>
      <c r="D1074">
        <v>1.5732922989915417E-2</v>
      </c>
      <c r="E1074">
        <v>2.0377967968440439E-2</v>
      </c>
      <c r="F1074">
        <v>3.3428571428571421</v>
      </c>
      <c r="G1074">
        <f>F1074/1000</f>
        <v>3.3428571428571422E-3</v>
      </c>
      <c r="H1074">
        <v>18.048351648351645</v>
      </c>
      <c r="I1074">
        <f>H1074/1000</f>
        <v>1.8048351648351644E-2</v>
      </c>
      <c r="K1074" s="87">
        <f>E1074*4000</f>
        <v>81.511871873761763</v>
      </c>
      <c r="L1074" s="87">
        <f>D1074*4000</f>
        <v>62.93169195966167</v>
      </c>
    </row>
    <row r="1075" spans="1:12" hidden="1" x14ac:dyDescent="0.3">
      <c r="A1075" s="16" t="s">
        <v>61</v>
      </c>
      <c r="B1075" s="16">
        <v>2013</v>
      </c>
      <c r="K1075"/>
      <c r="L1075"/>
    </row>
    <row r="1076" spans="1:12" hidden="1" x14ac:dyDescent="0.3">
      <c r="A1076" s="16" t="s">
        <v>61</v>
      </c>
      <c r="B1076" s="16">
        <v>2013</v>
      </c>
      <c r="K1076"/>
      <c r="L1076"/>
    </row>
    <row r="1077" spans="1:12" hidden="1" x14ac:dyDescent="0.3">
      <c r="A1077" s="16" t="s">
        <v>61</v>
      </c>
      <c r="B1077" s="16">
        <v>2013</v>
      </c>
      <c r="K1077"/>
      <c r="L1077"/>
    </row>
    <row r="1078" spans="1:12" hidden="1" x14ac:dyDescent="0.3">
      <c r="A1078" s="16" t="s">
        <v>61</v>
      </c>
      <c r="B1078" s="16">
        <v>2013</v>
      </c>
      <c r="K1078"/>
      <c r="L1078"/>
    </row>
    <row r="1079" spans="1:12" hidden="1" x14ac:dyDescent="0.3">
      <c r="A1079" s="16" t="s">
        <v>61</v>
      </c>
      <c r="B1079" s="16">
        <v>2013</v>
      </c>
      <c r="K1079"/>
      <c r="L1079"/>
    </row>
    <row r="1080" spans="1:12" hidden="1" x14ac:dyDescent="0.3">
      <c r="A1080" s="16" t="s">
        <v>61</v>
      </c>
      <c r="B1080" s="16">
        <v>2013</v>
      </c>
      <c r="K1080"/>
      <c r="L1080"/>
    </row>
    <row r="1081" spans="1:12" hidden="1" x14ac:dyDescent="0.3">
      <c r="A1081" s="16" t="s">
        <v>61</v>
      </c>
      <c r="B1081" s="16">
        <v>2013</v>
      </c>
      <c r="K1081"/>
      <c r="L1081"/>
    </row>
    <row r="1082" spans="1:12" hidden="1" x14ac:dyDescent="0.3">
      <c r="A1082" s="16" t="s">
        <v>61</v>
      </c>
      <c r="B1082" s="16">
        <v>2013</v>
      </c>
      <c r="K1082"/>
      <c r="L1082"/>
    </row>
    <row r="1083" spans="1:12" hidden="1" x14ac:dyDescent="0.3">
      <c r="A1083" s="16" t="s">
        <v>61</v>
      </c>
      <c r="B1083" s="16">
        <v>2013</v>
      </c>
      <c r="K1083"/>
      <c r="L1083"/>
    </row>
    <row r="1084" spans="1:12" hidden="1" x14ac:dyDescent="0.3">
      <c r="A1084" s="16" t="s">
        <v>61</v>
      </c>
      <c r="B1084" s="16">
        <v>2013</v>
      </c>
      <c r="K1084"/>
      <c r="L1084"/>
    </row>
    <row r="1085" spans="1:12" hidden="1" x14ac:dyDescent="0.3">
      <c r="A1085" s="16" t="s">
        <v>61</v>
      </c>
      <c r="B1085" s="16">
        <v>2013</v>
      </c>
      <c r="K1085"/>
      <c r="L1085"/>
    </row>
    <row r="1086" spans="1:12" hidden="1" x14ac:dyDescent="0.3">
      <c r="A1086" s="16" t="s">
        <v>61</v>
      </c>
      <c r="B1086" s="16">
        <v>2013</v>
      </c>
      <c r="K1086"/>
      <c r="L1086"/>
    </row>
    <row r="1087" spans="1:12" hidden="1" x14ac:dyDescent="0.3">
      <c r="A1087" s="35" t="s">
        <v>18</v>
      </c>
      <c r="B1087" s="35" t="s">
        <v>18</v>
      </c>
      <c r="C1087" s="35"/>
      <c r="K1087"/>
      <c r="L1087"/>
    </row>
    <row r="1088" spans="1:12" hidden="1" x14ac:dyDescent="0.3">
      <c r="A1088" s="16" t="s">
        <v>61</v>
      </c>
      <c r="B1088" s="16">
        <v>2013</v>
      </c>
      <c r="K1088"/>
      <c r="L1088"/>
    </row>
    <row r="1089" spans="1:3" customFormat="1" hidden="1" x14ac:dyDescent="0.3">
      <c r="A1089" s="16" t="s">
        <v>61</v>
      </c>
      <c r="B1089" s="16">
        <v>2013</v>
      </c>
      <c r="C1089" s="16"/>
    </row>
    <row r="1090" spans="1:3" customFormat="1" hidden="1" x14ac:dyDescent="0.3">
      <c r="A1090" s="16" t="s">
        <v>61</v>
      </c>
      <c r="B1090" s="16">
        <v>2013</v>
      </c>
      <c r="C1090" s="16"/>
    </row>
    <row r="1091" spans="1:3" customFormat="1" hidden="1" x14ac:dyDescent="0.3">
      <c r="A1091" s="16" t="s">
        <v>61</v>
      </c>
      <c r="B1091" s="16">
        <v>2013</v>
      </c>
      <c r="C1091" s="16"/>
    </row>
    <row r="1092" spans="1:3" customFormat="1" hidden="1" x14ac:dyDescent="0.3">
      <c r="A1092" s="16" t="s">
        <v>61</v>
      </c>
      <c r="B1092" s="16">
        <v>2013</v>
      </c>
      <c r="C1092" s="16"/>
    </row>
    <row r="1093" spans="1:3" customFormat="1" hidden="1" x14ac:dyDescent="0.3">
      <c r="A1093" s="16" t="s">
        <v>61</v>
      </c>
      <c r="B1093" s="16">
        <v>2013</v>
      </c>
      <c r="C1093" s="16"/>
    </row>
    <row r="1094" spans="1:3" customFormat="1" hidden="1" x14ac:dyDescent="0.3">
      <c r="A1094" s="16" t="s">
        <v>61</v>
      </c>
      <c r="B1094" s="16">
        <v>2013</v>
      </c>
      <c r="C1094" s="16"/>
    </row>
    <row r="1095" spans="1:3" customFormat="1" hidden="1" x14ac:dyDescent="0.3">
      <c r="A1095" s="16" t="s">
        <v>61</v>
      </c>
      <c r="B1095" s="16">
        <v>2013</v>
      </c>
      <c r="C1095" s="16"/>
    </row>
    <row r="1096" spans="1:3" customFormat="1" hidden="1" x14ac:dyDescent="0.3">
      <c r="A1096" s="16" t="s">
        <v>61</v>
      </c>
      <c r="B1096" s="16">
        <v>2013</v>
      </c>
      <c r="C1096" s="16"/>
    </row>
    <row r="1097" spans="1:3" customFormat="1" hidden="1" x14ac:dyDescent="0.3">
      <c r="A1097" s="16" t="s">
        <v>61</v>
      </c>
      <c r="B1097" s="16">
        <v>2013</v>
      </c>
      <c r="C1097" s="16"/>
    </row>
    <row r="1098" spans="1:3" customFormat="1" hidden="1" x14ac:dyDescent="0.3">
      <c r="A1098" s="16" t="s">
        <v>61</v>
      </c>
      <c r="B1098" s="16">
        <v>2013</v>
      </c>
      <c r="C1098" s="16"/>
    </row>
    <row r="1099" spans="1:3" customFormat="1" hidden="1" x14ac:dyDescent="0.3">
      <c r="A1099" s="16" t="s">
        <v>61</v>
      </c>
      <c r="B1099" s="16">
        <v>2013</v>
      </c>
      <c r="C1099" s="16"/>
    </row>
    <row r="1100" spans="1:3" customFormat="1" hidden="1" x14ac:dyDescent="0.3">
      <c r="A1100" s="35" t="s">
        <v>18</v>
      </c>
      <c r="B1100" s="35" t="s">
        <v>18</v>
      </c>
      <c r="C1100" s="35"/>
    </row>
    <row r="1101" spans="1:3" customFormat="1" hidden="1" x14ac:dyDescent="0.3">
      <c r="A1101" s="35" t="s">
        <v>18</v>
      </c>
      <c r="B1101" s="35" t="s">
        <v>18</v>
      </c>
      <c r="C1101" s="35"/>
    </row>
    <row r="1102" spans="1:3" customFormat="1" hidden="1" x14ac:dyDescent="0.3">
      <c r="A1102" s="16" t="s">
        <v>61</v>
      </c>
      <c r="B1102" s="16">
        <v>2013</v>
      </c>
      <c r="C1102" s="16"/>
    </row>
    <row r="1103" spans="1:3" customFormat="1" hidden="1" x14ac:dyDescent="0.3">
      <c r="A1103" s="16" t="s">
        <v>61</v>
      </c>
      <c r="B1103" s="16">
        <v>2013</v>
      </c>
      <c r="C1103" s="16"/>
    </row>
    <row r="1104" spans="1:3" customFormat="1" hidden="1" x14ac:dyDescent="0.3">
      <c r="A1104" s="16" t="s">
        <v>61</v>
      </c>
      <c r="B1104" s="16">
        <v>2013</v>
      </c>
      <c r="C1104" s="16"/>
    </row>
    <row r="1105" spans="1:3" customFormat="1" hidden="1" x14ac:dyDescent="0.3">
      <c r="A1105" s="16" t="s">
        <v>61</v>
      </c>
      <c r="B1105" s="16">
        <v>2013</v>
      </c>
      <c r="C1105" s="16"/>
    </row>
    <row r="1106" spans="1:3" customFormat="1" hidden="1" x14ac:dyDescent="0.3">
      <c r="A1106" s="16" t="s">
        <v>61</v>
      </c>
      <c r="B1106" s="16">
        <v>2013</v>
      </c>
      <c r="C1106" s="16"/>
    </row>
    <row r="1107" spans="1:3" customFormat="1" hidden="1" x14ac:dyDescent="0.3">
      <c r="A1107" s="16" t="s">
        <v>61</v>
      </c>
      <c r="B1107" s="16">
        <v>2013</v>
      </c>
      <c r="C1107" s="16"/>
    </row>
    <row r="1108" spans="1:3" customFormat="1" hidden="1" x14ac:dyDescent="0.3">
      <c r="A1108" s="16" t="s">
        <v>61</v>
      </c>
      <c r="B1108" s="16">
        <v>2013</v>
      </c>
      <c r="C1108" s="16"/>
    </row>
    <row r="1109" spans="1:3" customFormat="1" hidden="1" x14ac:dyDescent="0.3">
      <c r="A1109" s="16" t="s">
        <v>61</v>
      </c>
      <c r="B1109" s="16">
        <v>2013</v>
      </c>
      <c r="C1109" s="16"/>
    </row>
    <row r="1110" spans="1:3" customFormat="1" hidden="1" x14ac:dyDescent="0.3">
      <c r="A1110" s="35" t="s">
        <v>18</v>
      </c>
      <c r="B1110" s="35" t="s">
        <v>18</v>
      </c>
      <c r="C1110" s="35"/>
    </row>
    <row r="1111" spans="1:3" customFormat="1" hidden="1" x14ac:dyDescent="0.3">
      <c r="A1111" s="16" t="s">
        <v>61</v>
      </c>
      <c r="B1111" s="16">
        <v>2013</v>
      </c>
      <c r="C1111" s="16"/>
    </row>
    <row r="1112" spans="1:3" customFormat="1" hidden="1" x14ac:dyDescent="0.3">
      <c r="A1112" s="35" t="s">
        <v>18</v>
      </c>
      <c r="B1112" s="35" t="s">
        <v>18</v>
      </c>
      <c r="C1112" s="35"/>
    </row>
    <row r="1113" spans="1:3" customFormat="1" hidden="1" x14ac:dyDescent="0.3">
      <c r="A1113" s="16" t="s">
        <v>61</v>
      </c>
      <c r="B1113" s="16">
        <v>2013</v>
      </c>
      <c r="C1113" s="16"/>
    </row>
    <row r="1114" spans="1:3" customFormat="1" hidden="1" x14ac:dyDescent="0.3">
      <c r="A1114" s="16" t="s">
        <v>61</v>
      </c>
      <c r="B1114" s="16">
        <v>2013</v>
      </c>
      <c r="C1114" s="16"/>
    </row>
    <row r="1115" spans="1:3" customFormat="1" hidden="1" x14ac:dyDescent="0.3">
      <c r="A1115" s="16" t="s">
        <v>61</v>
      </c>
      <c r="B1115" s="16">
        <v>2013</v>
      </c>
      <c r="C1115" s="16"/>
    </row>
    <row r="1116" spans="1:3" customFormat="1" hidden="1" x14ac:dyDescent="0.3">
      <c r="A1116" s="16" t="s">
        <v>61</v>
      </c>
      <c r="B1116" s="16">
        <v>2013</v>
      </c>
      <c r="C1116" s="16"/>
    </row>
    <row r="1117" spans="1:3" customFormat="1" hidden="1" x14ac:dyDescent="0.3">
      <c r="A1117" s="16" t="s">
        <v>61</v>
      </c>
      <c r="B1117" s="16">
        <v>2013</v>
      </c>
      <c r="C1117" s="16"/>
    </row>
    <row r="1118" spans="1:3" customFormat="1" hidden="1" x14ac:dyDescent="0.3">
      <c r="A1118" s="16" t="s">
        <v>61</v>
      </c>
      <c r="B1118" s="16">
        <v>2013</v>
      </c>
      <c r="C1118" s="16"/>
    </row>
    <row r="1119" spans="1:3" customFormat="1" hidden="1" x14ac:dyDescent="0.3">
      <c r="A1119" s="16" t="s">
        <v>61</v>
      </c>
      <c r="B1119" s="16">
        <v>2013</v>
      </c>
      <c r="C1119" s="16"/>
    </row>
    <row r="1120" spans="1:3" customFormat="1" hidden="1" x14ac:dyDescent="0.3">
      <c r="A1120" s="16" t="s">
        <v>61</v>
      </c>
      <c r="B1120" s="16">
        <v>2013</v>
      </c>
      <c r="C1120" s="16"/>
    </row>
    <row r="1121" spans="1:12" hidden="1" x14ac:dyDescent="0.3">
      <c r="A1121" s="35" t="s">
        <v>18</v>
      </c>
      <c r="B1121" s="35" t="s">
        <v>18</v>
      </c>
      <c r="C1121" s="35"/>
      <c r="K1121"/>
      <c r="L1121"/>
    </row>
    <row r="1122" spans="1:12" hidden="1" x14ac:dyDescent="0.3">
      <c r="A1122" s="16" t="s">
        <v>61</v>
      </c>
      <c r="B1122" s="16">
        <v>2013</v>
      </c>
      <c r="K1122"/>
      <c r="L1122"/>
    </row>
    <row r="1123" spans="1:12" hidden="1" x14ac:dyDescent="0.3">
      <c r="A1123" s="16" t="s">
        <v>61</v>
      </c>
      <c r="B1123" s="16">
        <v>2013</v>
      </c>
      <c r="K1123"/>
      <c r="L1123"/>
    </row>
    <row r="1124" spans="1:12" hidden="1" x14ac:dyDescent="0.3">
      <c r="A1124" s="16" t="s">
        <v>61</v>
      </c>
      <c r="B1124" s="16">
        <v>2013</v>
      </c>
      <c r="K1124"/>
      <c r="L1124"/>
    </row>
    <row r="1125" spans="1:12" hidden="1" x14ac:dyDescent="0.3">
      <c r="A1125" s="16" t="s">
        <v>61</v>
      </c>
      <c r="B1125" s="16">
        <v>2013</v>
      </c>
      <c r="K1125"/>
      <c r="L1125"/>
    </row>
    <row r="1126" spans="1:12" hidden="1" x14ac:dyDescent="0.3">
      <c r="A1126" s="16" t="s">
        <v>61</v>
      </c>
      <c r="B1126" s="16">
        <v>2013</v>
      </c>
      <c r="K1126"/>
      <c r="L1126"/>
    </row>
    <row r="1127" spans="1:12" hidden="1" x14ac:dyDescent="0.3">
      <c r="A1127" s="16" t="s">
        <v>61</v>
      </c>
      <c r="B1127" s="16">
        <v>2013</v>
      </c>
      <c r="K1127"/>
      <c r="L1127"/>
    </row>
    <row r="1128" spans="1:12" hidden="1" x14ac:dyDescent="0.3">
      <c r="A1128" s="16" t="s">
        <v>61</v>
      </c>
      <c r="B1128" s="16">
        <v>2013</v>
      </c>
      <c r="K1128"/>
      <c r="L1128"/>
    </row>
    <row r="1129" spans="1:12" hidden="1" x14ac:dyDescent="0.3">
      <c r="A1129" s="16" t="s">
        <v>61</v>
      </c>
      <c r="B1129" s="16">
        <v>2013</v>
      </c>
      <c r="K1129"/>
      <c r="L1129"/>
    </row>
    <row r="1130" spans="1:12" hidden="1" x14ac:dyDescent="0.3">
      <c r="A1130" s="36" t="s">
        <v>61</v>
      </c>
      <c r="B1130" s="36">
        <v>2013</v>
      </c>
      <c r="C1130" s="36"/>
      <c r="K1130"/>
      <c r="L1130"/>
    </row>
    <row r="1131" spans="1:12" hidden="1" x14ac:dyDescent="0.3">
      <c r="A1131" s="36" t="s">
        <v>61</v>
      </c>
      <c r="B1131" s="36">
        <v>2013</v>
      </c>
      <c r="C1131" s="36"/>
      <c r="K1131"/>
      <c r="L1131"/>
    </row>
    <row r="1132" spans="1:12" hidden="1" x14ac:dyDescent="0.3">
      <c r="A1132" s="36" t="s">
        <v>61</v>
      </c>
      <c r="B1132" s="36">
        <v>2013</v>
      </c>
      <c r="C1132" s="36"/>
      <c r="K1132"/>
      <c r="L1132"/>
    </row>
    <row r="1133" spans="1:12" hidden="1" x14ac:dyDescent="0.3">
      <c r="A1133" s="36" t="s">
        <v>61</v>
      </c>
      <c r="B1133" s="36">
        <v>2013</v>
      </c>
      <c r="C1133" s="36"/>
      <c r="K1133"/>
      <c r="L1133"/>
    </row>
    <row r="1134" spans="1:12" x14ac:dyDescent="0.3">
      <c r="A1134" s="16" t="s">
        <v>64</v>
      </c>
      <c r="B1134" s="16">
        <v>2014</v>
      </c>
      <c r="C1134" s="5" t="s">
        <v>156</v>
      </c>
      <c r="D1134">
        <v>1.2303976241012484E-2</v>
      </c>
      <c r="E1134">
        <v>1.5235917567048448E-2</v>
      </c>
      <c r="F1134">
        <v>1.2800000000000002</v>
      </c>
      <c r="G1134">
        <f>F1134/1000</f>
        <v>1.2800000000000003E-3</v>
      </c>
      <c r="H1134">
        <v>23.417777777777786</v>
      </c>
      <c r="I1134">
        <f>H1134/1000</f>
        <v>2.3417777777777787E-2</v>
      </c>
      <c r="K1134" s="87">
        <f>E1134*4000</f>
        <v>60.943670268193792</v>
      </c>
      <c r="L1134" s="87">
        <f>D1134*4000</f>
        <v>49.215904964049933</v>
      </c>
    </row>
    <row r="1135" spans="1:12" hidden="1" x14ac:dyDescent="0.3">
      <c r="A1135" s="16" t="s">
        <v>64</v>
      </c>
      <c r="B1135" s="16">
        <v>2014</v>
      </c>
      <c r="C1135" s="5"/>
      <c r="K1135"/>
      <c r="L1135"/>
    </row>
    <row r="1136" spans="1:12" hidden="1" x14ac:dyDescent="0.3">
      <c r="A1136" s="16" t="s">
        <v>64</v>
      </c>
      <c r="B1136" s="16">
        <v>2014</v>
      </c>
      <c r="C1136" s="5"/>
      <c r="K1136"/>
      <c r="L1136"/>
    </row>
    <row r="1137" spans="1:3" customFormat="1" hidden="1" x14ac:dyDescent="0.3">
      <c r="A1137" s="16" t="s">
        <v>64</v>
      </c>
      <c r="B1137" s="16">
        <v>2014</v>
      </c>
      <c r="C1137" s="5"/>
    </row>
    <row r="1138" spans="1:3" customFormat="1" hidden="1" x14ac:dyDescent="0.3">
      <c r="A1138" s="16" t="s">
        <v>64</v>
      </c>
      <c r="B1138" s="16">
        <v>2014</v>
      </c>
      <c r="C1138" s="5"/>
    </row>
    <row r="1139" spans="1:3" customFormat="1" hidden="1" x14ac:dyDescent="0.3">
      <c r="A1139" s="16" t="s">
        <v>64</v>
      </c>
      <c r="B1139" s="16">
        <v>2014</v>
      </c>
      <c r="C1139" s="5"/>
    </row>
    <row r="1140" spans="1:3" customFormat="1" hidden="1" x14ac:dyDescent="0.3">
      <c r="A1140" s="16" t="s">
        <v>64</v>
      </c>
      <c r="B1140" s="16">
        <v>2014</v>
      </c>
      <c r="C1140" s="5"/>
    </row>
    <row r="1141" spans="1:3" customFormat="1" hidden="1" x14ac:dyDescent="0.3">
      <c r="A1141" s="16" t="s">
        <v>64</v>
      </c>
      <c r="B1141" s="16">
        <v>2014</v>
      </c>
      <c r="C1141" s="5"/>
    </row>
    <row r="1142" spans="1:3" customFormat="1" hidden="1" x14ac:dyDescent="0.3">
      <c r="A1142" s="16" t="s">
        <v>64</v>
      </c>
      <c r="B1142" s="16">
        <v>2014</v>
      </c>
      <c r="C1142" s="5"/>
    </row>
    <row r="1143" spans="1:3" customFormat="1" hidden="1" x14ac:dyDescent="0.3">
      <c r="A1143" s="16" t="s">
        <v>64</v>
      </c>
      <c r="B1143" s="16">
        <v>2014</v>
      </c>
      <c r="C1143" s="5"/>
    </row>
    <row r="1144" spans="1:3" customFormat="1" hidden="1" x14ac:dyDescent="0.3">
      <c r="A1144" s="16" t="s">
        <v>64</v>
      </c>
      <c r="B1144" s="16">
        <v>2014</v>
      </c>
      <c r="C1144" s="5"/>
    </row>
    <row r="1145" spans="1:3" customFormat="1" hidden="1" x14ac:dyDescent="0.3">
      <c r="A1145" s="16" t="s">
        <v>64</v>
      </c>
      <c r="B1145" s="16">
        <v>2014</v>
      </c>
      <c r="C1145" s="5"/>
    </row>
    <row r="1146" spans="1:3" customFormat="1" hidden="1" x14ac:dyDescent="0.3">
      <c r="A1146" s="16" t="s">
        <v>64</v>
      </c>
      <c r="B1146" s="16">
        <v>2014</v>
      </c>
      <c r="C1146" s="5"/>
    </row>
    <row r="1147" spans="1:3" customFormat="1" hidden="1" x14ac:dyDescent="0.3">
      <c r="A1147" s="35" t="s">
        <v>18</v>
      </c>
      <c r="B1147" s="35" t="s">
        <v>18</v>
      </c>
      <c r="C1147" s="35"/>
    </row>
    <row r="1148" spans="1:3" customFormat="1" hidden="1" x14ac:dyDescent="0.3">
      <c r="A1148" s="16" t="s">
        <v>64</v>
      </c>
      <c r="B1148" s="16">
        <v>2014</v>
      </c>
      <c r="C1148" s="5"/>
    </row>
    <row r="1149" spans="1:3" customFormat="1" hidden="1" x14ac:dyDescent="0.3">
      <c r="A1149" s="16" t="s">
        <v>64</v>
      </c>
      <c r="B1149" s="16">
        <v>2014</v>
      </c>
      <c r="C1149" s="5"/>
    </row>
    <row r="1150" spans="1:3" customFormat="1" hidden="1" x14ac:dyDescent="0.3">
      <c r="A1150" s="16" t="s">
        <v>64</v>
      </c>
      <c r="B1150" s="16">
        <v>2014</v>
      </c>
      <c r="C1150" s="5"/>
    </row>
    <row r="1151" spans="1:3" customFormat="1" hidden="1" x14ac:dyDescent="0.3">
      <c r="A1151" s="16" t="s">
        <v>64</v>
      </c>
      <c r="B1151" s="16">
        <v>2014</v>
      </c>
      <c r="C1151" s="5"/>
    </row>
    <row r="1152" spans="1:3" customFormat="1" hidden="1" x14ac:dyDescent="0.3">
      <c r="A1152" s="16" t="s">
        <v>64</v>
      </c>
      <c r="B1152" s="16">
        <v>2014</v>
      </c>
      <c r="C1152" s="5"/>
    </row>
    <row r="1153" spans="1:3" customFormat="1" hidden="1" x14ac:dyDescent="0.3">
      <c r="A1153" s="16" t="s">
        <v>64</v>
      </c>
      <c r="B1153" s="16">
        <v>2014</v>
      </c>
      <c r="C1153" s="5"/>
    </row>
    <row r="1154" spans="1:3" customFormat="1" hidden="1" x14ac:dyDescent="0.3">
      <c r="A1154" s="16" t="s">
        <v>64</v>
      </c>
      <c r="B1154" s="16">
        <v>2014</v>
      </c>
      <c r="C1154" s="5"/>
    </row>
    <row r="1155" spans="1:3" customFormat="1" hidden="1" x14ac:dyDescent="0.3">
      <c r="A1155" s="16" t="s">
        <v>64</v>
      </c>
      <c r="B1155" s="16">
        <v>2014</v>
      </c>
      <c r="C1155" s="5"/>
    </row>
    <row r="1156" spans="1:3" customFormat="1" hidden="1" x14ac:dyDescent="0.3">
      <c r="A1156" s="16" t="s">
        <v>64</v>
      </c>
      <c r="B1156" s="16">
        <v>2014</v>
      </c>
      <c r="C1156" s="5"/>
    </row>
    <row r="1157" spans="1:3" customFormat="1" hidden="1" x14ac:dyDescent="0.3">
      <c r="A1157" s="16" t="s">
        <v>64</v>
      </c>
      <c r="B1157" s="16">
        <v>2014</v>
      </c>
      <c r="C1157" s="5"/>
    </row>
    <row r="1158" spans="1:3" customFormat="1" hidden="1" x14ac:dyDescent="0.3">
      <c r="A1158" s="16" t="s">
        <v>64</v>
      </c>
      <c r="B1158" s="16">
        <v>2014</v>
      </c>
      <c r="C1158" s="5"/>
    </row>
    <row r="1159" spans="1:3" customFormat="1" hidden="1" x14ac:dyDescent="0.3">
      <c r="A1159" s="16" t="s">
        <v>64</v>
      </c>
      <c r="B1159" s="16">
        <v>2014</v>
      </c>
      <c r="C1159" s="5"/>
    </row>
    <row r="1160" spans="1:3" customFormat="1" hidden="1" x14ac:dyDescent="0.3">
      <c r="A1160" s="35" t="s">
        <v>18</v>
      </c>
      <c r="B1160" s="35" t="s">
        <v>18</v>
      </c>
      <c r="C1160" s="35"/>
    </row>
    <row r="1161" spans="1:3" customFormat="1" hidden="1" x14ac:dyDescent="0.3">
      <c r="A1161" s="35" t="s">
        <v>18</v>
      </c>
      <c r="B1161" s="35" t="s">
        <v>18</v>
      </c>
      <c r="C1161" s="35"/>
    </row>
    <row r="1162" spans="1:3" customFormat="1" hidden="1" x14ac:dyDescent="0.3">
      <c r="A1162" s="16" t="s">
        <v>64</v>
      </c>
      <c r="B1162" s="16">
        <v>2014</v>
      </c>
      <c r="C1162" s="5"/>
    </row>
    <row r="1163" spans="1:3" customFormat="1" hidden="1" x14ac:dyDescent="0.3">
      <c r="A1163" s="16" t="s">
        <v>64</v>
      </c>
      <c r="B1163" s="16">
        <v>2014</v>
      </c>
      <c r="C1163" s="5"/>
    </row>
    <row r="1164" spans="1:3" customFormat="1" hidden="1" x14ac:dyDescent="0.3">
      <c r="A1164" s="16" t="s">
        <v>64</v>
      </c>
      <c r="B1164" s="16">
        <v>2014</v>
      </c>
      <c r="C1164" s="5"/>
    </row>
    <row r="1165" spans="1:3" customFormat="1" hidden="1" x14ac:dyDescent="0.3">
      <c r="A1165" s="16" t="s">
        <v>64</v>
      </c>
      <c r="B1165" s="16">
        <v>2014</v>
      </c>
      <c r="C1165" s="5"/>
    </row>
    <row r="1166" spans="1:3" customFormat="1" hidden="1" x14ac:dyDescent="0.3">
      <c r="A1166" s="16" t="s">
        <v>64</v>
      </c>
      <c r="B1166" s="16">
        <v>2014</v>
      </c>
      <c r="C1166" s="5"/>
    </row>
    <row r="1167" spans="1:3" customFormat="1" hidden="1" x14ac:dyDescent="0.3">
      <c r="A1167" s="16" t="s">
        <v>64</v>
      </c>
      <c r="B1167" s="16">
        <v>2014</v>
      </c>
      <c r="C1167" s="5"/>
    </row>
    <row r="1168" spans="1:3" customFormat="1" hidden="1" x14ac:dyDescent="0.3">
      <c r="A1168" s="16" t="s">
        <v>64</v>
      </c>
      <c r="B1168" s="16">
        <v>2014</v>
      </c>
      <c r="C1168" s="5"/>
    </row>
    <row r="1169" spans="1:3" customFormat="1" hidden="1" x14ac:dyDescent="0.3">
      <c r="A1169" s="16" t="s">
        <v>64</v>
      </c>
      <c r="B1169" s="16">
        <v>2014</v>
      </c>
      <c r="C1169" s="5"/>
    </row>
    <row r="1170" spans="1:3" customFormat="1" hidden="1" x14ac:dyDescent="0.3">
      <c r="A1170" s="35" t="s">
        <v>18</v>
      </c>
      <c r="B1170" s="35" t="s">
        <v>18</v>
      </c>
      <c r="C1170" s="35"/>
    </row>
    <row r="1171" spans="1:3" customFormat="1" hidden="1" x14ac:dyDescent="0.3">
      <c r="A1171" s="16" t="s">
        <v>64</v>
      </c>
      <c r="B1171" s="16">
        <v>2014</v>
      </c>
      <c r="C1171" s="5"/>
    </row>
    <row r="1172" spans="1:3" customFormat="1" hidden="1" x14ac:dyDescent="0.3">
      <c r="A1172" s="35" t="s">
        <v>18</v>
      </c>
      <c r="B1172" s="35" t="s">
        <v>18</v>
      </c>
      <c r="C1172" s="35"/>
    </row>
    <row r="1173" spans="1:3" customFormat="1" hidden="1" x14ac:dyDescent="0.3">
      <c r="A1173" s="16" t="s">
        <v>64</v>
      </c>
      <c r="B1173" s="16">
        <v>2014</v>
      </c>
      <c r="C1173" s="5"/>
    </row>
    <row r="1174" spans="1:3" customFormat="1" hidden="1" x14ac:dyDescent="0.3">
      <c r="A1174" s="16" t="s">
        <v>64</v>
      </c>
      <c r="B1174" s="16">
        <v>2014</v>
      </c>
      <c r="C1174" s="5"/>
    </row>
    <row r="1175" spans="1:3" customFormat="1" hidden="1" x14ac:dyDescent="0.3">
      <c r="A1175" s="16" t="s">
        <v>64</v>
      </c>
      <c r="B1175" s="16">
        <v>2014</v>
      </c>
      <c r="C1175" s="5"/>
    </row>
    <row r="1176" spans="1:3" customFormat="1" hidden="1" x14ac:dyDescent="0.3">
      <c r="A1176" s="16" t="s">
        <v>64</v>
      </c>
      <c r="B1176" s="16">
        <v>2014</v>
      </c>
      <c r="C1176" s="5"/>
    </row>
    <row r="1177" spans="1:3" customFormat="1" hidden="1" x14ac:dyDescent="0.3">
      <c r="A1177" s="16" t="s">
        <v>64</v>
      </c>
      <c r="B1177" s="16">
        <v>2014</v>
      </c>
      <c r="C1177" s="5"/>
    </row>
    <row r="1178" spans="1:3" customFormat="1" hidden="1" x14ac:dyDescent="0.3">
      <c r="A1178" s="16" t="s">
        <v>64</v>
      </c>
      <c r="B1178" s="16">
        <v>2014</v>
      </c>
      <c r="C1178" s="5"/>
    </row>
    <row r="1179" spans="1:3" customFormat="1" hidden="1" x14ac:dyDescent="0.3">
      <c r="A1179" s="16" t="s">
        <v>64</v>
      </c>
      <c r="B1179" s="16">
        <v>2014</v>
      </c>
      <c r="C1179" s="5"/>
    </row>
    <row r="1180" spans="1:3" customFormat="1" hidden="1" x14ac:dyDescent="0.3">
      <c r="A1180" s="16" t="s">
        <v>64</v>
      </c>
      <c r="B1180" s="16">
        <v>2014</v>
      </c>
      <c r="C1180" s="5"/>
    </row>
    <row r="1181" spans="1:3" customFormat="1" hidden="1" x14ac:dyDescent="0.3">
      <c r="A1181" s="35" t="s">
        <v>18</v>
      </c>
      <c r="B1181" s="35" t="s">
        <v>18</v>
      </c>
      <c r="C1181" s="35"/>
    </row>
    <row r="1182" spans="1:3" customFormat="1" hidden="1" x14ac:dyDescent="0.3">
      <c r="A1182" s="16" t="s">
        <v>64</v>
      </c>
      <c r="B1182" s="16">
        <v>2014</v>
      </c>
      <c r="C1182" s="5"/>
    </row>
    <row r="1183" spans="1:3" customFormat="1" hidden="1" x14ac:dyDescent="0.3">
      <c r="A1183" s="16" t="s">
        <v>64</v>
      </c>
      <c r="B1183" s="16">
        <v>2014</v>
      </c>
      <c r="C1183" s="5"/>
    </row>
    <row r="1184" spans="1:3" customFormat="1" hidden="1" x14ac:dyDescent="0.3">
      <c r="A1184" s="16" t="s">
        <v>64</v>
      </c>
      <c r="B1184" s="16">
        <v>2014</v>
      </c>
      <c r="C1184" s="5"/>
    </row>
    <row r="1185" spans="1:12" hidden="1" x14ac:dyDescent="0.3">
      <c r="A1185" s="16" t="s">
        <v>64</v>
      </c>
      <c r="B1185" s="16">
        <v>2014</v>
      </c>
      <c r="C1185" s="5"/>
      <c r="K1185"/>
      <c r="L1185"/>
    </row>
    <row r="1186" spans="1:12" hidden="1" x14ac:dyDescent="0.3">
      <c r="A1186" s="16" t="s">
        <v>64</v>
      </c>
      <c r="B1186" s="16">
        <v>2014</v>
      </c>
      <c r="C1186" s="5"/>
      <c r="K1186"/>
      <c r="L1186"/>
    </row>
    <row r="1187" spans="1:12" hidden="1" x14ac:dyDescent="0.3">
      <c r="A1187" s="16" t="s">
        <v>64</v>
      </c>
      <c r="B1187" s="16">
        <v>2014</v>
      </c>
      <c r="C1187" s="5"/>
      <c r="K1187"/>
      <c r="L1187"/>
    </row>
    <row r="1188" spans="1:12" hidden="1" x14ac:dyDescent="0.3">
      <c r="A1188" s="16" t="s">
        <v>64</v>
      </c>
      <c r="B1188" s="16">
        <v>2014</v>
      </c>
      <c r="C1188" s="5"/>
      <c r="K1188"/>
      <c r="L1188"/>
    </row>
    <row r="1189" spans="1:12" hidden="1" x14ac:dyDescent="0.3">
      <c r="A1189" s="16" t="s">
        <v>64</v>
      </c>
      <c r="B1189" s="16">
        <v>2014</v>
      </c>
      <c r="C1189" s="5"/>
      <c r="K1189"/>
      <c r="L1189"/>
    </row>
    <row r="1190" spans="1:12" hidden="1" x14ac:dyDescent="0.3">
      <c r="A1190" s="36" t="s">
        <v>64</v>
      </c>
      <c r="B1190" s="36">
        <v>2014</v>
      </c>
      <c r="C1190" s="37"/>
      <c r="K1190"/>
      <c r="L1190"/>
    </row>
    <row r="1191" spans="1:12" hidden="1" x14ac:dyDescent="0.3">
      <c r="A1191" s="36" t="s">
        <v>64</v>
      </c>
      <c r="B1191" s="36">
        <v>2014</v>
      </c>
      <c r="C1191" s="37"/>
      <c r="K1191"/>
      <c r="L1191"/>
    </row>
    <row r="1192" spans="1:12" hidden="1" x14ac:dyDescent="0.3">
      <c r="A1192" s="36" t="s">
        <v>64</v>
      </c>
      <c r="B1192" s="36">
        <v>2014</v>
      </c>
      <c r="C1192" s="37"/>
      <c r="K1192"/>
      <c r="L1192"/>
    </row>
    <row r="1193" spans="1:12" hidden="1" x14ac:dyDescent="0.3">
      <c r="A1193" s="36" t="s">
        <v>64</v>
      </c>
      <c r="B1193" s="36">
        <v>2014</v>
      </c>
      <c r="C1193" s="37"/>
      <c r="K1193"/>
      <c r="L1193"/>
    </row>
    <row r="1194" spans="1:12" x14ac:dyDescent="0.3">
      <c r="A1194" s="16" t="s">
        <v>96</v>
      </c>
      <c r="C1194" s="16" t="s">
        <v>153</v>
      </c>
      <c r="D1194">
        <v>1.0459568927278371E-2</v>
      </c>
      <c r="E1194">
        <v>1.6238502549333803E-2</v>
      </c>
      <c r="F1194">
        <v>1.486956521739131</v>
      </c>
      <c r="G1194">
        <f>F1194/1000</f>
        <v>1.4869565217391308E-3</v>
      </c>
      <c r="H1194">
        <v>20.551086956521733</v>
      </c>
      <c r="I1194">
        <f>H1194/1000</f>
        <v>2.0551086956521733E-2</v>
      </c>
      <c r="K1194" s="87">
        <f>E1194*4000</f>
        <v>64.954010197335208</v>
      </c>
      <c r="L1194" s="87">
        <f>D1194*4000</f>
        <v>41.838275709113482</v>
      </c>
    </row>
    <row r="1195" spans="1:12" hidden="1" x14ac:dyDescent="0.3">
      <c r="A1195" s="16" t="s">
        <v>96</v>
      </c>
      <c r="B1195" s="16">
        <v>2014</v>
      </c>
      <c r="K1195"/>
      <c r="L1195"/>
    </row>
    <row r="1196" spans="1:12" hidden="1" x14ac:dyDescent="0.3">
      <c r="A1196" s="16" t="s">
        <v>96</v>
      </c>
      <c r="B1196" s="16">
        <v>2014</v>
      </c>
      <c r="K1196"/>
      <c r="L1196"/>
    </row>
    <row r="1197" spans="1:12" hidden="1" x14ac:dyDescent="0.3">
      <c r="A1197" s="16" t="s">
        <v>96</v>
      </c>
      <c r="B1197" s="16">
        <v>2014</v>
      </c>
      <c r="K1197"/>
      <c r="L1197"/>
    </row>
    <row r="1198" spans="1:12" hidden="1" x14ac:dyDescent="0.3">
      <c r="A1198" s="16" t="s">
        <v>96</v>
      </c>
      <c r="B1198" s="16">
        <v>2014</v>
      </c>
      <c r="K1198"/>
      <c r="L1198"/>
    </row>
    <row r="1199" spans="1:12" hidden="1" x14ac:dyDescent="0.3">
      <c r="A1199" s="16" t="s">
        <v>96</v>
      </c>
      <c r="B1199" s="16">
        <v>2014</v>
      </c>
      <c r="K1199"/>
      <c r="L1199"/>
    </row>
    <row r="1200" spans="1:12" hidden="1" x14ac:dyDescent="0.3">
      <c r="A1200" s="16" t="s">
        <v>96</v>
      </c>
      <c r="B1200" s="16">
        <v>2014</v>
      </c>
      <c r="K1200"/>
      <c r="L1200"/>
    </row>
    <row r="1201" spans="1:3" customFormat="1" hidden="1" x14ac:dyDescent="0.3">
      <c r="A1201" s="16" t="s">
        <v>96</v>
      </c>
      <c r="B1201" s="16">
        <v>2014</v>
      </c>
      <c r="C1201" s="16"/>
    </row>
    <row r="1202" spans="1:3" customFormat="1" hidden="1" x14ac:dyDescent="0.3">
      <c r="A1202" s="16" t="s">
        <v>96</v>
      </c>
      <c r="B1202" s="16">
        <v>2014</v>
      </c>
      <c r="C1202" s="16"/>
    </row>
    <row r="1203" spans="1:3" customFormat="1" hidden="1" x14ac:dyDescent="0.3">
      <c r="A1203" s="16" t="s">
        <v>96</v>
      </c>
      <c r="B1203" s="16">
        <v>2014</v>
      </c>
      <c r="C1203" s="16"/>
    </row>
    <row r="1204" spans="1:3" customFormat="1" hidden="1" x14ac:dyDescent="0.3">
      <c r="A1204" s="16" t="s">
        <v>96</v>
      </c>
      <c r="B1204" s="16">
        <v>2014</v>
      </c>
      <c r="C1204" s="16"/>
    </row>
    <row r="1205" spans="1:3" customFormat="1" hidden="1" x14ac:dyDescent="0.3">
      <c r="A1205" s="16" t="s">
        <v>96</v>
      </c>
      <c r="B1205" s="16">
        <v>2014</v>
      </c>
      <c r="C1205" s="16"/>
    </row>
    <row r="1206" spans="1:3" customFormat="1" hidden="1" x14ac:dyDescent="0.3">
      <c r="A1206" s="16" t="s">
        <v>96</v>
      </c>
      <c r="B1206" s="16">
        <v>2014</v>
      </c>
      <c r="C1206" s="16"/>
    </row>
    <row r="1207" spans="1:3" customFormat="1" hidden="1" x14ac:dyDescent="0.3">
      <c r="A1207" s="35" t="s">
        <v>18</v>
      </c>
      <c r="B1207" s="35" t="s">
        <v>18</v>
      </c>
      <c r="C1207" s="35"/>
    </row>
    <row r="1208" spans="1:3" customFormat="1" hidden="1" x14ac:dyDescent="0.3">
      <c r="A1208" s="16" t="s">
        <v>96</v>
      </c>
      <c r="B1208" s="16">
        <v>2014</v>
      </c>
      <c r="C1208" s="16"/>
    </row>
    <row r="1209" spans="1:3" customFormat="1" hidden="1" x14ac:dyDescent="0.3">
      <c r="A1209" s="16" t="s">
        <v>96</v>
      </c>
      <c r="B1209" s="16">
        <v>2014</v>
      </c>
      <c r="C1209" s="16"/>
    </row>
    <row r="1210" spans="1:3" customFormat="1" hidden="1" x14ac:dyDescent="0.3">
      <c r="A1210" s="16" t="s">
        <v>96</v>
      </c>
      <c r="B1210" s="16">
        <v>2014</v>
      </c>
      <c r="C1210" s="16"/>
    </row>
    <row r="1211" spans="1:3" customFormat="1" hidden="1" x14ac:dyDescent="0.3">
      <c r="A1211" s="16" t="s">
        <v>96</v>
      </c>
      <c r="B1211" s="16">
        <v>2014</v>
      </c>
      <c r="C1211" s="16"/>
    </row>
    <row r="1212" spans="1:3" customFormat="1" hidden="1" x14ac:dyDescent="0.3">
      <c r="A1212" s="16" t="s">
        <v>96</v>
      </c>
      <c r="B1212" s="16">
        <v>2014</v>
      </c>
      <c r="C1212" s="16"/>
    </row>
    <row r="1213" spans="1:3" customFormat="1" hidden="1" x14ac:dyDescent="0.3">
      <c r="A1213" s="16" t="s">
        <v>96</v>
      </c>
      <c r="B1213" s="16">
        <v>2014</v>
      </c>
      <c r="C1213" s="16"/>
    </row>
    <row r="1214" spans="1:3" customFormat="1" hidden="1" x14ac:dyDescent="0.3">
      <c r="A1214" s="16" t="s">
        <v>96</v>
      </c>
      <c r="B1214" s="16">
        <v>2014</v>
      </c>
      <c r="C1214" s="16"/>
    </row>
    <row r="1215" spans="1:3" customFormat="1" hidden="1" x14ac:dyDescent="0.3">
      <c r="A1215" s="16" t="s">
        <v>96</v>
      </c>
      <c r="B1215" s="16">
        <v>2014</v>
      </c>
      <c r="C1215" s="16"/>
    </row>
    <row r="1216" spans="1:3" customFormat="1" hidden="1" x14ac:dyDescent="0.3">
      <c r="A1216" s="16" t="s">
        <v>96</v>
      </c>
      <c r="B1216" s="16">
        <v>2014</v>
      </c>
      <c r="C1216" s="16"/>
    </row>
    <row r="1217" spans="1:3" customFormat="1" hidden="1" x14ac:dyDescent="0.3">
      <c r="A1217" s="16" t="s">
        <v>96</v>
      </c>
      <c r="B1217" s="16">
        <v>2014</v>
      </c>
      <c r="C1217" s="16"/>
    </row>
    <row r="1218" spans="1:3" customFormat="1" hidden="1" x14ac:dyDescent="0.3">
      <c r="A1218" s="16" t="s">
        <v>96</v>
      </c>
      <c r="B1218" s="16">
        <v>2014</v>
      </c>
      <c r="C1218" s="16"/>
    </row>
    <row r="1219" spans="1:3" customFormat="1" hidden="1" x14ac:dyDescent="0.3">
      <c r="A1219" s="16" t="s">
        <v>96</v>
      </c>
      <c r="B1219" s="16">
        <v>2014</v>
      </c>
      <c r="C1219" s="16"/>
    </row>
    <row r="1220" spans="1:3" customFormat="1" hidden="1" x14ac:dyDescent="0.3">
      <c r="A1220" s="35" t="s">
        <v>18</v>
      </c>
      <c r="B1220" s="35" t="s">
        <v>18</v>
      </c>
      <c r="C1220" s="35"/>
    </row>
    <row r="1221" spans="1:3" customFormat="1" hidden="1" x14ac:dyDescent="0.3">
      <c r="A1221" s="35" t="s">
        <v>18</v>
      </c>
      <c r="B1221" s="35" t="s">
        <v>18</v>
      </c>
      <c r="C1221" s="35"/>
    </row>
    <row r="1222" spans="1:3" customFormat="1" hidden="1" x14ac:dyDescent="0.3">
      <c r="A1222" s="16" t="s">
        <v>96</v>
      </c>
      <c r="B1222" s="16">
        <v>2014</v>
      </c>
      <c r="C1222" s="16"/>
    </row>
    <row r="1223" spans="1:3" customFormat="1" hidden="1" x14ac:dyDescent="0.3">
      <c r="A1223" s="16" t="s">
        <v>96</v>
      </c>
      <c r="B1223" s="16">
        <v>2014</v>
      </c>
      <c r="C1223" s="16"/>
    </row>
    <row r="1224" spans="1:3" customFormat="1" hidden="1" x14ac:dyDescent="0.3">
      <c r="A1224" s="16" t="s">
        <v>96</v>
      </c>
      <c r="B1224" s="16">
        <v>2014</v>
      </c>
      <c r="C1224" s="16"/>
    </row>
    <row r="1225" spans="1:3" customFormat="1" hidden="1" x14ac:dyDescent="0.3">
      <c r="A1225" s="16" t="s">
        <v>96</v>
      </c>
      <c r="B1225" s="16">
        <v>2014</v>
      </c>
      <c r="C1225" s="16"/>
    </row>
    <row r="1226" spans="1:3" customFormat="1" hidden="1" x14ac:dyDescent="0.3">
      <c r="A1226" s="16" t="s">
        <v>96</v>
      </c>
      <c r="B1226" s="16">
        <v>2014</v>
      </c>
      <c r="C1226" s="16"/>
    </row>
    <row r="1227" spans="1:3" customFormat="1" hidden="1" x14ac:dyDescent="0.3">
      <c r="A1227" s="16" t="s">
        <v>96</v>
      </c>
      <c r="B1227" s="16">
        <v>2014</v>
      </c>
      <c r="C1227" s="16"/>
    </row>
    <row r="1228" spans="1:3" customFormat="1" hidden="1" x14ac:dyDescent="0.3">
      <c r="A1228" s="16" t="s">
        <v>96</v>
      </c>
      <c r="B1228" s="16">
        <v>2014</v>
      </c>
      <c r="C1228" s="16"/>
    </row>
    <row r="1229" spans="1:3" customFormat="1" hidden="1" x14ac:dyDescent="0.3">
      <c r="A1229" s="16" t="s">
        <v>96</v>
      </c>
      <c r="B1229" s="16">
        <v>2014</v>
      </c>
      <c r="C1229" s="16"/>
    </row>
    <row r="1230" spans="1:3" customFormat="1" hidden="1" x14ac:dyDescent="0.3">
      <c r="A1230" s="35" t="s">
        <v>18</v>
      </c>
      <c r="B1230" s="35" t="s">
        <v>18</v>
      </c>
      <c r="C1230" s="35"/>
    </row>
    <row r="1231" spans="1:3" customFormat="1" hidden="1" x14ac:dyDescent="0.3">
      <c r="A1231" s="16" t="s">
        <v>96</v>
      </c>
      <c r="B1231" s="16">
        <v>2014</v>
      </c>
      <c r="C1231" s="16"/>
    </row>
    <row r="1232" spans="1:3" customFormat="1" hidden="1" x14ac:dyDescent="0.3">
      <c r="A1232" s="35" t="s">
        <v>18</v>
      </c>
      <c r="B1232" s="35" t="s">
        <v>18</v>
      </c>
      <c r="C1232" s="35"/>
    </row>
    <row r="1233" spans="1:3" customFormat="1" hidden="1" x14ac:dyDescent="0.3">
      <c r="A1233" s="16" t="s">
        <v>96</v>
      </c>
      <c r="B1233" s="16">
        <v>2014</v>
      </c>
      <c r="C1233" s="16"/>
    </row>
    <row r="1234" spans="1:3" customFormat="1" hidden="1" x14ac:dyDescent="0.3">
      <c r="A1234" s="16" t="s">
        <v>96</v>
      </c>
      <c r="B1234" s="16">
        <v>2014</v>
      </c>
      <c r="C1234" s="16"/>
    </row>
    <row r="1235" spans="1:3" customFormat="1" hidden="1" x14ac:dyDescent="0.3">
      <c r="A1235" s="16" t="s">
        <v>96</v>
      </c>
      <c r="B1235" s="16">
        <v>2014</v>
      </c>
      <c r="C1235" s="16"/>
    </row>
    <row r="1236" spans="1:3" customFormat="1" hidden="1" x14ac:dyDescent="0.3">
      <c r="A1236" s="16" t="s">
        <v>96</v>
      </c>
      <c r="B1236" s="16">
        <v>2014</v>
      </c>
      <c r="C1236" s="16"/>
    </row>
    <row r="1237" spans="1:3" customFormat="1" hidden="1" x14ac:dyDescent="0.3">
      <c r="A1237" s="16" t="s">
        <v>96</v>
      </c>
      <c r="B1237" s="16">
        <v>2014</v>
      </c>
      <c r="C1237" s="16"/>
    </row>
    <row r="1238" spans="1:3" customFormat="1" hidden="1" x14ac:dyDescent="0.3">
      <c r="A1238" s="16" t="s">
        <v>96</v>
      </c>
      <c r="B1238" s="16">
        <v>2014</v>
      </c>
      <c r="C1238" s="16"/>
    </row>
    <row r="1239" spans="1:3" customFormat="1" hidden="1" x14ac:dyDescent="0.3">
      <c r="A1239" s="16" t="s">
        <v>96</v>
      </c>
      <c r="B1239" s="16">
        <v>2014</v>
      </c>
      <c r="C1239" s="16"/>
    </row>
    <row r="1240" spans="1:3" customFormat="1" hidden="1" x14ac:dyDescent="0.3">
      <c r="A1240" s="16" t="s">
        <v>96</v>
      </c>
      <c r="B1240" s="16">
        <v>2014</v>
      </c>
      <c r="C1240" s="16"/>
    </row>
    <row r="1241" spans="1:3" customFormat="1" hidden="1" x14ac:dyDescent="0.3">
      <c r="A1241" s="35" t="s">
        <v>18</v>
      </c>
      <c r="B1241" s="35" t="s">
        <v>18</v>
      </c>
      <c r="C1241" s="35"/>
    </row>
    <row r="1242" spans="1:3" customFormat="1" hidden="1" x14ac:dyDescent="0.3">
      <c r="A1242" s="16" t="s">
        <v>96</v>
      </c>
      <c r="B1242" s="16">
        <v>2014</v>
      </c>
      <c r="C1242" s="16"/>
    </row>
    <row r="1243" spans="1:3" customFormat="1" hidden="1" x14ac:dyDescent="0.3">
      <c r="A1243" s="16" t="s">
        <v>96</v>
      </c>
      <c r="B1243" s="16">
        <v>2014</v>
      </c>
      <c r="C1243" s="16"/>
    </row>
    <row r="1244" spans="1:3" customFormat="1" hidden="1" x14ac:dyDescent="0.3">
      <c r="A1244" s="16" t="s">
        <v>96</v>
      </c>
      <c r="B1244" s="16">
        <v>2014</v>
      </c>
      <c r="C1244" s="16"/>
    </row>
    <row r="1245" spans="1:3" customFormat="1" hidden="1" x14ac:dyDescent="0.3">
      <c r="A1245" s="16" t="s">
        <v>96</v>
      </c>
      <c r="B1245" s="16">
        <v>2014</v>
      </c>
      <c r="C1245" s="16"/>
    </row>
    <row r="1246" spans="1:3" customFormat="1" hidden="1" x14ac:dyDescent="0.3">
      <c r="A1246" s="16" t="s">
        <v>96</v>
      </c>
      <c r="B1246" s="16">
        <v>2014</v>
      </c>
      <c r="C1246" s="16"/>
    </row>
    <row r="1247" spans="1:3" customFormat="1" hidden="1" x14ac:dyDescent="0.3">
      <c r="A1247" s="16" t="s">
        <v>96</v>
      </c>
      <c r="B1247" s="16">
        <v>2014</v>
      </c>
      <c r="C1247" s="16"/>
    </row>
    <row r="1248" spans="1:3" customFormat="1" hidden="1" x14ac:dyDescent="0.3">
      <c r="A1248" s="16" t="s">
        <v>96</v>
      </c>
      <c r="B1248" s="16">
        <v>2014</v>
      </c>
      <c r="C1248" s="16"/>
    </row>
    <row r="1249" spans="1:12" hidden="1" x14ac:dyDescent="0.3">
      <c r="A1249" s="16" t="s">
        <v>96</v>
      </c>
      <c r="B1249" s="16">
        <v>2014</v>
      </c>
      <c r="K1249"/>
      <c r="L1249"/>
    </row>
    <row r="1250" spans="1:12" hidden="1" x14ac:dyDescent="0.3">
      <c r="A1250" s="36" t="s">
        <v>96</v>
      </c>
      <c r="B1250" s="36">
        <v>2014</v>
      </c>
      <c r="C1250" s="36"/>
      <c r="K1250"/>
      <c r="L1250"/>
    </row>
    <row r="1251" spans="1:12" hidden="1" x14ac:dyDescent="0.3">
      <c r="A1251" s="36" t="s">
        <v>96</v>
      </c>
      <c r="B1251" s="36">
        <v>2014</v>
      </c>
      <c r="C1251" s="36"/>
      <c r="K1251"/>
      <c r="L1251"/>
    </row>
    <row r="1252" spans="1:12" hidden="1" x14ac:dyDescent="0.3">
      <c r="A1252" s="36" t="s">
        <v>96</v>
      </c>
      <c r="B1252" s="36">
        <v>2014</v>
      </c>
      <c r="C1252" s="36"/>
      <c r="K1252"/>
      <c r="L1252"/>
    </row>
    <row r="1253" spans="1:12" hidden="1" x14ac:dyDescent="0.3">
      <c r="A1253" s="36" t="s">
        <v>96</v>
      </c>
      <c r="B1253" s="36">
        <v>2014</v>
      </c>
      <c r="C1253" s="36"/>
      <c r="K1253"/>
      <c r="L1253"/>
    </row>
    <row r="1254" spans="1:12" x14ac:dyDescent="0.3">
      <c r="A1254" s="16" t="s">
        <v>33</v>
      </c>
      <c r="C1254" s="16" t="s">
        <v>154</v>
      </c>
      <c r="D1254">
        <v>4.1592400195145356E-3</v>
      </c>
      <c r="E1254">
        <v>7.7593245721312562E-3</v>
      </c>
      <c r="F1254">
        <v>2.4043478260869557</v>
      </c>
      <c r="G1254">
        <f>F1254/1000</f>
        <v>2.4043478260869556E-3</v>
      </c>
      <c r="H1254">
        <v>14.773913043478254</v>
      </c>
      <c r="I1254">
        <f>H1254/1000</f>
        <v>1.4773913043478254E-2</v>
      </c>
      <c r="K1254" s="87">
        <f>E1254*4000</f>
        <v>31.037298288525026</v>
      </c>
      <c r="L1254" s="87">
        <f>D1254*4000</f>
        <v>16.636960078058141</v>
      </c>
    </row>
    <row r="1255" spans="1:12" hidden="1" x14ac:dyDescent="0.3">
      <c r="A1255" s="16" t="s">
        <v>33</v>
      </c>
      <c r="B1255" s="16">
        <v>2014</v>
      </c>
      <c r="K1255"/>
      <c r="L1255"/>
    </row>
    <row r="1256" spans="1:12" hidden="1" x14ac:dyDescent="0.3">
      <c r="A1256" s="16" t="s">
        <v>33</v>
      </c>
      <c r="B1256" s="16">
        <v>2014</v>
      </c>
      <c r="K1256"/>
      <c r="L1256"/>
    </row>
    <row r="1257" spans="1:12" hidden="1" x14ac:dyDescent="0.3">
      <c r="A1257" s="16" t="s">
        <v>33</v>
      </c>
      <c r="B1257" s="16">
        <v>2014</v>
      </c>
      <c r="K1257"/>
      <c r="L1257"/>
    </row>
    <row r="1258" spans="1:12" hidden="1" x14ac:dyDescent="0.3">
      <c r="A1258" s="16" t="s">
        <v>33</v>
      </c>
      <c r="B1258" s="16">
        <v>2014</v>
      </c>
      <c r="K1258"/>
      <c r="L1258"/>
    </row>
    <row r="1259" spans="1:12" hidden="1" x14ac:dyDescent="0.3">
      <c r="A1259" s="16" t="s">
        <v>33</v>
      </c>
      <c r="B1259" s="16">
        <v>2014</v>
      </c>
      <c r="K1259"/>
      <c r="L1259"/>
    </row>
    <row r="1260" spans="1:12" hidden="1" x14ac:dyDescent="0.3">
      <c r="A1260" s="16" t="s">
        <v>33</v>
      </c>
      <c r="B1260" s="16">
        <v>2014</v>
      </c>
      <c r="K1260"/>
      <c r="L1260"/>
    </row>
    <row r="1261" spans="1:12" hidden="1" x14ac:dyDescent="0.3">
      <c r="A1261" s="16" t="s">
        <v>33</v>
      </c>
      <c r="B1261" s="16">
        <v>2014</v>
      </c>
      <c r="K1261"/>
      <c r="L1261"/>
    </row>
    <row r="1262" spans="1:12" hidden="1" x14ac:dyDescent="0.3">
      <c r="A1262" s="16" t="s">
        <v>33</v>
      </c>
      <c r="B1262" s="16">
        <v>2014</v>
      </c>
      <c r="K1262"/>
      <c r="L1262"/>
    </row>
    <row r="1263" spans="1:12" hidden="1" x14ac:dyDescent="0.3">
      <c r="A1263" s="16" t="s">
        <v>33</v>
      </c>
      <c r="B1263" s="16">
        <v>2014</v>
      </c>
      <c r="K1263"/>
      <c r="L1263"/>
    </row>
    <row r="1264" spans="1:12" hidden="1" x14ac:dyDescent="0.3">
      <c r="A1264" s="16" t="s">
        <v>33</v>
      </c>
      <c r="B1264" s="16">
        <v>2014</v>
      </c>
      <c r="K1264"/>
      <c r="L1264"/>
    </row>
    <row r="1265" spans="1:3" customFormat="1" hidden="1" x14ac:dyDescent="0.3">
      <c r="A1265" s="16" t="s">
        <v>33</v>
      </c>
      <c r="B1265" s="16">
        <v>2014</v>
      </c>
      <c r="C1265" s="16"/>
    </row>
    <row r="1266" spans="1:3" customFormat="1" hidden="1" x14ac:dyDescent="0.3">
      <c r="A1266" s="16" t="s">
        <v>33</v>
      </c>
      <c r="B1266" s="16">
        <v>2014</v>
      </c>
      <c r="C1266" s="16"/>
    </row>
    <row r="1267" spans="1:3" customFormat="1" hidden="1" x14ac:dyDescent="0.3">
      <c r="A1267" s="35" t="s">
        <v>18</v>
      </c>
      <c r="B1267" s="35" t="s">
        <v>18</v>
      </c>
      <c r="C1267" s="35"/>
    </row>
    <row r="1268" spans="1:3" customFormat="1" hidden="1" x14ac:dyDescent="0.3">
      <c r="A1268" s="16" t="s">
        <v>33</v>
      </c>
      <c r="B1268" s="16">
        <v>2014</v>
      </c>
      <c r="C1268" s="16"/>
    </row>
    <row r="1269" spans="1:3" customFormat="1" hidden="1" x14ac:dyDescent="0.3">
      <c r="A1269" s="16" t="s">
        <v>33</v>
      </c>
      <c r="B1269" s="16">
        <v>2014</v>
      </c>
      <c r="C1269" s="16"/>
    </row>
    <row r="1270" spans="1:3" customFormat="1" hidden="1" x14ac:dyDescent="0.3">
      <c r="A1270" s="16" t="s">
        <v>33</v>
      </c>
      <c r="B1270" s="16">
        <v>2014</v>
      </c>
      <c r="C1270" s="16"/>
    </row>
    <row r="1271" spans="1:3" customFormat="1" hidden="1" x14ac:dyDescent="0.3">
      <c r="A1271" s="16" t="s">
        <v>33</v>
      </c>
      <c r="B1271" s="16">
        <v>2014</v>
      </c>
      <c r="C1271" s="16"/>
    </row>
    <row r="1272" spans="1:3" customFormat="1" hidden="1" x14ac:dyDescent="0.3">
      <c r="A1272" s="16" t="s">
        <v>33</v>
      </c>
      <c r="B1272" s="16">
        <v>2014</v>
      </c>
      <c r="C1272" s="16"/>
    </row>
    <row r="1273" spans="1:3" customFormat="1" hidden="1" x14ac:dyDescent="0.3">
      <c r="A1273" s="16" t="s">
        <v>33</v>
      </c>
      <c r="B1273" s="16">
        <v>2014</v>
      </c>
      <c r="C1273" s="16"/>
    </row>
    <row r="1274" spans="1:3" customFormat="1" hidden="1" x14ac:dyDescent="0.3">
      <c r="A1274" s="16" t="s">
        <v>33</v>
      </c>
      <c r="B1274" s="16">
        <v>2014</v>
      </c>
      <c r="C1274" s="16"/>
    </row>
    <row r="1275" spans="1:3" customFormat="1" hidden="1" x14ac:dyDescent="0.3">
      <c r="A1275" s="16" t="s">
        <v>33</v>
      </c>
      <c r="B1275" s="16">
        <v>2014</v>
      </c>
      <c r="C1275" s="16"/>
    </row>
    <row r="1276" spans="1:3" customFormat="1" hidden="1" x14ac:dyDescent="0.3">
      <c r="A1276" s="16" t="s">
        <v>33</v>
      </c>
      <c r="B1276" s="16">
        <v>2014</v>
      </c>
      <c r="C1276" s="16"/>
    </row>
    <row r="1277" spans="1:3" customFormat="1" hidden="1" x14ac:dyDescent="0.3">
      <c r="A1277" s="16" t="s">
        <v>33</v>
      </c>
      <c r="B1277" s="16">
        <v>2014</v>
      </c>
      <c r="C1277" s="16"/>
    </row>
    <row r="1278" spans="1:3" customFormat="1" hidden="1" x14ac:dyDescent="0.3">
      <c r="A1278" s="16" t="s">
        <v>33</v>
      </c>
      <c r="B1278" s="16">
        <v>2014</v>
      </c>
      <c r="C1278" s="16"/>
    </row>
    <row r="1279" spans="1:3" customFormat="1" hidden="1" x14ac:dyDescent="0.3">
      <c r="A1279" s="16" t="s">
        <v>33</v>
      </c>
      <c r="B1279" s="16">
        <v>2014</v>
      </c>
      <c r="C1279" s="5"/>
    </row>
    <row r="1280" spans="1:3" customFormat="1" hidden="1" x14ac:dyDescent="0.3">
      <c r="A1280" s="35" t="s">
        <v>18</v>
      </c>
      <c r="B1280" s="35" t="s">
        <v>18</v>
      </c>
      <c r="C1280" s="35"/>
    </row>
    <row r="1281" spans="1:3" customFormat="1" hidden="1" x14ac:dyDescent="0.3">
      <c r="A1281" s="35" t="s">
        <v>18</v>
      </c>
      <c r="B1281" s="35" t="s">
        <v>18</v>
      </c>
      <c r="C1281" s="35"/>
    </row>
    <row r="1282" spans="1:3" customFormat="1" hidden="1" x14ac:dyDescent="0.3">
      <c r="A1282" s="16" t="s">
        <v>33</v>
      </c>
      <c r="B1282" s="16">
        <v>2014</v>
      </c>
      <c r="C1282" s="16"/>
    </row>
    <row r="1283" spans="1:3" customFormat="1" hidden="1" x14ac:dyDescent="0.3">
      <c r="A1283" s="16" t="s">
        <v>33</v>
      </c>
      <c r="B1283" s="16">
        <v>2014</v>
      </c>
      <c r="C1283" s="16"/>
    </row>
    <row r="1284" spans="1:3" customFormat="1" hidden="1" x14ac:dyDescent="0.3">
      <c r="A1284" s="16" t="s">
        <v>33</v>
      </c>
      <c r="B1284" s="16">
        <v>2014</v>
      </c>
      <c r="C1284" s="16"/>
    </row>
    <row r="1285" spans="1:3" customFormat="1" hidden="1" x14ac:dyDescent="0.3">
      <c r="A1285" s="16" t="s">
        <v>33</v>
      </c>
      <c r="B1285" s="16">
        <v>2014</v>
      </c>
      <c r="C1285" s="16"/>
    </row>
    <row r="1286" spans="1:3" customFormat="1" hidden="1" x14ac:dyDescent="0.3">
      <c r="A1286" s="16" t="s">
        <v>33</v>
      </c>
      <c r="B1286" s="16">
        <v>2014</v>
      </c>
      <c r="C1286" s="16"/>
    </row>
    <row r="1287" spans="1:3" customFormat="1" hidden="1" x14ac:dyDescent="0.3">
      <c r="A1287" s="16" t="s">
        <v>33</v>
      </c>
      <c r="B1287" s="16">
        <v>2014</v>
      </c>
      <c r="C1287" s="16"/>
    </row>
    <row r="1288" spans="1:3" customFormat="1" hidden="1" x14ac:dyDescent="0.3">
      <c r="A1288" s="16" t="s">
        <v>33</v>
      </c>
      <c r="B1288" s="16">
        <v>2014</v>
      </c>
      <c r="C1288" s="5"/>
    </row>
    <row r="1289" spans="1:3" customFormat="1" hidden="1" x14ac:dyDescent="0.3">
      <c r="A1289" s="16" t="s">
        <v>33</v>
      </c>
      <c r="B1289" s="16">
        <v>2014</v>
      </c>
      <c r="C1289" s="5"/>
    </row>
    <row r="1290" spans="1:3" customFormat="1" hidden="1" x14ac:dyDescent="0.3">
      <c r="A1290" s="35" t="s">
        <v>18</v>
      </c>
      <c r="B1290" s="35" t="s">
        <v>18</v>
      </c>
      <c r="C1290" s="35"/>
    </row>
    <row r="1291" spans="1:3" customFormat="1" hidden="1" x14ac:dyDescent="0.3">
      <c r="A1291" s="16" t="s">
        <v>33</v>
      </c>
      <c r="B1291" s="16">
        <v>2014</v>
      </c>
      <c r="C1291" s="16"/>
    </row>
    <row r="1292" spans="1:3" customFormat="1" hidden="1" x14ac:dyDescent="0.3">
      <c r="A1292" s="35" t="s">
        <v>18</v>
      </c>
      <c r="B1292" s="35" t="s">
        <v>18</v>
      </c>
      <c r="C1292" s="35"/>
    </row>
    <row r="1293" spans="1:3" customFormat="1" hidden="1" x14ac:dyDescent="0.3">
      <c r="A1293" s="16" t="s">
        <v>33</v>
      </c>
      <c r="B1293" s="16">
        <v>2014</v>
      </c>
      <c r="C1293" s="16"/>
    </row>
    <row r="1294" spans="1:3" customFormat="1" hidden="1" x14ac:dyDescent="0.3">
      <c r="A1294" s="16" t="s">
        <v>33</v>
      </c>
      <c r="B1294" s="16">
        <v>2014</v>
      </c>
      <c r="C1294" s="16"/>
    </row>
    <row r="1295" spans="1:3" customFormat="1" hidden="1" x14ac:dyDescent="0.3">
      <c r="A1295" s="16" t="s">
        <v>33</v>
      </c>
      <c r="B1295" s="16">
        <v>2014</v>
      </c>
      <c r="C1295" s="16"/>
    </row>
    <row r="1296" spans="1:3" customFormat="1" hidden="1" x14ac:dyDescent="0.3">
      <c r="A1296" s="16" t="s">
        <v>33</v>
      </c>
      <c r="B1296" s="16">
        <v>2014</v>
      </c>
      <c r="C1296" s="16"/>
    </row>
    <row r="1297" spans="1:3" customFormat="1" hidden="1" x14ac:dyDescent="0.3">
      <c r="A1297" s="16" t="s">
        <v>33</v>
      </c>
      <c r="B1297" s="16">
        <v>2014</v>
      </c>
      <c r="C1297" s="16"/>
    </row>
    <row r="1298" spans="1:3" customFormat="1" hidden="1" x14ac:dyDescent="0.3">
      <c r="A1298" s="16" t="s">
        <v>33</v>
      </c>
      <c r="B1298" s="16">
        <v>2014</v>
      </c>
      <c r="C1298" s="16"/>
    </row>
    <row r="1299" spans="1:3" customFormat="1" hidden="1" x14ac:dyDescent="0.3">
      <c r="A1299" s="16" t="s">
        <v>33</v>
      </c>
      <c r="B1299" s="16">
        <v>2014</v>
      </c>
      <c r="C1299" s="16"/>
    </row>
    <row r="1300" spans="1:3" customFormat="1" hidden="1" x14ac:dyDescent="0.3">
      <c r="A1300" s="16" t="s">
        <v>33</v>
      </c>
      <c r="B1300" s="16">
        <v>2014</v>
      </c>
      <c r="C1300" s="16"/>
    </row>
    <row r="1301" spans="1:3" customFormat="1" hidden="1" x14ac:dyDescent="0.3">
      <c r="A1301" s="35" t="s">
        <v>18</v>
      </c>
      <c r="B1301" s="35" t="s">
        <v>18</v>
      </c>
      <c r="C1301" s="35"/>
    </row>
    <row r="1302" spans="1:3" customFormat="1" hidden="1" x14ac:dyDescent="0.3">
      <c r="A1302" s="16" t="s">
        <v>33</v>
      </c>
      <c r="B1302" s="16">
        <v>2014</v>
      </c>
      <c r="C1302" s="16"/>
    </row>
    <row r="1303" spans="1:3" customFormat="1" hidden="1" x14ac:dyDescent="0.3">
      <c r="A1303" s="16" t="s">
        <v>33</v>
      </c>
      <c r="B1303" s="16">
        <v>2014</v>
      </c>
      <c r="C1303" s="5"/>
    </row>
    <row r="1304" spans="1:3" customFormat="1" hidden="1" x14ac:dyDescent="0.3">
      <c r="A1304" s="16" t="s">
        <v>33</v>
      </c>
      <c r="B1304" s="16">
        <v>2014</v>
      </c>
      <c r="C1304" s="5"/>
    </row>
    <row r="1305" spans="1:3" customFormat="1" hidden="1" x14ac:dyDescent="0.3">
      <c r="A1305" s="16" t="s">
        <v>33</v>
      </c>
      <c r="B1305" s="16">
        <v>2014</v>
      </c>
      <c r="C1305" s="16"/>
    </row>
    <row r="1306" spans="1:3" customFormat="1" hidden="1" x14ac:dyDescent="0.3">
      <c r="A1306" s="16" t="s">
        <v>33</v>
      </c>
      <c r="B1306" s="16">
        <v>2014</v>
      </c>
      <c r="C1306" s="16"/>
    </row>
    <row r="1307" spans="1:3" customFormat="1" hidden="1" x14ac:dyDescent="0.3">
      <c r="A1307" s="16" t="s">
        <v>33</v>
      </c>
      <c r="B1307" s="16">
        <v>2014</v>
      </c>
      <c r="C1307" s="16"/>
    </row>
    <row r="1308" spans="1:3" customFormat="1" hidden="1" x14ac:dyDescent="0.3">
      <c r="A1308" s="16" t="s">
        <v>33</v>
      </c>
      <c r="B1308" s="16">
        <v>2014</v>
      </c>
      <c r="C1308" s="16"/>
    </row>
    <row r="1309" spans="1:3" customFormat="1" hidden="1" x14ac:dyDescent="0.3">
      <c r="A1309" s="16" t="s">
        <v>33</v>
      </c>
      <c r="B1309" s="16">
        <v>2014</v>
      </c>
      <c r="C1309" s="16"/>
    </row>
    <row r="1310" spans="1:3" customFormat="1" hidden="1" x14ac:dyDescent="0.3">
      <c r="A1310" s="36" t="s">
        <v>33</v>
      </c>
      <c r="B1310" s="36">
        <v>2014</v>
      </c>
      <c r="C1310" s="36"/>
    </row>
    <row r="1311" spans="1:3" customFormat="1" hidden="1" x14ac:dyDescent="0.3">
      <c r="A1311" s="36" t="s">
        <v>33</v>
      </c>
      <c r="B1311" s="36">
        <v>2014</v>
      </c>
      <c r="C1311" s="36"/>
    </row>
    <row r="1312" spans="1:3" customFormat="1" hidden="1" x14ac:dyDescent="0.3">
      <c r="A1312" s="36" t="s">
        <v>33</v>
      </c>
      <c r="B1312" s="36">
        <v>2014</v>
      </c>
      <c r="C1312" s="36"/>
    </row>
    <row r="1313" spans="1:12" hidden="1" x14ac:dyDescent="0.3">
      <c r="A1313" s="36" t="s">
        <v>33</v>
      </c>
      <c r="B1313" s="36">
        <v>2014</v>
      </c>
      <c r="C1313" s="36"/>
      <c r="K1313"/>
      <c r="L1313"/>
    </row>
    <row r="1314" spans="1:12" x14ac:dyDescent="0.3">
      <c r="A1314" s="44" t="s">
        <v>18</v>
      </c>
      <c r="B1314" s="45"/>
      <c r="C1314" s="16" t="s">
        <v>155</v>
      </c>
      <c r="D1314">
        <v>2.3423492085140142E-2</v>
      </c>
      <c r="E1314">
        <v>2.6436462561384336E-2</v>
      </c>
      <c r="F1314">
        <v>1.9208791208791209</v>
      </c>
      <c r="G1314">
        <f>F1314/1000</f>
        <v>1.9208791208791209E-3</v>
      </c>
      <c r="H1314">
        <v>18.836263736263735</v>
      </c>
      <c r="I1314">
        <f>H1314/1000</f>
        <v>1.8836263736263736E-2</v>
      </c>
      <c r="K1314" s="87">
        <f>E1314*4000</f>
        <v>105.74585024553734</v>
      </c>
      <c r="L1314" s="87">
        <f>D1314*4000</f>
        <v>93.693968340560573</v>
      </c>
    </row>
    <row r="1315" spans="1:12" hidden="1" x14ac:dyDescent="0.3">
      <c r="A1315" s="44" t="s">
        <v>18</v>
      </c>
      <c r="B1315" s="45" t="s">
        <v>18</v>
      </c>
      <c r="K1315"/>
      <c r="L1315"/>
    </row>
    <row r="1316" spans="1:12" hidden="1" x14ac:dyDescent="0.3">
      <c r="A1316" s="30" t="s">
        <v>61</v>
      </c>
      <c r="B1316" s="47">
        <v>2014</v>
      </c>
      <c r="K1316"/>
      <c r="L1316"/>
    </row>
    <row r="1317" spans="1:12" hidden="1" x14ac:dyDescent="0.3">
      <c r="A1317" s="44" t="s">
        <v>18</v>
      </c>
      <c r="B1317" s="45" t="s">
        <v>18</v>
      </c>
      <c r="K1317"/>
      <c r="L1317"/>
    </row>
    <row r="1318" spans="1:12" hidden="1" x14ac:dyDescent="0.3">
      <c r="A1318" s="44" t="s">
        <v>18</v>
      </c>
      <c r="B1318" s="45" t="s">
        <v>18</v>
      </c>
      <c r="K1318"/>
      <c r="L1318"/>
    </row>
    <row r="1319" spans="1:12" hidden="1" x14ac:dyDescent="0.3">
      <c r="A1319" s="30" t="s">
        <v>61</v>
      </c>
      <c r="B1319" s="47">
        <v>2014</v>
      </c>
      <c r="K1319"/>
      <c r="L1319"/>
    </row>
    <row r="1320" spans="1:12" hidden="1" x14ac:dyDescent="0.3">
      <c r="A1320" s="30" t="s">
        <v>61</v>
      </c>
      <c r="B1320" s="47">
        <v>2014</v>
      </c>
      <c r="K1320"/>
      <c r="L1320"/>
    </row>
    <row r="1321" spans="1:12" hidden="1" x14ac:dyDescent="0.3">
      <c r="A1321" s="30" t="s">
        <v>61</v>
      </c>
      <c r="B1321" s="47">
        <v>2014</v>
      </c>
      <c r="K1321"/>
      <c r="L1321"/>
    </row>
    <row r="1322" spans="1:12" hidden="1" x14ac:dyDescent="0.3">
      <c r="A1322" s="30" t="s">
        <v>61</v>
      </c>
      <c r="B1322" s="47">
        <v>2014</v>
      </c>
      <c r="K1322"/>
      <c r="L1322"/>
    </row>
    <row r="1323" spans="1:12" hidden="1" x14ac:dyDescent="0.3">
      <c r="A1323" s="30" t="s">
        <v>61</v>
      </c>
      <c r="B1323" s="47">
        <v>2014</v>
      </c>
      <c r="K1323"/>
      <c r="L1323"/>
    </row>
    <row r="1324" spans="1:12" hidden="1" x14ac:dyDescent="0.3">
      <c r="A1324" s="44" t="s">
        <v>18</v>
      </c>
      <c r="B1324" s="45" t="s">
        <v>18</v>
      </c>
      <c r="K1324"/>
      <c r="L1324"/>
    </row>
    <row r="1325" spans="1:12" hidden="1" x14ac:dyDescent="0.3">
      <c r="A1325" s="30" t="s">
        <v>61</v>
      </c>
      <c r="B1325" s="47">
        <v>2014</v>
      </c>
      <c r="K1325"/>
      <c r="L1325"/>
    </row>
    <row r="1326" spans="1:12" hidden="1" x14ac:dyDescent="0.3">
      <c r="A1326" s="30" t="s">
        <v>61</v>
      </c>
      <c r="B1326" s="47">
        <v>2014</v>
      </c>
      <c r="K1326"/>
      <c r="L1326"/>
    </row>
    <row r="1327" spans="1:12" hidden="1" x14ac:dyDescent="0.3">
      <c r="A1327" s="48" t="s">
        <v>18</v>
      </c>
      <c r="B1327" s="49" t="s">
        <v>18</v>
      </c>
      <c r="C1327" s="35"/>
      <c r="K1327"/>
      <c r="L1327"/>
    </row>
    <row r="1328" spans="1:12" hidden="1" x14ac:dyDescent="0.3">
      <c r="A1328" s="30" t="s">
        <v>61</v>
      </c>
      <c r="B1328" s="47">
        <v>2014</v>
      </c>
      <c r="K1328"/>
      <c r="L1328"/>
    </row>
    <row r="1329" spans="1:3" customFormat="1" hidden="1" x14ac:dyDescent="0.3">
      <c r="A1329" s="30" t="s">
        <v>61</v>
      </c>
      <c r="B1329" s="47">
        <v>2014</v>
      </c>
      <c r="C1329" s="16"/>
    </row>
    <row r="1330" spans="1:3" customFormat="1" hidden="1" x14ac:dyDescent="0.3">
      <c r="A1330" s="30" t="s">
        <v>61</v>
      </c>
      <c r="B1330" s="47">
        <v>2014</v>
      </c>
      <c r="C1330" s="16"/>
    </row>
    <row r="1331" spans="1:3" customFormat="1" hidden="1" x14ac:dyDescent="0.3">
      <c r="A1331" s="30" t="s">
        <v>61</v>
      </c>
      <c r="B1331" s="47">
        <v>2014</v>
      </c>
      <c r="C1331" s="16"/>
    </row>
    <row r="1332" spans="1:3" customFormat="1" hidden="1" x14ac:dyDescent="0.3">
      <c r="A1332" s="30" t="s">
        <v>61</v>
      </c>
      <c r="B1332" s="47">
        <v>2014</v>
      </c>
      <c r="C1332" s="16"/>
    </row>
    <row r="1333" spans="1:3" customFormat="1" hidden="1" x14ac:dyDescent="0.3">
      <c r="A1333" s="44" t="s">
        <v>18</v>
      </c>
      <c r="B1333" s="45" t="s">
        <v>18</v>
      </c>
      <c r="C1333" s="16"/>
    </row>
    <row r="1334" spans="1:3" customFormat="1" hidden="1" x14ac:dyDescent="0.3">
      <c r="A1334" s="30" t="s">
        <v>61</v>
      </c>
      <c r="B1334" s="47">
        <v>2014</v>
      </c>
      <c r="C1334" s="16"/>
    </row>
    <row r="1335" spans="1:3" customFormat="1" hidden="1" x14ac:dyDescent="0.3">
      <c r="A1335" s="30" t="s">
        <v>61</v>
      </c>
      <c r="B1335" s="47">
        <v>2014</v>
      </c>
      <c r="C1335" s="16"/>
    </row>
    <row r="1336" spans="1:3" customFormat="1" hidden="1" x14ac:dyDescent="0.3">
      <c r="A1336" s="30" t="s">
        <v>61</v>
      </c>
      <c r="B1336" s="47">
        <v>2014</v>
      </c>
      <c r="C1336" s="16"/>
    </row>
    <row r="1337" spans="1:3" customFormat="1" hidden="1" x14ac:dyDescent="0.3">
      <c r="A1337" s="30" t="s">
        <v>61</v>
      </c>
      <c r="B1337" s="47">
        <v>2014</v>
      </c>
      <c r="C1337" s="16"/>
    </row>
    <row r="1338" spans="1:3" customFormat="1" hidden="1" x14ac:dyDescent="0.3">
      <c r="A1338" s="30" t="s">
        <v>61</v>
      </c>
      <c r="B1338" s="47">
        <v>2014</v>
      </c>
      <c r="C1338" s="16"/>
    </row>
    <row r="1339" spans="1:3" customFormat="1" hidden="1" x14ac:dyDescent="0.3">
      <c r="A1339" s="30" t="s">
        <v>61</v>
      </c>
      <c r="B1339" s="47">
        <v>2014</v>
      </c>
      <c r="C1339" s="16"/>
    </row>
    <row r="1340" spans="1:3" customFormat="1" hidden="1" x14ac:dyDescent="0.3">
      <c r="A1340" s="48" t="s">
        <v>18</v>
      </c>
      <c r="B1340" s="49" t="s">
        <v>18</v>
      </c>
      <c r="C1340" s="35"/>
    </row>
    <row r="1341" spans="1:3" customFormat="1" hidden="1" x14ac:dyDescent="0.3">
      <c r="A1341" s="48" t="s">
        <v>18</v>
      </c>
      <c r="B1341" s="49" t="s">
        <v>18</v>
      </c>
      <c r="C1341" s="35"/>
    </row>
    <row r="1342" spans="1:3" customFormat="1" hidden="1" x14ac:dyDescent="0.3">
      <c r="A1342" s="30" t="s">
        <v>61</v>
      </c>
      <c r="B1342" s="47">
        <v>2014</v>
      </c>
      <c r="C1342" s="16"/>
    </row>
    <row r="1343" spans="1:3" customFormat="1" hidden="1" x14ac:dyDescent="0.3">
      <c r="A1343" s="30" t="s">
        <v>61</v>
      </c>
      <c r="B1343" s="47">
        <v>2014</v>
      </c>
      <c r="C1343" s="16"/>
    </row>
    <row r="1344" spans="1:3" customFormat="1" hidden="1" x14ac:dyDescent="0.3">
      <c r="A1344" s="30" t="s">
        <v>61</v>
      </c>
      <c r="B1344" s="47">
        <v>2014</v>
      </c>
      <c r="C1344" s="16"/>
    </row>
    <row r="1345" spans="1:3" customFormat="1" hidden="1" x14ac:dyDescent="0.3">
      <c r="A1345" s="30" t="s">
        <v>61</v>
      </c>
      <c r="B1345" s="47">
        <v>2014</v>
      </c>
      <c r="C1345" s="16"/>
    </row>
    <row r="1346" spans="1:3" customFormat="1" hidden="1" x14ac:dyDescent="0.3">
      <c r="A1346" s="30" t="s">
        <v>61</v>
      </c>
      <c r="B1346" s="47">
        <v>2014</v>
      </c>
      <c r="C1346" s="16"/>
    </row>
    <row r="1347" spans="1:3" customFormat="1" hidden="1" x14ac:dyDescent="0.3">
      <c r="A1347" s="30" t="s">
        <v>61</v>
      </c>
      <c r="B1347" s="47">
        <v>2014</v>
      </c>
      <c r="C1347" s="16"/>
    </row>
    <row r="1348" spans="1:3" customFormat="1" hidden="1" x14ac:dyDescent="0.3">
      <c r="A1348" s="30" t="s">
        <v>61</v>
      </c>
      <c r="B1348" s="47">
        <v>2014</v>
      </c>
      <c r="C1348" s="16"/>
    </row>
    <row r="1349" spans="1:3" customFormat="1" hidden="1" x14ac:dyDescent="0.3">
      <c r="A1349" s="30" t="s">
        <v>61</v>
      </c>
      <c r="B1349" s="47">
        <v>2014</v>
      </c>
      <c r="C1349" s="16"/>
    </row>
    <row r="1350" spans="1:3" customFormat="1" hidden="1" x14ac:dyDescent="0.3">
      <c r="A1350" s="48" t="s">
        <v>18</v>
      </c>
      <c r="B1350" s="49" t="s">
        <v>18</v>
      </c>
      <c r="C1350" s="35"/>
    </row>
    <row r="1351" spans="1:3" customFormat="1" hidden="1" x14ac:dyDescent="0.3">
      <c r="A1351" s="30" t="s">
        <v>61</v>
      </c>
      <c r="B1351" s="47">
        <v>2014</v>
      </c>
      <c r="C1351" s="16"/>
    </row>
    <row r="1352" spans="1:3" customFormat="1" hidden="1" x14ac:dyDescent="0.3">
      <c r="A1352" s="48" t="s">
        <v>18</v>
      </c>
      <c r="B1352" s="49" t="s">
        <v>18</v>
      </c>
      <c r="C1352" s="35"/>
    </row>
    <row r="1353" spans="1:3" customFormat="1" hidden="1" x14ac:dyDescent="0.3">
      <c r="A1353" s="30" t="s">
        <v>61</v>
      </c>
      <c r="B1353" s="47">
        <v>2014</v>
      </c>
      <c r="C1353" s="16"/>
    </row>
    <row r="1354" spans="1:3" customFormat="1" hidden="1" x14ac:dyDescent="0.3">
      <c r="A1354" s="30" t="s">
        <v>61</v>
      </c>
      <c r="B1354" s="47">
        <v>2014</v>
      </c>
      <c r="C1354" s="16"/>
    </row>
    <row r="1355" spans="1:3" customFormat="1" hidden="1" x14ac:dyDescent="0.3">
      <c r="A1355" s="30" t="s">
        <v>61</v>
      </c>
      <c r="B1355" s="47">
        <v>2014</v>
      </c>
      <c r="C1355" s="16"/>
    </row>
    <row r="1356" spans="1:3" customFormat="1" hidden="1" x14ac:dyDescent="0.3">
      <c r="A1356" s="30" t="s">
        <v>61</v>
      </c>
      <c r="B1356" s="47">
        <v>2014</v>
      </c>
      <c r="C1356" s="16"/>
    </row>
    <row r="1357" spans="1:3" customFormat="1" hidden="1" x14ac:dyDescent="0.3">
      <c r="A1357" s="30" t="s">
        <v>61</v>
      </c>
      <c r="B1357" s="47">
        <v>2014</v>
      </c>
      <c r="C1357" s="16"/>
    </row>
    <row r="1358" spans="1:3" customFormat="1" hidden="1" x14ac:dyDescent="0.3">
      <c r="A1358" s="30" t="s">
        <v>61</v>
      </c>
      <c r="B1358" s="47">
        <v>2014</v>
      </c>
      <c r="C1358" s="16"/>
    </row>
    <row r="1359" spans="1:3" customFormat="1" hidden="1" x14ac:dyDescent="0.3">
      <c r="A1359" s="30" t="s">
        <v>61</v>
      </c>
      <c r="B1359" s="47">
        <v>2014</v>
      </c>
      <c r="C1359" s="16"/>
    </row>
    <row r="1360" spans="1:3" customFormat="1" hidden="1" x14ac:dyDescent="0.3">
      <c r="A1360" s="30" t="s">
        <v>61</v>
      </c>
      <c r="B1360" s="47">
        <v>2014</v>
      </c>
      <c r="C1360" s="16"/>
    </row>
    <row r="1361" spans="1:12" hidden="1" x14ac:dyDescent="0.3">
      <c r="A1361" s="48" t="s">
        <v>18</v>
      </c>
      <c r="B1361" s="49" t="s">
        <v>18</v>
      </c>
      <c r="C1361" s="35"/>
      <c r="K1361"/>
      <c r="L1361"/>
    </row>
    <row r="1362" spans="1:12" hidden="1" x14ac:dyDescent="0.3">
      <c r="A1362" s="30" t="s">
        <v>61</v>
      </c>
      <c r="B1362" s="47">
        <v>2014</v>
      </c>
      <c r="K1362"/>
      <c r="L1362"/>
    </row>
    <row r="1363" spans="1:12" hidden="1" x14ac:dyDescent="0.3">
      <c r="A1363" s="30" t="s">
        <v>61</v>
      </c>
      <c r="B1363" s="47">
        <v>2014</v>
      </c>
      <c r="K1363"/>
      <c r="L1363"/>
    </row>
    <row r="1364" spans="1:12" hidden="1" x14ac:dyDescent="0.3">
      <c r="A1364" s="30" t="s">
        <v>61</v>
      </c>
      <c r="B1364" s="47">
        <v>2014</v>
      </c>
      <c r="K1364"/>
      <c r="L1364"/>
    </row>
    <row r="1365" spans="1:12" hidden="1" x14ac:dyDescent="0.3">
      <c r="A1365" s="30" t="s">
        <v>61</v>
      </c>
      <c r="B1365" s="47">
        <v>2014</v>
      </c>
      <c r="K1365"/>
      <c r="L1365"/>
    </row>
    <row r="1366" spans="1:12" hidden="1" x14ac:dyDescent="0.3">
      <c r="A1366" s="30" t="s">
        <v>61</v>
      </c>
      <c r="B1366" s="47">
        <v>2014</v>
      </c>
      <c r="K1366"/>
      <c r="L1366"/>
    </row>
    <row r="1367" spans="1:12" hidden="1" x14ac:dyDescent="0.3">
      <c r="A1367" s="30" t="s">
        <v>61</v>
      </c>
      <c r="B1367" s="47">
        <v>2014</v>
      </c>
      <c r="K1367"/>
      <c r="L1367"/>
    </row>
    <row r="1368" spans="1:12" hidden="1" x14ac:dyDescent="0.3">
      <c r="A1368" s="30" t="s">
        <v>61</v>
      </c>
      <c r="B1368" s="47">
        <v>2014</v>
      </c>
      <c r="K1368"/>
      <c r="L1368"/>
    </row>
    <row r="1369" spans="1:12" hidden="1" x14ac:dyDescent="0.3">
      <c r="A1369" s="30" t="s">
        <v>61</v>
      </c>
      <c r="B1369" s="47">
        <v>2014</v>
      </c>
      <c r="K1369"/>
      <c r="L1369"/>
    </row>
    <row r="1370" spans="1:12" hidden="1" x14ac:dyDescent="0.3">
      <c r="A1370" s="41" t="s">
        <v>61</v>
      </c>
      <c r="B1370" s="51">
        <v>2014</v>
      </c>
      <c r="C1370" s="36"/>
      <c r="K1370"/>
      <c r="L1370"/>
    </row>
    <row r="1371" spans="1:12" hidden="1" x14ac:dyDescent="0.3">
      <c r="A1371" s="41" t="s">
        <v>61</v>
      </c>
      <c r="B1371" s="51">
        <v>2014</v>
      </c>
      <c r="C1371" s="36"/>
      <c r="K1371"/>
      <c r="L1371"/>
    </row>
    <row r="1372" spans="1:12" hidden="1" x14ac:dyDescent="0.3">
      <c r="A1372" s="41" t="s">
        <v>61</v>
      </c>
      <c r="B1372" s="51">
        <v>2014</v>
      </c>
      <c r="C1372" s="36"/>
      <c r="K1372"/>
      <c r="L1372"/>
    </row>
    <row r="1373" spans="1:12" hidden="1" x14ac:dyDescent="0.3">
      <c r="A1373" s="41" t="s">
        <v>61</v>
      </c>
      <c r="B1373" s="51">
        <v>2014</v>
      </c>
      <c r="C1373" s="36"/>
      <c r="K1373"/>
      <c r="L1373"/>
    </row>
    <row r="1374" spans="1:12" x14ac:dyDescent="0.3">
      <c r="A1374" s="44" t="s">
        <v>18</v>
      </c>
      <c r="B1374" s="45">
        <v>2015</v>
      </c>
      <c r="C1374" s="5" t="s">
        <v>156</v>
      </c>
      <c r="D1374">
        <v>8.2464510121798059E-3</v>
      </c>
      <c r="E1374">
        <v>1.0151407453577168E-2</v>
      </c>
      <c r="F1374">
        <v>1.4022222222222223</v>
      </c>
      <c r="G1374">
        <f>F1374/1000</f>
        <v>1.4022222222222222E-3</v>
      </c>
      <c r="H1374">
        <v>23.324444444444449</v>
      </c>
      <c r="I1374">
        <f>H1374/1000</f>
        <v>2.332444444444445E-2</v>
      </c>
      <c r="K1374" s="87">
        <f>E1374*4000</f>
        <v>40.605629814308671</v>
      </c>
      <c r="L1374" s="87">
        <f>D1374*4000</f>
        <v>32.985804048719224</v>
      </c>
    </row>
    <row r="1375" spans="1:12" hidden="1" x14ac:dyDescent="0.3">
      <c r="A1375" s="44" t="s">
        <v>18</v>
      </c>
      <c r="B1375" s="45" t="s">
        <v>18</v>
      </c>
      <c r="C1375" s="5"/>
      <c r="K1375"/>
      <c r="L1375"/>
    </row>
    <row r="1376" spans="1:12" hidden="1" x14ac:dyDescent="0.3">
      <c r="A1376" s="30" t="s">
        <v>64</v>
      </c>
      <c r="B1376" s="47">
        <v>2015</v>
      </c>
      <c r="C1376" s="5"/>
      <c r="K1376"/>
      <c r="L1376"/>
    </row>
    <row r="1377" spans="1:3" customFormat="1" hidden="1" x14ac:dyDescent="0.3">
      <c r="A1377" s="44" t="s">
        <v>18</v>
      </c>
      <c r="B1377" s="45" t="s">
        <v>18</v>
      </c>
      <c r="C1377" s="5"/>
    </row>
    <row r="1378" spans="1:3" customFormat="1" hidden="1" x14ac:dyDescent="0.3">
      <c r="A1378" s="44" t="s">
        <v>18</v>
      </c>
      <c r="B1378" s="45" t="s">
        <v>18</v>
      </c>
      <c r="C1378" s="5"/>
    </row>
    <row r="1379" spans="1:3" customFormat="1" hidden="1" x14ac:dyDescent="0.3">
      <c r="A1379" s="30" t="s">
        <v>64</v>
      </c>
      <c r="B1379" s="47">
        <v>2015</v>
      </c>
      <c r="C1379" s="5"/>
    </row>
    <row r="1380" spans="1:3" customFormat="1" hidden="1" x14ac:dyDescent="0.3">
      <c r="A1380" s="30" t="s">
        <v>64</v>
      </c>
      <c r="B1380" s="47">
        <v>2015</v>
      </c>
      <c r="C1380" s="5"/>
    </row>
    <row r="1381" spans="1:3" customFormat="1" hidden="1" x14ac:dyDescent="0.3">
      <c r="A1381" s="30" t="s">
        <v>64</v>
      </c>
      <c r="B1381" s="47">
        <v>2015</v>
      </c>
      <c r="C1381" s="5"/>
    </row>
    <row r="1382" spans="1:3" customFormat="1" hidden="1" x14ac:dyDescent="0.3">
      <c r="A1382" s="30" t="s">
        <v>64</v>
      </c>
      <c r="B1382" s="47">
        <v>2015</v>
      </c>
      <c r="C1382" s="5"/>
    </row>
    <row r="1383" spans="1:3" customFormat="1" hidden="1" x14ac:dyDescent="0.3">
      <c r="A1383" s="30" t="s">
        <v>64</v>
      </c>
      <c r="B1383" s="47">
        <v>2015</v>
      </c>
      <c r="C1383" s="5"/>
    </row>
    <row r="1384" spans="1:3" customFormat="1" hidden="1" x14ac:dyDescent="0.3">
      <c r="A1384" s="44" t="s">
        <v>18</v>
      </c>
      <c r="B1384" s="45" t="s">
        <v>18</v>
      </c>
      <c r="C1384" s="5"/>
    </row>
    <row r="1385" spans="1:3" customFormat="1" hidden="1" x14ac:dyDescent="0.3">
      <c r="A1385" s="30" t="s">
        <v>64</v>
      </c>
      <c r="B1385" s="47">
        <v>2015</v>
      </c>
      <c r="C1385" s="5"/>
    </row>
    <row r="1386" spans="1:3" customFormat="1" hidden="1" x14ac:dyDescent="0.3">
      <c r="A1386" s="30" t="s">
        <v>64</v>
      </c>
      <c r="B1386" s="47">
        <v>2015</v>
      </c>
      <c r="C1386" s="5"/>
    </row>
    <row r="1387" spans="1:3" customFormat="1" hidden="1" x14ac:dyDescent="0.3">
      <c r="A1387" s="48" t="s">
        <v>18</v>
      </c>
      <c r="B1387" s="48" t="s">
        <v>18</v>
      </c>
      <c r="C1387" s="35"/>
    </row>
    <row r="1388" spans="1:3" customFormat="1" hidden="1" x14ac:dyDescent="0.3">
      <c r="A1388" s="30" t="s">
        <v>64</v>
      </c>
      <c r="B1388" s="47">
        <v>2015</v>
      </c>
      <c r="C1388" s="5"/>
    </row>
    <row r="1389" spans="1:3" customFormat="1" hidden="1" x14ac:dyDescent="0.3">
      <c r="A1389" s="30" t="s">
        <v>64</v>
      </c>
      <c r="B1389" s="47">
        <v>2015</v>
      </c>
      <c r="C1389" s="5"/>
    </row>
    <row r="1390" spans="1:3" customFormat="1" hidden="1" x14ac:dyDescent="0.3">
      <c r="A1390" s="30" t="s">
        <v>64</v>
      </c>
      <c r="B1390" s="47">
        <v>2015</v>
      </c>
      <c r="C1390" s="5"/>
    </row>
    <row r="1391" spans="1:3" customFormat="1" hidden="1" x14ac:dyDescent="0.3">
      <c r="A1391" s="30" t="s">
        <v>64</v>
      </c>
      <c r="B1391" s="47">
        <v>2015</v>
      </c>
      <c r="C1391" s="5"/>
    </row>
    <row r="1392" spans="1:3" customFormat="1" hidden="1" x14ac:dyDescent="0.3">
      <c r="A1392" s="30" t="s">
        <v>64</v>
      </c>
      <c r="B1392" s="47">
        <v>2015</v>
      </c>
      <c r="C1392" s="5"/>
    </row>
    <row r="1393" spans="1:3" customFormat="1" hidden="1" x14ac:dyDescent="0.3">
      <c r="A1393" s="44" t="s">
        <v>18</v>
      </c>
      <c r="B1393" s="45" t="s">
        <v>18</v>
      </c>
      <c r="C1393" s="5"/>
    </row>
    <row r="1394" spans="1:3" customFormat="1" hidden="1" x14ac:dyDescent="0.3">
      <c r="A1394" s="30" t="s">
        <v>64</v>
      </c>
      <c r="B1394" s="47">
        <v>2015</v>
      </c>
      <c r="C1394" s="5"/>
    </row>
    <row r="1395" spans="1:3" customFormat="1" hidden="1" x14ac:dyDescent="0.3">
      <c r="A1395" s="30" t="s">
        <v>64</v>
      </c>
      <c r="B1395" s="47">
        <v>2015</v>
      </c>
      <c r="C1395" s="5"/>
    </row>
    <row r="1396" spans="1:3" customFormat="1" hidden="1" x14ac:dyDescent="0.3">
      <c r="A1396" s="30" t="s">
        <v>64</v>
      </c>
      <c r="B1396" s="47">
        <v>2015</v>
      </c>
      <c r="C1396" s="5"/>
    </row>
    <row r="1397" spans="1:3" customFormat="1" hidden="1" x14ac:dyDescent="0.3">
      <c r="A1397" s="30" t="s">
        <v>64</v>
      </c>
      <c r="B1397" s="47">
        <v>2015</v>
      </c>
      <c r="C1397" s="5"/>
    </row>
    <row r="1398" spans="1:3" customFormat="1" hidden="1" x14ac:dyDescent="0.3">
      <c r="A1398" s="30" t="s">
        <v>64</v>
      </c>
      <c r="B1398" s="47">
        <v>2015</v>
      </c>
      <c r="C1398" s="5"/>
    </row>
    <row r="1399" spans="1:3" customFormat="1" hidden="1" x14ac:dyDescent="0.3">
      <c r="A1399" s="30" t="s">
        <v>64</v>
      </c>
      <c r="B1399" s="47">
        <v>2015</v>
      </c>
      <c r="C1399" s="5"/>
    </row>
    <row r="1400" spans="1:3" customFormat="1" hidden="1" x14ac:dyDescent="0.3">
      <c r="A1400" s="48" t="s">
        <v>18</v>
      </c>
      <c r="B1400" s="48" t="s">
        <v>18</v>
      </c>
      <c r="C1400" s="35"/>
    </row>
    <row r="1401" spans="1:3" customFormat="1" hidden="1" x14ac:dyDescent="0.3">
      <c r="A1401" s="48" t="s">
        <v>18</v>
      </c>
      <c r="B1401" s="48" t="s">
        <v>18</v>
      </c>
      <c r="C1401" s="35"/>
    </row>
    <row r="1402" spans="1:3" customFormat="1" hidden="1" x14ac:dyDescent="0.3">
      <c r="A1402" s="30" t="s">
        <v>64</v>
      </c>
      <c r="B1402" s="47">
        <v>2015</v>
      </c>
      <c r="C1402" s="5"/>
    </row>
    <row r="1403" spans="1:3" customFormat="1" hidden="1" x14ac:dyDescent="0.3">
      <c r="A1403" s="30" t="s">
        <v>64</v>
      </c>
      <c r="B1403" s="47">
        <v>2015</v>
      </c>
      <c r="C1403" s="5"/>
    </row>
    <row r="1404" spans="1:3" customFormat="1" hidden="1" x14ac:dyDescent="0.3">
      <c r="A1404" s="30" t="s">
        <v>64</v>
      </c>
      <c r="B1404" s="47">
        <v>2015</v>
      </c>
      <c r="C1404" s="5"/>
    </row>
    <row r="1405" spans="1:3" customFormat="1" hidden="1" x14ac:dyDescent="0.3">
      <c r="A1405" s="30" t="s">
        <v>64</v>
      </c>
      <c r="B1405" s="47">
        <v>2015</v>
      </c>
      <c r="C1405" s="5"/>
    </row>
    <row r="1406" spans="1:3" customFormat="1" hidden="1" x14ac:dyDescent="0.3">
      <c r="A1406" s="30" t="s">
        <v>64</v>
      </c>
      <c r="B1406" s="47">
        <v>2015</v>
      </c>
      <c r="C1406" s="5"/>
    </row>
    <row r="1407" spans="1:3" customFormat="1" hidden="1" x14ac:dyDescent="0.3">
      <c r="A1407" s="30" t="s">
        <v>64</v>
      </c>
      <c r="B1407" s="47">
        <v>2015</v>
      </c>
      <c r="C1407" s="5"/>
    </row>
    <row r="1408" spans="1:3" customFormat="1" hidden="1" x14ac:dyDescent="0.3">
      <c r="A1408" s="30" t="s">
        <v>64</v>
      </c>
      <c r="B1408" s="47">
        <v>2015</v>
      </c>
      <c r="C1408" s="5"/>
    </row>
    <row r="1409" spans="1:3" customFormat="1" hidden="1" x14ac:dyDescent="0.3">
      <c r="A1409" s="30" t="s">
        <v>64</v>
      </c>
      <c r="B1409" s="47">
        <v>2015</v>
      </c>
      <c r="C1409" s="5"/>
    </row>
    <row r="1410" spans="1:3" customFormat="1" hidden="1" x14ac:dyDescent="0.3">
      <c r="A1410" s="48" t="s">
        <v>18</v>
      </c>
      <c r="B1410" s="48" t="s">
        <v>18</v>
      </c>
      <c r="C1410" s="35"/>
    </row>
    <row r="1411" spans="1:3" customFormat="1" hidden="1" x14ac:dyDescent="0.3">
      <c r="A1411" s="30" t="s">
        <v>64</v>
      </c>
      <c r="B1411" s="47">
        <v>2015</v>
      </c>
      <c r="C1411" s="5"/>
    </row>
    <row r="1412" spans="1:3" customFormat="1" hidden="1" x14ac:dyDescent="0.3">
      <c r="A1412" s="48" t="s">
        <v>18</v>
      </c>
      <c r="B1412" s="48" t="s">
        <v>18</v>
      </c>
      <c r="C1412" s="35"/>
    </row>
    <row r="1413" spans="1:3" customFormat="1" hidden="1" x14ac:dyDescent="0.3">
      <c r="A1413" s="30" t="s">
        <v>64</v>
      </c>
      <c r="B1413" s="47">
        <v>2015</v>
      </c>
      <c r="C1413" s="5"/>
    </row>
    <row r="1414" spans="1:3" customFormat="1" hidden="1" x14ac:dyDescent="0.3">
      <c r="A1414" s="30" t="s">
        <v>64</v>
      </c>
      <c r="B1414" s="47">
        <v>2015</v>
      </c>
      <c r="C1414" s="5"/>
    </row>
    <row r="1415" spans="1:3" customFormat="1" hidden="1" x14ac:dyDescent="0.3">
      <c r="A1415" s="30" t="s">
        <v>64</v>
      </c>
      <c r="B1415" s="47">
        <v>2015</v>
      </c>
      <c r="C1415" s="5"/>
    </row>
    <row r="1416" spans="1:3" customFormat="1" hidden="1" x14ac:dyDescent="0.3">
      <c r="A1416" s="30" t="s">
        <v>64</v>
      </c>
      <c r="B1416" s="47">
        <v>2015</v>
      </c>
      <c r="C1416" s="5"/>
    </row>
    <row r="1417" spans="1:3" customFormat="1" hidden="1" x14ac:dyDescent="0.3">
      <c r="A1417" s="30" t="s">
        <v>64</v>
      </c>
      <c r="B1417" s="47">
        <v>2015</v>
      </c>
      <c r="C1417" s="5"/>
    </row>
    <row r="1418" spans="1:3" customFormat="1" hidden="1" x14ac:dyDescent="0.3">
      <c r="A1418" s="30" t="s">
        <v>64</v>
      </c>
      <c r="B1418" s="47">
        <v>2015</v>
      </c>
      <c r="C1418" s="5"/>
    </row>
    <row r="1419" spans="1:3" customFormat="1" hidden="1" x14ac:dyDescent="0.3">
      <c r="A1419" s="30" t="s">
        <v>64</v>
      </c>
      <c r="B1419" s="47">
        <v>2015</v>
      </c>
      <c r="C1419" s="5"/>
    </row>
    <row r="1420" spans="1:3" customFormat="1" hidden="1" x14ac:dyDescent="0.3">
      <c r="A1420" s="30" t="s">
        <v>64</v>
      </c>
      <c r="B1420" s="47">
        <v>2015</v>
      </c>
      <c r="C1420" s="5"/>
    </row>
    <row r="1421" spans="1:3" customFormat="1" hidden="1" x14ac:dyDescent="0.3">
      <c r="A1421" s="48" t="s">
        <v>18</v>
      </c>
      <c r="B1421" s="48" t="s">
        <v>18</v>
      </c>
      <c r="C1421" s="35"/>
    </row>
    <row r="1422" spans="1:3" customFormat="1" hidden="1" x14ac:dyDescent="0.3">
      <c r="A1422" s="30" t="s">
        <v>64</v>
      </c>
      <c r="B1422" s="47">
        <v>2015</v>
      </c>
      <c r="C1422" s="5"/>
    </row>
    <row r="1423" spans="1:3" customFormat="1" hidden="1" x14ac:dyDescent="0.3">
      <c r="A1423" s="30" t="s">
        <v>64</v>
      </c>
      <c r="B1423" s="47">
        <v>2015</v>
      </c>
      <c r="C1423" s="5"/>
    </row>
    <row r="1424" spans="1:3" customFormat="1" hidden="1" x14ac:dyDescent="0.3">
      <c r="A1424" s="30" t="s">
        <v>64</v>
      </c>
      <c r="B1424" s="47">
        <v>2015</v>
      </c>
      <c r="C1424" s="5"/>
    </row>
    <row r="1425" spans="1:12" hidden="1" x14ac:dyDescent="0.3">
      <c r="A1425" s="30" t="s">
        <v>64</v>
      </c>
      <c r="B1425" s="47">
        <v>2015</v>
      </c>
      <c r="C1425" s="5"/>
      <c r="K1425"/>
      <c r="L1425"/>
    </row>
    <row r="1426" spans="1:12" hidden="1" x14ac:dyDescent="0.3">
      <c r="A1426" s="30" t="s">
        <v>64</v>
      </c>
      <c r="B1426" s="47">
        <v>2015</v>
      </c>
      <c r="C1426" s="5"/>
      <c r="K1426"/>
      <c r="L1426"/>
    </row>
    <row r="1427" spans="1:12" hidden="1" x14ac:dyDescent="0.3">
      <c r="A1427" s="30" t="s">
        <v>64</v>
      </c>
      <c r="B1427" s="47">
        <v>2015</v>
      </c>
      <c r="C1427" s="5"/>
      <c r="K1427"/>
      <c r="L1427"/>
    </row>
    <row r="1428" spans="1:12" hidden="1" x14ac:dyDescent="0.3">
      <c r="A1428" s="30" t="s">
        <v>64</v>
      </c>
      <c r="B1428" s="47">
        <v>2015</v>
      </c>
      <c r="C1428" s="5"/>
      <c r="K1428"/>
      <c r="L1428"/>
    </row>
    <row r="1429" spans="1:12" hidden="1" x14ac:dyDescent="0.3">
      <c r="A1429" s="30" t="s">
        <v>64</v>
      </c>
      <c r="B1429" s="47">
        <v>2015</v>
      </c>
      <c r="C1429" s="5"/>
      <c r="K1429"/>
      <c r="L1429"/>
    </row>
    <row r="1430" spans="1:12" hidden="1" x14ac:dyDescent="0.3">
      <c r="A1430" s="41" t="s">
        <v>64</v>
      </c>
      <c r="B1430" s="51">
        <v>2015</v>
      </c>
      <c r="C1430" s="37"/>
      <c r="K1430"/>
      <c r="L1430"/>
    </row>
    <row r="1431" spans="1:12" hidden="1" x14ac:dyDescent="0.3">
      <c r="A1431" s="41" t="s">
        <v>64</v>
      </c>
      <c r="B1431" s="51">
        <v>2015</v>
      </c>
      <c r="C1431" s="37"/>
      <c r="K1431"/>
      <c r="L1431"/>
    </row>
    <row r="1432" spans="1:12" hidden="1" x14ac:dyDescent="0.3">
      <c r="A1432" s="41" t="s">
        <v>64</v>
      </c>
      <c r="B1432" s="51">
        <v>2015</v>
      </c>
      <c r="C1432" s="37"/>
      <c r="K1432"/>
      <c r="L1432"/>
    </row>
    <row r="1433" spans="1:12" hidden="1" x14ac:dyDescent="0.3">
      <c r="A1433" s="41" t="s">
        <v>64</v>
      </c>
      <c r="B1433" s="51">
        <v>2015</v>
      </c>
      <c r="C1433" s="37"/>
      <c r="K1433"/>
      <c r="L1433"/>
    </row>
    <row r="1434" spans="1:12" x14ac:dyDescent="0.3">
      <c r="A1434" s="44" t="s">
        <v>18</v>
      </c>
      <c r="B1434" s="45"/>
      <c r="C1434" s="16" t="s">
        <v>153</v>
      </c>
      <c r="D1434">
        <v>7.9837114865601733E-3</v>
      </c>
      <c r="E1434">
        <v>1.209700380453483E-2</v>
      </c>
      <c r="F1434">
        <v>1.7749999999999999</v>
      </c>
      <c r="G1434">
        <f>F1434/1000</f>
        <v>1.7749999999999999E-3</v>
      </c>
      <c r="H1434">
        <v>19.368478260869566</v>
      </c>
      <c r="I1434">
        <f>H1434/1000</f>
        <v>1.9368478260869567E-2</v>
      </c>
      <c r="K1434" s="87">
        <f>E1434*4000</f>
        <v>48.388015218139316</v>
      </c>
      <c r="L1434" s="87">
        <f>D1434*4000</f>
        <v>31.934845946240692</v>
      </c>
    </row>
    <row r="1435" spans="1:12" hidden="1" x14ac:dyDescent="0.3">
      <c r="A1435" s="44" t="s">
        <v>18</v>
      </c>
      <c r="B1435" s="45" t="s">
        <v>18</v>
      </c>
      <c r="K1435"/>
      <c r="L1435"/>
    </row>
    <row r="1436" spans="1:12" hidden="1" x14ac:dyDescent="0.3">
      <c r="A1436" s="30" t="s">
        <v>24</v>
      </c>
      <c r="B1436" s="47">
        <v>2015</v>
      </c>
      <c r="K1436"/>
      <c r="L1436"/>
    </row>
    <row r="1437" spans="1:12" hidden="1" x14ac:dyDescent="0.3">
      <c r="A1437" s="44" t="s">
        <v>18</v>
      </c>
      <c r="B1437" s="45" t="s">
        <v>18</v>
      </c>
      <c r="K1437"/>
      <c r="L1437"/>
    </row>
    <row r="1438" spans="1:12" hidden="1" x14ac:dyDescent="0.3">
      <c r="A1438" s="44" t="s">
        <v>18</v>
      </c>
      <c r="B1438" s="45" t="s">
        <v>18</v>
      </c>
      <c r="K1438"/>
      <c r="L1438"/>
    </row>
    <row r="1439" spans="1:12" hidden="1" x14ac:dyDescent="0.3">
      <c r="A1439" s="30" t="s">
        <v>24</v>
      </c>
      <c r="B1439" s="47">
        <v>2015</v>
      </c>
      <c r="K1439"/>
      <c r="L1439"/>
    </row>
    <row r="1440" spans="1:12" hidden="1" x14ac:dyDescent="0.3">
      <c r="A1440" s="30" t="s">
        <v>24</v>
      </c>
      <c r="B1440" s="47">
        <v>2015</v>
      </c>
      <c r="K1440"/>
      <c r="L1440"/>
    </row>
    <row r="1441" spans="1:3" customFormat="1" hidden="1" x14ac:dyDescent="0.3">
      <c r="A1441" s="30" t="s">
        <v>24</v>
      </c>
      <c r="B1441" s="47">
        <v>2015</v>
      </c>
      <c r="C1441" s="16"/>
    </row>
    <row r="1442" spans="1:3" customFormat="1" hidden="1" x14ac:dyDescent="0.3">
      <c r="A1442" s="30" t="s">
        <v>24</v>
      </c>
      <c r="B1442" s="47">
        <v>2015</v>
      </c>
      <c r="C1442" s="16"/>
    </row>
    <row r="1443" spans="1:3" customFormat="1" hidden="1" x14ac:dyDescent="0.3">
      <c r="A1443" s="30" t="s">
        <v>24</v>
      </c>
      <c r="B1443" s="47">
        <v>2015</v>
      </c>
      <c r="C1443" s="16"/>
    </row>
    <row r="1444" spans="1:3" customFormat="1" hidden="1" x14ac:dyDescent="0.3">
      <c r="A1444" s="44" t="s">
        <v>18</v>
      </c>
      <c r="B1444" s="45" t="s">
        <v>18</v>
      </c>
      <c r="C1444" s="16"/>
    </row>
    <row r="1445" spans="1:3" customFormat="1" hidden="1" x14ac:dyDescent="0.3">
      <c r="A1445" s="30" t="s">
        <v>24</v>
      </c>
      <c r="B1445" s="47">
        <v>2015</v>
      </c>
      <c r="C1445" s="16"/>
    </row>
    <row r="1446" spans="1:3" customFormat="1" hidden="1" x14ac:dyDescent="0.3">
      <c r="A1446" s="30" t="s">
        <v>24</v>
      </c>
      <c r="B1446" s="47">
        <v>2015</v>
      </c>
      <c r="C1446" s="16"/>
    </row>
    <row r="1447" spans="1:3" customFormat="1" hidden="1" x14ac:dyDescent="0.3">
      <c r="A1447" s="48" t="s">
        <v>18</v>
      </c>
      <c r="B1447" s="48" t="s">
        <v>18</v>
      </c>
      <c r="C1447" s="35"/>
    </row>
    <row r="1448" spans="1:3" customFormat="1" hidden="1" x14ac:dyDescent="0.3">
      <c r="A1448" s="30" t="s">
        <v>24</v>
      </c>
      <c r="B1448" s="47">
        <v>2015</v>
      </c>
      <c r="C1448" s="16"/>
    </row>
    <row r="1449" spans="1:3" customFormat="1" hidden="1" x14ac:dyDescent="0.3">
      <c r="A1449" s="30" t="s">
        <v>24</v>
      </c>
      <c r="B1449" s="47">
        <v>2015</v>
      </c>
      <c r="C1449" s="16"/>
    </row>
    <row r="1450" spans="1:3" customFormat="1" hidden="1" x14ac:dyDescent="0.3">
      <c r="A1450" s="30" t="s">
        <v>24</v>
      </c>
      <c r="B1450" s="47">
        <v>2015</v>
      </c>
      <c r="C1450" s="16"/>
    </row>
    <row r="1451" spans="1:3" customFormat="1" hidden="1" x14ac:dyDescent="0.3">
      <c r="A1451" s="30" t="s">
        <v>24</v>
      </c>
      <c r="B1451" s="47">
        <v>2015</v>
      </c>
      <c r="C1451" s="16"/>
    </row>
    <row r="1452" spans="1:3" customFormat="1" hidden="1" x14ac:dyDescent="0.3">
      <c r="A1452" s="30" t="s">
        <v>24</v>
      </c>
      <c r="B1452" s="47">
        <v>2015</v>
      </c>
      <c r="C1452" s="16"/>
    </row>
    <row r="1453" spans="1:3" customFormat="1" hidden="1" x14ac:dyDescent="0.3">
      <c r="A1453" s="44" t="s">
        <v>18</v>
      </c>
      <c r="B1453" s="45" t="s">
        <v>18</v>
      </c>
      <c r="C1453" s="16"/>
    </row>
    <row r="1454" spans="1:3" customFormat="1" hidden="1" x14ac:dyDescent="0.3">
      <c r="A1454" s="30" t="s">
        <v>24</v>
      </c>
      <c r="B1454" s="47">
        <v>2015</v>
      </c>
      <c r="C1454" s="16"/>
    </row>
    <row r="1455" spans="1:3" customFormat="1" hidden="1" x14ac:dyDescent="0.3">
      <c r="A1455" s="30" t="s">
        <v>24</v>
      </c>
      <c r="B1455" s="47">
        <v>2015</v>
      </c>
      <c r="C1455" s="16"/>
    </row>
    <row r="1456" spans="1:3" customFormat="1" hidden="1" x14ac:dyDescent="0.3">
      <c r="A1456" s="30" t="s">
        <v>24</v>
      </c>
      <c r="B1456" s="47">
        <v>2015</v>
      </c>
      <c r="C1456" s="16"/>
    </row>
    <row r="1457" spans="1:3" customFormat="1" hidden="1" x14ac:dyDescent="0.3">
      <c r="A1457" s="30" t="s">
        <v>24</v>
      </c>
      <c r="B1457" s="47">
        <v>2015</v>
      </c>
      <c r="C1457" s="16"/>
    </row>
    <row r="1458" spans="1:3" customFormat="1" hidden="1" x14ac:dyDescent="0.3">
      <c r="A1458" s="30" t="s">
        <v>24</v>
      </c>
      <c r="B1458" s="47">
        <v>2015</v>
      </c>
      <c r="C1458" s="16"/>
    </row>
    <row r="1459" spans="1:3" customFormat="1" hidden="1" x14ac:dyDescent="0.3">
      <c r="A1459" s="30" t="s">
        <v>24</v>
      </c>
      <c r="B1459" s="47">
        <v>2015</v>
      </c>
      <c r="C1459" s="16"/>
    </row>
    <row r="1460" spans="1:3" customFormat="1" hidden="1" x14ac:dyDescent="0.3">
      <c r="A1460" s="48" t="s">
        <v>18</v>
      </c>
      <c r="B1460" s="48" t="s">
        <v>18</v>
      </c>
      <c r="C1460" s="35"/>
    </row>
    <row r="1461" spans="1:3" customFormat="1" hidden="1" x14ac:dyDescent="0.3">
      <c r="A1461" s="48" t="s">
        <v>18</v>
      </c>
      <c r="B1461" s="48" t="s">
        <v>18</v>
      </c>
      <c r="C1461" s="35"/>
    </row>
    <row r="1462" spans="1:3" customFormat="1" hidden="1" x14ac:dyDescent="0.3">
      <c r="A1462" s="30" t="s">
        <v>24</v>
      </c>
      <c r="B1462" s="47">
        <v>2015</v>
      </c>
      <c r="C1462" s="16"/>
    </row>
    <row r="1463" spans="1:3" customFormat="1" hidden="1" x14ac:dyDescent="0.3">
      <c r="A1463" s="30" t="s">
        <v>24</v>
      </c>
      <c r="B1463" s="47">
        <v>2015</v>
      </c>
      <c r="C1463" s="16"/>
    </row>
    <row r="1464" spans="1:3" customFormat="1" hidden="1" x14ac:dyDescent="0.3">
      <c r="A1464" s="30" t="s">
        <v>24</v>
      </c>
      <c r="B1464" s="47">
        <v>2015</v>
      </c>
      <c r="C1464" s="16"/>
    </row>
    <row r="1465" spans="1:3" customFormat="1" hidden="1" x14ac:dyDescent="0.3">
      <c r="A1465" s="30" t="s">
        <v>24</v>
      </c>
      <c r="B1465" s="47">
        <v>2015</v>
      </c>
      <c r="C1465" s="16"/>
    </row>
    <row r="1466" spans="1:3" customFormat="1" hidden="1" x14ac:dyDescent="0.3">
      <c r="A1466" s="30" t="s">
        <v>24</v>
      </c>
      <c r="B1466" s="47">
        <v>2015</v>
      </c>
      <c r="C1466" s="16"/>
    </row>
    <row r="1467" spans="1:3" customFormat="1" hidden="1" x14ac:dyDescent="0.3">
      <c r="A1467" s="30" t="s">
        <v>24</v>
      </c>
      <c r="B1467" s="47">
        <v>2015</v>
      </c>
      <c r="C1467" s="16"/>
    </row>
    <row r="1468" spans="1:3" customFormat="1" hidden="1" x14ac:dyDescent="0.3">
      <c r="A1468" s="30" t="s">
        <v>24</v>
      </c>
      <c r="B1468" s="47">
        <v>2015</v>
      </c>
      <c r="C1468" s="16"/>
    </row>
    <row r="1469" spans="1:3" customFormat="1" hidden="1" x14ac:dyDescent="0.3">
      <c r="A1469" s="30" t="s">
        <v>24</v>
      </c>
      <c r="B1469" s="47">
        <v>2015</v>
      </c>
      <c r="C1469" s="16"/>
    </row>
    <row r="1470" spans="1:3" customFormat="1" hidden="1" x14ac:dyDescent="0.3">
      <c r="A1470" s="48" t="s">
        <v>18</v>
      </c>
      <c r="B1470" s="48" t="s">
        <v>18</v>
      </c>
      <c r="C1470" s="35"/>
    </row>
    <row r="1471" spans="1:3" customFormat="1" hidden="1" x14ac:dyDescent="0.3">
      <c r="A1471" s="30" t="s">
        <v>24</v>
      </c>
      <c r="B1471" s="47">
        <v>2015</v>
      </c>
      <c r="C1471" s="16"/>
    </row>
    <row r="1472" spans="1:3" customFormat="1" hidden="1" x14ac:dyDescent="0.3">
      <c r="A1472" s="48" t="s">
        <v>18</v>
      </c>
      <c r="B1472" s="48" t="s">
        <v>18</v>
      </c>
      <c r="C1472" s="35"/>
    </row>
    <row r="1473" spans="1:3" customFormat="1" hidden="1" x14ac:dyDescent="0.3">
      <c r="A1473" s="30" t="s">
        <v>24</v>
      </c>
      <c r="B1473" s="47">
        <v>2015</v>
      </c>
      <c r="C1473" s="16"/>
    </row>
    <row r="1474" spans="1:3" customFormat="1" hidden="1" x14ac:dyDescent="0.3">
      <c r="A1474" s="30" t="s">
        <v>24</v>
      </c>
      <c r="B1474" s="47">
        <v>2015</v>
      </c>
      <c r="C1474" s="16"/>
    </row>
    <row r="1475" spans="1:3" customFormat="1" hidden="1" x14ac:dyDescent="0.3">
      <c r="A1475" s="30" t="s">
        <v>24</v>
      </c>
      <c r="B1475" s="47">
        <v>2015</v>
      </c>
      <c r="C1475" s="16"/>
    </row>
    <row r="1476" spans="1:3" customFormat="1" hidden="1" x14ac:dyDescent="0.3">
      <c r="A1476" s="30" t="s">
        <v>24</v>
      </c>
      <c r="B1476" s="47">
        <v>2015</v>
      </c>
      <c r="C1476" s="16"/>
    </row>
    <row r="1477" spans="1:3" customFormat="1" hidden="1" x14ac:dyDescent="0.3">
      <c r="A1477" s="30" t="s">
        <v>24</v>
      </c>
      <c r="B1477" s="47">
        <v>2015</v>
      </c>
      <c r="C1477" s="16"/>
    </row>
    <row r="1478" spans="1:3" customFormat="1" hidden="1" x14ac:dyDescent="0.3">
      <c r="A1478" s="30" t="s">
        <v>24</v>
      </c>
      <c r="B1478" s="47">
        <v>2015</v>
      </c>
      <c r="C1478" s="16"/>
    </row>
    <row r="1479" spans="1:3" customFormat="1" hidden="1" x14ac:dyDescent="0.3">
      <c r="A1479" s="30" t="s">
        <v>24</v>
      </c>
      <c r="B1479" s="47">
        <v>2015</v>
      </c>
      <c r="C1479" s="16"/>
    </row>
    <row r="1480" spans="1:3" customFormat="1" hidden="1" x14ac:dyDescent="0.3">
      <c r="A1480" s="30" t="s">
        <v>24</v>
      </c>
      <c r="B1480" s="47">
        <v>2015</v>
      </c>
      <c r="C1480" s="16"/>
    </row>
    <row r="1481" spans="1:3" customFormat="1" hidden="1" x14ac:dyDescent="0.3">
      <c r="A1481" s="48" t="s">
        <v>18</v>
      </c>
      <c r="B1481" s="48" t="s">
        <v>18</v>
      </c>
      <c r="C1481" s="35"/>
    </row>
    <row r="1482" spans="1:3" customFormat="1" hidden="1" x14ac:dyDescent="0.3">
      <c r="A1482" s="30" t="s">
        <v>24</v>
      </c>
      <c r="B1482" s="47">
        <v>2015</v>
      </c>
      <c r="C1482" s="16"/>
    </row>
    <row r="1483" spans="1:3" customFormat="1" hidden="1" x14ac:dyDescent="0.3">
      <c r="A1483" s="30" t="s">
        <v>24</v>
      </c>
      <c r="B1483" s="47">
        <v>2015</v>
      </c>
      <c r="C1483" s="16"/>
    </row>
    <row r="1484" spans="1:3" customFormat="1" hidden="1" x14ac:dyDescent="0.3">
      <c r="A1484" s="30" t="s">
        <v>24</v>
      </c>
      <c r="B1484" s="47">
        <v>2015</v>
      </c>
      <c r="C1484" s="16"/>
    </row>
    <row r="1485" spans="1:3" customFormat="1" hidden="1" x14ac:dyDescent="0.3">
      <c r="A1485" s="30" t="s">
        <v>24</v>
      </c>
      <c r="B1485" s="47">
        <v>2015</v>
      </c>
      <c r="C1485" s="16"/>
    </row>
    <row r="1486" spans="1:3" customFormat="1" hidden="1" x14ac:dyDescent="0.3">
      <c r="A1486" s="30" t="s">
        <v>24</v>
      </c>
      <c r="B1486" s="47">
        <v>2015</v>
      </c>
      <c r="C1486" s="16"/>
    </row>
    <row r="1487" spans="1:3" customFormat="1" hidden="1" x14ac:dyDescent="0.3">
      <c r="A1487" s="30" t="s">
        <v>24</v>
      </c>
      <c r="B1487" s="47">
        <v>2015</v>
      </c>
      <c r="C1487" s="16"/>
    </row>
    <row r="1488" spans="1:3" customFormat="1" hidden="1" x14ac:dyDescent="0.3">
      <c r="A1488" s="30" t="s">
        <v>24</v>
      </c>
      <c r="B1488" s="47">
        <v>2015</v>
      </c>
      <c r="C1488" s="16"/>
    </row>
    <row r="1489" spans="1:12" hidden="1" x14ac:dyDescent="0.3">
      <c r="A1489" s="30" t="s">
        <v>24</v>
      </c>
      <c r="B1489" s="47">
        <v>2015</v>
      </c>
      <c r="K1489"/>
      <c r="L1489"/>
    </row>
    <row r="1490" spans="1:12" hidden="1" x14ac:dyDescent="0.3">
      <c r="A1490" s="41" t="s">
        <v>24</v>
      </c>
      <c r="B1490" s="51">
        <v>2015</v>
      </c>
      <c r="C1490" s="36"/>
      <c r="K1490"/>
      <c r="L1490"/>
    </row>
    <row r="1491" spans="1:12" hidden="1" x14ac:dyDescent="0.3">
      <c r="A1491" s="41" t="s">
        <v>24</v>
      </c>
      <c r="B1491" s="51">
        <v>2015</v>
      </c>
      <c r="C1491" s="36"/>
      <c r="K1491"/>
      <c r="L1491"/>
    </row>
    <row r="1492" spans="1:12" hidden="1" x14ac:dyDescent="0.3">
      <c r="A1492" s="41" t="s">
        <v>24</v>
      </c>
      <c r="B1492" s="51">
        <v>2015</v>
      </c>
      <c r="C1492" s="36"/>
      <c r="K1492"/>
      <c r="L1492"/>
    </row>
    <row r="1493" spans="1:12" hidden="1" x14ac:dyDescent="0.3">
      <c r="A1493" s="41" t="s">
        <v>24</v>
      </c>
      <c r="B1493" s="51">
        <v>2015</v>
      </c>
      <c r="C1493" s="36"/>
      <c r="K1493"/>
      <c r="L1493"/>
    </row>
    <row r="1494" spans="1:12" x14ac:dyDescent="0.3">
      <c r="A1494" s="44" t="s">
        <v>18</v>
      </c>
      <c r="B1494" s="45"/>
      <c r="C1494" s="16" t="s">
        <v>154</v>
      </c>
      <c r="D1494">
        <v>4.3261216708766898E-3</v>
      </c>
      <c r="E1494">
        <v>6.8674664768375235E-3</v>
      </c>
      <c r="F1494">
        <v>1.5021739130434779</v>
      </c>
      <c r="G1494">
        <f>F1494/1000</f>
        <v>1.5021739130434779E-3</v>
      </c>
      <c r="H1494">
        <v>13.8945652173913</v>
      </c>
      <c r="I1494">
        <f>H1494/1000</f>
        <v>1.38945652173913E-2</v>
      </c>
      <c r="K1494" s="87">
        <f>E1494*4000</f>
        <v>27.469865907350094</v>
      </c>
      <c r="L1494" s="87">
        <f>D1494*4000</f>
        <v>17.304486683506759</v>
      </c>
    </row>
    <row r="1495" spans="1:12" hidden="1" x14ac:dyDescent="0.3">
      <c r="A1495" s="44" t="s">
        <v>18</v>
      </c>
      <c r="B1495" s="45" t="s">
        <v>18</v>
      </c>
      <c r="K1495"/>
      <c r="L1495"/>
    </row>
    <row r="1496" spans="1:12" hidden="1" x14ac:dyDescent="0.3">
      <c r="A1496" s="30" t="s">
        <v>33</v>
      </c>
      <c r="B1496" s="47">
        <v>2015</v>
      </c>
      <c r="K1496"/>
      <c r="L1496"/>
    </row>
    <row r="1497" spans="1:12" hidden="1" x14ac:dyDescent="0.3">
      <c r="A1497" s="44" t="s">
        <v>18</v>
      </c>
      <c r="B1497" s="45" t="s">
        <v>18</v>
      </c>
      <c r="K1497"/>
      <c r="L1497"/>
    </row>
    <row r="1498" spans="1:12" hidden="1" x14ac:dyDescent="0.3">
      <c r="A1498" s="44" t="s">
        <v>18</v>
      </c>
      <c r="B1498" s="45" t="s">
        <v>18</v>
      </c>
      <c r="K1498"/>
      <c r="L1498"/>
    </row>
    <row r="1499" spans="1:12" hidden="1" x14ac:dyDescent="0.3">
      <c r="A1499" s="30" t="s">
        <v>33</v>
      </c>
      <c r="B1499" s="47">
        <v>2015</v>
      </c>
      <c r="K1499"/>
      <c r="L1499"/>
    </row>
    <row r="1500" spans="1:12" hidden="1" x14ac:dyDescent="0.3">
      <c r="A1500" s="30" t="s">
        <v>33</v>
      </c>
      <c r="B1500" s="47">
        <v>2015</v>
      </c>
      <c r="K1500"/>
      <c r="L1500"/>
    </row>
    <row r="1501" spans="1:12" hidden="1" x14ac:dyDescent="0.3">
      <c r="A1501" s="30" t="s">
        <v>33</v>
      </c>
      <c r="B1501" s="47">
        <v>2015</v>
      </c>
      <c r="K1501"/>
      <c r="L1501"/>
    </row>
    <row r="1502" spans="1:12" hidden="1" x14ac:dyDescent="0.3">
      <c r="A1502" s="30" t="s">
        <v>33</v>
      </c>
      <c r="B1502" s="47">
        <v>2015</v>
      </c>
      <c r="K1502"/>
      <c r="L1502"/>
    </row>
    <row r="1503" spans="1:12" hidden="1" x14ac:dyDescent="0.3">
      <c r="A1503" s="30" t="s">
        <v>33</v>
      </c>
      <c r="B1503" s="47">
        <v>2015</v>
      </c>
      <c r="K1503"/>
      <c r="L1503"/>
    </row>
    <row r="1504" spans="1:12" hidden="1" x14ac:dyDescent="0.3">
      <c r="A1504" s="44" t="s">
        <v>33</v>
      </c>
      <c r="B1504" s="45" t="s">
        <v>18</v>
      </c>
      <c r="K1504"/>
      <c r="L1504"/>
    </row>
    <row r="1505" spans="1:3" customFormat="1" hidden="1" x14ac:dyDescent="0.3">
      <c r="A1505" s="30" t="s">
        <v>33</v>
      </c>
      <c r="B1505" s="47">
        <v>2015</v>
      </c>
      <c r="C1505" s="16"/>
    </row>
    <row r="1506" spans="1:3" customFormat="1" hidden="1" x14ac:dyDescent="0.3">
      <c r="A1506" s="30" t="s">
        <v>33</v>
      </c>
      <c r="B1506" s="47">
        <v>2015</v>
      </c>
      <c r="C1506" s="16"/>
    </row>
    <row r="1507" spans="1:3" customFormat="1" hidden="1" x14ac:dyDescent="0.3">
      <c r="A1507" s="48" t="s">
        <v>33</v>
      </c>
      <c r="B1507" s="48" t="s">
        <v>18</v>
      </c>
      <c r="C1507" s="35"/>
    </row>
    <row r="1508" spans="1:3" customFormat="1" hidden="1" x14ac:dyDescent="0.3">
      <c r="A1508" s="30" t="s">
        <v>33</v>
      </c>
      <c r="B1508" s="47">
        <v>2015</v>
      </c>
      <c r="C1508" s="16"/>
    </row>
    <row r="1509" spans="1:3" customFormat="1" hidden="1" x14ac:dyDescent="0.3">
      <c r="A1509" s="30" t="s">
        <v>33</v>
      </c>
      <c r="B1509" s="47">
        <v>2015</v>
      </c>
      <c r="C1509" s="16"/>
    </row>
    <row r="1510" spans="1:3" customFormat="1" hidden="1" x14ac:dyDescent="0.3">
      <c r="A1510" s="30" t="s">
        <v>33</v>
      </c>
      <c r="B1510" s="47">
        <v>2015</v>
      </c>
      <c r="C1510" s="16"/>
    </row>
    <row r="1511" spans="1:3" customFormat="1" hidden="1" x14ac:dyDescent="0.3">
      <c r="A1511" s="30" t="s">
        <v>33</v>
      </c>
      <c r="B1511" s="47">
        <v>2015</v>
      </c>
      <c r="C1511" s="16"/>
    </row>
    <row r="1512" spans="1:3" customFormat="1" hidden="1" x14ac:dyDescent="0.3">
      <c r="A1512" s="30" t="s">
        <v>33</v>
      </c>
      <c r="B1512" s="47">
        <v>2015</v>
      </c>
      <c r="C1512" s="16"/>
    </row>
    <row r="1513" spans="1:3" customFormat="1" hidden="1" x14ac:dyDescent="0.3">
      <c r="A1513" s="44" t="s">
        <v>33</v>
      </c>
      <c r="B1513" s="45" t="s">
        <v>18</v>
      </c>
      <c r="C1513" s="16"/>
    </row>
    <row r="1514" spans="1:3" customFormat="1" hidden="1" x14ac:dyDescent="0.3">
      <c r="A1514" s="30" t="s">
        <v>33</v>
      </c>
      <c r="B1514" s="47">
        <v>2015</v>
      </c>
      <c r="C1514" s="16"/>
    </row>
    <row r="1515" spans="1:3" customFormat="1" hidden="1" x14ac:dyDescent="0.3">
      <c r="A1515" s="30" t="s">
        <v>33</v>
      </c>
      <c r="B1515" s="47">
        <v>2015</v>
      </c>
      <c r="C1515" s="16"/>
    </row>
    <row r="1516" spans="1:3" customFormat="1" hidden="1" x14ac:dyDescent="0.3">
      <c r="A1516" s="30" t="s">
        <v>33</v>
      </c>
      <c r="B1516" s="47">
        <v>2015</v>
      </c>
      <c r="C1516" s="16"/>
    </row>
    <row r="1517" spans="1:3" customFormat="1" hidden="1" x14ac:dyDescent="0.3">
      <c r="A1517" s="30" t="s">
        <v>33</v>
      </c>
      <c r="B1517" s="47">
        <v>2015</v>
      </c>
      <c r="C1517" s="16"/>
    </row>
    <row r="1518" spans="1:3" customFormat="1" hidden="1" x14ac:dyDescent="0.3">
      <c r="A1518" s="30" t="s">
        <v>33</v>
      </c>
      <c r="B1518" s="47">
        <v>2015</v>
      </c>
      <c r="C1518" s="16"/>
    </row>
    <row r="1519" spans="1:3" customFormat="1" hidden="1" x14ac:dyDescent="0.3">
      <c r="A1519" s="30" t="s">
        <v>33</v>
      </c>
      <c r="B1519" s="47">
        <v>2015</v>
      </c>
      <c r="C1519" s="5"/>
    </row>
    <row r="1520" spans="1:3" customFormat="1" hidden="1" x14ac:dyDescent="0.3">
      <c r="A1520" s="48" t="s">
        <v>33</v>
      </c>
      <c r="B1520" s="48" t="s">
        <v>18</v>
      </c>
      <c r="C1520" s="35"/>
    </row>
    <row r="1521" spans="1:3" customFormat="1" hidden="1" x14ac:dyDescent="0.3">
      <c r="A1521" s="48" t="s">
        <v>33</v>
      </c>
      <c r="B1521" s="48" t="s">
        <v>18</v>
      </c>
      <c r="C1521" s="35"/>
    </row>
    <row r="1522" spans="1:3" customFormat="1" hidden="1" x14ac:dyDescent="0.3">
      <c r="A1522" s="30" t="s">
        <v>33</v>
      </c>
      <c r="B1522" s="47">
        <v>2015</v>
      </c>
      <c r="C1522" s="16"/>
    </row>
    <row r="1523" spans="1:3" customFormat="1" hidden="1" x14ac:dyDescent="0.3">
      <c r="A1523" s="30" t="s">
        <v>33</v>
      </c>
      <c r="B1523" s="47">
        <v>2015</v>
      </c>
      <c r="C1523" s="16"/>
    </row>
    <row r="1524" spans="1:3" customFormat="1" hidden="1" x14ac:dyDescent="0.3">
      <c r="A1524" s="30" t="s">
        <v>33</v>
      </c>
      <c r="B1524" s="47">
        <v>2015</v>
      </c>
      <c r="C1524" s="16"/>
    </row>
    <row r="1525" spans="1:3" customFormat="1" hidden="1" x14ac:dyDescent="0.3">
      <c r="A1525" s="30" t="s">
        <v>33</v>
      </c>
      <c r="B1525" s="47">
        <v>2015</v>
      </c>
      <c r="C1525" s="16"/>
    </row>
    <row r="1526" spans="1:3" customFormat="1" hidden="1" x14ac:dyDescent="0.3">
      <c r="A1526" s="30" t="s">
        <v>33</v>
      </c>
      <c r="B1526" s="47">
        <v>2015</v>
      </c>
      <c r="C1526" s="16"/>
    </row>
    <row r="1527" spans="1:3" customFormat="1" hidden="1" x14ac:dyDescent="0.3">
      <c r="A1527" s="30" t="s">
        <v>33</v>
      </c>
      <c r="B1527" s="47">
        <v>2015</v>
      </c>
      <c r="C1527" s="16"/>
    </row>
    <row r="1528" spans="1:3" customFormat="1" hidden="1" x14ac:dyDescent="0.3">
      <c r="A1528" s="30" t="s">
        <v>33</v>
      </c>
      <c r="B1528" s="47">
        <v>2015</v>
      </c>
      <c r="C1528" s="5"/>
    </row>
    <row r="1529" spans="1:3" customFormat="1" hidden="1" x14ac:dyDescent="0.3">
      <c r="A1529" s="30" t="s">
        <v>33</v>
      </c>
      <c r="B1529" s="47">
        <v>2015</v>
      </c>
      <c r="C1529" s="5"/>
    </row>
    <row r="1530" spans="1:3" customFormat="1" hidden="1" x14ac:dyDescent="0.3">
      <c r="A1530" s="48" t="s">
        <v>33</v>
      </c>
      <c r="B1530" s="48" t="s">
        <v>18</v>
      </c>
      <c r="C1530" s="35"/>
    </row>
    <row r="1531" spans="1:3" customFormat="1" hidden="1" x14ac:dyDescent="0.3">
      <c r="A1531" s="30" t="s">
        <v>33</v>
      </c>
      <c r="B1531" s="47">
        <v>2015</v>
      </c>
      <c r="C1531" s="16"/>
    </row>
    <row r="1532" spans="1:3" customFormat="1" hidden="1" x14ac:dyDescent="0.3">
      <c r="A1532" s="48" t="s">
        <v>33</v>
      </c>
      <c r="B1532" s="48" t="s">
        <v>18</v>
      </c>
      <c r="C1532" s="35"/>
    </row>
    <row r="1533" spans="1:3" customFormat="1" hidden="1" x14ac:dyDescent="0.3">
      <c r="A1533" s="30" t="s">
        <v>33</v>
      </c>
      <c r="B1533" s="47">
        <v>2015</v>
      </c>
      <c r="C1533" s="16"/>
    </row>
    <row r="1534" spans="1:3" customFormat="1" hidden="1" x14ac:dyDescent="0.3">
      <c r="A1534" s="30" t="s">
        <v>33</v>
      </c>
      <c r="B1534" s="47">
        <v>2015</v>
      </c>
      <c r="C1534" s="16"/>
    </row>
    <row r="1535" spans="1:3" customFormat="1" hidden="1" x14ac:dyDescent="0.3">
      <c r="A1535" s="30" t="s">
        <v>33</v>
      </c>
      <c r="B1535" s="47">
        <v>2015</v>
      </c>
      <c r="C1535" s="16"/>
    </row>
    <row r="1536" spans="1:3" customFormat="1" hidden="1" x14ac:dyDescent="0.3">
      <c r="A1536" s="30" t="s">
        <v>33</v>
      </c>
      <c r="B1536" s="47">
        <v>2015</v>
      </c>
      <c r="C1536" s="16"/>
    </row>
    <row r="1537" spans="1:3" customFormat="1" hidden="1" x14ac:dyDescent="0.3">
      <c r="A1537" s="30" t="s">
        <v>33</v>
      </c>
      <c r="B1537" s="47">
        <v>2015</v>
      </c>
      <c r="C1537" s="16"/>
    </row>
    <row r="1538" spans="1:3" customFormat="1" hidden="1" x14ac:dyDescent="0.3">
      <c r="A1538" s="30" t="s">
        <v>33</v>
      </c>
      <c r="B1538" s="47">
        <v>2015</v>
      </c>
      <c r="C1538" s="16"/>
    </row>
    <row r="1539" spans="1:3" customFormat="1" hidden="1" x14ac:dyDescent="0.3">
      <c r="A1539" s="30" t="s">
        <v>33</v>
      </c>
      <c r="B1539" s="47">
        <v>2015</v>
      </c>
      <c r="C1539" s="16"/>
    </row>
    <row r="1540" spans="1:3" customFormat="1" hidden="1" x14ac:dyDescent="0.3">
      <c r="A1540" s="30" t="s">
        <v>33</v>
      </c>
      <c r="B1540" s="47">
        <v>2015</v>
      </c>
      <c r="C1540" s="16"/>
    </row>
    <row r="1541" spans="1:3" customFormat="1" hidden="1" x14ac:dyDescent="0.3">
      <c r="A1541" s="48" t="s">
        <v>33</v>
      </c>
      <c r="B1541" s="48" t="s">
        <v>18</v>
      </c>
      <c r="C1541" s="35"/>
    </row>
    <row r="1542" spans="1:3" customFormat="1" hidden="1" x14ac:dyDescent="0.3">
      <c r="A1542" s="30" t="s">
        <v>33</v>
      </c>
      <c r="B1542" s="47">
        <v>2015</v>
      </c>
      <c r="C1542" s="16"/>
    </row>
    <row r="1543" spans="1:3" customFormat="1" hidden="1" x14ac:dyDescent="0.3">
      <c r="A1543" s="30" t="s">
        <v>33</v>
      </c>
      <c r="B1543" s="47">
        <v>2015</v>
      </c>
      <c r="C1543" s="5"/>
    </row>
    <row r="1544" spans="1:3" customFormat="1" hidden="1" x14ac:dyDescent="0.3">
      <c r="A1544" s="30" t="s">
        <v>33</v>
      </c>
      <c r="B1544" s="47">
        <v>2015</v>
      </c>
      <c r="C1544" s="5"/>
    </row>
    <row r="1545" spans="1:3" customFormat="1" hidden="1" x14ac:dyDescent="0.3">
      <c r="A1545" s="30" t="s">
        <v>33</v>
      </c>
      <c r="B1545" s="47">
        <v>2015</v>
      </c>
      <c r="C1545" s="16"/>
    </row>
    <row r="1546" spans="1:3" customFormat="1" hidden="1" x14ac:dyDescent="0.3">
      <c r="A1546" s="30" t="s">
        <v>33</v>
      </c>
      <c r="B1546" s="47">
        <v>2015</v>
      </c>
      <c r="C1546" s="16"/>
    </row>
    <row r="1547" spans="1:3" customFormat="1" hidden="1" x14ac:dyDescent="0.3">
      <c r="A1547" s="30" t="s">
        <v>33</v>
      </c>
      <c r="B1547" s="47">
        <v>2015</v>
      </c>
      <c r="C1547" s="16"/>
    </row>
    <row r="1548" spans="1:3" customFormat="1" hidden="1" x14ac:dyDescent="0.3">
      <c r="A1548" s="30" t="s">
        <v>33</v>
      </c>
      <c r="B1548" s="47">
        <v>2015</v>
      </c>
      <c r="C1548" s="16"/>
    </row>
    <row r="1549" spans="1:3" customFormat="1" hidden="1" x14ac:dyDescent="0.3">
      <c r="A1549" s="30" t="s">
        <v>33</v>
      </c>
      <c r="B1549" s="47">
        <v>2015</v>
      </c>
      <c r="C1549" s="16"/>
    </row>
    <row r="1550" spans="1:3" customFormat="1" hidden="1" x14ac:dyDescent="0.3">
      <c r="A1550" s="56" t="s">
        <v>33</v>
      </c>
      <c r="B1550" s="57">
        <v>2015</v>
      </c>
      <c r="C1550" s="36"/>
    </row>
    <row r="1551" spans="1:3" customFormat="1" hidden="1" x14ac:dyDescent="0.3">
      <c r="A1551" s="56" t="s">
        <v>33</v>
      </c>
      <c r="B1551" s="57">
        <v>2015</v>
      </c>
      <c r="C1551" s="36"/>
    </row>
    <row r="1552" spans="1:3" customFormat="1" hidden="1" x14ac:dyDescent="0.3">
      <c r="A1552" s="56" t="s">
        <v>33</v>
      </c>
      <c r="B1552" s="57">
        <v>2015</v>
      </c>
      <c r="C1552" s="36"/>
    </row>
    <row r="1553" spans="1:12" hidden="1" x14ac:dyDescent="0.3">
      <c r="A1553" s="56" t="s">
        <v>33</v>
      </c>
      <c r="B1553" s="57">
        <v>2015</v>
      </c>
      <c r="C1553" s="36"/>
      <c r="K1553"/>
      <c r="L1553"/>
    </row>
    <row r="1554" spans="1:12" x14ac:dyDescent="0.3">
      <c r="A1554" s="44" t="s">
        <v>18</v>
      </c>
      <c r="B1554" s="45"/>
      <c r="C1554" s="16" t="s">
        <v>155</v>
      </c>
      <c r="D1554">
        <v>6.3752702690081939E-3</v>
      </c>
      <c r="E1554">
        <v>9.4941332604070831E-3</v>
      </c>
      <c r="F1554">
        <v>1.052747252747253</v>
      </c>
      <c r="G1554">
        <f>F1554/1000</f>
        <v>1.052747252747253E-3</v>
      </c>
      <c r="H1554">
        <v>19.256043956043964</v>
      </c>
      <c r="I1554">
        <f>H1554/1000</f>
        <v>1.9256043956043963E-2</v>
      </c>
      <c r="K1554" s="87">
        <f>E1554*4000</f>
        <v>37.976533041628329</v>
      </c>
      <c r="L1554" s="87">
        <f>D1554*4000</f>
        <v>25.501081076032776</v>
      </c>
    </row>
    <row r="1555" spans="1:12" hidden="1" x14ac:dyDescent="0.3">
      <c r="A1555" s="44" t="s">
        <v>18</v>
      </c>
      <c r="B1555" s="45" t="s">
        <v>18</v>
      </c>
      <c r="K1555"/>
      <c r="L1555"/>
    </row>
    <row r="1556" spans="1:12" hidden="1" x14ac:dyDescent="0.3">
      <c r="A1556" s="30" t="s">
        <v>36</v>
      </c>
      <c r="B1556" s="47">
        <v>2015</v>
      </c>
      <c r="K1556"/>
      <c r="L1556"/>
    </row>
    <row r="1557" spans="1:12" hidden="1" x14ac:dyDescent="0.3">
      <c r="A1557" s="44" t="s">
        <v>18</v>
      </c>
      <c r="B1557" s="45" t="s">
        <v>18</v>
      </c>
      <c r="K1557"/>
      <c r="L1557"/>
    </row>
    <row r="1558" spans="1:12" hidden="1" x14ac:dyDescent="0.3">
      <c r="A1558" s="44" t="s">
        <v>18</v>
      </c>
      <c r="B1558" s="45" t="s">
        <v>18</v>
      </c>
      <c r="K1558"/>
      <c r="L1558"/>
    </row>
    <row r="1559" spans="1:12" hidden="1" x14ac:dyDescent="0.3">
      <c r="A1559" s="30" t="s">
        <v>36</v>
      </c>
      <c r="B1559" s="47">
        <v>2015</v>
      </c>
      <c r="K1559"/>
      <c r="L1559"/>
    </row>
    <row r="1560" spans="1:12" hidden="1" x14ac:dyDescent="0.3">
      <c r="A1560" s="30" t="s">
        <v>36</v>
      </c>
      <c r="B1560" s="47">
        <v>2015</v>
      </c>
      <c r="K1560"/>
      <c r="L1560"/>
    </row>
    <row r="1561" spans="1:12" hidden="1" x14ac:dyDescent="0.3">
      <c r="A1561" s="44" t="s">
        <v>18</v>
      </c>
      <c r="B1561" s="45" t="s">
        <v>18</v>
      </c>
      <c r="K1561"/>
      <c r="L1561"/>
    </row>
    <row r="1562" spans="1:12" hidden="1" x14ac:dyDescent="0.3">
      <c r="A1562" s="30" t="s">
        <v>36</v>
      </c>
      <c r="B1562" s="47">
        <v>2015</v>
      </c>
      <c r="K1562"/>
      <c r="L1562"/>
    </row>
    <row r="1563" spans="1:12" hidden="1" x14ac:dyDescent="0.3">
      <c r="A1563" s="30" t="s">
        <v>36</v>
      </c>
      <c r="B1563" s="47">
        <v>2015</v>
      </c>
      <c r="K1563"/>
      <c r="L1563"/>
    </row>
    <row r="1564" spans="1:12" hidden="1" x14ac:dyDescent="0.3">
      <c r="A1564" s="44" t="s">
        <v>18</v>
      </c>
      <c r="B1564" s="45" t="s">
        <v>18</v>
      </c>
      <c r="K1564"/>
      <c r="L1564"/>
    </row>
    <row r="1565" spans="1:12" hidden="1" x14ac:dyDescent="0.3">
      <c r="A1565" s="30" t="s">
        <v>36</v>
      </c>
      <c r="B1565" s="47">
        <v>2015</v>
      </c>
      <c r="K1565"/>
      <c r="L1565"/>
    </row>
    <row r="1566" spans="1:12" hidden="1" x14ac:dyDescent="0.3">
      <c r="A1566" s="30" t="s">
        <v>36</v>
      </c>
      <c r="B1566" s="47">
        <v>2015</v>
      </c>
      <c r="K1566"/>
      <c r="L1566"/>
    </row>
    <row r="1567" spans="1:12" hidden="1" x14ac:dyDescent="0.3">
      <c r="A1567" s="48" t="s">
        <v>18</v>
      </c>
      <c r="B1567" s="49" t="s">
        <v>18</v>
      </c>
      <c r="C1567" s="35"/>
      <c r="K1567"/>
      <c r="L1567"/>
    </row>
    <row r="1568" spans="1:12" hidden="1" x14ac:dyDescent="0.3">
      <c r="A1568" s="30" t="s">
        <v>36</v>
      </c>
      <c r="B1568" s="47">
        <v>2015</v>
      </c>
      <c r="K1568"/>
      <c r="L1568"/>
    </row>
    <row r="1569" spans="1:3" customFormat="1" hidden="1" x14ac:dyDescent="0.3">
      <c r="A1569" s="30" t="s">
        <v>36</v>
      </c>
      <c r="B1569" s="47">
        <v>2015</v>
      </c>
      <c r="C1569" s="16"/>
    </row>
    <row r="1570" spans="1:3" customFormat="1" hidden="1" x14ac:dyDescent="0.3">
      <c r="A1570" s="30" t="s">
        <v>36</v>
      </c>
      <c r="B1570" s="47">
        <v>2015</v>
      </c>
      <c r="C1570" s="16"/>
    </row>
    <row r="1571" spans="1:3" customFormat="1" hidden="1" x14ac:dyDescent="0.3">
      <c r="A1571" s="30" t="s">
        <v>36</v>
      </c>
      <c r="B1571" s="47">
        <v>2015</v>
      </c>
      <c r="C1571" s="16"/>
    </row>
    <row r="1572" spans="1:3" customFormat="1" hidden="1" x14ac:dyDescent="0.3">
      <c r="A1572" s="30" t="s">
        <v>36</v>
      </c>
      <c r="B1572" s="47">
        <v>2015</v>
      </c>
      <c r="C1572" s="16"/>
    </row>
    <row r="1573" spans="1:3" customFormat="1" hidden="1" x14ac:dyDescent="0.3">
      <c r="A1573" s="44" t="s">
        <v>18</v>
      </c>
      <c r="B1573" s="45" t="s">
        <v>18</v>
      </c>
      <c r="C1573" s="16"/>
    </row>
    <row r="1574" spans="1:3" customFormat="1" hidden="1" x14ac:dyDescent="0.3">
      <c r="A1574" s="30" t="s">
        <v>36</v>
      </c>
      <c r="B1574" s="47">
        <v>2015</v>
      </c>
      <c r="C1574" s="16"/>
    </row>
    <row r="1575" spans="1:3" customFormat="1" hidden="1" x14ac:dyDescent="0.3">
      <c r="A1575" s="30" t="s">
        <v>36</v>
      </c>
      <c r="B1575" s="47">
        <v>2015</v>
      </c>
      <c r="C1575" s="16"/>
    </row>
    <row r="1576" spans="1:3" customFormat="1" hidden="1" x14ac:dyDescent="0.3">
      <c r="A1576" s="30" t="s">
        <v>36</v>
      </c>
      <c r="B1576" s="47">
        <v>2015</v>
      </c>
      <c r="C1576" s="16"/>
    </row>
    <row r="1577" spans="1:3" customFormat="1" hidden="1" x14ac:dyDescent="0.3">
      <c r="A1577" s="30" t="s">
        <v>36</v>
      </c>
      <c r="B1577" s="47">
        <v>2015</v>
      </c>
      <c r="C1577" s="16"/>
    </row>
    <row r="1578" spans="1:3" customFormat="1" hidden="1" x14ac:dyDescent="0.3">
      <c r="A1578" s="30" t="s">
        <v>36</v>
      </c>
      <c r="B1578" s="47">
        <v>2015</v>
      </c>
      <c r="C1578" s="16"/>
    </row>
    <row r="1579" spans="1:3" customFormat="1" hidden="1" x14ac:dyDescent="0.3">
      <c r="A1579" s="30" t="s">
        <v>36</v>
      </c>
      <c r="B1579" s="47">
        <v>2015</v>
      </c>
      <c r="C1579" s="16"/>
    </row>
    <row r="1580" spans="1:3" customFormat="1" hidden="1" x14ac:dyDescent="0.3">
      <c r="A1580" s="48" t="s">
        <v>18</v>
      </c>
      <c r="B1580" s="49" t="s">
        <v>18</v>
      </c>
      <c r="C1580" s="35"/>
    </row>
    <row r="1581" spans="1:3" customFormat="1" hidden="1" x14ac:dyDescent="0.3">
      <c r="A1581" s="48" t="s">
        <v>18</v>
      </c>
      <c r="B1581" s="49" t="s">
        <v>18</v>
      </c>
      <c r="C1581" s="35"/>
    </row>
    <row r="1582" spans="1:3" customFormat="1" hidden="1" x14ac:dyDescent="0.3">
      <c r="A1582" s="30" t="s">
        <v>36</v>
      </c>
      <c r="B1582" s="47">
        <v>2015</v>
      </c>
      <c r="C1582" s="16"/>
    </row>
    <row r="1583" spans="1:3" customFormat="1" hidden="1" x14ac:dyDescent="0.3">
      <c r="A1583" s="30" t="s">
        <v>36</v>
      </c>
      <c r="B1583" s="47">
        <v>2015</v>
      </c>
      <c r="C1583" s="16"/>
    </row>
    <row r="1584" spans="1:3" customFormat="1" hidden="1" x14ac:dyDescent="0.3">
      <c r="A1584" s="30" t="s">
        <v>36</v>
      </c>
      <c r="B1584" s="47">
        <v>2015</v>
      </c>
      <c r="C1584" s="16"/>
    </row>
    <row r="1585" spans="1:3" customFormat="1" hidden="1" x14ac:dyDescent="0.3">
      <c r="A1585" s="30" t="s">
        <v>36</v>
      </c>
      <c r="B1585" s="47">
        <v>2015</v>
      </c>
      <c r="C1585" s="16"/>
    </row>
    <row r="1586" spans="1:3" customFormat="1" hidden="1" x14ac:dyDescent="0.3">
      <c r="A1586" s="30" t="s">
        <v>36</v>
      </c>
      <c r="B1586" s="47">
        <v>2015</v>
      </c>
      <c r="C1586" s="16"/>
    </row>
    <row r="1587" spans="1:3" customFormat="1" hidden="1" x14ac:dyDescent="0.3">
      <c r="A1587" s="30" t="s">
        <v>36</v>
      </c>
      <c r="B1587" s="47">
        <v>2015</v>
      </c>
      <c r="C1587" s="16"/>
    </row>
    <row r="1588" spans="1:3" customFormat="1" hidden="1" x14ac:dyDescent="0.3">
      <c r="A1588" s="30" t="s">
        <v>36</v>
      </c>
      <c r="B1588" s="47">
        <v>2015</v>
      </c>
      <c r="C1588" s="16"/>
    </row>
    <row r="1589" spans="1:3" customFormat="1" hidden="1" x14ac:dyDescent="0.3">
      <c r="A1589" s="30" t="s">
        <v>36</v>
      </c>
      <c r="B1589" s="47">
        <v>2015</v>
      </c>
      <c r="C1589" s="16"/>
    </row>
    <row r="1590" spans="1:3" customFormat="1" hidden="1" x14ac:dyDescent="0.3">
      <c r="A1590" s="48" t="s">
        <v>18</v>
      </c>
      <c r="B1590" s="49" t="s">
        <v>18</v>
      </c>
      <c r="C1590" s="35"/>
    </row>
    <row r="1591" spans="1:3" customFormat="1" hidden="1" x14ac:dyDescent="0.3">
      <c r="A1591" s="30" t="s">
        <v>36</v>
      </c>
      <c r="B1591" s="47">
        <v>2015</v>
      </c>
      <c r="C1591" s="16"/>
    </row>
    <row r="1592" spans="1:3" customFormat="1" hidden="1" x14ac:dyDescent="0.3">
      <c r="A1592" s="48" t="s">
        <v>18</v>
      </c>
      <c r="B1592" s="49" t="s">
        <v>18</v>
      </c>
      <c r="C1592" s="35"/>
    </row>
    <row r="1593" spans="1:3" customFormat="1" hidden="1" x14ac:dyDescent="0.3">
      <c r="A1593" s="30" t="s">
        <v>36</v>
      </c>
      <c r="B1593" s="47">
        <v>2015</v>
      </c>
      <c r="C1593" s="16"/>
    </row>
    <row r="1594" spans="1:3" customFormat="1" hidden="1" x14ac:dyDescent="0.3">
      <c r="A1594" s="30" t="s">
        <v>36</v>
      </c>
      <c r="B1594" s="47">
        <v>2015</v>
      </c>
      <c r="C1594" s="16"/>
    </row>
    <row r="1595" spans="1:3" customFormat="1" hidden="1" x14ac:dyDescent="0.3">
      <c r="A1595" s="30" t="s">
        <v>36</v>
      </c>
      <c r="B1595" s="47">
        <v>2015</v>
      </c>
      <c r="C1595" s="16"/>
    </row>
    <row r="1596" spans="1:3" customFormat="1" hidden="1" x14ac:dyDescent="0.3">
      <c r="A1596" s="30" t="s">
        <v>36</v>
      </c>
      <c r="B1596" s="47">
        <v>2015</v>
      </c>
      <c r="C1596" s="16"/>
    </row>
    <row r="1597" spans="1:3" customFormat="1" hidden="1" x14ac:dyDescent="0.3">
      <c r="A1597" s="30" t="s">
        <v>36</v>
      </c>
      <c r="B1597" s="47">
        <v>2015</v>
      </c>
      <c r="C1597" s="16"/>
    </row>
    <row r="1598" spans="1:3" customFormat="1" hidden="1" x14ac:dyDescent="0.3">
      <c r="A1598" s="30" t="s">
        <v>36</v>
      </c>
      <c r="B1598" s="47">
        <v>2015</v>
      </c>
      <c r="C1598" s="16"/>
    </row>
    <row r="1599" spans="1:3" customFormat="1" hidden="1" x14ac:dyDescent="0.3">
      <c r="A1599" s="30" t="s">
        <v>36</v>
      </c>
      <c r="B1599" s="47">
        <v>2015</v>
      </c>
      <c r="C1599" s="16"/>
    </row>
    <row r="1600" spans="1:3" customFormat="1" hidden="1" x14ac:dyDescent="0.3">
      <c r="A1600" s="30" t="s">
        <v>36</v>
      </c>
      <c r="B1600" s="47">
        <v>2015</v>
      </c>
      <c r="C1600" s="16"/>
    </row>
    <row r="1601" spans="1:12" hidden="1" x14ac:dyDescent="0.3">
      <c r="A1601" s="48" t="s">
        <v>18</v>
      </c>
      <c r="B1601" s="49" t="s">
        <v>18</v>
      </c>
      <c r="C1601" s="35"/>
      <c r="K1601"/>
      <c r="L1601"/>
    </row>
    <row r="1602" spans="1:12" hidden="1" x14ac:dyDescent="0.3">
      <c r="A1602" s="30" t="s">
        <v>36</v>
      </c>
      <c r="B1602" s="47">
        <v>2015</v>
      </c>
      <c r="K1602"/>
      <c r="L1602"/>
    </row>
    <row r="1603" spans="1:12" hidden="1" x14ac:dyDescent="0.3">
      <c r="A1603" s="30" t="s">
        <v>36</v>
      </c>
      <c r="B1603" s="47">
        <v>2015</v>
      </c>
      <c r="K1603"/>
      <c r="L1603"/>
    </row>
    <row r="1604" spans="1:12" hidden="1" x14ac:dyDescent="0.3">
      <c r="A1604" s="30" t="s">
        <v>36</v>
      </c>
      <c r="B1604" s="47">
        <v>2015</v>
      </c>
      <c r="K1604"/>
      <c r="L1604"/>
    </row>
    <row r="1605" spans="1:12" hidden="1" x14ac:dyDescent="0.3">
      <c r="A1605" s="30" t="s">
        <v>36</v>
      </c>
      <c r="B1605" s="47">
        <v>2015</v>
      </c>
      <c r="K1605"/>
      <c r="L1605"/>
    </row>
    <row r="1606" spans="1:12" hidden="1" x14ac:dyDescent="0.3">
      <c r="A1606" s="30" t="s">
        <v>36</v>
      </c>
      <c r="B1606" s="47">
        <v>2015</v>
      </c>
      <c r="K1606"/>
      <c r="L1606"/>
    </row>
    <row r="1607" spans="1:12" hidden="1" x14ac:dyDescent="0.3">
      <c r="A1607" s="30" t="s">
        <v>36</v>
      </c>
      <c r="B1607" s="47">
        <v>2015</v>
      </c>
      <c r="K1607"/>
      <c r="L1607"/>
    </row>
    <row r="1608" spans="1:12" hidden="1" x14ac:dyDescent="0.3">
      <c r="A1608" s="30" t="s">
        <v>36</v>
      </c>
      <c r="B1608" s="47">
        <v>2015</v>
      </c>
      <c r="K1608"/>
      <c r="L1608"/>
    </row>
    <row r="1609" spans="1:12" hidden="1" x14ac:dyDescent="0.3">
      <c r="A1609" s="30" t="s">
        <v>36</v>
      </c>
      <c r="B1609" s="47">
        <v>2015</v>
      </c>
      <c r="K1609"/>
      <c r="L1609"/>
    </row>
    <row r="1610" spans="1:12" hidden="1" x14ac:dyDescent="0.3">
      <c r="A1610" s="41" t="s">
        <v>36</v>
      </c>
      <c r="B1610" s="51">
        <v>2015</v>
      </c>
      <c r="C1610" s="36"/>
      <c r="K1610"/>
      <c r="L1610"/>
    </row>
    <row r="1611" spans="1:12" hidden="1" x14ac:dyDescent="0.3">
      <c r="A1611" s="41" t="s">
        <v>36</v>
      </c>
      <c r="B1611" s="51">
        <v>2015</v>
      </c>
      <c r="C1611" s="36"/>
      <c r="K1611"/>
      <c r="L1611"/>
    </row>
    <row r="1612" spans="1:12" hidden="1" x14ac:dyDescent="0.3">
      <c r="A1612" s="41" t="s">
        <v>36</v>
      </c>
      <c r="B1612" s="51">
        <v>2015</v>
      </c>
      <c r="C1612" s="36"/>
      <c r="K1612"/>
      <c r="L1612"/>
    </row>
    <row r="1613" spans="1:12" hidden="1" x14ac:dyDescent="0.3">
      <c r="A1613" s="41" t="s">
        <v>36</v>
      </c>
      <c r="B1613" s="51">
        <v>2015</v>
      </c>
      <c r="C1613" s="36"/>
      <c r="K1613"/>
      <c r="L1613"/>
    </row>
    <row r="1614" spans="1:12" x14ac:dyDescent="0.3">
      <c r="A1614" s="44" t="s">
        <v>18</v>
      </c>
      <c r="B1614" s="45">
        <v>2016</v>
      </c>
      <c r="C1614" s="5" t="s">
        <v>156</v>
      </c>
      <c r="D1614">
        <v>4.577034709274232E-3</v>
      </c>
      <c r="E1614">
        <v>6.6908423470617177E-3</v>
      </c>
      <c r="F1614">
        <v>1.2857142857142858</v>
      </c>
      <c r="G1614">
        <f>F1614/1000</f>
        <v>1.2857142857142859E-3</v>
      </c>
      <c r="H1614">
        <v>24.150549450549438</v>
      </c>
      <c r="I1614">
        <f>H1614/1000</f>
        <v>2.4150549450549438E-2</v>
      </c>
      <c r="K1614" s="87">
        <f>E1614*4000</f>
        <v>26.763369388246872</v>
      </c>
      <c r="L1614" s="87">
        <f>D1614*4000</f>
        <v>18.308138837096926</v>
      </c>
    </row>
    <row r="1615" spans="1:12" hidden="1" x14ac:dyDescent="0.3">
      <c r="A1615" s="44" t="s">
        <v>18</v>
      </c>
      <c r="B1615" s="45" t="s">
        <v>18</v>
      </c>
      <c r="C1615" s="5"/>
      <c r="K1615"/>
      <c r="L1615"/>
    </row>
    <row r="1616" spans="1:12" hidden="1" x14ac:dyDescent="0.3">
      <c r="A1616" s="30" t="s">
        <v>64</v>
      </c>
      <c r="B1616" s="47">
        <v>2016</v>
      </c>
      <c r="C1616" s="5"/>
      <c r="K1616"/>
      <c r="L1616"/>
    </row>
    <row r="1617" spans="1:3" customFormat="1" hidden="1" x14ac:dyDescent="0.3">
      <c r="A1617" s="44" t="s">
        <v>18</v>
      </c>
      <c r="B1617" s="45" t="s">
        <v>18</v>
      </c>
      <c r="C1617" s="5"/>
    </row>
    <row r="1618" spans="1:3" customFormat="1" hidden="1" x14ac:dyDescent="0.3">
      <c r="A1618" s="44" t="s">
        <v>18</v>
      </c>
      <c r="B1618" s="45" t="s">
        <v>18</v>
      </c>
      <c r="C1618" s="5"/>
    </row>
    <row r="1619" spans="1:3" customFormat="1" hidden="1" x14ac:dyDescent="0.3">
      <c r="A1619" s="30" t="s">
        <v>64</v>
      </c>
      <c r="B1619" s="47">
        <v>2016</v>
      </c>
      <c r="C1619" s="5"/>
    </row>
    <row r="1620" spans="1:3" customFormat="1" hidden="1" x14ac:dyDescent="0.3">
      <c r="A1620" s="30" t="s">
        <v>64</v>
      </c>
      <c r="B1620" s="47">
        <v>2016</v>
      </c>
      <c r="C1620" s="5"/>
    </row>
    <row r="1621" spans="1:3" customFormat="1" hidden="1" x14ac:dyDescent="0.3">
      <c r="A1621" s="44" t="s">
        <v>18</v>
      </c>
      <c r="B1621" s="45" t="s">
        <v>18</v>
      </c>
      <c r="C1621" s="5"/>
    </row>
    <row r="1622" spans="1:3" customFormat="1" hidden="1" x14ac:dyDescent="0.3">
      <c r="A1622" s="30" t="s">
        <v>64</v>
      </c>
      <c r="B1622" s="47">
        <v>2016</v>
      </c>
      <c r="C1622" s="5"/>
    </row>
    <row r="1623" spans="1:3" customFormat="1" hidden="1" x14ac:dyDescent="0.3">
      <c r="A1623" s="30" t="s">
        <v>64</v>
      </c>
      <c r="B1623" s="47">
        <v>2016</v>
      </c>
      <c r="C1623" s="5"/>
    </row>
    <row r="1624" spans="1:3" customFormat="1" hidden="1" x14ac:dyDescent="0.3">
      <c r="A1624" s="44" t="s">
        <v>18</v>
      </c>
      <c r="B1624" s="45" t="s">
        <v>18</v>
      </c>
      <c r="C1624" s="5"/>
    </row>
    <row r="1625" spans="1:3" customFormat="1" hidden="1" x14ac:dyDescent="0.3">
      <c r="A1625" s="30" t="s">
        <v>64</v>
      </c>
      <c r="B1625" s="47">
        <v>2016</v>
      </c>
      <c r="C1625" s="5"/>
    </row>
    <row r="1626" spans="1:3" customFormat="1" hidden="1" x14ac:dyDescent="0.3">
      <c r="A1626" s="30" t="s">
        <v>64</v>
      </c>
      <c r="B1626" s="47">
        <v>2016</v>
      </c>
      <c r="C1626" s="5"/>
    </row>
    <row r="1627" spans="1:3" customFormat="1" hidden="1" x14ac:dyDescent="0.3">
      <c r="A1627" s="49" t="s">
        <v>18</v>
      </c>
      <c r="B1627" s="49" t="s">
        <v>18</v>
      </c>
      <c r="C1627" s="35"/>
    </row>
    <row r="1628" spans="1:3" customFormat="1" hidden="1" x14ac:dyDescent="0.3">
      <c r="A1628" s="30" t="s">
        <v>64</v>
      </c>
      <c r="B1628" s="47">
        <v>2016</v>
      </c>
      <c r="C1628" s="5"/>
    </row>
    <row r="1629" spans="1:3" customFormat="1" hidden="1" x14ac:dyDescent="0.3">
      <c r="A1629" s="30" t="s">
        <v>64</v>
      </c>
      <c r="B1629" s="47">
        <v>2016</v>
      </c>
      <c r="C1629" s="5"/>
    </row>
    <row r="1630" spans="1:3" customFormat="1" hidden="1" x14ac:dyDescent="0.3">
      <c r="A1630" s="30" t="s">
        <v>64</v>
      </c>
      <c r="B1630" s="47">
        <v>2016</v>
      </c>
      <c r="C1630" s="5"/>
    </row>
    <row r="1631" spans="1:3" customFormat="1" hidden="1" x14ac:dyDescent="0.3">
      <c r="A1631" s="30" t="s">
        <v>64</v>
      </c>
      <c r="B1631" s="47">
        <v>2016</v>
      </c>
      <c r="C1631" s="5"/>
    </row>
    <row r="1632" spans="1:3" customFormat="1" hidden="1" x14ac:dyDescent="0.3">
      <c r="A1632" s="30" t="s">
        <v>64</v>
      </c>
      <c r="B1632" s="47">
        <v>2016</v>
      </c>
      <c r="C1632" s="5"/>
    </row>
    <row r="1633" spans="1:3" customFormat="1" hidden="1" x14ac:dyDescent="0.3">
      <c r="A1633" s="44" t="s">
        <v>18</v>
      </c>
      <c r="B1633" s="45" t="s">
        <v>18</v>
      </c>
      <c r="C1633" s="5"/>
    </row>
    <row r="1634" spans="1:3" customFormat="1" hidden="1" x14ac:dyDescent="0.3">
      <c r="A1634" s="30" t="s">
        <v>64</v>
      </c>
      <c r="B1634" s="47">
        <v>2016</v>
      </c>
      <c r="C1634" s="5"/>
    </row>
    <row r="1635" spans="1:3" customFormat="1" hidden="1" x14ac:dyDescent="0.3">
      <c r="A1635" s="30" t="s">
        <v>64</v>
      </c>
      <c r="B1635" s="47">
        <v>2016</v>
      </c>
      <c r="C1635" s="5"/>
    </row>
    <row r="1636" spans="1:3" customFormat="1" hidden="1" x14ac:dyDescent="0.3">
      <c r="A1636" s="30" t="s">
        <v>64</v>
      </c>
      <c r="B1636" s="47">
        <v>2016</v>
      </c>
      <c r="C1636" s="5"/>
    </row>
    <row r="1637" spans="1:3" customFormat="1" hidden="1" x14ac:dyDescent="0.3">
      <c r="A1637" s="30" t="s">
        <v>64</v>
      </c>
      <c r="B1637" s="47">
        <v>2016</v>
      </c>
      <c r="C1637" s="5"/>
    </row>
    <row r="1638" spans="1:3" customFormat="1" hidden="1" x14ac:dyDescent="0.3">
      <c r="A1638" s="30" t="s">
        <v>64</v>
      </c>
      <c r="B1638" s="47">
        <v>2016</v>
      </c>
      <c r="C1638" s="5"/>
    </row>
    <row r="1639" spans="1:3" customFormat="1" hidden="1" x14ac:dyDescent="0.3">
      <c r="A1639" s="30" t="s">
        <v>64</v>
      </c>
      <c r="B1639" s="47">
        <v>2016</v>
      </c>
      <c r="C1639" s="5"/>
    </row>
    <row r="1640" spans="1:3" customFormat="1" hidden="1" x14ac:dyDescent="0.3">
      <c r="A1640" s="49" t="s">
        <v>18</v>
      </c>
      <c r="B1640" s="49" t="s">
        <v>18</v>
      </c>
      <c r="C1640" s="35"/>
    </row>
    <row r="1641" spans="1:3" customFormat="1" hidden="1" x14ac:dyDescent="0.3">
      <c r="A1641" s="49" t="s">
        <v>18</v>
      </c>
      <c r="B1641" s="49" t="s">
        <v>18</v>
      </c>
      <c r="C1641" s="35"/>
    </row>
    <row r="1642" spans="1:3" customFormat="1" hidden="1" x14ac:dyDescent="0.3">
      <c r="A1642" s="30" t="s">
        <v>64</v>
      </c>
      <c r="B1642" s="47">
        <v>2016</v>
      </c>
      <c r="C1642" s="5"/>
    </row>
    <row r="1643" spans="1:3" customFormat="1" hidden="1" x14ac:dyDescent="0.3">
      <c r="A1643" s="30" t="s">
        <v>64</v>
      </c>
      <c r="B1643" s="47">
        <v>2016</v>
      </c>
      <c r="C1643" s="5"/>
    </row>
    <row r="1644" spans="1:3" customFormat="1" hidden="1" x14ac:dyDescent="0.3">
      <c r="A1644" s="30" t="s">
        <v>64</v>
      </c>
      <c r="B1644" s="47">
        <v>2016</v>
      </c>
      <c r="C1644" s="5"/>
    </row>
    <row r="1645" spans="1:3" customFormat="1" hidden="1" x14ac:dyDescent="0.3">
      <c r="A1645" s="30" t="s">
        <v>64</v>
      </c>
      <c r="B1645" s="47">
        <v>2016</v>
      </c>
      <c r="C1645" s="5"/>
    </row>
    <row r="1646" spans="1:3" customFormat="1" hidden="1" x14ac:dyDescent="0.3">
      <c r="A1646" s="30" t="s">
        <v>64</v>
      </c>
      <c r="B1646" s="47">
        <v>2016</v>
      </c>
      <c r="C1646" s="5"/>
    </row>
    <row r="1647" spans="1:3" customFormat="1" hidden="1" x14ac:dyDescent="0.3">
      <c r="A1647" s="30" t="s">
        <v>64</v>
      </c>
      <c r="B1647" s="47">
        <v>2016</v>
      </c>
      <c r="C1647" s="5"/>
    </row>
    <row r="1648" spans="1:3" customFormat="1" hidden="1" x14ac:dyDescent="0.3">
      <c r="A1648" s="30" t="s">
        <v>64</v>
      </c>
      <c r="B1648" s="47">
        <v>2016</v>
      </c>
      <c r="C1648" s="5"/>
    </row>
    <row r="1649" spans="1:3" customFormat="1" hidden="1" x14ac:dyDescent="0.3">
      <c r="A1649" s="30" t="s">
        <v>64</v>
      </c>
      <c r="B1649" s="47">
        <v>2016</v>
      </c>
      <c r="C1649" s="5"/>
    </row>
    <row r="1650" spans="1:3" customFormat="1" hidden="1" x14ac:dyDescent="0.3">
      <c r="A1650" s="49" t="s">
        <v>18</v>
      </c>
      <c r="B1650" s="49" t="s">
        <v>18</v>
      </c>
      <c r="C1650" s="35"/>
    </row>
    <row r="1651" spans="1:3" customFormat="1" hidden="1" x14ac:dyDescent="0.3">
      <c r="A1651" s="30" t="s">
        <v>64</v>
      </c>
      <c r="B1651" s="47">
        <v>2016</v>
      </c>
      <c r="C1651" s="5"/>
    </row>
    <row r="1652" spans="1:3" customFormat="1" hidden="1" x14ac:dyDescent="0.3">
      <c r="A1652" s="49" t="s">
        <v>18</v>
      </c>
      <c r="B1652" s="49" t="s">
        <v>18</v>
      </c>
      <c r="C1652" s="35"/>
    </row>
    <row r="1653" spans="1:3" customFormat="1" hidden="1" x14ac:dyDescent="0.3">
      <c r="A1653" s="30" t="s">
        <v>64</v>
      </c>
      <c r="B1653" s="47">
        <v>2016</v>
      </c>
      <c r="C1653" s="5"/>
    </row>
    <row r="1654" spans="1:3" customFormat="1" hidden="1" x14ac:dyDescent="0.3">
      <c r="A1654" s="30" t="s">
        <v>64</v>
      </c>
      <c r="B1654" s="47">
        <v>2016</v>
      </c>
      <c r="C1654" s="5"/>
    </row>
    <row r="1655" spans="1:3" customFormat="1" hidden="1" x14ac:dyDescent="0.3">
      <c r="A1655" s="30" t="s">
        <v>64</v>
      </c>
      <c r="B1655" s="47">
        <v>2016</v>
      </c>
      <c r="C1655" s="5"/>
    </row>
    <row r="1656" spans="1:3" customFormat="1" hidden="1" x14ac:dyDescent="0.3">
      <c r="A1656" s="30" t="s">
        <v>64</v>
      </c>
      <c r="B1656" s="47">
        <v>2016</v>
      </c>
      <c r="C1656" s="5"/>
    </row>
    <row r="1657" spans="1:3" customFormat="1" hidden="1" x14ac:dyDescent="0.3">
      <c r="A1657" s="30" t="s">
        <v>64</v>
      </c>
      <c r="B1657" s="47">
        <v>2016</v>
      </c>
      <c r="C1657" s="5"/>
    </row>
    <row r="1658" spans="1:3" customFormat="1" hidden="1" x14ac:dyDescent="0.3">
      <c r="A1658" s="30" t="s">
        <v>64</v>
      </c>
      <c r="B1658" s="47">
        <v>2016</v>
      </c>
      <c r="C1658" s="5"/>
    </row>
    <row r="1659" spans="1:3" customFormat="1" hidden="1" x14ac:dyDescent="0.3">
      <c r="A1659" s="30" t="s">
        <v>64</v>
      </c>
      <c r="B1659" s="47">
        <v>2016</v>
      </c>
      <c r="C1659" s="5"/>
    </row>
    <row r="1660" spans="1:3" customFormat="1" hidden="1" x14ac:dyDescent="0.3">
      <c r="A1660" s="30" t="s">
        <v>64</v>
      </c>
      <c r="B1660" s="47">
        <v>2016</v>
      </c>
      <c r="C1660" s="5"/>
    </row>
    <row r="1661" spans="1:3" customFormat="1" hidden="1" x14ac:dyDescent="0.3">
      <c r="A1661" s="49" t="s">
        <v>18</v>
      </c>
      <c r="B1661" s="49" t="s">
        <v>18</v>
      </c>
      <c r="C1661" s="35"/>
    </row>
    <row r="1662" spans="1:3" customFormat="1" hidden="1" x14ac:dyDescent="0.3">
      <c r="A1662" s="30" t="s">
        <v>64</v>
      </c>
      <c r="B1662" s="47">
        <v>2016</v>
      </c>
      <c r="C1662" s="5"/>
    </row>
    <row r="1663" spans="1:3" customFormat="1" hidden="1" x14ac:dyDescent="0.3">
      <c r="A1663" s="30" t="s">
        <v>64</v>
      </c>
      <c r="B1663" s="47">
        <v>2016</v>
      </c>
      <c r="C1663" s="5"/>
    </row>
    <row r="1664" spans="1:3" customFormat="1" hidden="1" x14ac:dyDescent="0.3">
      <c r="A1664" s="30" t="s">
        <v>64</v>
      </c>
      <c r="B1664" s="47">
        <v>2016</v>
      </c>
      <c r="C1664" s="5"/>
    </row>
    <row r="1665" spans="1:12" hidden="1" x14ac:dyDescent="0.3">
      <c r="A1665" s="30" t="s">
        <v>64</v>
      </c>
      <c r="B1665" s="47">
        <v>2016</v>
      </c>
      <c r="C1665" s="5"/>
      <c r="K1665"/>
      <c r="L1665"/>
    </row>
    <row r="1666" spans="1:12" hidden="1" x14ac:dyDescent="0.3">
      <c r="A1666" s="30" t="s">
        <v>64</v>
      </c>
      <c r="B1666" s="47">
        <v>2016</v>
      </c>
      <c r="C1666" s="5"/>
      <c r="K1666"/>
      <c r="L1666"/>
    </row>
    <row r="1667" spans="1:12" hidden="1" x14ac:dyDescent="0.3">
      <c r="A1667" s="30" t="s">
        <v>64</v>
      </c>
      <c r="B1667" s="47">
        <v>2016</v>
      </c>
      <c r="C1667" s="5"/>
      <c r="K1667"/>
      <c r="L1667"/>
    </row>
    <row r="1668" spans="1:12" hidden="1" x14ac:dyDescent="0.3">
      <c r="A1668" s="30" t="s">
        <v>64</v>
      </c>
      <c r="B1668" s="47">
        <v>2016</v>
      </c>
      <c r="C1668" s="5"/>
      <c r="K1668"/>
      <c r="L1668"/>
    </row>
    <row r="1669" spans="1:12" hidden="1" x14ac:dyDescent="0.3">
      <c r="A1669" s="30" t="s">
        <v>64</v>
      </c>
      <c r="B1669" s="47">
        <v>2016</v>
      </c>
      <c r="C1669" s="5"/>
      <c r="K1669"/>
      <c r="L1669"/>
    </row>
    <row r="1670" spans="1:12" hidden="1" x14ac:dyDescent="0.3">
      <c r="A1670" s="41" t="s">
        <v>64</v>
      </c>
      <c r="B1670" s="51">
        <v>2016</v>
      </c>
      <c r="C1670" s="37"/>
      <c r="K1670"/>
      <c r="L1670"/>
    </row>
    <row r="1671" spans="1:12" hidden="1" x14ac:dyDescent="0.3">
      <c r="A1671" s="41" t="s">
        <v>64</v>
      </c>
      <c r="B1671" s="51">
        <v>2016</v>
      </c>
      <c r="C1671" s="37"/>
      <c r="K1671"/>
      <c r="L1671"/>
    </row>
    <row r="1672" spans="1:12" hidden="1" x14ac:dyDescent="0.3">
      <c r="A1672" s="41" t="s">
        <v>64</v>
      </c>
      <c r="B1672" s="51">
        <v>2016</v>
      </c>
      <c r="C1672" s="37"/>
      <c r="K1672"/>
      <c r="L1672"/>
    </row>
    <row r="1673" spans="1:12" hidden="1" x14ac:dyDescent="0.3">
      <c r="A1673" s="41" t="s">
        <v>64</v>
      </c>
      <c r="B1673" s="51">
        <v>2016</v>
      </c>
      <c r="C1673" s="37"/>
      <c r="K1673"/>
      <c r="L1673"/>
    </row>
    <row r="1674" spans="1:12" x14ac:dyDescent="0.3">
      <c r="A1674" s="44" t="s">
        <v>18</v>
      </c>
      <c r="B1674" s="45"/>
      <c r="C1674" s="16" t="s">
        <v>153</v>
      </c>
      <c r="D1674">
        <v>1.008422902596926E-2</v>
      </c>
      <c r="E1674">
        <v>1.6946381573443504E-2</v>
      </c>
      <c r="F1674">
        <v>1.9000000000000004</v>
      </c>
      <c r="G1674">
        <f>F1674/1000</f>
        <v>1.9000000000000004E-3</v>
      </c>
      <c r="H1674">
        <v>20.618478260869562</v>
      </c>
      <c r="I1674">
        <f>H1674/1000</f>
        <v>2.0618478260869561E-2</v>
      </c>
      <c r="K1674" s="87">
        <f>E1674*4000</f>
        <v>67.785526293774012</v>
      </c>
      <c r="L1674" s="87">
        <f>D1674*4000</f>
        <v>40.336916103877037</v>
      </c>
    </row>
    <row r="1675" spans="1:12" hidden="1" x14ac:dyDescent="0.3">
      <c r="A1675" s="44" t="s">
        <v>18</v>
      </c>
      <c r="B1675" s="45" t="s">
        <v>18</v>
      </c>
      <c r="K1675"/>
      <c r="L1675"/>
    </row>
    <row r="1676" spans="1:12" hidden="1" x14ac:dyDescent="0.3">
      <c r="A1676" s="30" t="s">
        <v>24</v>
      </c>
      <c r="B1676" s="47">
        <v>2016</v>
      </c>
      <c r="K1676"/>
      <c r="L1676"/>
    </row>
    <row r="1677" spans="1:12" hidden="1" x14ac:dyDescent="0.3">
      <c r="A1677" s="44" t="s">
        <v>18</v>
      </c>
      <c r="B1677" s="45" t="s">
        <v>18</v>
      </c>
      <c r="K1677"/>
      <c r="L1677"/>
    </row>
    <row r="1678" spans="1:12" hidden="1" x14ac:dyDescent="0.3">
      <c r="A1678" s="44" t="s">
        <v>18</v>
      </c>
      <c r="B1678" s="45" t="s">
        <v>18</v>
      </c>
      <c r="K1678"/>
      <c r="L1678"/>
    </row>
    <row r="1679" spans="1:12" hidden="1" x14ac:dyDescent="0.3">
      <c r="A1679" s="30" t="s">
        <v>24</v>
      </c>
      <c r="B1679" s="47">
        <v>2016</v>
      </c>
      <c r="K1679"/>
      <c r="L1679"/>
    </row>
    <row r="1680" spans="1:12" hidden="1" x14ac:dyDescent="0.3">
      <c r="A1680" s="30" t="s">
        <v>24</v>
      </c>
      <c r="B1680" s="47">
        <v>2016</v>
      </c>
      <c r="K1680"/>
      <c r="L1680"/>
    </row>
    <row r="1681" spans="1:3" customFormat="1" hidden="1" x14ac:dyDescent="0.3">
      <c r="A1681" s="44" t="s">
        <v>18</v>
      </c>
      <c r="B1681" s="45" t="s">
        <v>18</v>
      </c>
      <c r="C1681" s="16"/>
    </row>
    <row r="1682" spans="1:3" customFormat="1" hidden="1" x14ac:dyDescent="0.3">
      <c r="A1682" s="30" t="s">
        <v>24</v>
      </c>
      <c r="B1682" s="47">
        <v>2016</v>
      </c>
      <c r="C1682" s="16"/>
    </row>
    <row r="1683" spans="1:3" customFormat="1" hidden="1" x14ac:dyDescent="0.3">
      <c r="A1683" s="30" t="s">
        <v>24</v>
      </c>
      <c r="B1683" s="47">
        <v>2016</v>
      </c>
      <c r="C1683" s="16"/>
    </row>
    <row r="1684" spans="1:3" customFormat="1" hidden="1" x14ac:dyDescent="0.3">
      <c r="A1684" s="44" t="s">
        <v>18</v>
      </c>
      <c r="B1684" s="45" t="s">
        <v>18</v>
      </c>
      <c r="C1684" s="16"/>
    </row>
    <row r="1685" spans="1:3" customFormat="1" hidden="1" x14ac:dyDescent="0.3">
      <c r="A1685" s="30" t="s">
        <v>24</v>
      </c>
      <c r="B1685" s="47">
        <v>2016</v>
      </c>
      <c r="C1685" s="16"/>
    </row>
    <row r="1686" spans="1:3" customFormat="1" hidden="1" x14ac:dyDescent="0.3">
      <c r="A1686" s="30" t="s">
        <v>24</v>
      </c>
      <c r="B1686" s="47">
        <v>2016</v>
      </c>
      <c r="C1686" s="16"/>
    </row>
    <row r="1687" spans="1:3" customFormat="1" hidden="1" x14ac:dyDescent="0.3">
      <c r="A1687" s="49" t="s">
        <v>18</v>
      </c>
      <c r="B1687" s="49" t="s">
        <v>18</v>
      </c>
      <c r="C1687" s="35"/>
    </row>
    <row r="1688" spans="1:3" customFormat="1" hidden="1" x14ac:dyDescent="0.3">
      <c r="A1688" s="30" t="s">
        <v>24</v>
      </c>
      <c r="B1688" s="47">
        <v>2016</v>
      </c>
      <c r="C1688" s="16"/>
    </row>
    <row r="1689" spans="1:3" customFormat="1" hidden="1" x14ac:dyDescent="0.3">
      <c r="A1689" s="30" t="s">
        <v>24</v>
      </c>
      <c r="B1689" s="47">
        <v>2016</v>
      </c>
      <c r="C1689" s="16"/>
    </row>
    <row r="1690" spans="1:3" customFormat="1" hidden="1" x14ac:dyDescent="0.3">
      <c r="A1690" s="30" t="s">
        <v>24</v>
      </c>
      <c r="B1690" s="47">
        <v>2016</v>
      </c>
      <c r="C1690" s="16"/>
    </row>
    <row r="1691" spans="1:3" customFormat="1" hidden="1" x14ac:dyDescent="0.3">
      <c r="A1691" s="30" t="s">
        <v>24</v>
      </c>
      <c r="B1691" s="47">
        <v>2016</v>
      </c>
      <c r="C1691" s="16"/>
    </row>
    <row r="1692" spans="1:3" customFormat="1" hidden="1" x14ac:dyDescent="0.3">
      <c r="A1692" s="30" t="s">
        <v>24</v>
      </c>
      <c r="B1692" s="47">
        <v>2016</v>
      </c>
      <c r="C1692" s="16"/>
    </row>
    <row r="1693" spans="1:3" customFormat="1" hidden="1" x14ac:dyDescent="0.3">
      <c r="A1693" s="44" t="s">
        <v>18</v>
      </c>
      <c r="B1693" s="45" t="s">
        <v>18</v>
      </c>
      <c r="C1693" s="16"/>
    </row>
    <row r="1694" spans="1:3" customFormat="1" hidden="1" x14ac:dyDescent="0.3">
      <c r="A1694" s="30" t="s">
        <v>24</v>
      </c>
      <c r="B1694" s="47">
        <v>2016</v>
      </c>
      <c r="C1694" s="16"/>
    </row>
    <row r="1695" spans="1:3" customFormat="1" hidden="1" x14ac:dyDescent="0.3">
      <c r="A1695" s="30" t="s">
        <v>24</v>
      </c>
      <c r="B1695" s="47">
        <v>2016</v>
      </c>
      <c r="C1695" s="16"/>
    </row>
    <row r="1696" spans="1:3" customFormat="1" hidden="1" x14ac:dyDescent="0.3">
      <c r="A1696" s="30" t="s">
        <v>24</v>
      </c>
      <c r="B1696" s="47">
        <v>2016</v>
      </c>
      <c r="C1696" s="16"/>
    </row>
    <row r="1697" spans="1:3" customFormat="1" hidden="1" x14ac:dyDescent="0.3">
      <c r="A1697" s="30" t="s">
        <v>24</v>
      </c>
      <c r="B1697" s="47">
        <v>2016</v>
      </c>
      <c r="C1697" s="16"/>
    </row>
    <row r="1698" spans="1:3" customFormat="1" hidden="1" x14ac:dyDescent="0.3">
      <c r="A1698" s="30" t="s">
        <v>24</v>
      </c>
      <c r="B1698" s="47">
        <v>2016</v>
      </c>
      <c r="C1698" s="16"/>
    </row>
    <row r="1699" spans="1:3" customFormat="1" hidden="1" x14ac:dyDescent="0.3">
      <c r="A1699" s="30" t="s">
        <v>24</v>
      </c>
      <c r="B1699" s="47">
        <v>2016</v>
      </c>
      <c r="C1699" s="16"/>
    </row>
    <row r="1700" spans="1:3" customFormat="1" hidden="1" x14ac:dyDescent="0.3">
      <c r="A1700" s="49" t="s">
        <v>18</v>
      </c>
      <c r="B1700" s="49" t="s">
        <v>18</v>
      </c>
      <c r="C1700" s="35"/>
    </row>
    <row r="1701" spans="1:3" customFormat="1" hidden="1" x14ac:dyDescent="0.3">
      <c r="A1701" s="49" t="s">
        <v>18</v>
      </c>
      <c r="B1701" s="49" t="s">
        <v>18</v>
      </c>
      <c r="C1701" s="35"/>
    </row>
    <row r="1702" spans="1:3" customFormat="1" hidden="1" x14ac:dyDescent="0.3">
      <c r="A1702" s="30" t="s">
        <v>24</v>
      </c>
      <c r="B1702" s="47">
        <v>2016</v>
      </c>
      <c r="C1702" s="16"/>
    </row>
    <row r="1703" spans="1:3" customFormat="1" hidden="1" x14ac:dyDescent="0.3">
      <c r="A1703" s="30" t="s">
        <v>24</v>
      </c>
      <c r="B1703" s="47">
        <v>2016</v>
      </c>
      <c r="C1703" s="16"/>
    </row>
    <row r="1704" spans="1:3" customFormat="1" hidden="1" x14ac:dyDescent="0.3">
      <c r="A1704" s="30" t="s">
        <v>24</v>
      </c>
      <c r="B1704" s="47">
        <v>2016</v>
      </c>
      <c r="C1704" s="16"/>
    </row>
    <row r="1705" spans="1:3" customFormat="1" hidden="1" x14ac:dyDescent="0.3">
      <c r="A1705" s="30" t="s">
        <v>24</v>
      </c>
      <c r="B1705" s="47">
        <v>2016</v>
      </c>
      <c r="C1705" s="16"/>
    </row>
    <row r="1706" spans="1:3" customFormat="1" hidden="1" x14ac:dyDescent="0.3">
      <c r="A1706" s="30" t="s">
        <v>24</v>
      </c>
      <c r="B1706" s="47">
        <v>2016</v>
      </c>
      <c r="C1706" s="16"/>
    </row>
    <row r="1707" spans="1:3" customFormat="1" hidden="1" x14ac:dyDescent="0.3">
      <c r="A1707" s="30" t="s">
        <v>24</v>
      </c>
      <c r="B1707" s="47">
        <v>2016</v>
      </c>
      <c r="C1707" s="16"/>
    </row>
    <row r="1708" spans="1:3" customFormat="1" hidden="1" x14ac:dyDescent="0.3">
      <c r="A1708" s="30" t="s">
        <v>24</v>
      </c>
      <c r="B1708" s="47">
        <v>2016</v>
      </c>
      <c r="C1708" s="16"/>
    </row>
    <row r="1709" spans="1:3" customFormat="1" hidden="1" x14ac:dyDescent="0.3">
      <c r="A1709" s="30" t="s">
        <v>24</v>
      </c>
      <c r="B1709" s="47">
        <v>2016</v>
      </c>
      <c r="C1709" s="16"/>
    </row>
    <row r="1710" spans="1:3" customFormat="1" hidden="1" x14ac:dyDescent="0.3">
      <c r="A1710" s="49" t="s">
        <v>18</v>
      </c>
      <c r="B1710" s="49" t="s">
        <v>18</v>
      </c>
      <c r="C1710" s="35"/>
    </row>
    <row r="1711" spans="1:3" customFormat="1" hidden="1" x14ac:dyDescent="0.3">
      <c r="A1711" s="30" t="s">
        <v>24</v>
      </c>
      <c r="B1711" s="47">
        <v>2016</v>
      </c>
      <c r="C1711" s="16"/>
    </row>
    <row r="1712" spans="1:3" customFormat="1" hidden="1" x14ac:dyDescent="0.3">
      <c r="A1712" s="49" t="s">
        <v>18</v>
      </c>
      <c r="B1712" s="49" t="s">
        <v>18</v>
      </c>
      <c r="C1712" s="35"/>
    </row>
    <row r="1713" spans="1:3" customFormat="1" hidden="1" x14ac:dyDescent="0.3">
      <c r="A1713" s="30" t="s">
        <v>24</v>
      </c>
      <c r="B1713" s="47">
        <v>2016</v>
      </c>
      <c r="C1713" s="16"/>
    </row>
    <row r="1714" spans="1:3" customFormat="1" hidden="1" x14ac:dyDescent="0.3">
      <c r="A1714" s="30" t="s">
        <v>24</v>
      </c>
      <c r="B1714" s="47">
        <v>2016</v>
      </c>
      <c r="C1714" s="16"/>
    </row>
    <row r="1715" spans="1:3" customFormat="1" hidden="1" x14ac:dyDescent="0.3">
      <c r="A1715" s="30" t="s">
        <v>24</v>
      </c>
      <c r="B1715" s="47">
        <v>2016</v>
      </c>
      <c r="C1715" s="16"/>
    </row>
    <row r="1716" spans="1:3" customFormat="1" hidden="1" x14ac:dyDescent="0.3">
      <c r="A1716" s="30" t="s">
        <v>24</v>
      </c>
      <c r="B1716" s="47">
        <v>2016</v>
      </c>
      <c r="C1716" s="16"/>
    </row>
    <row r="1717" spans="1:3" customFormat="1" hidden="1" x14ac:dyDescent="0.3">
      <c r="A1717" s="30" t="s">
        <v>24</v>
      </c>
      <c r="B1717" s="47">
        <v>2016</v>
      </c>
      <c r="C1717" s="16"/>
    </row>
    <row r="1718" spans="1:3" customFormat="1" hidden="1" x14ac:dyDescent="0.3">
      <c r="A1718" s="30" t="s">
        <v>24</v>
      </c>
      <c r="B1718" s="47">
        <v>2016</v>
      </c>
      <c r="C1718" s="16"/>
    </row>
    <row r="1719" spans="1:3" customFormat="1" hidden="1" x14ac:dyDescent="0.3">
      <c r="A1719" s="30" t="s">
        <v>24</v>
      </c>
      <c r="B1719" s="47">
        <v>2016</v>
      </c>
      <c r="C1719" s="16"/>
    </row>
    <row r="1720" spans="1:3" customFormat="1" hidden="1" x14ac:dyDescent="0.3">
      <c r="A1720" s="30" t="s">
        <v>24</v>
      </c>
      <c r="B1720" s="47">
        <v>2016</v>
      </c>
      <c r="C1720" s="16"/>
    </row>
    <row r="1721" spans="1:3" customFormat="1" hidden="1" x14ac:dyDescent="0.3">
      <c r="A1721" s="49" t="s">
        <v>18</v>
      </c>
      <c r="B1721" s="49" t="s">
        <v>18</v>
      </c>
      <c r="C1721" s="35"/>
    </row>
    <row r="1722" spans="1:3" customFormat="1" hidden="1" x14ac:dyDescent="0.3">
      <c r="A1722" s="30" t="s">
        <v>24</v>
      </c>
      <c r="B1722" s="47">
        <v>2016</v>
      </c>
      <c r="C1722" s="16"/>
    </row>
    <row r="1723" spans="1:3" customFormat="1" hidden="1" x14ac:dyDescent="0.3">
      <c r="A1723" s="30" t="s">
        <v>24</v>
      </c>
      <c r="B1723" s="47">
        <v>2016</v>
      </c>
      <c r="C1723" s="16"/>
    </row>
    <row r="1724" spans="1:3" customFormat="1" hidden="1" x14ac:dyDescent="0.3">
      <c r="A1724" s="30" t="s">
        <v>24</v>
      </c>
      <c r="B1724" s="47">
        <v>2016</v>
      </c>
      <c r="C1724" s="16"/>
    </row>
    <row r="1725" spans="1:3" customFormat="1" hidden="1" x14ac:dyDescent="0.3">
      <c r="A1725" s="30" t="s">
        <v>24</v>
      </c>
      <c r="B1725" s="47">
        <v>2016</v>
      </c>
      <c r="C1725" s="16"/>
    </row>
    <row r="1726" spans="1:3" customFormat="1" hidden="1" x14ac:dyDescent="0.3">
      <c r="A1726" s="30" t="s">
        <v>24</v>
      </c>
      <c r="B1726" s="47">
        <v>2016</v>
      </c>
      <c r="C1726" s="16"/>
    </row>
    <row r="1727" spans="1:3" customFormat="1" hidden="1" x14ac:dyDescent="0.3">
      <c r="A1727" s="30" t="s">
        <v>24</v>
      </c>
      <c r="B1727" s="47">
        <v>2016</v>
      </c>
      <c r="C1727" s="16"/>
    </row>
    <row r="1728" spans="1:3" customFormat="1" hidden="1" x14ac:dyDescent="0.3">
      <c r="A1728" s="30" t="s">
        <v>24</v>
      </c>
      <c r="B1728" s="47">
        <v>2016</v>
      </c>
      <c r="C1728" s="16"/>
    </row>
    <row r="1729" spans="1:12" hidden="1" x14ac:dyDescent="0.3">
      <c r="A1729" s="30" t="s">
        <v>24</v>
      </c>
      <c r="B1729" s="47">
        <v>2016</v>
      </c>
      <c r="K1729"/>
      <c r="L1729"/>
    </row>
    <row r="1730" spans="1:12" hidden="1" x14ac:dyDescent="0.3">
      <c r="A1730" s="41" t="s">
        <v>24</v>
      </c>
      <c r="B1730" s="51">
        <v>2016</v>
      </c>
      <c r="C1730" s="36"/>
      <c r="K1730"/>
      <c r="L1730"/>
    </row>
    <row r="1731" spans="1:12" hidden="1" x14ac:dyDescent="0.3">
      <c r="A1731" s="41" t="s">
        <v>24</v>
      </c>
      <c r="B1731" s="51">
        <v>2016</v>
      </c>
      <c r="C1731" s="36"/>
      <c r="K1731"/>
      <c r="L1731"/>
    </row>
    <row r="1732" spans="1:12" hidden="1" x14ac:dyDescent="0.3">
      <c r="A1732" s="41" t="s">
        <v>24</v>
      </c>
      <c r="B1732" s="51">
        <v>2016</v>
      </c>
      <c r="C1732" s="36"/>
      <c r="K1732"/>
      <c r="L1732"/>
    </row>
    <row r="1733" spans="1:12" hidden="1" x14ac:dyDescent="0.3">
      <c r="A1733" s="41" t="s">
        <v>24</v>
      </c>
      <c r="B1733" s="51">
        <v>2016</v>
      </c>
      <c r="C1733" s="36"/>
      <c r="K1733"/>
      <c r="L1733"/>
    </row>
    <row r="1734" spans="1:12" x14ac:dyDescent="0.3">
      <c r="A1734" s="44" t="s">
        <v>18</v>
      </c>
      <c r="B1734" s="45"/>
      <c r="C1734" s="16" t="s">
        <v>154</v>
      </c>
      <c r="D1734">
        <v>9.3774920790329688E-3</v>
      </c>
      <c r="E1734">
        <v>1.4731663688374554E-2</v>
      </c>
      <c r="F1734">
        <v>3.0847826086956509</v>
      </c>
      <c r="G1734">
        <f>F1734/1000</f>
        <v>3.0847826086956511E-3</v>
      </c>
      <c r="H1734">
        <v>14.08586956521739</v>
      </c>
      <c r="I1734">
        <f>H1734/1000</f>
        <v>1.4085869565217389E-2</v>
      </c>
      <c r="K1734" s="87">
        <f>E1734*4000</f>
        <v>58.926654753498219</v>
      </c>
      <c r="L1734" s="87">
        <f>D1734*4000</f>
        <v>37.509968316131875</v>
      </c>
    </row>
    <row r="1735" spans="1:12" hidden="1" x14ac:dyDescent="0.3">
      <c r="A1735" s="44" t="s">
        <v>18</v>
      </c>
      <c r="B1735" s="45" t="s">
        <v>18</v>
      </c>
      <c r="K1735"/>
      <c r="L1735"/>
    </row>
    <row r="1736" spans="1:12" hidden="1" x14ac:dyDescent="0.3">
      <c r="A1736" s="30" t="s">
        <v>123</v>
      </c>
      <c r="B1736" s="47">
        <v>2016</v>
      </c>
      <c r="K1736"/>
      <c r="L1736"/>
    </row>
    <row r="1737" spans="1:12" hidden="1" x14ac:dyDescent="0.3">
      <c r="A1737" s="44" t="s">
        <v>18</v>
      </c>
      <c r="B1737" s="45" t="s">
        <v>18</v>
      </c>
      <c r="K1737"/>
      <c r="L1737"/>
    </row>
    <row r="1738" spans="1:12" hidden="1" x14ac:dyDescent="0.3">
      <c r="A1738" s="44" t="s">
        <v>18</v>
      </c>
      <c r="B1738" s="45" t="s">
        <v>18</v>
      </c>
      <c r="K1738"/>
      <c r="L1738"/>
    </row>
    <row r="1739" spans="1:12" hidden="1" x14ac:dyDescent="0.3">
      <c r="A1739" s="30" t="s">
        <v>123</v>
      </c>
      <c r="B1739" s="47">
        <v>2016</v>
      </c>
      <c r="K1739"/>
      <c r="L1739"/>
    </row>
    <row r="1740" spans="1:12" hidden="1" x14ac:dyDescent="0.3">
      <c r="A1740" s="30" t="s">
        <v>123</v>
      </c>
      <c r="B1740" s="47">
        <v>2016</v>
      </c>
      <c r="K1740"/>
      <c r="L1740"/>
    </row>
    <row r="1741" spans="1:12" hidden="1" x14ac:dyDescent="0.3">
      <c r="A1741" s="44" t="s">
        <v>18</v>
      </c>
      <c r="B1741" s="45" t="s">
        <v>18</v>
      </c>
      <c r="K1741"/>
      <c r="L1741"/>
    </row>
    <row r="1742" spans="1:12" hidden="1" x14ac:dyDescent="0.3">
      <c r="A1742" s="30" t="s">
        <v>123</v>
      </c>
      <c r="B1742" s="47">
        <v>2016</v>
      </c>
      <c r="K1742"/>
      <c r="L1742"/>
    </row>
    <row r="1743" spans="1:12" hidden="1" x14ac:dyDescent="0.3">
      <c r="A1743" s="30" t="s">
        <v>123</v>
      </c>
      <c r="B1743" s="47">
        <v>2016</v>
      </c>
      <c r="K1743"/>
      <c r="L1743"/>
    </row>
    <row r="1744" spans="1:12" hidden="1" x14ac:dyDescent="0.3">
      <c r="A1744" s="44" t="s">
        <v>18</v>
      </c>
      <c r="B1744" s="45" t="s">
        <v>18</v>
      </c>
      <c r="K1744"/>
      <c r="L1744"/>
    </row>
    <row r="1745" spans="1:3" customFormat="1" hidden="1" x14ac:dyDescent="0.3">
      <c r="A1745" s="30" t="s">
        <v>123</v>
      </c>
      <c r="B1745" s="47">
        <v>2016</v>
      </c>
      <c r="C1745" s="16"/>
    </row>
    <row r="1746" spans="1:3" customFormat="1" hidden="1" x14ac:dyDescent="0.3">
      <c r="A1746" s="30" t="s">
        <v>123</v>
      </c>
      <c r="B1746" s="47">
        <v>2016</v>
      </c>
      <c r="C1746" s="16"/>
    </row>
    <row r="1747" spans="1:3" customFormat="1" hidden="1" x14ac:dyDescent="0.3">
      <c r="A1747" s="49" t="s">
        <v>18</v>
      </c>
      <c r="B1747" s="49" t="s">
        <v>18</v>
      </c>
      <c r="C1747" s="35"/>
    </row>
    <row r="1748" spans="1:3" customFormat="1" hidden="1" x14ac:dyDescent="0.3">
      <c r="A1748" s="30" t="s">
        <v>123</v>
      </c>
      <c r="B1748" s="47">
        <v>2016</v>
      </c>
      <c r="C1748" s="16"/>
    </row>
    <row r="1749" spans="1:3" customFormat="1" hidden="1" x14ac:dyDescent="0.3">
      <c r="A1749" s="30" t="s">
        <v>123</v>
      </c>
      <c r="B1749" s="47">
        <v>2016</v>
      </c>
      <c r="C1749" s="16"/>
    </row>
    <row r="1750" spans="1:3" customFormat="1" hidden="1" x14ac:dyDescent="0.3">
      <c r="A1750" s="30" t="s">
        <v>123</v>
      </c>
      <c r="B1750" s="47">
        <v>2016</v>
      </c>
      <c r="C1750" s="16"/>
    </row>
    <row r="1751" spans="1:3" customFormat="1" hidden="1" x14ac:dyDescent="0.3">
      <c r="A1751" s="30" t="s">
        <v>123</v>
      </c>
      <c r="B1751" s="47">
        <v>2016</v>
      </c>
      <c r="C1751" s="16"/>
    </row>
    <row r="1752" spans="1:3" customFormat="1" hidden="1" x14ac:dyDescent="0.3">
      <c r="A1752" s="30" t="s">
        <v>123</v>
      </c>
      <c r="B1752" s="47">
        <v>2016</v>
      </c>
      <c r="C1752" s="16"/>
    </row>
    <row r="1753" spans="1:3" customFormat="1" hidden="1" x14ac:dyDescent="0.3">
      <c r="A1753" s="44" t="s">
        <v>18</v>
      </c>
      <c r="B1753" s="45" t="s">
        <v>18</v>
      </c>
      <c r="C1753" s="16"/>
    </row>
    <row r="1754" spans="1:3" customFormat="1" hidden="1" x14ac:dyDescent="0.3">
      <c r="A1754" s="30" t="s">
        <v>123</v>
      </c>
      <c r="B1754" s="47">
        <v>2016</v>
      </c>
      <c r="C1754" s="16"/>
    </row>
    <row r="1755" spans="1:3" customFormat="1" hidden="1" x14ac:dyDescent="0.3">
      <c r="A1755" s="30" t="s">
        <v>123</v>
      </c>
      <c r="B1755" s="47">
        <v>2016</v>
      </c>
      <c r="C1755" s="16"/>
    </row>
    <row r="1756" spans="1:3" customFormat="1" hidden="1" x14ac:dyDescent="0.3">
      <c r="A1756" s="30" t="s">
        <v>123</v>
      </c>
      <c r="B1756" s="47">
        <v>2016</v>
      </c>
      <c r="C1756" s="16"/>
    </row>
    <row r="1757" spans="1:3" customFormat="1" hidden="1" x14ac:dyDescent="0.3">
      <c r="A1757" s="30" t="s">
        <v>123</v>
      </c>
      <c r="B1757" s="47">
        <v>2016</v>
      </c>
      <c r="C1757" s="16"/>
    </row>
    <row r="1758" spans="1:3" customFormat="1" hidden="1" x14ac:dyDescent="0.3">
      <c r="A1758" s="30" t="s">
        <v>123</v>
      </c>
      <c r="B1758" s="47">
        <v>2016</v>
      </c>
      <c r="C1758" s="16"/>
    </row>
    <row r="1759" spans="1:3" customFormat="1" hidden="1" x14ac:dyDescent="0.3">
      <c r="A1759" s="30" t="s">
        <v>123</v>
      </c>
      <c r="B1759" s="47">
        <v>2016</v>
      </c>
      <c r="C1759" s="5"/>
    </row>
    <row r="1760" spans="1:3" customFormat="1" hidden="1" x14ac:dyDescent="0.3">
      <c r="A1760" s="49" t="s">
        <v>18</v>
      </c>
      <c r="B1760" s="49" t="s">
        <v>18</v>
      </c>
      <c r="C1760" s="35"/>
    </row>
    <row r="1761" spans="1:3" customFormat="1" hidden="1" x14ac:dyDescent="0.3">
      <c r="A1761" s="49" t="s">
        <v>18</v>
      </c>
      <c r="B1761" s="49" t="s">
        <v>18</v>
      </c>
      <c r="C1761" s="35"/>
    </row>
    <row r="1762" spans="1:3" customFormat="1" hidden="1" x14ac:dyDescent="0.3">
      <c r="A1762" s="30" t="s">
        <v>123</v>
      </c>
      <c r="B1762" s="47">
        <v>2016</v>
      </c>
      <c r="C1762" s="16"/>
    </row>
    <row r="1763" spans="1:3" customFormat="1" hidden="1" x14ac:dyDescent="0.3">
      <c r="A1763" s="30" t="s">
        <v>123</v>
      </c>
      <c r="B1763" s="47">
        <v>2016</v>
      </c>
      <c r="C1763" s="16"/>
    </row>
    <row r="1764" spans="1:3" customFormat="1" hidden="1" x14ac:dyDescent="0.3">
      <c r="A1764" s="30" t="s">
        <v>123</v>
      </c>
      <c r="B1764" s="47">
        <v>2016</v>
      </c>
      <c r="C1764" s="16"/>
    </row>
    <row r="1765" spans="1:3" customFormat="1" hidden="1" x14ac:dyDescent="0.3">
      <c r="A1765" s="30" t="s">
        <v>123</v>
      </c>
      <c r="B1765" s="47">
        <v>2016</v>
      </c>
      <c r="C1765" s="16"/>
    </row>
    <row r="1766" spans="1:3" customFormat="1" hidden="1" x14ac:dyDescent="0.3">
      <c r="A1766" s="30" t="s">
        <v>123</v>
      </c>
      <c r="B1766" s="47">
        <v>2016</v>
      </c>
      <c r="C1766" s="16"/>
    </row>
    <row r="1767" spans="1:3" customFormat="1" hidden="1" x14ac:dyDescent="0.3">
      <c r="A1767" s="30" t="s">
        <v>123</v>
      </c>
      <c r="B1767" s="47">
        <v>2016</v>
      </c>
      <c r="C1767" s="16"/>
    </row>
    <row r="1768" spans="1:3" customFormat="1" hidden="1" x14ac:dyDescent="0.3">
      <c r="A1768" s="30" t="s">
        <v>123</v>
      </c>
      <c r="B1768" s="47">
        <v>2016</v>
      </c>
      <c r="C1768" s="5"/>
    </row>
    <row r="1769" spans="1:3" customFormat="1" hidden="1" x14ac:dyDescent="0.3">
      <c r="A1769" s="30" t="s">
        <v>123</v>
      </c>
      <c r="B1769" s="47">
        <v>2016</v>
      </c>
      <c r="C1769" s="5"/>
    </row>
    <row r="1770" spans="1:3" customFormat="1" hidden="1" x14ac:dyDescent="0.3">
      <c r="A1770" s="49" t="s">
        <v>18</v>
      </c>
      <c r="B1770" s="49" t="s">
        <v>18</v>
      </c>
      <c r="C1770" s="35"/>
    </row>
    <row r="1771" spans="1:3" customFormat="1" hidden="1" x14ac:dyDescent="0.3">
      <c r="A1771" s="30" t="s">
        <v>123</v>
      </c>
      <c r="B1771" s="47">
        <v>2016</v>
      </c>
      <c r="C1771" s="16"/>
    </row>
    <row r="1772" spans="1:3" customFormat="1" hidden="1" x14ac:dyDescent="0.3">
      <c r="A1772" s="49" t="s">
        <v>18</v>
      </c>
      <c r="B1772" s="49" t="s">
        <v>18</v>
      </c>
      <c r="C1772" s="35"/>
    </row>
    <row r="1773" spans="1:3" customFormat="1" hidden="1" x14ac:dyDescent="0.3">
      <c r="A1773" s="30" t="s">
        <v>123</v>
      </c>
      <c r="B1773" s="47">
        <v>2016</v>
      </c>
      <c r="C1773" s="16"/>
    </row>
    <row r="1774" spans="1:3" customFormat="1" hidden="1" x14ac:dyDescent="0.3">
      <c r="A1774" s="30" t="s">
        <v>123</v>
      </c>
      <c r="B1774" s="47">
        <v>2016</v>
      </c>
      <c r="C1774" s="16"/>
    </row>
    <row r="1775" spans="1:3" customFormat="1" hidden="1" x14ac:dyDescent="0.3">
      <c r="A1775" s="30" t="s">
        <v>123</v>
      </c>
      <c r="B1775" s="47">
        <v>2016</v>
      </c>
      <c r="C1775" s="16"/>
    </row>
    <row r="1776" spans="1:3" customFormat="1" hidden="1" x14ac:dyDescent="0.3">
      <c r="A1776" s="30" t="s">
        <v>123</v>
      </c>
      <c r="B1776" s="47">
        <v>2016</v>
      </c>
      <c r="C1776" s="16"/>
    </row>
    <row r="1777" spans="1:3" customFormat="1" hidden="1" x14ac:dyDescent="0.3">
      <c r="A1777" s="30" t="s">
        <v>123</v>
      </c>
      <c r="B1777" s="47">
        <v>2016</v>
      </c>
      <c r="C1777" s="16"/>
    </row>
    <row r="1778" spans="1:3" customFormat="1" hidden="1" x14ac:dyDescent="0.3">
      <c r="A1778" s="30" t="s">
        <v>123</v>
      </c>
      <c r="B1778" s="47">
        <v>2016</v>
      </c>
      <c r="C1778" s="16"/>
    </row>
    <row r="1779" spans="1:3" customFormat="1" hidden="1" x14ac:dyDescent="0.3">
      <c r="A1779" s="30" t="s">
        <v>123</v>
      </c>
      <c r="B1779" s="47">
        <v>2016</v>
      </c>
      <c r="C1779" s="16"/>
    </row>
    <row r="1780" spans="1:3" customFormat="1" hidden="1" x14ac:dyDescent="0.3">
      <c r="A1780" s="30" t="s">
        <v>123</v>
      </c>
      <c r="B1780" s="47">
        <v>2016</v>
      </c>
      <c r="C1780" s="16"/>
    </row>
    <row r="1781" spans="1:3" customFormat="1" hidden="1" x14ac:dyDescent="0.3">
      <c r="A1781" s="49" t="s">
        <v>18</v>
      </c>
      <c r="B1781" s="49" t="s">
        <v>18</v>
      </c>
      <c r="C1781" s="35"/>
    </row>
    <row r="1782" spans="1:3" customFormat="1" hidden="1" x14ac:dyDescent="0.3">
      <c r="A1782" s="30" t="s">
        <v>123</v>
      </c>
      <c r="B1782" s="47">
        <v>2016</v>
      </c>
      <c r="C1782" s="16"/>
    </row>
    <row r="1783" spans="1:3" customFormat="1" hidden="1" x14ac:dyDescent="0.3">
      <c r="A1783" s="30" t="s">
        <v>123</v>
      </c>
      <c r="B1783" s="47">
        <v>2016</v>
      </c>
      <c r="C1783" s="5"/>
    </row>
    <row r="1784" spans="1:3" customFormat="1" hidden="1" x14ac:dyDescent="0.3">
      <c r="A1784" s="30" t="s">
        <v>123</v>
      </c>
      <c r="B1784" s="47">
        <v>2016</v>
      </c>
      <c r="C1784" s="5"/>
    </row>
    <row r="1785" spans="1:3" customFormat="1" hidden="1" x14ac:dyDescent="0.3">
      <c r="A1785" s="30" t="s">
        <v>123</v>
      </c>
      <c r="B1785" s="47">
        <v>2016</v>
      </c>
      <c r="C1785" s="16"/>
    </row>
    <row r="1786" spans="1:3" customFormat="1" hidden="1" x14ac:dyDescent="0.3">
      <c r="A1786" s="30" t="s">
        <v>123</v>
      </c>
      <c r="B1786" s="47">
        <v>2016</v>
      </c>
      <c r="C1786" s="16"/>
    </row>
    <row r="1787" spans="1:3" customFormat="1" hidden="1" x14ac:dyDescent="0.3">
      <c r="A1787" s="30" t="s">
        <v>123</v>
      </c>
      <c r="B1787" s="47">
        <v>2016</v>
      </c>
      <c r="C1787" s="16"/>
    </row>
    <row r="1788" spans="1:3" customFormat="1" hidden="1" x14ac:dyDescent="0.3">
      <c r="A1788" s="30" t="s">
        <v>123</v>
      </c>
      <c r="B1788" s="47">
        <v>2016</v>
      </c>
      <c r="C1788" s="16"/>
    </row>
    <row r="1789" spans="1:3" customFormat="1" hidden="1" x14ac:dyDescent="0.3">
      <c r="A1789" s="30" t="s">
        <v>123</v>
      </c>
      <c r="B1789" s="47">
        <v>2016</v>
      </c>
      <c r="C1789" s="16"/>
    </row>
    <row r="1790" spans="1:3" customFormat="1" hidden="1" x14ac:dyDescent="0.3">
      <c r="A1790" s="41" t="s">
        <v>123</v>
      </c>
      <c r="B1790" s="51">
        <v>2016</v>
      </c>
      <c r="C1790" s="36"/>
    </row>
    <row r="1791" spans="1:3" customFormat="1" hidden="1" x14ac:dyDescent="0.3">
      <c r="A1791" s="41" t="s">
        <v>123</v>
      </c>
      <c r="B1791" s="51">
        <v>2016</v>
      </c>
      <c r="C1791" s="36"/>
    </row>
    <row r="1792" spans="1:3" customFormat="1" hidden="1" x14ac:dyDescent="0.3">
      <c r="A1792" s="41" t="s">
        <v>123</v>
      </c>
      <c r="B1792" s="51">
        <v>2016</v>
      </c>
      <c r="C1792" s="36"/>
    </row>
    <row r="1793" spans="1:12" hidden="1" x14ac:dyDescent="0.3">
      <c r="A1793" s="41" t="s">
        <v>123</v>
      </c>
      <c r="B1793" s="51">
        <v>2016</v>
      </c>
      <c r="C1793" s="36"/>
      <c r="K1793"/>
      <c r="L1793"/>
    </row>
    <row r="1794" spans="1:12" x14ac:dyDescent="0.3">
      <c r="A1794" s="45" t="s">
        <v>18</v>
      </c>
      <c r="B1794" s="45"/>
      <c r="C1794" s="16" t="s">
        <v>155</v>
      </c>
      <c r="D1794">
        <v>1.4757205438679175E-2</v>
      </c>
      <c r="E1794">
        <v>2.4808454195540123E-2</v>
      </c>
      <c r="F1794">
        <v>2.6637362637362632</v>
      </c>
      <c r="G1794">
        <f>F1794/1000</f>
        <v>2.6637362637362632E-3</v>
      </c>
      <c r="H1794">
        <v>17.347252747252746</v>
      </c>
      <c r="I1794">
        <f>H1794/1000</f>
        <v>1.7347252747252746E-2</v>
      </c>
      <c r="K1794" s="87">
        <f>E1794*4000</f>
        <v>99.233816782160488</v>
      </c>
      <c r="L1794" s="87">
        <f>D1794*4000</f>
        <v>59.028821754716702</v>
      </c>
    </row>
    <row r="1795" spans="1:12" hidden="1" x14ac:dyDescent="0.3">
      <c r="A1795" s="45" t="s">
        <v>18</v>
      </c>
      <c r="B1795" s="45" t="s">
        <v>18</v>
      </c>
      <c r="K1795"/>
      <c r="L1795"/>
    </row>
    <row r="1796" spans="1:12" hidden="1" x14ac:dyDescent="0.3">
      <c r="A1796" s="30" t="s">
        <v>36</v>
      </c>
      <c r="B1796" s="47">
        <v>2016</v>
      </c>
      <c r="K1796"/>
      <c r="L1796"/>
    </row>
    <row r="1797" spans="1:12" hidden="1" x14ac:dyDescent="0.3">
      <c r="A1797" s="45" t="s">
        <v>18</v>
      </c>
      <c r="B1797" s="45" t="s">
        <v>18</v>
      </c>
      <c r="K1797"/>
      <c r="L1797"/>
    </row>
    <row r="1798" spans="1:12" hidden="1" x14ac:dyDescent="0.3">
      <c r="A1798" s="45" t="s">
        <v>18</v>
      </c>
      <c r="B1798" s="45" t="s">
        <v>18</v>
      </c>
      <c r="K1798"/>
      <c r="L1798"/>
    </row>
    <row r="1799" spans="1:12" hidden="1" x14ac:dyDescent="0.3">
      <c r="A1799" s="30" t="s">
        <v>36</v>
      </c>
      <c r="B1799" s="47">
        <v>2016</v>
      </c>
      <c r="K1799"/>
      <c r="L1799"/>
    </row>
    <row r="1800" spans="1:12" hidden="1" x14ac:dyDescent="0.3">
      <c r="A1800" s="30" t="s">
        <v>36</v>
      </c>
      <c r="B1800" s="47">
        <v>2016</v>
      </c>
      <c r="K1800"/>
      <c r="L1800"/>
    </row>
    <row r="1801" spans="1:12" hidden="1" x14ac:dyDescent="0.3">
      <c r="A1801" s="45" t="s">
        <v>18</v>
      </c>
      <c r="B1801" s="45" t="s">
        <v>18</v>
      </c>
      <c r="K1801"/>
      <c r="L1801"/>
    </row>
    <row r="1802" spans="1:12" hidden="1" x14ac:dyDescent="0.3">
      <c r="A1802" s="30" t="s">
        <v>36</v>
      </c>
      <c r="B1802" s="47">
        <v>2016</v>
      </c>
      <c r="K1802"/>
      <c r="L1802"/>
    </row>
    <row r="1803" spans="1:12" hidden="1" x14ac:dyDescent="0.3">
      <c r="A1803" s="30" t="s">
        <v>36</v>
      </c>
      <c r="B1803" s="47">
        <v>2016</v>
      </c>
      <c r="K1803"/>
      <c r="L1803"/>
    </row>
    <row r="1804" spans="1:12" hidden="1" x14ac:dyDescent="0.3">
      <c r="A1804" s="45" t="s">
        <v>18</v>
      </c>
      <c r="B1804" s="45" t="s">
        <v>18</v>
      </c>
      <c r="K1804"/>
      <c r="L1804"/>
    </row>
    <row r="1805" spans="1:12" hidden="1" x14ac:dyDescent="0.3">
      <c r="A1805" s="30" t="s">
        <v>36</v>
      </c>
      <c r="B1805" s="47">
        <v>2016</v>
      </c>
      <c r="K1805"/>
      <c r="L1805"/>
    </row>
    <row r="1806" spans="1:12" hidden="1" x14ac:dyDescent="0.3">
      <c r="A1806" s="30" t="s">
        <v>36</v>
      </c>
      <c r="B1806" s="47">
        <v>2016</v>
      </c>
      <c r="K1806"/>
      <c r="L1806"/>
    </row>
    <row r="1807" spans="1:12" hidden="1" x14ac:dyDescent="0.3">
      <c r="A1807" s="49" t="s">
        <v>18</v>
      </c>
      <c r="B1807" s="49" t="s">
        <v>18</v>
      </c>
      <c r="C1807" s="35"/>
      <c r="K1807"/>
      <c r="L1807"/>
    </row>
    <row r="1808" spans="1:12" hidden="1" x14ac:dyDescent="0.3">
      <c r="A1808" s="30" t="s">
        <v>36</v>
      </c>
      <c r="B1808" s="47">
        <v>2016</v>
      </c>
      <c r="K1808"/>
      <c r="L1808"/>
    </row>
    <row r="1809" spans="1:3" customFormat="1" hidden="1" x14ac:dyDescent="0.3">
      <c r="A1809" s="30" t="s">
        <v>36</v>
      </c>
      <c r="B1809" s="47">
        <v>2016</v>
      </c>
      <c r="C1809" s="16"/>
    </row>
    <row r="1810" spans="1:3" customFormat="1" hidden="1" x14ac:dyDescent="0.3">
      <c r="A1810" s="30" t="s">
        <v>36</v>
      </c>
      <c r="B1810" s="47">
        <v>2016</v>
      </c>
      <c r="C1810" s="16"/>
    </row>
    <row r="1811" spans="1:3" customFormat="1" hidden="1" x14ac:dyDescent="0.3">
      <c r="A1811" s="30" t="s">
        <v>36</v>
      </c>
      <c r="B1811" s="47">
        <v>2016</v>
      </c>
      <c r="C1811" s="16"/>
    </row>
    <row r="1812" spans="1:3" customFormat="1" hidden="1" x14ac:dyDescent="0.3">
      <c r="A1812" s="30" t="s">
        <v>36</v>
      </c>
      <c r="B1812" s="47">
        <v>2016</v>
      </c>
      <c r="C1812" s="16"/>
    </row>
    <row r="1813" spans="1:3" customFormat="1" hidden="1" x14ac:dyDescent="0.3">
      <c r="A1813" s="45" t="s">
        <v>18</v>
      </c>
      <c r="B1813" s="45" t="s">
        <v>18</v>
      </c>
      <c r="C1813" s="16"/>
    </row>
    <row r="1814" spans="1:3" customFormat="1" hidden="1" x14ac:dyDescent="0.3">
      <c r="A1814" s="30" t="s">
        <v>36</v>
      </c>
      <c r="B1814" s="47">
        <v>2016</v>
      </c>
      <c r="C1814" s="16"/>
    </row>
    <row r="1815" spans="1:3" customFormat="1" hidden="1" x14ac:dyDescent="0.3">
      <c r="A1815" s="30" t="s">
        <v>36</v>
      </c>
      <c r="B1815" s="47">
        <v>2016</v>
      </c>
      <c r="C1815" s="16"/>
    </row>
    <row r="1816" spans="1:3" customFormat="1" hidden="1" x14ac:dyDescent="0.3">
      <c r="A1816" s="30" t="s">
        <v>36</v>
      </c>
      <c r="B1816" s="47">
        <v>2016</v>
      </c>
      <c r="C1816" s="16"/>
    </row>
    <row r="1817" spans="1:3" customFormat="1" hidden="1" x14ac:dyDescent="0.3">
      <c r="A1817" s="30" t="s">
        <v>36</v>
      </c>
      <c r="B1817" s="47">
        <v>2016</v>
      </c>
      <c r="C1817" s="16"/>
    </row>
    <row r="1818" spans="1:3" customFormat="1" hidden="1" x14ac:dyDescent="0.3">
      <c r="A1818" s="30" t="s">
        <v>36</v>
      </c>
      <c r="B1818" s="47">
        <v>2016</v>
      </c>
      <c r="C1818" s="16"/>
    </row>
    <row r="1819" spans="1:3" customFormat="1" hidden="1" x14ac:dyDescent="0.3">
      <c r="A1819" s="30" t="s">
        <v>36</v>
      </c>
      <c r="B1819" s="47">
        <v>2016</v>
      </c>
      <c r="C1819" s="16"/>
    </row>
    <row r="1820" spans="1:3" customFormat="1" hidden="1" x14ac:dyDescent="0.3">
      <c r="A1820" s="49" t="s">
        <v>18</v>
      </c>
      <c r="B1820" s="49" t="s">
        <v>18</v>
      </c>
      <c r="C1820" s="35"/>
    </row>
    <row r="1821" spans="1:3" customFormat="1" hidden="1" x14ac:dyDescent="0.3">
      <c r="A1821" s="49" t="s">
        <v>18</v>
      </c>
      <c r="B1821" s="49" t="s">
        <v>18</v>
      </c>
      <c r="C1821" s="35"/>
    </row>
    <row r="1822" spans="1:3" customFormat="1" hidden="1" x14ac:dyDescent="0.3">
      <c r="A1822" s="30" t="s">
        <v>36</v>
      </c>
      <c r="B1822" s="47">
        <v>2016</v>
      </c>
      <c r="C1822" s="16"/>
    </row>
    <row r="1823" spans="1:3" customFormat="1" hidden="1" x14ac:dyDescent="0.3">
      <c r="A1823" s="30" t="s">
        <v>36</v>
      </c>
      <c r="B1823" s="47">
        <v>2016</v>
      </c>
      <c r="C1823" s="16"/>
    </row>
    <row r="1824" spans="1:3" customFormat="1" hidden="1" x14ac:dyDescent="0.3">
      <c r="A1824" s="30" t="s">
        <v>36</v>
      </c>
      <c r="B1824" s="47">
        <v>2016</v>
      </c>
      <c r="C1824" s="16"/>
    </row>
    <row r="1825" spans="1:3" customFormat="1" hidden="1" x14ac:dyDescent="0.3">
      <c r="A1825" s="30" t="s">
        <v>36</v>
      </c>
      <c r="B1825" s="47">
        <v>2016</v>
      </c>
      <c r="C1825" s="16"/>
    </row>
    <row r="1826" spans="1:3" customFormat="1" hidden="1" x14ac:dyDescent="0.3">
      <c r="A1826" s="30" t="s">
        <v>36</v>
      </c>
      <c r="B1826" s="47">
        <v>2016</v>
      </c>
      <c r="C1826" s="16"/>
    </row>
    <row r="1827" spans="1:3" customFormat="1" hidden="1" x14ac:dyDescent="0.3">
      <c r="A1827" s="30" t="s">
        <v>36</v>
      </c>
      <c r="B1827" s="47">
        <v>2016</v>
      </c>
      <c r="C1827" s="16"/>
    </row>
    <row r="1828" spans="1:3" customFormat="1" hidden="1" x14ac:dyDescent="0.3">
      <c r="A1828" s="30" t="s">
        <v>36</v>
      </c>
      <c r="B1828" s="47">
        <v>2016</v>
      </c>
      <c r="C1828" s="16"/>
    </row>
    <row r="1829" spans="1:3" customFormat="1" hidden="1" x14ac:dyDescent="0.3">
      <c r="A1829" s="30" t="s">
        <v>36</v>
      </c>
      <c r="B1829" s="47">
        <v>2016</v>
      </c>
      <c r="C1829" s="16"/>
    </row>
    <row r="1830" spans="1:3" customFormat="1" hidden="1" x14ac:dyDescent="0.3">
      <c r="A1830" s="49" t="s">
        <v>18</v>
      </c>
      <c r="B1830" s="49" t="s">
        <v>18</v>
      </c>
      <c r="C1830" s="35"/>
    </row>
    <row r="1831" spans="1:3" customFormat="1" hidden="1" x14ac:dyDescent="0.3">
      <c r="A1831" s="30" t="s">
        <v>36</v>
      </c>
      <c r="B1831" s="47">
        <v>2016</v>
      </c>
      <c r="C1831" s="16"/>
    </row>
    <row r="1832" spans="1:3" customFormat="1" hidden="1" x14ac:dyDescent="0.3">
      <c r="A1832" s="49" t="s">
        <v>18</v>
      </c>
      <c r="B1832" s="49" t="s">
        <v>18</v>
      </c>
      <c r="C1832" s="35"/>
    </row>
    <row r="1833" spans="1:3" customFormat="1" hidden="1" x14ac:dyDescent="0.3">
      <c r="A1833" s="30" t="s">
        <v>36</v>
      </c>
      <c r="B1833" s="47">
        <v>2016</v>
      </c>
      <c r="C1833" s="16"/>
    </row>
    <row r="1834" spans="1:3" customFormat="1" hidden="1" x14ac:dyDescent="0.3">
      <c r="A1834" s="30" t="s">
        <v>36</v>
      </c>
      <c r="B1834" s="47">
        <v>2016</v>
      </c>
      <c r="C1834" s="16"/>
    </row>
    <row r="1835" spans="1:3" customFormat="1" hidden="1" x14ac:dyDescent="0.3">
      <c r="A1835" s="30" t="s">
        <v>36</v>
      </c>
      <c r="B1835" s="47">
        <v>2016</v>
      </c>
      <c r="C1835" s="16"/>
    </row>
    <row r="1836" spans="1:3" customFormat="1" hidden="1" x14ac:dyDescent="0.3">
      <c r="A1836" s="30" t="s">
        <v>36</v>
      </c>
      <c r="B1836" s="47">
        <v>2016</v>
      </c>
      <c r="C1836" s="16"/>
    </row>
    <row r="1837" spans="1:3" customFormat="1" hidden="1" x14ac:dyDescent="0.3">
      <c r="A1837" s="30" t="s">
        <v>36</v>
      </c>
      <c r="B1837" s="47">
        <v>2016</v>
      </c>
      <c r="C1837" s="16"/>
    </row>
    <row r="1838" spans="1:3" customFormat="1" hidden="1" x14ac:dyDescent="0.3">
      <c r="A1838" s="30" t="s">
        <v>36</v>
      </c>
      <c r="B1838" s="47">
        <v>2016</v>
      </c>
      <c r="C1838" s="16"/>
    </row>
    <row r="1839" spans="1:3" customFormat="1" hidden="1" x14ac:dyDescent="0.3">
      <c r="A1839" s="30" t="s">
        <v>36</v>
      </c>
      <c r="B1839" s="47">
        <v>2016</v>
      </c>
      <c r="C1839" s="16"/>
    </row>
    <row r="1840" spans="1:3" customFormat="1" hidden="1" x14ac:dyDescent="0.3">
      <c r="A1840" s="30" t="s">
        <v>36</v>
      </c>
      <c r="B1840" s="47">
        <v>2016</v>
      </c>
      <c r="C1840" s="16"/>
    </row>
    <row r="1841" spans="1:12" hidden="1" x14ac:dyDescent="0.3">
      <c r="A1841" s="49" t="s">
        <v>18</v>
      </c>
      <c r="B1841" s="49" t="s">
        <v>18</v>
      </c>
      <c r="C1841" s="35"/>
      <c r="K1841"/>
      <c r="L1841"/>
    </row>
    <row r="1842" spans="1:12" hidden="1" x14ac:dyDescent="0.3">
      <c r="A1842" s="30" t="s">
        <v>36</v>
      </c>
      <c r="B1842" s="47">
        <v>2016</v>
      </c>
      <c r="K1842"/>
      <c r="L1842"/>
    </row>
    <row r="1843" spans="1:12" hidden="1" x14ac:dyDescent="0.3">
      <c r="A1843" s="30" t="s">
        <v>36</v>
      </c>
      <c r="B1843" s="47">
        <v>2016</v>
      </c>
      <c r="K1843"/>
      <c r="L1843"/>
    </row>
    <row r="1844" spans="1:12" hidden="1" x14ac:dyDescent="0.3">
      <c r="A1844" s="30" t="s">
        <v>36</v>
      </c>
      <c r="B1844" s="47">
        <v>2016</v>
      </c>
      <c r="K1844"/>
      <c r="L1844"/>
    </row>
    <row r="1845" spans="1:12" hidden="1" x14ac:dyDescent="0.3">
      <c r="A1845" s="30" t="s">
        <v>36</v>
      </c>
      <c r="B1845" s="47">
        <v>2016</v>
      </c>
      <c r="K1845"/>
      <c r="L1845"/>
    </row>
    <row r="1846" spans="1:12" hidden="1" x14ac:dyDescent="0.3">
      <c r="A1846" s="30" t="s">
        <v>36</v>
      </c>
      <c r="B1846" s="47">
        <v>2016</v>
      </c>
      <c r="K1846"/>
      <c r="L1846"/>
    </row>
    <row r="1847" spans="1:12" hidden="1" x14ac:dyDescent="0.3">
      <c r="A1847" s="30" t="s">
        <v>36</v>
      </c>
      <c r="B1847" s="47">
        <v>2016</v>
      </c>
      <c r="K1847"/>
      <c r="L1847"/>
    </row>
    <row r="1848" spans="1:12" hidden="1" x14ac:dyDescent="0.3">
      <c r="A1848" s="30" t="s">
        <v>36</v>
      </c>
      <c r="B1848" s="47">
        <v>2016</v>
      </c>
      <c r="K1848"/>
      <c r="L1848"/>
    </row>
    <row r="1849" spans="1:12" hidden="1" x14ac:dyDescent="0.3">
      <c r="A1849" s="30" t="s">
        <v>36</v>
      </c>
      <c r="B1849" s="47">
        <v>2016</v>
      </c>
      <c r="K1849"/>
      <c r="L1849"/>
    </row>
    <row r="1850" spans="1:12" hidden="1" x14ac:dyDescent="0.3">
      <c r="A1850" s="41" t="s">
        <v>36</v>
      </c>
      <c r="B1850" s="51">
        <v>2016</v>
      </c>
      <c r="C1850" s="36"/>
      <c r="K1850"/>
      <c r="L1850"/>
    </row>
    <row r="1851" spans="1:12" hidden="1" x14ac:dyDescent="0.3">
      <c r="A1851" s="41" t="s">
        <v>36</v>
      </c>
      <c r="B1851" s="51">
        <v>2016</v>
      </c>
      <c r="C1851" s="36"/>
      <c r="K1851"/>
      <c r="L1851"/>
    </row>
    <row r="1852" spans="1:12" hidden="1" x14ac:dyDescent="0.3">
      <c r="A1852" s="41" t="s">
        <v>36</v>
      </c>
      <c r="B1852" s="51">
        <v>2016</v>
      </c>
      <c r="C1852" s="36"/>
      <c r="K1852"/>
      <c r="L1852"/>
    </row>
    <row r="1853" spans="1:12" hidden="1" x14ac:dyDescent="0.3">
      <c r="A1853" s="41" t="s">
        <v>36</v>
      </c>
      <c r="B1853" s="51">
        <v>2016</v>
      </c>
      <c r="C1853" s="36"/>
      <c r="K1853"/>
      <c r="L1853"/>
    </row>
    <row r="1854" spans="1:12" x14ac:dyDescent="0.3">
      <c r="A1854" s="44" t="s">
        <v>18</v>
      </c>
      <c r="B1854" s="45">
        <v>2017</v>
      </c>
      <c r="C1854" s="5" t="s">
        <v>156</v>
      </c>
      <c r="D1854">
        <v>1.0175399960606478E-2</v>
      </c>
      <c r="E1854">
        <v>1.3087785597107679E-2</v>
      </c>
      <c r="F1854">
        <v>1.6977777777777776</v>
      </c>
      <c r="G1854">
        <f>F1854/1000</f>
        <v>1.6977777777777777E-3</v>
      </c>
      <c r="H1854">
        <v>23.321348314606745</v>
      </c>
      <c r="I1854">
        <f>H1854/1000</f>
        <v>2.3321348314606746E-2</v>
      </c>
      <c r="K1854" s="87">
        <f>E1854*4000</f>
        <v>52.351142388430716</v>
      </c>
      <c r="L1854" s="87">
        <f>D1854*4000</f>
        <v>40.701599842425914</v>
      </c>
    </row>
    <row r="1855" spans="1:12" hidden="1" x14ac:dyDescent="0.3">
      <c r="A1855" s="44" t="s">
        <v>18</v>
      </c>
      <c r="B1855" s="45" t="s">
        <v>18</v>
      </c>
      <c r="C1855" s="5"/>
      <c r="K1855"/>
      <c r="L1855"/>
    </row>
    <row r="1856" spans="1:12" hidden="1" x14ac:dyDescent="0.3">
      <c r="A1856" s="30" t="s">
        <v>64</v>
      </c>
      <c r="B1856" s="47">
        <v>2017</v>
      </c>
      <c r="C1856" s="5"/>
      <c r="K1856"/>
      <c r="L1856"/>
    </row>
    <row r="1857" spans="1:3" customFormat="1" hidden="1" x14ac:dyDescent="0.3">
      <c r="A1857" s="44" t="s">
        <v>18</v>
      </c>
      <c r="B1857" s="45" t="s">
        <v>18</v>
      </c>
      <c r="C1857" s="5"/>
    </row>
    <row r="1858" spans="1:3" customFormat="1" hidden="1" x14ac:dyDescent="0.3">
      <c r="A1858" s="44" t="s">
        <v>18</v>
      </c>
      <c r="B1858" s="45" t="s">
        <v>18</v>
      </c>
      <c r="C1858" s="5"/>
    </row>
    <row r="1859" spans="1:3" customFormat="1" hidden="1" x14ac:dyDescent="0.3">
      <c r="A1859" s="30" t="s">
        <v>64</v>
      </c>
      <c r="B1859" s="47">
        <v>2017</v>
      </c>
      <c r="C1859" s="5"/>
    </row>
    <row r="1860" spans="1:3" customFormat="1" hidden="1" x14ac:dyDescent="0.3">
      <c r="A1860" s="30" t="s">
        <v>64</v>
      </c>
      <c r="B1860" s="47">
        <v>2017</v>
      </c>
      <c r="C1860" s="5"/>
    </row>
    <row r="1861" spans="1:3" customFormat="1" hidden="1" x14ac:dyDescent="0.3">
      <c r="A1861" s="44" t="s">
        <v>18</v>
      </c>
      <c r="B1861" s="45" t="s">
        <v>18</v>
      </c>
      <c r="C1861" s="5"/>
    </row>
    <row r="1862" spans="1:3" customFormat="1" hidden="1" x14ac:dyDescent="0.3">
      <c r="A1862" s="30" t="s">
        <v>64</v>
      </c>
      <c r="B1862" s="47">
        <v>2017</v>
      </c>
      <c r="C1862" s="5"/>
    </row>
    <row r="1863" spans="1:3" customFormat="1" hidden="1" x14ac:dyDescent="0.3">
      <c r="A1863" s="30" t="s">
        <v>64</v>
      </c>
      <c r="B1863" s="47">
        <v>2017</v>
      </c>
      <c r="C1863" s="5"/>
    </row>
    <row r="1864" spans="1:3" customFormat="1" hidden="1" x14ac:dyDescent="0.3">
      <c r="A1864" s="44" t="s">
        <v>18</v>
      </c>
      <c r="B1864" s="45" t="s">
        <v>18</v>
      </c>
      <c r="C1864" s="5"/>
    </row>
    <row r="1865" spans="1:3" customFormat="1" hidden="1" x14ac:dyDescent="0.3">
      <c r="A1865" s="30" t="s">
        <v>64</v>
      </c>
      <c r="B1865" s="47">
        <v>2017</v>
      </c>
      <c r="C1865" s="5"/>
    </row>
    <row r="1866" spans="1:3" customFormat="1" hidden="1" x14ac:dyDescent="0.3">
      <c r="A1866" s="30" t="s">
        <v>64</v>
      </c>
      <c r="B1866" s="47">
        <v>2017</v>
      </c>
      <c r="C1866" s="5"/>
    </row>
    <row r="1867" spans="1:3" customFormat="1" hidden="1" x14ac:dyDescent="0.3">
      <c r="A1867" s="49" t="s">
        <v>18</v>
      </c>
      <c r="B1867" s="49" t="s">
        <v>18</v>
      </c>
      <c r="C1867" s="35"/>
    </row>
    <row r="1868" spans="1:3" customFormat="1" hidden="1" x14ac:dyDescent="0.3">
      <c r="A1868" s="30" t="s">
        <v>64</v>
      </c>
      <c r="B1868" s="47">
        <v>2017</v>
      </c>
      <c r="C1868" s="5"/>
    </row>
    <row r="1869" spans="1:3" customFormat="1" hidden="1" x14ac:dyDescent="0.3">
      <c r="A1869" s="30" t="s">
        <v>64</v>
      </c>
      <c r="B1869" s="47">
        <v>2017</v>
      </c>
      <c r="C1869" s="5"/>
    </row>
    <row r="1870" spans="1:3" customFormat="1" hidden="1" x14ac:dyDescent="0.3">
      <c r="A1870" s="30" t="s">
        <v>64</v>
      </c>
      <c r="B1870" s="47">
        <v>2017</v>
      </c>
      <c r="C1870" s="5"/>
    </row>
    <row r="1871" spans="1:3" customFormat="1" hidden="1" x14ac:dyDescent="0.3">
      <c r="A1871" s="30" t="s">
        <v>64</v>
      </c>
      <c r="B1871" s="47">
        <v>2017</v>
      </c>
      <c r="C1871" s="5"/>
    </row>
    <row r="1872" spans="1:3" customFormat="1" hidden="1" x14ac:dyDescent="0.3">
      <c r="A1872" s="30" t="s">
        <v>64</v>
      </c>
      <c r="B1872" s="47">
        <v>2017</v>
      </c>
      <c r="C1872" s="5"/>
    </row>
    <row r="1873" spans="1:3" customFormat="1" hidden="1" x14ac:dyDescent="0.3">
      <c r="A1873" s="44" t="s">
        <v>18</v>
      </c>
      <c r="B1873" s="45" t="s">
        <v>18</v>
      </c>
      <c r="C1873" s="5"/>
    </row>
    <row r="1874" spans="1:3" customFormat="1" hidden="1" x14ac:dyDescent="0.3">
      <c r="A1874" s="30" t="s">
        <v>64</v>
      </c>
      <c r="B1874" s="47">
        <v>2017</v>
      </c>
      <c r="C1874" s="5"/>
    </row>
    <row r="1875" spans="1:3" customFormat="1" hidden="1" x14ac:dyDescent="0.3">
      <c r="A1875" s="30" t="s">
        <v>64</v>
      </c>
      <c r="B1875" s="47">
        <v>2017</v>
      </c>
      <c r="C1875" s="5"/>
    </row>
    <row r="1876" spans="1:3" customFormat="1" hidden="1" x14ac:dyDescent="0.3">
      <c r="A1876" s="30" t="s">
        <v>64</v>
      </c>
      <c r="B1876" s="47">
        <v>2017</v>
      </c>
      <c r="C1876" s="5"/>
    </row>
    <row r="1877" spans="1:3" customFormat="1" hidden="1" x14ac:dyDescent="0.3">
      <c r="A1877" s="30" t="s">
        <v>64</v>
      </c>
      <c r="B1877" s="47">
        <v>2017</v>
      </c>
      <c r="C1877" s="5"/>
    </row>
    <row r="1878" spans="1:3" customFormat="1" hidden="1" x14ac:dyDescent="0.3">
      <c r="A1878" s="30" t="s">
        <v>64</v>
      </c>
      <c r="B1878" s="47">
        <v>2017</v>
      </c>
      <c r="C1878" s="5"/>
    </row>
    <row r="1879" spans="1:3" customFormat="1" hidden="1" x14ac:dyDescent="0.3">
      <c r="A1879" s="30" t="s">
        <v>64</v>
      </c>
      <c r="B1879" s="47">
        <v>2017</v>
      </c>
      <c r="C1879" s="5"/>
    </row>
    <row r="1880" spans="1:3" customFormat="1" hidden="1" x14ac:dyDescent="0.3">
      <c r="A1880" s="49" t="s">
        <v>18</v>
      </c>
      <c r="B1880" s="49" t="s">
        <v>18</v>
      </c>
      <c r="C1880" s="35"/>
    </row>
    <row r="1881" spans="1:3" customFormat="1" hidden="1" x14ac:dyDescent="0.3">
      <c r="A1881" s="49" t="s">
        <v>18</v>
      </c>
      <c r="B1881" s="49" t="s">
        <v>18</v>
      </c>
      <c r="C1881" s="35"/>
    </row>
    <row r="1882" spans="1:3" customFormat="1" hidden="1" x14ac:dyDescent="0.3">
      <c r="A1882" s="30" t="s">
        <v>64</v>
      </c>
      <c r="B1882" s="47">
        <v>2017</v>
      </c>
      <c r="C1882" s="5"/>
    </row>
    <row r="1883" spans="1:3" customFormat="1" hidden="1" x14ac:dyDescent="0.3">
      <c r="A1883" s="30" t="s">
        <v>64</v>
      </c>
      <c r="B1883" s="47">
        <v>2017</v>
      </c>
      <c r="C1883" s="5"/>
    </row>
    <row r="1884" spans="1:3" customFormat="1" hidden="1" x14ac:dyDescent="0.3">
      <c r="A1884" s="30" t="s">
        <v>64</v>
      </c>
      <c r="B1884" s="47">
        <v>2017</v>
      </c>
      <c r="C1884" s="5"/>
    </row>
    <row r="1885" spans="1:3" customFormat="1" hidden="1" x14ac:dyDescent="0.3">
      <c r="A1885" s="30" t="s">
        <v>64</v>
      </c>
      <c r="B1885" s="47">
        <v>2017</v>
      </c>
      <c r="C1885" s="5"/>
    </row>
    <row r="1886" spans="1:3" customFormat="1" hidden="1" x14ac:dyDescent="0.3">
      <c r="A1886" s="30" t="s">
        <v>64</v>
      </c>
      <c r="B1886" s="47">
        <v>2017</v>
      </c>
      <c r="C1886" s="5"/>
    </row>
    <row r="1887" spans="1:3" customFormat="1" hidden="1" x14ac:dyDescent="0.3">
      <c r="A1887" s="30" t="s">
        <v>64</v>
      </c>
      <c r="B1887" s="47">
        <v>2017</v>
      </c>
      <c r="C1887" s="5"/>
    </row>
    <row r="1888" spans="1:3" customFormat="1" hidden="1" x14ac:dyDescent="0.3">
      <c r="A1888" s="30" t="s">
        <v>64</v>
      </c>
      <c r="B1888" s="47">
        <v>2017</v>
      </c>
      <c r="C1888" s="5"/>
    </row>
    <row r="1889" spans="1:3" customFormat="1" hidden="1" x14ac:dyDescent="0.3">
      <c r="A1889" s="30" t="s">
        <v>64</v>
      </c>
      <c r="B1889" s="47">
        <v>2017</v>
      </c>
      <c r="C1889" s="5"/>
    </row>
    <row r="1890" spans="1:3" customFormat="1" hidden="1" x14ac:dyDescent="0.3">
      <c r="A1890" s="49" t="s">
        <v>18</v>
      </c>
      <c r="B1890" s="49" t="s">
        <v>18</v>
      </c>
      <c r="C1890" s="35"/>
    </row>
    <row r="1891" spans="1:3" customFormat="1" hidden="1" x14ac:dyDescent="0.3">
      <c r="A1891" s="30" t="s">
        <v>64</v>
      </c>
      <c r="B1891" s="47">
        <v>2017</v>
      </c>
      <c r="C1891" s="5"/>
    </row>
    <row r="1892" spans="1:3" customFormat="1" hidden="1" x14ac:dyDescent="0.3">
      <c r="A1892" s="49" t="s">
        <v>18</v>
      </c>
      <c r="B1892" s="49" t="s">
        <v>18</v>
      </c>
      <c r="C1892" s="35"/>
    </row>
    <row r="1893" spans="1:3" customFormat="1" hidden="1" x14ac:dyDescent="0.3">
      <c r="A1893" s="30" t="s">
        <v>64</v>
      </c>
      <c r="B1893" s="47">
        <v>2017</v>
      </c>
      <c r="C1893" s="5"/>
    </row>
    <row r="1894" spans="1:3" customFormat="1" hidden="1" x14ac:dyDescent="0.3">
      <c r="A1894" s="30" t="s">
        <v>64</v>
      </c>
      <c r="B1894" s="47">
        <v>2017</v>
      </c>
      <c r="C1894" s="5"/>
    </row>
    <row r="1895" spans="1:3" customFormat="1" hidden="1" x14ac:dyDescent="0.3">
      <c r="A1895" s="30" t="s">
        <v>64</v>
      </c>
      <c r="B1895" s="47">
        <v>2017</v>
      </c>
      <c r="C1895" s="5"/>
    </row>
    <row r="1896" spans="1:3" customFormat="1" hidden="1" x14ac:dyDescent="0.3">
      <c r="A1896" s="30" t="s">
        <v>64</v>
      </c>
      <c r="B1896" s="47">
        <v>2017</v>
      </c>
      <c r="C1896" s="5"/>
    </row>
    <row r="1897" spans="1:3" customFormat="1" hidden="1" x14ac:dyDescent="0.3">
      <c r="A1897" s="30" t="s">
        <v>64</v>
      </c>
      <c r="B1897" s="47">
        <v>2017</v>
      </c>
      <c r="C1897" s="5"/>
    </row>
    <row r="1898" spans="1:3" customFormat="1" hidden="1" x14ac:dyDescent="0.3">
      <c r="A1898" s="30" t="s">
        <v>64</v>
      </c>
      <c r="B1898" s="47">
        <v>2017</v>
      </c>
      <c r="C1898" s="5"/>
    </row>
    <row r="1899" spans="1:3" customFormat="1" hidden="1" x14ac:dyDescent="0.3">
      <c r="A1899" s="30" t="s">
        <v>64</v>
      </c>
      <c r="B1899" s="47">
        <v>2017</v>
      </c>
      <c r="C1899" s="5"/>
    </row>
    <row r="1900" spans="1:3" customFormat="1" hidden="1" x14ac:dyDescent="0.3">
      <c r="A1900" s="30" t="s">
        <v>64</v>
      </c>
      <c r="B1900" s="47">
        <v>2017</v>
      </c>
      <c r="C1900" s="5"/>
    </row>
    <row r="1901" spans="1:3" customFormat="1" hidden="1" x14ac:dyDescent="0.3">
      <c r="A1901" s="49" t="s">
        <v>18</v>
      </c>
      <c r="B1901" s="49" t="s">
        <v>18</v>
      </c>
      <c r="C1901" s="35"/>
    </row>
    <row r="1902" spans="1:3" customFormat="1" hidden="1" x14ac:dyDescent="0.3">
      <c r="A1902" s="30" t="s">
        <v>64</v>
      </c>
      <c r="B1902" s="47">
        <v>2017</v>
      </c>
      <c r="C1902" s="5"/>
    </row>
    <row r="1903" spans="1:3" customFormat="1" hidden="1" x14ac:dyDescent="0.3">
      <c r="A1903" s="30" t="s">
        <v>64</v>
      </c>
      <c r="B1903" s="47">
        <v>2017</v>
      </c>
      <c r="C1903" s="5"/>
    </row>
    <row r="1904" spans="1:3" customFormat="1" hidden="1" x14ac:dyDescent="0.3">
      <c r="A1904" s="30" t="s">
        <v>64</v>
      </c>
      <c r="B1904" s="47">
        <v>2017</v>
      </c>
      <c r="C1904" s="5"/>
    </row>
    <row r="1905" spans="1:12" hidden="1" x14ac:dyDescent="0.3">
      <c r="A1905" s="30" t="s">
        <v>64</v>
      </c>
      <c r="B1905" s="47">
        <v>2017</v>
      </c>
      <c r="C1905" s="5"/>
      <c r="K1905"/>
      <c r="L1905"/>
    </row>
    <row r="1906" spans="1:12" hidden="1" x14ac:dyDescent="0.3">
      <c r="A1906" s="30" t="s">
        <v>64</v>
      </c>
      <c r="B1906" s="47">
        <v>2017</v>
      </c>
      <c r="C1906" s="5"/>
      <c r="K1906"/>
      <c r="L1906"/>
    </row>
    <row r="1907" spans="1:12" hidden="1" x14ac:dyDescent="0.3">
      <c r="A1907" s="30" t="s">
        <v>64</v>
      </c>
      <c r="B1907" s="47">
        <v>2017</v>
      </c>
      <c r="C1907" s="5"/>
      <c r="K1907"/>
      <c r="L1907"/>
    </row>
    <row r="1908" spans="1:12" hidden="1" x14ac:dyDescent="0.3">
      <c r="A1908" s="30" t="s">
        <v>64</v>
      </c>
      <c r="B1908" s="47">
        <v>2017</v>
      </c>
      <c r="C1908" s="5"/>
      <c r="K1908"/>
      <c r="L1908"/>
    </row>
    <row r="1909" spans="1:12" hidden="1" x14ac:dyDescent="0.3">
      <c r="A1909" s="30" t="s">
        <v>64</v>
      </c>
      <c r="B1909" s="47">
        <v>2017</v>
      </c>
      <c r="C1909" s="5"/>
      <c r="K1909"/>
      <c r="L1909"/>
    </row>
    <row r="1910" spans="1:12" hidden="1" x14ac:dyDescent="0.3">
      <c r="A1910" s="41" t="s">
        <v>64</v>
      </c>
      <c r="B1910" s="51">
        <v>2017</v>
      </c>
      <c r="C1910" s="37"/>
      <c r="K1910"/>
      <c r="L1910"/>
    </row>
    <row r="1911" spans="1:12" hidden="1" x14ac:dyDescent="0.3">
      <c r="A1911" s="41" t="s">
        <v>64</v>
      </c>
      <c r="B1911" s="51">
        <v>2017</v>
      </c>
      <c r="C1911" s="37"/>
      <c r="K1911"/>
      <c r="L1911"/>
    </row>
    <row r="1912" spans="1:12" hidden="1" x14ac:dyDescent="0.3">
      <c r="A1912" s="41" t="s">
        <v>64</v>
      </c>
      <c r="B1912" s="51">
        <v>2017</v>
      </c>
      <c r="C1912" s="37"/>
      <c r="K1912"/>
      <c r="L1912"/>
    </row>
    <row r="1913" spans="1:12" hidden="1" x14ac:dyDescent="0.3">
      <c r="A1913" s="41" t="s">
        <v>64</v>
      </c>
      <c r="B1913" s="51">
        <v>2017</v>
      </c>
      <c r="C1913" s="37"/>
      <c r="K1913"/>
      <c r="L1913"/>
    </row>
    <row r="1914" spans="1:12" x14ac:dyDescent="0.3">
      <c r="A1914" s="44" t="s">
        <v>18</v>
      </c>
      <c r="B1914" s="45"/>
      <c r="C1914" s="16" t="s">
        <v>153</v>
      </c>
      <c r="D1914">
        <v>1.4563282118310449E-2</v>
      </c>
      <c r="E1914">
        <v>1.7215437309586763E-2</v>
      </c>
      <c r="F1914">
        <v>2.1108695652173917</v>
      </c>
      <c r="G1914">
        <f>F1914/1000</f>
        <v>2.1108695652173916E-3</v>
      </c>
      <c r="H1914">
        <v>20.22417582417582</v>
      </c>
      <c r="I1914">
        <f>H1914/1000</f>
        <v>2.0224175824175818E-2</v>
      </c>
      <c r="K1914" s="87">
        <f>E1914*4000</f>
        <v>68.861749238347045</v>
      </c>
      <c r="L1914" s="87">
        <f>D1914*4000</f>
        <v>58.253128473241794</v>
      </c>
    </row>
    <row r="1915" spans="1:12" hidden="1" x14ac:dyDescent="0.3">
      <c r="A1915" s="44" t="s">
        <v>18</v>
      </c>
      <c r="B1915" s="45" t="s">
        <v>18</v>
      </c>
      <c r="K1915"/>
      <c r="L1915"/>
    </row>
    <row r="1916" spans="1:12" hidden="1" x14ac:dyDescent="0.3">
      <c r="A1916" s="30" t="s">
        <v>24</v>
      </c>
      <c r="B1916" s="47">
        <v>2017</v>
      </c>
      <c r="K1916"/>
      <c r="L1916"/>
    </row>
    <row r="1917" spans="1:12" hidden="1" x14ac:dyDescent="0.3">
      <c r="A1917" s="44" t="s">
        <v>18</v>
      </c>
      <c r="B1917" s="45" t="s">
        <v>18</v>
      </c>
      <c r="K1917"/>
      <c r="L1917"/>
    </row>
    <row r="1918" spans="1:12" hidden="1" x14ac:dyDescent="0.3">
      <c r="A1918" s="44" t="s">
        <v>18</v>
      </c>
      <c r="B1918" s="45" t="s">
        <v>18</v>
      </c>
      <c r="K1918"/>
      <c r="L1918"/>
    </row>
    <row r="1919" spans="1:12" hidden="1" x14ac:dyDescent="0.3">
      <c r="A1919" s="30" t="s">
        <v>24</v>
      </c>
      <c r="B1919" s="47">
        <v>2017</v>
      </c>
      <c r="K1919"/>
      <c r="L1919"/>
    </row>
    <row r="1920" spans="1:12" hidden="1" x14ac:dyDescent="0.3">
      <c r="A1920" s="30" t="s">
        <v>24</v>
      </c>
      <c r="B1920" s="47">
        <v>2017</v>
      </c>
      <c r="K1920"/>
      <c r="L1920"/>
    </row>
    <row r="1921" spans="1:3" customFormat="1" hidden="1" x14ac:dyDescent="0.3">
      <c r="A1921" s="44" t="s">
        <v>18</v>
      </c>
      <c r="B1921" s="45" t="s">
        <v>18</v>
      </c>
      <c r="C1921" s="16"/>
    </row>
    <row r="1922" spans="1:3" customFormat="1" hidden="1" x14ac:dyDescent="0.3">
      <c r="A1922" s="30" t="s">
        <v>24</v>
      </c>
      <c r="B1922" s="47">
        <v>2017</v>
      </c>
      <c r="C1922" s="16"/>
    </row>
    <row r="1923" spans="1:3" customFormat="1" hidden="1" x14ac:dyDescent="0.3">
      <c r="A1923" s="30" t="s">
        <v>24</v>
      </c>
      <c r="B1923" s="47">
        <v>2017</v>
      </c>
      <c r="C1923" s="16"/>
    </row>
    <row r="1924" spans="1:3" customFormat="1" hidden="1" x14ac:dyDescent="0.3">
      <c r="A1924" s="44" t="s">
        <v>18</v>
      </c>
      <c r="B1924" s="45" t="s">
        <v>18</v>
      </c>
      <c r="C1924" s="16"/>
    </row>
    <row r="1925" spans="1:3" customFormat="1" hidden="1" x14ac:dyDescent="0.3">
      <c r="A1925" s="30" t="s">
        <v>24</v>
      </c>
      <c r="B1925" s="47">
        <v>2017</v>
      </c>
      <c r="C1925" s="16"/>
    </row>
    <row r="1926" spans="1:3" customFormat="1" hidden="1" x14ac:dyDescent="0.3">
      <c r="A1926" s="30" t="s">
        <v>24</v>
      </c>
      <c r="B1926" s="47">
        <v>2017</v>
      </c>
      <c r="C1926" s="16"/>
    </row>
    <row r="1927" spans="1:3" customFormat="1" hidden="1" x14ac:dyDescent="0.3">
      <c r="A1927" s="49" t="s">
        <v>18</v>
      </c>
      <c r="B1927" s="49" t="s">
        <v>18</v>
      </c>
      <c r="C1927" s="35"/>
    </row>
    <row r="1928" spans="1:3" customFormat="1" hidden="1" x14ac:dyDescent="0.3">
      <c r="A1928" s="30" t="s">
        <v>24</v>
      </c>
      <c r="B1928" s="47">
        <v>2017</v>
      </c>
      <c r="C1928" s="16"/>
    </row>
    <row r="1929" spans="1:3" customFormat="1" hidden="1" x14ac:dyDescent="0.3">
      <c r="A1929" s="30" t="s">
        <v>24</v>
      </c>
      <c r="B1929" s="47">
        <v>2017</v>
      </c>
      <c r="C1929" s="16"/>
    </row>
    <row r="1930" spans="1:3" customFormat="1" hidden="1" x14ac:dyDescent="0.3">
      <c r="A1930" s="30" t="s">
        <v>24</v>
      </c>
      <c r="B1930" s="47">
        <v>2017</v>
      </c>
      <c r="C1930" s="16"/>
    </row>
    <row r="1931" spans="1:3" customFormat="1" hidden="1" x14ac:dyDescent="0.3">
      <c r="A1931" s="30" t="s">
        <v>24</v>
      </c>
      <c r="B1931" s="47">
        <v>2017</v>
      </c>
      <c r="C1931" s="16"/>
    </row>
    <row r="1932" spans="1:3" customFormat="1" hidden="1" x14ac:dyDescent="0.3">
      <c r="A1932" s="30" t="s">
        <v>24</v>
      </c>
      <c r="B1932" s="47">
        <v>2017</v>
      </c>
      <c r="C1932" s="16"/>
    </row>
    <row r="1933" spans="1:3" customFormat="1" hidden="1" x14ac:dyDescent="0.3">
      <c r="A1933" s="44" t="s">
        <v>18</v>
      </c>
      <c r="B1933" s="45" t="s">
        <v>18</v>
      </c>
      <c r="C1933" s="16"/>
    </row>
    <row r="1934" spans="1:3" customFormat="1" hidden="1" x14ac:dyDescent="0.3">
      <c r="A1934" s="30" t="s">
        <v>24</v>
      </c>
      <c r="B1934" s="47">
        <v>2017</v>
      </c>
      <c r="C1934" s="16"/>
    </row>
    <row r="1935" spans="1:3" customFormat="1" hidden="1" x14ac:dyDescent="0.3">
      <c r="A1935" s="30" t="s">
        <v>24</v>
      </c>
      <c r="B1935" s="47">
        <v>2017</v>
      </c>
      <c r="C1935" s="16"/>
    </row>
    <row r="1936" spans="1:3" customFormat="1" hidden="1" x14ac:dyDescent="0.3">
      <c r="A1936" s="30" t="s">
        <v>24</v>
      </c>
      <c r="B1936" s="47">
        <v>2017</v>
      </c>
      <c r="C1936" s="16"/>
    </row>
    <row r="1937" spans="1:3" customFormat="1" hidden="1" x14ac:dyDescent="0.3">
      <c r="A1937" s="30" t="s">
        <v>24</v>
      </c>
      <c r="B1937" s="47">
        <v>2017</v>
      </c>
      <c r="C1937" s="16"/>
    </row>
    <row r="1938" spans="1:3" customFormat="1" hidden="1" x14ac:dyDescent="0.3">
      <c r="A1938" s="30" t="s">
        <v>24</v>
      </c>
      <c r="B1938" s="47">
        <v>2017</v>
      </c>
      <c r="C1938" s="16"/>
    </row>
    <row r="1939" spans="1:3" customFormat="1" hidden="1" x14ac:dyDescent="0.3">
      <c r="A1939" s="30" t="s">
        <v>24</v>
      </c>
      <c r="B1939" s="47">
        <v>2017</v>
      </c>
      <c r="C1939" s="16"/>
    </row>
    <row r="1940" spans="1:3" customFormat="1" hidden="1" x14ac:dyDescent="0.3">
      <c r="A1940" s="49" t="s">
        <v>18</v>
      </c>
      <c r="B1940" s="49" t="s">
        <v>18</v>
      </c>
      <c r="C1940" s="35"/>
    </row>
    <row r="1941" spans="1:3" customFormat="1" hidden="1" x14ac:dyDescent="0.3">
      <c r="A1941" s="49" t="s">
        <v>18</v>
      </c>
      <c r="B1941" s="49" t="s">
        <v>18</v>
      </c>
      <c r="C1941" s="35"/>
    </row>
    <row r="1942" spans="1:3" customFormat="1" hidden="1" x14ac:dyDescent="0.3">
      <c r="A1942" s="30" t="s">
        <v>24</v>
      </c>
      <c r="B1942" s="47">
        <v>2017</v>
      </c>
      <c r="C1942" s="16"/>
    </row>
    <row r="1943" spans="1:3" customFormat="1" hidden="1" x14ac:dyDescent="0.3">
      <c r="A1943" s="30" t="s">
        <v>24</v>
      </c>
      <c r="B1943" s="47">
        <v>2017</v>
      </c>
      <c r="C1943" s="16"/>
    </row>
    <row r="1944" spans="1:3" customFormat="1" hidden="1" x14ac:dyDescent="0.3">
      <c r="A1944" s="30" t="s">
        <v>24</v>
      </c>
      <c r="B1944" s="47">
        <v>2017</v>
      </c>
      <c r="C1944" s="16"/>
    </row>
    <row r="1945" spans="1:3" customFormat="1" hidden="1" x14ac:dyDescent="0.3">
      <c r="A1945" s="30" t="s">
        <v>24</v>
      </c>
      <c r="B1945" s="47">
        <v>2017</v>
      </c>
      <c r="C1945" s="16"/>
    </row>
    <row r="1946" spans="1:3" customFormat="1" hidden="1" x14ac:dyDescent="0.3">
      <c r="A1946" s="30" t="s">
        <v>24</v>
      </c>
      <c r="B1946" s="47">
        <v>2017</v>
      </c>
      <c r="C1946" s="16"/>
    </row>
    <row r="1947" spans="1:3" customFormat="1" hidden="1" x14ac:dyDescent="0.3">
      <c r="A1947" s="30" t="s">
        <v>24</v>
      </c>
      <c r="B1947" s="47">
        <v>2017</v>
      </c>
      <c r="C1947" s="16"/>
    </row>
    <row r="1948" spans="1:3" customFormat="1" hidden="1" x14ac:dyDescent="0.3">
      <c r="A1948" s="30" t="s">
        <v>24</v>
      </c>
      <c r="B1948" s="47">
        <v>2017</v>
      </c>
      <c r="C1948" s="16"/>
    </row>
    <row r="1949" spans="1:3" customFormat="1" hidden="1" x14ac:dyDescent="0.3">
      <c r="A1949" s="30" t="s">
        <v>24</v>
      </c>
      <c r="B1949" s="47">
        <v>2017</v>
      </c>
      <c r="C1949" s="16"/>
    </row>
    <row r="1950" spans="1:3" customFormat="1" hidden="1" x14ac:dyDescent="0.3">
      <c r="A1950" s="49" t="s">
        <v>18</v>
      </c>
      <c r="B1950" s="49" t="s">
        <v>18</v>
      </c>
      <c r="C1950" s="35"/>
    </row>
    <row r="1951" spans="1:3" customFormat="1" hidden="1" x14ac:dyDescent="0.3">
      <c r="A1951" s="30" t="s">
        <v>24</v>
      </c>
      <c r="B1951" s="47">
        <v>2017</v>
      </c>
      <c r="C1951" s="16"/>
    </row>
    <row r="1952" spans="1:3" customFormat="1" hidden="1" x14ac:dyDescent="0.3">
      <c r="A1952" s="49" t="s">
        <v>18</v>
      </c>
      <c r="B1952" s="49" t="s">
        <v>18</v>
      </c>
      <c r="C1952" s="35"/>
    </row>
    <row r="1953" spans="1:3" customFormat="1" hidden="1" x14ac:dyDescent="0.3">
      <c r="A1953" s="30" t="s">
        <v>24</v>
      </c>
      <c r="B1953" s="47">
        <v>2017</v>
      </c>
      <c r="C1953" s="16"/>
    </row>
    <row r="1954" spans="1:3" customFormat="1" hidden="1" x14ac:dyDescent="0.3">
      <c r="A1954" s="30" t="s">
        <v>24</v>
      </c>
      <c r="B1954" s="47">
        <v>2017</v>
      </c>
      <c r="C1954" s="16"/>
    </row>
    <row r="1955" spans="1:3" customFormat="1" hidden="1" x14ac:dyDescent="0.3">
      <c r="A1955" s="30" t="s">
        <v>24</v>
      </c>
      <c r="B1955" s="47">
        <v>2017</v>
      </c>
      <c r="C1955" s="16"/>
    </row>
    <row r="1956" spans="1:3" customFormat="1" hidden="1" x14ac:dyDescent="0.3">
      <c r="A1956" s="30" t="s">
        <v>24</v>
      </c>
      <c r="B1956" s="47">
        <v>2017</v>
      </c>
      <c r="C1956" s="16"/>
    </row>
    <row r="1957" spans="1:3" customFormat="1" hidden="1" x14ac:dyDescent="0.3">
      <c r="A1957" s="30" t="s">
        <v>24</v>
      </c>
      <c r="B1957" s="47">
        <v>2017</v>
      </c>
      <c r="C1957" s="16"/>
    </row>
    <row r="1958" spans="1:3" customFormat="1" hidden="1" x14ac:dyDescent="0.3">
      <c r="A1958" s="30" t="s">
        <v>24</v>
      </c>
      <c r="B1958" s="47">
        <v>2017</v>
      </c>
      <c r="C1958" s="16"/>
    </row>
    <row r="1959" spans="1:3" customFormat="1" hidden="1" x14ac:dyDescent="0.3">
      <c r="A1959" s="30" t="s">
        <v>24</v>
      </c>
      <c r="B1959" s="47">
        <v>2017</v>
      </c>
      <c r="C1959" s="16"/>
    </row>
    <row r="1960" spans="1:3" customFormat="1" hidden="1" x14ac:dyDescent="0.3">
      <c r="A1960" s="30" t="s">
        <v>24</v>
      </c>
      <c r="B1960" s="47">
        <v>2017</v>
      </c>
      <c r="C1960" s="16"/>
    </row>
    <row r="1961" spans="1:3" customFormat="1" hidden="1" x14ac:dyDescent="0.3">
      <c r="A1961" s="49" t="s">
        <v>18</v>
      </c>
      <c r="B1961" s="49" t="s">
        <v>18</v>
      </c>
      <c r="C1961" s="35"/>
    </row>
    <row r="1962" spans="1:3" customFormat="1" hidden="1" x14ac:dyDescent="0.3">
      <c r="A1962" s="30" t="s">
        <v>24</v>
      </c>
      <c r="B1962" s="47">
        <v>2017</v>
      </c>
      <c r="C1962" s="16"/>
    </row>
    <row r="1963" spans="1:3" customFormat="1" hidden="1" x14ac:dyDescent="0.3">
      <c r="A1963" s="30" t="s">
        <v>24</v>
      </c>
      <c r="B1963" s="47">
        <v>2017</v>
      </c>
      <c r="C1963" s="16"/>
    </row>
    <row r="1964" spans="1:3" customFormat="1" hidden="1" x14ac:dyDescent="0.3">
      <c r="A1964" s="30" t="s">
        <v>24</v>
      </c>
      <c r="B1964" s="47">
        <v>2017</v>
      </c>
      <c r="C1964" s="16"/>
    </row>
    <row r="1965" spans="1:3" customFormat="1" hidden="1" x14ac:dyDescent="0.3">
      <c r="A1965" s="30" t="s">
        <v>24</v>
      </c>
      <c r="B1965" s="47">
        <v>2017</v>
      </c>
      <c r="C1965" s="16"/>
    </row>
    <row r="1966" spans="1:3" customFormat="1" hidden="1" x14ac:dyDescent="0.3">
      <c r="A1966" s="30" t="s">
        <v>24</v>
      </c>
      <c r="B1966" s="47">
        <v>2017</v>
      </c>
      <c r="C1966" s="16"/>
    </row>
    <row r="1967" spans="1:3" customFormat="1" hidden="1" x14ac:dyDescent="0.3">
      <c r="A1967" s="30" t="s">
        <v>24</v>
      </c>
      <c r="B1967" s="47">
        <v>2017</v>
      </c>
      <c r="C1967" s="16"/>
    </row>
    <row r="1968" spans="1:3" customFormat="1" hidden="1" x14ac:dyDescent="0.3">
      <c r="A1968" s="30" t="s">
        <v>24</v>
      </c>
      <c r="B1968" s="47">
        <v>2017</v>
      </c>
      <c r="C1968" s="16"/>
    </row>
    <row r="1969" spans="1:12" hidden="1" x14ac:dyDescent="0.3">
      <c r="A1969" s="30" t="s">
        <v>24</v>
      </c>
      <c r="B1969" s="47">
        <v>2017</v>
      </c>
      <c r="K1969"/>
      <c r="L1969"/>
    </row>
    <row r="1970" spans="1:12" hidden="1" x14ac:dyDescent="0.3">
      <c r="A1970" s="41" t="s">
        <v>24</v>
      </c>
      <c r="B1970" s="51">
        <v>2017</v>
      </c>
      <c r="C1970" s="36"/>
      <c r="K1970"/>
      <c r="L1970"/>
    </row>
    <row r="1971" spans="1:12" hidden="1" x14ac:dyDescent="0.3">
      <c r="A1971" s="41" t="s">
        <v>24</v>
      </c>
      <c r="B1971" s="51">
        <v>2017</v>
      </c>
      <c r="C1971" s="36"/>
      <c r="K1971"/>
      <c r="L1971"/>
    </row>
    <row r="1972" spans="1:12" hidden="1" x14ac:dyDescent="0.3">
      <c r="A1972" s="41" t="s">
        <v>24</v>
      </c>
      <c r="B1972" s="51">
        <v>2017</v>
      </c>
      <c r="C1972" s="36"/>
      <c r="K1972"/>
      <c r="L1972"/>
    </row>
    <row r="1973" spans="1:12" hidden="1" x14ac:dyDescent="0.3">
      <c r="A1973" s="41" t="s">
        <v>24</v>
      </c>
      <c r="B1973" s="51">
        <v>2017</v>
      </c>
      <c r="C1973" s="36"/>
      <c r="K1973"/>
      <c r="L1973"/>
    </row>
    <row r="1974" spans="1:12" x14ac:dyDescent="0.3">
      <c r="A1974" s="44" t="s">
        <v>18</v>
      </c>
      <c r="B1974" s="45"/>
      <c r="C1974" s="16" t="s">
        <v>154</v>
      </c>
      <c r="D1974">
        <v>8.0689540466297952E-3</v>
      </c>
      <c r="E1974">
        <v>1.2834760132212833E-2</v>
      </c>
      <c r="F1974">
        <v>2.5195652173913041</v>
      </c>
      <c r="G1974">
        <f>F1974/1000</f>
        <v>2.5195652173913043E-3</v>
      </c>
      <c r="H1974">
        <v>14.207692307692303</v>
      </c>
      <c r="I1974">
        <f>H1974/1000</f>
        <v>1.4207692307692303E-2</v>
      </c>
      <c r="K1974" s="87">
        <f>E1974*4000</f>
        <v>51.339040528851335</v>
      </c>
      <c r="L1974" s="87">
        <f>D1974*4000</f>
        <v>32.275816186519179</v>
      </c>
    </row>
    <row r="1975" spans="1:12" hidden="1" x14ac:dyDescent="0.3">
      <c r="A1975" s="44" t="s">
        <v>18</v>
      </c>
      <c r="B1975" s="45" t="s">
        <v>18</v>
      </c>
      <c r="K1975"/>
      <c r="L1975"/>
    </row>
    <row r="1976" spans="1:12" hidden="1" x14ac:dyDescent="0.3">
      <c r="A1976" s="30" t="s">
        <v>33</v>
      </c>
      <c r="B1976" s="47">
        <v>2017</v>
      </c>
      <c r="K1976"/>
      <c r="L1976"/>
    </row>
    <row r="1977" spans="1:12" hidden="1" x14ac:dyDescent="0.3">
      <c r="A1977" s="44" t="s">
        <v>18</v>
      </c>
      <c r="B1977" s="45" t="s">
        <v>18</v>
      </c>
      <c r="K1977"/>
      <c r="L1977"/>
    </row>
    <row r="1978" spans="1:12" hidden="1" x14ac:dyDescent="0.3">
      <c r="A1978" s="44" t="s">
        <v>18</v>
      </c>
      <c r="B1978" s="45" t="s">
        <v>18</v>
      </c>
      <c r="K1978"/>
      <c r="L1978"/>
    </row>
    <row r="1979" spans="1:12" hidden="1" x14ac:dyDescent="0.3">
      <c r="A1979" s="30" t="s">
        <v>33</v>
      </c>
      <c r="B1979" s="47">
        <v>2017</v>
      </c>
      <c r="K1979"/>
      <c r="L1979"/>
    </row>
    <row r="1980" spans="1:12" hidden="1" x14ac:dyDescent="0.3">
      <c r="A1980" s="30" t="s">
        <v>33</v>
      </c>
      <c r="B1980" s="47">
        <v>2017</v>
      </c>
      <c r="K1980"/>
      <c r="L1980"/>
    </row>
    <row r="1981" spans="1:12" hidden="1" x14ac:dyDescent="0.3">
      <c r="A1981" s="44" t="s">
        <v>18</v>
      </c>
      <c r="B1981" s="45" t="s">
        <v>18</v>
      </c>
      <c r="K1981"/>
      <c r="L1981"/>
    </row>
    <row r="1982" spans="1:12" hidden="1" x14ac:dyDescent="0.3">
      <c r="A1982" s="30" t="s">
        <v>33</v>
      </c>
      <c r="B1982" s="47">
        <v>2017</v>
      </c>
      <c r="K1982"/>
      <c r="L1982"/>
    </row>
    <row r="1983" spans="1:12" hidden="1" x14ac:dyDescent="0.3">
      <c r="A1983" s="30" t="s">
        <v>33</v>
      </c>
      <c r="B1983" s="47">
        <v>2017</v>
      </c>
      <c r="K1983"/>
      <c r="L1983"/>
    </row>
    <row r="1984" spans="1:12" hidden="1" x14ac:dyDescent="0.3">
      <c r="A1984" s="44" t="s">
        <v>18</v>
      </c>
      <c r="B1984" s="45" t="s">
        <v>18</v>
      </c>
      <c r="K1984"/>
      <c r="L1984"/>
    </row>
    <row r="1985" spans="1:3" customFormat="1" hidden="1" x14ac:dyDescent="0.3">
      <c r="A1985" s="30" t="s">
        <v>33</v>
      </c>
      <c r="B1985" s="47">
        <v>2017</v>
      </c>
      <c r="C1985" s="16"/>
    </row>
    <row r="1986" spans="1:3" customFormat="1" hidden="1" x14ac:dyDescent="0.3">
      <c r="A1986" s="30" t="s">
        <v>33</v>
      </c>
      <c r="B1986" s="47">
        <v>2017</v>
      </c>
      <c r="C1986" s="16"/>
    </row>
    <row r="1987" spans="1:3" customFormat="1" hidden="1" x14ac:dyDescent="0.3">
      <c r="A1987" s="49" t="s">
        <v>18</v>
      </c>
      <c r="B1987" s="49" t="s">
        <v>18</v>
      </c>
      <c r="C1987" s="35"/>
    </row>
    <row r="1988" spans="1:3" customFormat="1" hidden="1" x14ac:dyDescent="0.3">
      <c r="A1988" s="30" t="s">
        <v>33</v>
      </c>
      <c r="B1988" s="47">
        <v>2017</v>
      </c>
      <c r="C1988" s="16"/>
    </row>
    <row r="1989" spans="1:3" customFormat="1" hidden="1" x14ac:dyDescent="0.3">
      <c r="A1989" s="30" t="s">
        <v>33</v>
      </c>
      <c r="B1989" s="47">
        <v>2017</v>
      </c>
      <c r="C1989" s="16"/>
    </row>
    <row r="1990" spans="1:3" customFormat="1" hidden="1" x14ac:dyDescent="0.3">
      <c r="A1990" s="30" t="s">
        <v>33</v>
      </c>
      <c r="B1990" s="47">
        <v>2017</v>
      </c>
      <c r="C1990" s="16"/>
    </row>
    <row r="1991" spans="1:3" customFormat="1" hidden="1" x14ac:dyDescent="0.3">
      <c r="A1991" s="30" t="s">
        <v>33</v>
      </c>
      <c r="B1991" s="47">
        <v>2017</v>
      </c>
      <c r="C1991" s="16"/>
    </row>
    <row r="1992" spans="1:3" customFormat="1" hidden="1" x14ac:dyDescent="0.3">
      <c r="A1992" s="30" t="s">
        <v>33</v>
      </c>
      <c r="B1992" s="47">
        <v>2017</v>
      </c>
      <c r="C1992" s="16"/>
    </row>
    <row r="1993" spans="1:3" customFormat="1" hidden="1" x14ac:dyDescent="0.3">
      <c r="A1993" s="44" t="s">
        <v>18</v>
      </c>
      <c r="B1993" s="45" t="s">
        <v>18</v>
      </c>
      <c r="C1993" s="16"/>
    </row>
    <row r="1994" spans="1:3" customFormat="1" hidden="1" x14ac:dyDescent="0.3">
      <c r="A1994" s="30" t="s">
        <v>33</v>
      </c>
      <c r="B1994" s="47">
        <v>2017</v>
      </c>
      <c r="C1994" s="16"/>
    </row>
    <row r="1995" spans="1:3" customFormat="1" hidden="1" x14ac:dyDescent="0.3">
      <c r="A1995" s="30" t="s">
        <v>33</v>
      </c>
      <c r="B1995" s="47">
        <v>2017</v>
      </c>
      <c r="C1995" s="16"/>
    </row>
    <row r="1996" spans="1:3" customFormat="1" hidden="1" x14ac:dyDescent="0.3">
      <c r="A1996" s="30" t="s">
        <v>33</v>
      </c>
      <c r="B1996" s="47">
        <v>2017</v>
      </c>
      <c r="C1996" s="16"/>
    </row>
    <row r="1997" spans="1:3" customFormat="1" hidden="1" x14ac:dyDescent="0.3">
      <c r="A1997" s="30" t="s">
        <v>33</v>
      </c>
      <c r="B1997" s="47">
        <v>2017</v>
      </c>
      <c r="C1997" s="16"/>
    </row>
    <row r="1998" spans="1:3" customFormat="1" hidden="1" x14ac:dyDescent="0.3">
      <c r="A1998" s="30" t="s">
        <v>33</v>
      </c>
      <c r="B1998" s="47">
        <v>2017</v>
      </c>
      <c r="C1998" s="16"/>
    </row>
    <row r="1999" spans="1:3" customFormat="1" hidden="1" x14ac:dyDescent="0.3">
      <c r="A1999" s="30" t="s">
        <v>33</v>
      </c>
      <c r="B1999" s="47">
        <v>2017</v>
      </c>
      <c r="C1999" s="5"/>
    </row>
    <row r="2000" spans="1:3" customFormat="1" hidden="1" x14ac:dyDescent="0.3">
      <c r="A2000" s="49" t="s">
        <v>18</v>
      </c>
      <c r="B2000" s="49" t="s">
        <v>18</v>
      </c>
      <c r="C2000" s="35"/>
    </row>
    <row r="2001" spans="1:3" customFormat="1" hidden="1" x14ac:dyDescent="0.3">
      <c r="A2001" s="49" t="s">
        <v>18</v>
      </c>
      <c r="B2001" s="49" t="s">
        <v>18</v>
      </c>
      <c r="C2001" s="35"/>
    </row>
    <row r="2002" spans="1:3" customFormat="1" hidden="1" x14ac:dyDescent="0.3">
      <c r="A2002" s="30" t="s">
        <v>33</v>
      </c>
      <c r="B2002" s="47">
        <v>2017</v>
      </c>
      <c r="C2002" s="16"/>
    </row>
    <row r="2003" spans="1:3" customFormat="1" hidden="1" x14ac:dyDescent="0.3">
      <c r="A2003" s="30" t="s">
        <v>33</v>
      </c>
      <c r="B2003" s="47">
        <v>2017</v>
      </c>
      <c r="C2003" s="16"/>
    </row>
    <row r="2004" spans="1:3" customFormat="1" hidden="1" x14ac:dyDescent="0.3">
      <c r="A2004" s="30" t="s">
        <v>33</v>
      </c>
      <c r="B2004" s="47">
        <v>2017</v>
      </c>
      <c r="C2004" s="16"/>
    </row>
    <row r="2005" spans="1:3" customFormat="1" hidden="1" x14ac:dyDescent="0.3">
      <c r="A2005" s="30" t="s">
        <v>33</v>
      </c>
      <c r="B2005" s="47">
        <v>2017</v>
      </c>
      <c r="C2005" s="16"/>
    </row>
    <row r="2006" spans="1:3" customFormat="1" hidden="1" x14ac:dyDescent="0.3">
      <c r="A2006" s="30" t="s">
        <v>33</v>
      </c>
      <c r="B2006" s="47">
        <v>2017</v>
      </c>
      <c r="C2006" s="16"/>
    </row>
    <row r="2007" spans="1:3" customFormat="1" hidden="1" x14ac:dyDescent="0.3">
      <c r="A2007" s="30" t="s">
        <v>33</v>
      </c>
      <c r="B2007" s="47">
        <v>2017</v>
      </c>
      <c r="C2007" s="16"/>
    </row>
    <row r="2008" spans="1:3" customFormat="1" hidden="1" x14ac:dyDescent="0.3">
      <c r="A2008" s="30" t="s">
        <v>33</v>
      </c>
      <c r="B2008" s="47">
        <v>2017</v>
      </c>
      <c r="C2008" s="5"/>
    </row>
    <row r="2009" spans="1:3" customFormat="1" hidden="1" x14ac:dyDescent="0.3">
      <c r="A2009" s="30" t="s">
        <v>33</v>
      </c>
      <c r="B2009" s="47">
        <v>2017</v>
      </c>
      <c r="C2009" s="5"/>
    </row>
    <row r="2010" spans="1:3" customFormat="1" hidden="1" x14ac:dyDescent="0.3">
      <c r="A2010" s="49" t="s">
        <v>18</v>
      </c>
      <c r="B2010" s="49" t="s">
        <v>18</v>
      </c>
      <c r="C2010" s="35"/>
    </row>
    <row r="2011" spans="1:3" customFormat="1" hidden="1" x14ac:dyDescent="0.3">
      <c r="A2011" s="30" t="s">
        <v>33</v>
      </c>
      <c r="B2011" s="47">
        <v>2017</v>
      </c>
      <c r="C2011" s="16"/>
    </row>
    <row r="2012" spans="1:3" customFormat="1" hidden="1" x14ac:dyDescent="0.3">
      <c r="A2012" s="49" t="s">
        <v>18</v>
      </c>
      <c r="B2012" s="49" t="s">
        <v>18</v>
      </c>
      <c r="C2012" s="35"/>
    </row>
    <row r="2013" spans="1:3" customFormat="1" hidden="1" x14ac:dyDescent="0.3">
      <c r="A2013" s="30" t="s">
        <v>33</v>
      </c>
      <c r="B2013" s="47">
        <v>2017</v>
      </c>
      <c r="C2013" s="16"/>
    </row>
    <row r="2014" spans="1:3" customFormat="1" hidden="1" x14ac:dyDescent="0.3">
      <c r="A2014" s="30" t="s">
        <v>33</v>
      </c>
      <c r="B2014" s="47">
        <v>2017</v>
      </c>
      <c r="C2014" s="16"/>
    </row>
    <row r="2015" spans="1:3" customFormat="1" hidden="1" x14ac:dyDescent="0.3">
      <c r="A2015" s="30" t="s">
        <v>33</v>
      </c>
      <c r="B2015" s="47">
        <v>2017</v>
      </c>
      <c r="C2015" s="16"/>
    </row>
    <row r="2016" spans="1:3" customFormat="1" hidden="1" x14ac:dyDescent="0.3">
      <c r="A2016" s="30" t="s">
        <v>33</v>
      </c>
      <c r="B2016" s="47">
        <v>2017</v>
      </c>
      <c r="C2016" s="16"/>
    </row>
    <row r="2017" spans="1:3" customFormat="1" hidden="1" x14ac:dyDescent="0.3">
      <c r="A2017" s="30" t="s">
        <v>33</v>
      </c>
      <c r="B2017" s="47">
        <v>2017</v>
      </c>
      <c r="C2017" s="16"/>
    </row>
    <row r="2018" spans="1:3" customFormat="1" hidden="1" x14ac:dyDescent="0.3">
      <c r="A2018" s="30" t="s">
        <v>33</v>
      </c>
      <c r="B2018" s="47">
        <v>2017</v>
      </c>
      <c r="C2018" s="16"/>
    </row>
    <row r="2019" spans="1:3" customFormat="1" hidden="1" x14ac:dyDescent="0.3">
      <c r="A2019" s="30" t="s">
        <v>33</v>
      </c>
      <c r="B2019" s="47">
        <v>2017</v>
      </c>
      <c r="C2019" s="16"/>
    </row>
    <row r="2020" spans="1:3" customFormat="1" hidden="1" x14ac:dyDescent="0.3">
      <c r="A2020" s="30" t="s">
        <v>33</v>
      </c>
      <c r="B2020" s="47">
        <v>2017</v>
      </c>
      <c r="C2020" s="16"/>
    </row>
    <row r="2021" spans="1:3" customFormat="1" hidden="1" x14ac:dyDescent="0.3">
      <c r="A2021" s="49" t="s">
        <v>18</v>
      </c>
      <c r="B2021" s="49" t="s">
        <v>18</v>
      </c>
      <c r="C2021" s="35"/>
    </row>
    <row r="2022" spans="1:3" customFormat="1" hidden="1" x14ac:dyDescent="0.3">
      <c r="A2022" s="30" t="s">
        <v>33</v>
      </c>
      <c r="B2022" s="47">
        <v>2017</v>
      </c>
      <c r="C2022" s="16"/>
    </row>
    <row r="2023" spans="1:3" customFormat="1" hidden="1" x14ac:dyDescent="0.3">
      <c r="A2023" s="30" t="s">
        <v>33</v>
      </c>
      <c r="B2023" s="47">
        <v>2017</v>
      </c>
      <c r="C2023" s="5"/>
    </row>
    <row r="2024" spans="1:3" customFormat="1" hidden="1" x14ac:dyDescent="0.3">
      <c r="A2024" s="30" t="s">
        <v>33</v>
      </c>
      <c r="B2024" s="47">
        <v>2017</v>
      </c>
      <c r="C2024" s="5"/>
    </row>
    <row r="2025" spans="1:3" customFormat="1" hidden="1" x14ac:dyDescent="0.3">
      <c r="A2025" s="30" t="s">
        <v>33</v>
      </c>
      <c r="B2025" s="47">
        <v>2017</v>
      </c>
      <c r="C2025" s="16"/>
    </row>
    <row r="2026" spans="1:3" customFormat="1" hidden="1" x14ac:dyDescent="0.3">
      <c r="A2026" s="30" t="s">
        <v>33</v>
      </c>
      <c r="B2026" s="47">
        <v>2017</v>
      </c>
      <c r="C2026" s="16"/>
    </row>
    <row r="2027" spans="1:3" customFormat="1" hidden="1" x14ac:dyDescent="0.3">
      <c r="A2027" s="30" t="s">
        <v>33</v>
      </c>
      <c r="B2027" s="47">
        <v>2017</v>
      </c>
      <c r="C2027" s="16"/>
    </row>
    <row r="2028" spans="1:3" customFormat="1" hidden="1" x14ac:dyDescent="0.3">
      <c r="A2028" s="30" t="s">
        <v>33</v>
      </c>
      <c r="B2028" s="47">
        <v>2017</v>
      </c>
      <c r="C2028" s="16"/>
    </row>
    <row r="2029" spans="1:3" customFormat="1" hidden="1" x14ac:dyDescent="0.3">
      <c r="A2029" s="30" t="s">
        <v>33</v>
      </c>
      <c r="B2029" s="47">
        <v>2017</v>
      </c>
      <c r="C2029" s="16"/>
    </row>
    <row r="2030" spans="1:3" customFormat="1" hidden="1" x14ac:dyDescent="0.3">
      <c r="A2030" s="41" t="s">
        <v>33</v>
      </c>
      <c r="B2030" s="51">
        <v>2017</v>
      </c>
      <c r="C2030" s="36"/>
    </row>
    <row r="2031" spans="1:3" customFormat="1" hidden="1" x14ac:dyDescent="0.3">
      <c r="A2031" s="41" t="s">
        <v>33</v>
      </c>
      <c r="B2031" s="51">
        <v>2017</v>
      </c>
      <c r="C2031" s="36"/>
    </row>
    <row r="2032" spans="1:3" customFormat="1" hidden="1" x14ac:dyDescent="0.3">
      <c r="A2032" s="41" t="s">
        <v>33</v>
      </c>
      <c r="B2032" s="51">
        <v>2017</v>
      </c>
      <c r="C2032" s="36"/>
    </row>
    <row r="2033" spans="1:12" hidden="1" x14ac:dyDescent="0.3">
      <c r="A2033" s="41" t="s">
        <v>33</v>
      </c>
      <c r="B2033" s="51">
        <v>2017</v>
      </c>
      <c r="C2033" s="36"/>
      <c r="K2033"/>
      <c r="L2033"/>
    </row>
    <row r="2034" spans="1:12" x14ac:dyDescent="0.3">
      <c r="A2034" s="44" t="s">
        <v>18</v>
      </c>
      <c r="B2034" s="45"/>
      <c r="C2034" s="16" t="s">
        <v>155</v>
      </c>
      <c r="D2034">
        <v>1.1911491053429845E-2</v>
      </c>
      <c r="E2034">
        <v>2.0155776552110451E-2</v>
      </c>
      <c r="F2034">
        <v>2.6698795180722872</v>
      </c>
      <c r="G2034">
        <f>F2034/1000</f>
        <v>2.6698795180722873E-3</v>
      </c>
      <c r="H2034">
        <v>18.845569620253166</v>
      </c>
      <c r="I2034">
        <f>H2034/1000</f>
        <v>1.8845569620253164E-2</v>
      </c>
      <c r="K2034" s="87">
        <f>E2034*4000</f>
        <v>80.623106208441811</v>
      </c>
      <c r="L2034" s="87">
        <f>D2034*4000</f>
        <v>47.645964213719381</v>
      </c>
    </row>
    <row r="2035" spans="1:12" hidden="1" x14ac:dyDescent="0.3">
      <c r="A2035" s="44" t="s">
        <v>18</v>
      </c>
      <c r="B2035" s="45" t="s">
        <v>18</v>
      </c>
      <c r="K2035"/>
      <c r="L2035"/>
    </row>
    <row r="2036" spans="1:12" hidden="1" x14ac:dyDescent="0.3">
      <c r="A2036" s="30" t="s">
        <v>36</v>
      </c>
      <c r="B2036" s="47">
        <v>2017</v>
      </c>
      <c r="K2036"/>
      <c r="L2036"/>
    </row>
    <row r="2037" spans="1:12" hidden="1" x14ac:dyDescent="0.3">
      <c r="A2037" s="44" t="s">
        <v>18</v>
      </c>
      <c r="B2037" s="45" t="s">
        <v>18</v>
      </c>
      <c r="K2037"/>
      <c r="L2037"/>
    </row>
    <row r="2038" spans="1:12" hidden="1" x14ac:dyDescent="0.3">
      <c r="A2038" s="44" t="s">
        <v>18</v>
      </c>
      <c r="B2038" s="45" t="s">
        <v>18</v>
      </c>
      <c r="K2038"/>
      <c r="L2038"/>
    </row>
    <row r="2039" spans="1:12" hidden="1" x14ac:dyDescent="0.3">
      <c r="A2039" s="30" t="s">
        <v>36</v>
      </c>
      <c r="B2039" s="47">
        <v>2017</v>
      </c>
      <c r="K2039"/>
      <c r="L2039"/>
    </row>
    <row r="2040" spans="1:12" hidden="1" x14ac:dyDescent="0.3">
      <c r="A2040" s="30" t="s">
        <v>36</v>
      </c>
      <c r="B2040" s="47">
        <v>2017</v>
      </c>
      <c r="K2040"/>
      <c r="L2040"/>
    </row>
    <row r="2041" spans="1:12" hidden="1" x14ac:dyDescent="0.3">
      <c r="A2041" s="44" t="s">
        <v>18</v>
      </c>
      <c r="B2041" s="45" t="s">
        <v>18</v>
      </c>
      <c r="K2041"/>
      <c r="L2041"/>
    </row>
    <row r="2042" spans="1:12" hidden="1" x14ac:dyDescent="0.3">
      <c r="A2042" s="30" t="s">
        <v>36</v>
      </c>
      <c r="B2042" s="47">
        <v>2017</v>
      </c>
      <c r="K2042"/>
      <c r="L2042"/>
    </row>
    <row r="2043" spans="1:12" hidden="1" x14ac:dyDescent="0.3">
      <c r="A2043" s="30" t="s">
        <v>36</v>
      </c>
      <c r="B2043" s="47">
        <v>2017</v>
      </c>
      <c r="K2043"/>
      <c r="L2043"/>
    </row>
    <row r="2044" spans="1:12" hidden="1" x14ac:dyDescent="0.3">
      <c r="A2044" s="44" t="s">
        <v>18</v>
      </c>
      <c r="B2044" s="45" t="s">
        <v>18</v>
      </c>
      <c r="K2044"/>
      <c r="L2044"/>
    </row>
    <row r="2045" spans="1:12" hidden="1" x14ac:dyDescent="0.3">
      <c r="A2045" s="30" t="s">
        <v>36</v>
      </c>
      <c r="B2045" s="47">
        <v>2017</v>
      </c>
      <c r="K2045"/>
      <c r="L2045"/>
    </row>
    <row r="2046" spans="1:12" hidden="1" x14ac:dyDescent="0.3">
      <c r="A2046" s="30" t="s">
        <v>36</v>
      </c>
      <c r="B2046" s="47">
        <v>2017</v>
      </c>
      <c r="K2046"/>
      <c r="L2046"/>
    </row>
    <row r="2047" spans="1:12" hidden="1" x14ac:dyDescent="0.3">
      <c r="A2047" s="49" t="s">
        <v>18</v>
      </c>
      <c r="B2047" s="49" t="s">
        <v>18</v>
      </c>
      <c r="C2047" s="35"/>
      <c r="K2047"/>
      <c r="L2047"/>
    </row>
    <row r="2048" spans="1:12" hidden="1" x14ac:dyDescent="0.3">
      <c r="A2048" s="30" t="s">
        <v>36</v>
      </c>
      <c r="B2048" s="47">
        <v>2017</v>
      </c>
      <c r="K2048"/>
      <c r="L2048"/>
    </row>
    <row r="2049" spans="1:3" customFormat="1" hidden="1" x14ac:dyDescent="0.3">
      <c r="A2049" s="30" t="s">
        <v>36</v>
      </c>
      <c r="B2049" s="47">
        <v>2017</v>
      </c>
      <c r="C2049" s="16"/>
    </row>
    <row r="2050" spans="1:3" customFormat="1" hidden="1" x14ac:dyDescent="0.3">
      <c r="A2050" s="30" t="s">
        <v>36</v>
      </c>
      <c r="B2050" s="47">
        <v>2017</v>
      </c>
      <c r="C2050" s="16"/>
    </row>
    <row r="2051" spans="1:3" customFormat="1" hidden="1" x14ac:dyDescent="0.3">
      <c r="A2051" s="30" t="s">
        <v>36</v>
      </c>
      <c r="B2051" s="47">
        <v>2017</v>
      </c>
      <c r="C2051" s="16"/>
    </row>
    <row r="2052" spans="1:3" customFormat="1" hidden="1" x14ac:dyDescent="0.3">
      <c r="A2052" s="30" t="s">
        <v>36</v>
      </c>
      <c r="B2052" s="47">
        <v>2017</v>
      </c>
      <c r="C2052" s="16"/>
    </row>
    <row r="2053" spans="1:3" customFormat="1" hidden="1" x14ac:dyDescent="0.3">
      <c r="A2053" s="44" t="s">
        <v>18</v>
      </c>
      <c r="B2053" s="45" t="s">
        <v>18</v>
      </c>
      <c r="C2053" s="16"/>
    </row>
    <row r="2054" spans="1:3" customFormat="1" hidden="1" x14ac:dyDescent="0.3">
      <c r="A2054" s="30" t="s">
        <v>36</v>
      </c>
      <c r="B2054" s="47">
        <v>2017</v>
      </c>
      <c r="C2054" s="16"/>
    </row>
    <row r="2055" spans="1:3" customFormat="1" hidden="1" x14ac:dyDescent="0.3">
      <c r="A2055" s="30" t="s">
        <v>36</v>
      </c>
      <c r="B2055" s="47">
        <v>2017</v>
      </c>
      <c r="C2055" s="16"/>
    </row>
    <row r="2056" spans="1:3" customFormat="1" hidden="1" x14ac:dyDescent="0.3">
      <c r="A2056" s="30" t="s">
        <v>36</v>
      </c>
      <c r="B2056" s="47">
        <v>2017</v>
      </c>
      <c r="C2056" s="16"/>
    </row>
    <row r="2057" spans="1:3" customFormat="1" hidden="1" x14ac:dyDescent="0.3">
      <c r="A2057" s="30" t="s">
        <v>36</v>
      </c>
      <c r="B2057" s="47">
        <v>2017</v>
      </c>
      <c r="C2057" s="16"/>
    </row>
    <row r="2058" spans="1:3" customFormat="1" hidden="1" x14ac:dyDescent="0.3">
      <c r="A2058" s="30" t="s">
        <v>36</v>
      </c>
      <c r="B2058" s="47">
        <v>2017</v>
      </c>
      <c r="C2058" s="16"/>
    </row>
    <row r="2059" spans="1:3" customFormat="1" hidden="1" x14ac:dyDescent="0.3">
      <c r="A2059" s="30" t="s">
        <v>36</v>
      </c>
      <c r="B2059" s="47">
        <v>2017</v>
      </c>
      <c r="C2059" s="16"/>
    </row>
    <row r="2060" spans="1:3" customFormat="1" hidden="1" x14ac:dyDescent="0.3">
      <c r="A2060" s="49" t="s">
        <v>18</v>
      </c>
      <c r="B2060" s="49" t="s">
        <v>18</v>
      </c>
      <c r="C2060" s="35"/>
    </row>
    <row r="2061" spans="1:3" customFormat="1" hidden="1" x14ac:dyDescent="0.3">
      <c r="A2061" s="49" t="s">
        <v>18</v>
      </c>
      <c r="B2061" s="49" t="s">
        <v>18</v>
      </c>
      <c r="C2061" s="35"/>
    </row>
    <row r="2062" spans="1:3" customFormat="1" hidden="1" x14ac:dyDescent="0.3">
      <c r="A2062" s="30" t="s">
        <v>36</v>
      </c>
      <c r="B2062" s="47">
        <v>2017</v>
      </c>
      <c r="C2062" s="16"/>
    </row>
    <row r="2063" spans="1:3" customFormat="1" hidden="1" x14ac:dyDescent="0.3">
      <c r="A2063" s="30" t="s">
        <v>36</v>
      </c>
      <c r="B2063" s="47">
        <v>2017</v>
      </c>
      <c r="C2063" s="16"/>
    </row>
    <row r="2064" spans="1:3" customFormat="1" hidden="1" x14ac:dyDescent="0.3">
      <c r="A2064" s="30" t="s">
        <v>36</v>
      </c>
      <c r="B2064" s="47">
        <v>2017</v>
      </c>
      <c r="C2064" s="16"/>
    </row>
    <row r="2065" spans="1:3" customFormat="1" hidden="1" x14ac:dyDescent="0.3">
      <c r="A2065" s="30" t="s">
        <v>36</v>
      </c>
      <c r="B2065" s="47">
        <v>2017</v>
      </c>
      <c r="C2065" s="16"/>
    </row>
    <row r="2066" spans="1:3" customFormat="1" hidden="1" x14ac:dyDescent="0.3">
      <c r="A2066" s="30" t="s">
        <v>36</v>
      </c>
      <c r="B2066" s="47">
        <v>2017</v>
      </c>
      <c r="C2066" s="16"/>
    </row>
    <row r="2067" spans="1:3" customFormat="1" hidden="1" x14ac:dyDescent="0.3">
      <c r="A2067" s="30" t="s">
        <v>36</v>
      </c>
      <c r="B2067" s="47">
        <v>2017</v>
      </c>
      <c r="C2067" s="16"/>
    </row>
    <row r="2068" spans="1:3" customFormat="1" hidden="1" x14ac:dyDescent="0.3">
      <c r="A2068" s="30" t="s">
        <v>36</v>
      </c>
      <c r="B2068" s="47">
        <v>2017</v>
      </c>
      <c r="C2068" s="16"/>
    </row>
    <row r="2069" spans="1:3" customFormat="1" hidden="1" x14ac:dyDescent="0.3">
      <c r="A2069" s="30" t="s">
        <v>36</v>
      </c>
      <c r="B2069" s="47">
        <v>2017</v>
      </c>
      <c r="C2069" s="16"/>
    </row>
    <row r="2070" spans="1:3" customFormat="1" hidden="1" x14ac:dyDescent="0.3">
      <c r="A2070" s="49" t="s">
        <v>18</v>
      </c>
      <c r="B2070" s="49" t="s">
        <v>18</v>
      </c>
      <c r="C2070" s="35"/>
    </row>
    <row r="2071" spans="1:3" customFormat="1" hidden="1" x14ac:dyDescent="0.3">
      <c r="A2071" s="30" t="s">
        <v>36</v>
      </c>
      <c r="B2071" s="47">
        <v>2017</v>
      </c>
      <c r="C2071" s="16"/>
    </row>
    <row r="2072" spans="1:3" customFormat="1" hidden="1" x14ac:dyDescent="0.3">
      <c r="A2072" s="49" t="s">
        <v>18</v>
      </c>
      <c r="B2072" s="49" t="s">
        <v>18</v>
      </c>
      <c r="C2072" s="35"/>
    </row>
    <row r="2073" spans="1:3" customFormat="1" hidden="1" x14ac:dyDescent="0.3">
      <c r="A2073" s="30" t="s">
        <v>36</v>
      </c>
      <c r="B2073" s="47">
        <v>2017</v>
      </c>
      <c r="C2073" s="16"/>
    </row>
    <row r="2074" spans="1:3" customFormat="1" hidden="1" x14ac:dyDescent="0.3">
      <c r="A2074" s="30" t="s">
        <v>36</v>
      </c>
      <c r="B2074" s="47">
        <v>2017</v>
      </c>
      <c r="C2074" s="16"/>
    </row>
    <row r="2075" spans="1:3" customFormat="1" hidden="1" x14ac:dyDescent="0.3">
      <c r="A2075" s="30" t="s">
        <v>36</v>
      </c>
      <c r="B2075" s="47">
        <v>2017</v>
      </c>
      <c r="C2075" s="16"/>
    </row>
    <row r="2076" spans="1:3" customFormat="1" hidden="1" x14ac:dyDescent="0.3">
      <c r="A2076" s="30" t="s">
        <v>36</v>
      </c>
      <c r="B2076" s="47">
        <v>2017</v>
      </c>
      <c r="C2076" s="16"/>
    </row>
    <row r="2077" spans="1:3" customFormat="1" hidden="1" x14ac:dyDescent="0.3">
      <c r="A2077" s="30" t="s">
        <v>36</v>
      </c>
      <c r="B2077" s="47">
        <v>2017</v>
      </c>
      <c r="C2077" s="16"/>
    </row>
    <row r="2078" spans="1:3" customFormat="1" hidden="1" x14ac:dyDescent="0.3">
      <c r="A2078" s="30" t="s">
        <v>36</v>
      </c>
      <c r="B2078" s="47">
        <v>2017</v>
      </c>
      <c r="C2078" s="16"/>
    </row>
    <row r="2079" spans="1:3" customFormat="1" hidden="1" x14ac:dyDescent="0.3">
      <c r="A2079" s="30" t="s">
        <v>36</v>
      </c>
      <c r="B2079" s="47">
        <v>2017</v>
      </c>
      <c r="C2079" s="16"/>
    </row>
    <row r="2080" spans="1:3" customFormat="1" hidden="1" x14ac:dyDescent="0.3">
      <c r="A2080" s="30" t="s">
        <v>36</v>
      </c>
      <c r="B2080" s="47">
        <v>2017</v>
      </c>
      <c r="C2080" s="16"/>
    </row>
    <row r="2081" spans="1:12" hidden="1" x14ac:dyDescent="0.3">
      <c r="A2081" s="49" t="s">
        <v>18</v>
      </c>
      <c r="B2081" s="49" t="s">
        <v>18</v>
      </c>
      <c r="C2081" s="35"/>
      <c r="K2081"/>
      <c r="L2081"/>
    </row>
    <row r="2082" spans="1:12" hidden="1" x14ac:dyDescent="0.3">
      <c r="A2082" s="30" t="s">
        <v>36</v>
      </c>
      <c r="B2082" s="47">
        <v>2017</v>
      </c>
      <c r="K2082"/>
      <c r="L2082"/>
    </row>
    <row r="2083" spans="1:12" hidden="1" x14ac:dyDescent="0.3">
      <c r="A2083" s="30" t="s">
        <v>36</v>
      </c>
      <c r="B2083" s="47">
        <v>2017</v>
      </c>
      <c r="K2083"/>
      <c r="L2083"/>
    </row>
    <row r="2084" spans="1:12" hidden="1" x14ac:dyDescent="0.3">
      <c r="A2084" s="30" t="s">
        <v>36</v>
      </c>
      <c r="B2084" s="47">
        <v>2017</v>
      </c>
      <c r="K2084"/>
      <c r="L2084"/>
    </row>
    <row r="2085" spans="1:12" hidden="1" x14ac:dyDescent="0.3">
      <c r="A2085" s="30" t="s">
        <v>36</v>
      </c>
      <c r="B2085" s="47">
        <v>2017</v>
      </c>
      <c r="K2085"/>
      <c r="L2085"/>
    </row>
    <row r="2086" spans="1:12" hidden="1" x14ac:dyDescent="0.3">
      <c r="A2086" s="30" t="s">
        <v>36</v>
      </c>
      <c r="B2086" s="47">
        <v>2017</v>
      </c>
      <c r="K2086"/>
      <c r="L2086"/>
    </row>
    <row r="2087" spans="1:12" hidden="1" x14ac:dyDescent="0.3">
      <c r="A2087" s="30" t="s">
        <v>36</v>
      </c>
      <c r="B2087" s="47">
        <v>2017</v>
      </c>
      <c r="K2087"/>
      <c r="L2087"/>
    </row>
    <row r="2088" spans="1:12" hidden="1" x14ac:dyDescent="0.3">
      <c r="A2088" s="30" t="s">
        <v>36</v>
      </c>
      <c r="B2088" s="47">
        <v>2017</v>
      </c>
      <c r="K2088"/>
      <c r="L2088"/>
    </row>
    <row r="2089" spans="1:12" hidden="1" x14ac:dyDescent="0.3">
      <c r="A2089" s="30" t="s">
        <v>36</v>
      </c>
      <c r="B2089" s="47">
        <v>2017</v>
      </c>
      <c r="K2089"/>
      <c r="L2089"/>
    </row>
    <row r="2090" spans="1:12" hidden="1" x14ac:dyDescent="0.3">
      <c r="A2090" s="41" t="s">
        <v>36</v>
      </c>
      <c r="B2090" s="51">
        <v>2017</v>
      </c>
      <c r="C2090" s="36"/>
      <c r="K2090"/>
      <c r="L2090"/>
    </row>
    <row r="2091" spans="1:12" hidden="1" x14ac:dyDescent="0.3">
      <c r="A2091" s="41" t="s">
        <v>36</v>
      </c>
      <c r="B2091" s="51">
        <v>2017</v>
      </c>
      <c r="C2091" s="36"/>
      <c r="K2091"/>
      <c r="L2091"/>
    </row>
    <row r="2092" spans="1:12" hidden="1" x14ac:dyDescent="0.3">
      <c r="A2092" s="41" t="s">
        <v>36</v>
      </c>
      <c r="B2092" s="51">
        <v>2017</v>
      </c>
      <c r="C2092" s="36"/>
      <c r="K2092"/>
      <c r="L2092"/>
    </row>
    <row r="2093" spans="1:12" hidden="1" x14ac:dyDescent="0.3">
      <c r="A2093" s="41" t="s">
        <v>36</v>
      </c>
      <c r="B2093" s="51">
        <v>2017</v>
      </c>
      <c r="C2093" s="36"/>
      <c r="K2093"/>
      <c r="L2093"/>
    </row>
    <row r="2094" spans="1:12" x14ac:dyDescent="0.3">
      <c r="A2094" s="44" t="s">
        <v>18</v>
      </c>
      <c r="B2094" s="45">
        <v>2018</v>
      </c>
      <c r="C2094" s="5" t="s">
        <v>156</v>
      </c>
      <c r="D2094">
        <v>9.240980227157752E-3</v>
      </c>
      <c r="E2094">
        <v>1.1002399412102825E-2</v>
      </c>
      <c r="F2094">
        <v>2.2837209302325578</v>
      </c>
      <c r="G2094">
        <f>F2094/1000</f>
        <v>2.283720930232558E-3</v>
      </c>
      <c r="H2094">
        <v>23.724418604651166</v>
      </c>
      <c r="I2094">
        <f>H2094/1000</f>
        <v>2.3724418604651167E-2</v>
      </c>
      <c r="K2094" s="87">
        <f>E2094*4000</f>
        <v>44.009597648411301</v>
      </c>
      <c r="L2094" s="87">
        <f>D2094*4000</f>
        <v>36.96392090863101</v>
      </c>
    </row>
    <row r="2095" spans="1:12" hidden="1" x14ac:dyDescent="0.3">
      <c r="A2095" s="44" t="s">
        <v>18</v>
      </c>
      <c r="B2095" s="45" t="s">
        <v>18</v>
      </c>
      <c r="C2095" s="5"/>
      <c r="K2095"/>
      <c r="L2095"/>
    </row>
    <row r="2096" spans="1:12" hidden="1" x14ac:dyDescent="0.3">
      <c r="A2096" s="30" t="s">
        <v>64</v>
      </c>
      <c r="B2096" s="47">
        <v>2018</v>
      </c>
      <c r="C2096" s="5"/>
      <c r="K2096"/>
      <c r="L2096"/>
    </row>
    <row r="2097" spans="1:3" customFormat="1" hidden="1" x14ac:dyDescent="0.3">
      <c r="A2097" s="44" t="s">
        <v>18</v>
      </c>
      <c r="B2097" s="45" t="s">
        <v>18</v>
      </c>
      <c r="C2097" s="5"/>
    </row>
    <row r="2098" spans="1:3" customFormat="1" hidden="1" x14ac:dyDescent="0.3">
      <c r="A2098" s="44" t="s">
        <v>18</v>
      </c>
      <c r="B2098" s="45" t="s">
        <v>18</v>
      </c>
      <c r="C2098" s="5"/>
    </row>
    <row r="2099" spans="1:3" customFormat="1" hidden="1" x14ac:dyDescent="0.3">
      <c r="A2099" s="30" t="s">
        <v>64</v>
      </c>
      <c r="B2099" s="47">
        <v>2018</v>
      </c>
      <c r="C2099" s="5"/>
    </row>
    <row r="2100" spans="1:3" customFormat="1" hidden="1" x14ac:dyDescent="0.3">
      <c r="A2100" s="30" t="s">
        <v>64</v>
      </c>
      <c r="B2100" s="47">
        <v>2018</v>
      </c>
      <c r="C2100" s="5"/>
    </row>
    <row r="2101" spans="1:3" customFormat="1" hidden="1" x14ac:dyDescent="0.3">
      <c r="A2101" s="44" t="s">
        <v>18</v>
      </c>
      <c r="B2101" s="45" t="s">
        <v>18</v>
      </c>
      <c r="C2101" s="5"/>
    </row>
    <row r="2102" spans="1:3" customFormat="1" hidden="1" x14ac:dyDescent="0.3">
      <c r="A2102" s="30" t="s">
        <v>64</v>
      </c>
      <c r="B2102" s="47">
        <v>2018</v>
      </c>
      <c r="C2102" s="5"/>
    </row>
    <row r="2103" spans="1:3" customFormat="1" hidden="1" x14ac:dyDescent="0.3">
      <c r="A2103" s="30" t="s">
        <v>64</v>
      </c>
      <c r="B2103" s="47">
        <v>2018</v>
      </c>
      <c r="C2103" s="5"/>
    </row>
    <row r="2104" spans="1:3" customFormat="1" hidden="1" x14ac:dyDescent="0.3">
      <c r="A2104" s="44" t="s">
        <v>18</v>
      </c>
      <c r="B2104" s="45" t="s">
        <v>18</v>
      </c>
      <c r="C2104" s="5"/>
    </row>
    <row r="2105" spans="1:3" customFormat="1" hidden="1" x14ac:dyDescent="0.3">
      <c r="A2105" s="30" t="s">
        <v>64</v>
      </c>
      <c r="B2105" s="47">
        <v>2018</v>
      </c>
      <c r="C2105" s="5"/>
    </row>
    <row r="2106" spans="1:3" customFormat="1" hidden="1" x14ac:dyDescent="0.3">
      <c r="A2106" s="30" t="s">
        <v>64</v>
      </c>
      <c r="B2106" s="47">
        <v>2018</v>
      </c>
      <c r="C2106" s="5"/>
    </row>
    <row r="2107" spans="1:3" customFormat="1" hidden="1" x14ac:dyDescent="0.3">
      <c r="A2107" s="49" t="s">
        <v>18</v>
      </c>
      <c r="B2107" s="49" t="s">
        <v>18</v>
      </c>
      <c r="C2107" s="35"/>
    </row>
    <row r="2108" spans="1:3" customFormat="1" hidden="1" x14ac:dyDescent="0.3">
      <c r="A2108" s="30" t="s">
        <v>64</v>
      </c>
      <c r="B2108" s="47">
        <v>2018</v>
      </c>
      <c r="C2108" s="5"/>
    </row>
    <row r="2109" spans="1:3" customFormat="1" hidden="1" x14ac:dyDescent="0.3">
      <c r="A2109" s="30" t="s">
        <v>64</v>
      </c>
      <c r="B2109" s="47">
        <v>2018</v>
      </c>
      <c r="C2109" s="5"/>
    </row>
    <row r="2110" spans="1:3" customFormat="1" hidden="1" x14ac:dyDescent="0.3">
      <c r="A2110" s="30" t="s">
        <v>64</v>
      </c>
      <c r="B2110" s="47">
        <v>2018</v>
      </c>
      <c r="C2110" s="5"/>
    </row>
    <row r="2111" spans="1:3" customFormat="1" hidden="1" x14ac:dyDescent="0.3">
      <c r="A2111" s="30" t="s">
        <v>64</v>
      </c>
      <c r="B2111" s="47">
        <v>2018</v>
      </c>
      <c r="C2111" s="5"/>
    </row>
    <row r="2112" spans="1:3" customFormat="1" hidden="1" x14ac:dyDescent="0.3">
      <c r="A2112" s="30" t="s">
        <v>64</v>
      </c>
      <c r="B2112" s="47">
        <v>2018</v>
      </c>
      <c r="C2112" s="5"/>
    </row>
    <row r="2113" spans="1:3" customFormat="1" hidden="1" x14ac:dyDescent="0.3">
      <c r="A2113" s="44" t="s">
        <v>18</v>
      </c>
      <c r="B2113" s="45" t="s">
        <v>18</v>
      </c>
      <c r="C2113" s="5"/>
    </row>
    <row r="2114" spans="1:3" customFormat="1" hidden="1" x14ac:dyDescent="0.3">
      <c r="A2114" s="30" t="s">
        <v>64</v>
      </c>
      <c r="B2114" s="47">
        <v>2018</v>
      </c>
      <c r="C2114" s="5"/>
    </row>
    <row r="2115" spans="1:3" customFormat="1" hidden="1" x14ac:dyDescent="0.3">
      <c r="A2115" s="30" t="s">
        <v>64</v>
      </c>
      <c r="B2115" s="47">
        <v>2018</v>
      </c>
      <c r="C2115" s="5"/>
    </row>
    <row r="2116" spans="1:3" customFormat="1" hidden="1" x14ac:dyDescent="0.3">
      <c r="A2116" s="30" t="s">
        <v>64</v>
      </c>
      <c r="B2116" s="47">
        <v>2018</v>
      </c>
      <c r="C2116" s="5"/>
    </row>
    <row r="2117" spans="1:3" customFormat="1" hidden="1" x14ac:dyDescent="0.3">
      <c r="A2117" s="30" t="s">
        <v>64</v>
      </c>
      <c r="B2117" s="47">
        <v>2018</v>
      </c>
      <c r="C2117" s="5"/>
    </row>
    <row r="2118" spans="1:3" customFormat="1" hidden="1" x14ac:dyDescent="0.3">
      <c r="A2118" s="30" t="s">
        <v>64</v>
      </c>
      <c r="B2118" s="47">
        <v>2018</v>
      </c>
      <c r="C2118" s="5"/>
    </row>
    <row r="2119" spans="1:3" customFormat="1" hidden="1" x14ac:dyDescent="0.3">
      <c r="A2119" s="30" t="s">
        <v>64</v>
      </c>
      <c r="B2119" s="47">
        <v>2018</v>
      </c>
      <c r="C2119" s="5"/>
    </row>
    <row r="2120" spans="1:3" customFormat="1" hidden="1" x14ac:dyDescent="0.3">
      <c r="A2120" s="49" t="s">
        <v>18</v>
      </c>
      <c r="B2120" s="49" t="s">
        <v>18</v>
      </c>
      <c r="C2120" s="35"/>
    </row>
    <row r="2121" spans="1:3" customFormat="1" hidden="1" x14ac:dyDescent="0.3">
      <c r="A2121" s="49" t="s">
        <v>18</v>
      </c>
      <c r="B2121" s="49" t="s">
        <v>18</v>
      </c>
      <c r="C2121" s="35"/>
    </row>
    <row r="2122" spans="1:3" customFormat="1" hidden="1" x14ac:dyDescent="0.3">
      <c r="A2122" s="30" t="s">
        <v>64</v>
      </c>
      <c r="B2122" s="47">
        <v>2018</v>
      </c>
      <c r="C2122" s="5"/>
    </row>
    <row r="2123" spans="1:3" customFormat="1" hidden="1" x14ac:dyDescent="0.3">
      <c r="A2123" s="30" t="s">
        <v>64</v>
      </c>
      <c r="B2123" s="47">
        <v>2018</v>
      </c>
      <c r="C2123" s="5"/>
    </row>
    <row r="2124" spans="1:3" customFormat="1" hidden="1" x14ac:dyDescent="0.3">
      <c r="A2124" s="30" t="s">
        <v>64</v>
      </c>
      <c r="B2124" s="47">
        <v>2018</v>
      </c>
      <c r="C2124" s="5"/>
    </row>
    <row r="2125" spans="1:3" customFormat="1" hidden="1" x14ac:dyDescent="0.3">
      <c r="A2125" s="30" t="s">
        <v>64</v>
      </c>
      <c r="B2125" s="47">
        <v>2018</v>
      </c>
      <c r="C2125" s="5"/>
    </row>
    <row r="2126" spans="1:3" customFormat="1" hidden="1" x14ac:dyDescent="0.3">
      <c r="A2126" s="30" t="s">
        <v>64</v>
      </c>
      <c r="B2126" s="47">
        <v>2018</v>
      </c>
      <c r="C2126" s="5"/>
    </row>
    <row r="2127" spans="1:3" customFormat="1" hidden="1" x14ac:dyDescent="0.3">
      <c r="A2127" s="30" t="s">
        <v>64</v>
      </c>
      <c r="B2127" s="47">
        <v>2018</v>
      </c>
      <c r="C2127" s="5"/>
    </row>
    <row r="2128" spans="1:3" customFormat="1" hidden="1" x14ac:dyDescent="0.3">
      <c r="A2128" s="30" t="s">
        <v>64</v>
      </c>
      <c r="B2128" s="47">
        <v>2018</v>
      </c>
      <c r="C2128" s="5"/>
    </row>
    <row r="2129" spans="1:3" customFormat="1" hidden="1" x14ac:dyDescent="0.3">
      <c r="A2129" s="30" t="s">
        <v>64</v>
      </c>
      <c r="B2129" s="47">
        <v>2018</v>
      </c>
      <c r="C2129" s="5"/>
    </row>
    <row r="2130" spans="1:3" customFormat="1" hidden="1" x14ac:dyDescent="0.3">
      <c r="A2130" s="49" t="s">
        <v>18</v>
      </c>
      <c r="B2130" s="49" t="s">
        <v>18</v>
      </c>
      <c r="C2130" s="35"/>
    </row>
    <row r="2131" spans="1:3" customFormat="1" hidden="1" x14ac:dyDescent="0.3">
      <c r="A2131" s="30" t="s">
        <v>64</v>
      </c>
      <c r="B2131" s="47">
        <v>2018</v>
      </c>
      <c r="C2131" s="5"/>
    </row>
    <row r="2132" spans="1:3" customFormat="1" hidden="1" x14ac:dyDescent="0.3">
      <c r="A2132" s="49" t="s">
        <v>18</v>
      </c>
      <c r="B2132" s="49" t="s">
        <v>18</v>
      </c>
      <c r="C2132" s="35"/>
    </row>
    <row r="2133" spans="1:3" customFormat="1" hidden="1" x14ac:dyDescent="0.3">
      <c r="A2133" s="30" t="s">
        <v>64</v>
      </c>
      <c r="B2133" s="47">
        <v>2018</v>
      </c>
      <c r="C2133" s="5"/>
    </row>
    <row r="2134" spans="1:3" customFormat="1" hidden="1" x14ac:dyDescent="0.3">
      <c r="A2134" s="30" t="s">
        <v>64</v>
      </c>
      <c r="B2134" s="47">
        <v>2018</v>
      </c>
      <c r="C2134" s="5"/>
    </row>
    <row r="2135" spans="1:3" customFormat="1" hidden="1" x14ac:dyDescent="0.3">
      <c r="A2135" s="30" t="s">
        <v>64</v>
      </c>
      <c r="B2135" s="47">
        <v>2018</v>
      </c>
      <c r="C2135" s="5"/>
    </row>
    <row r="2136" spans="1:3" customFormat="1" hidden="1" x14ac:dyDescent="0.3">
      <c r="A2136" s="30" t="s">
        <v>64</v>
      </c>
      <c r="B2136" s="47">
        <v>2018</v>
      </c>
      <c r="C2136" s="5"/>
    </row>
    <row r="2137" spans="1:3" customFormat="1" hidden="1" x14ac:dyDescent="0.3">
      <c r="A2137" s="30" t="s">
        <v>64</v>
      </c>
      <c r="B2137" s="47">
        <v>2018</v>
      </c>
      <c r="C2137" s="5"/>
    </row>
    <row r="2138" spans="1:3" customFormat="1" hidden="1" x14ac:dyDescent="0.3">
      <c r="A2138" s="30" t="s">
        <v>64</v>
      </c>
      <c r="B2138" s="47">
        <v>2018</v>
      </c>
      <c r="C2138" s="5"/>
    </row>
    <row r="2139" spans="1:3" customFormat="1" hidden="1" x14ac:dyDescent="0.3">
      <c r="A2139" s="30" t="s">
        <v>64</v>
      </c>
      <c r="B2139" s="47">
        <v>2018</v>
      </c>
      <c r="C2139" s="5"/>
    </row>
    <row r="2140" spans="1:3" customFormat="1" hidden="1" x14ac:dyDescent="0.3">
      <c r="A2140" s="30" t="s">
        <v>64</v>
      </c>
      <c r="B2140" s="47">
        <v>2018</v>
      </c>
      <c r="C2140" s="5"/>
    </row>
    <row r="2141" spans="1:3" customFormat="1" hidden="1" x14ac:dyDescent="0.3">
      <c r="A2141" s="49" t="s">
        <v>18</v>
      </c>
      <c r="B2141" s="49" t="s">
        <v>18</v>
      </c>
      <c r="C2141" s="35"/>
    </row>
    <row r="2142" spans="1:3" customFormat="1" hidden="1" x14ac:dyDescent="0.3">
      <c r="A2142" s="30" t="s">
        <v>64</v>
      </c>
      <c r="B2142" s="47">
        <v>2018</v>
      </c>
      <c r="C2142" s="5"/>
    </row>
    <row r="2143" spans="1:3" customFormat="1" hidden="1" x14ac:dyDescent="0.3">
      <c r="A2143" s="30" t="s">
        <v>64</v>
      </c>
      <c r="B2143" s="47">
        <v>2018</v>
      </c>
      <c r="C2143" s="5"/>
    </row>
    <row r="2144" spans="1:3" customFormat="1" hidden="1" x14ac:dyDescent="0.3">
      <c r="A2144" s="30" t="s">
        <v>64</v>
      </c>
      <c r="B2144" s="47">
        <v>2018</v>
      </c>
      <c r="C2144" s="5"/>
    </row>
    <row r="2145" spans="1:12" hidden="1" x14ac:dyDescent="0.3">
      <c r="A2145" s="30" t="s">
        <v>64</v>
      </c>
      <c r="B2145" s="47">
        <v>2018</v>
      </c>
      <c r="C2145" s="5"/>
      <c r="K2145"/>
      <c r="L2145"/>
    </row>
    <row r="2146" spans="1:12" hidden="1" x14ac:dyDescent="0.3">
      <c r="A2146" s="30" t="s">
        <v>64</v>
      </c>
      <c r="B2146" s="47">
        <v>2018</v>
      </c>
      <c r="C2146" s="5"/>
      <c r="K2146"/>
      <c r="L2146"/>
    </row>
    <row r="2147" spans="1:12" hidden="1" x14ac:dyDescent="0.3">
      <c r="A2147" s="30" t="s">
        <v>64</v>
      </c>
      <c r="B2147" s="47">
        <v>2018</v>
      </c>
      <c r="C2147" s="5"/>
      <c r="K2147"/>
      <c r="L2147"/>
    </row>
    <row r="2148" spans="1:12" hidden="1" x14ac:dyDescent="0.3">
      <c r="A2148" s="30" t="s">
        <v>64</v>
      </c>
      <c r="B2148" s="47">
        <v>2018</v>
      </c>
      <c r="C2148" s="5"/>
      <c r="K2148"/>
      <c r="L2148"/>
    </row>
    <row r="2149" spans="1:12" hidden="1" x14ac:dyDescent="0.3">
      <c r="A2149" s="30" t="s">
        <v>64</v>
      </c>
      <c r="B2149" s="47">
        <v>2018</v>
      </c>
      <c r="C2149" s="5"/>
      <c r="K2149"/>
      <c r="L2149"/>
    </row>
    <row r="2150" spans="1:12" hidden="1" x14ac:dyDescent="0.3">
      <c r="A2150" s="41" t="s">
        <v>64</v>
      </c>
      <c r="B2150" s="51">
        <v>2018</v>
      </c>
      <c r="C2150" s="37"/>
      <c r="K2150"/>
      <c r="L2150"/>
    </row>
    <row r="2151" spans="1:12" hidden="1" x14ac:dyDescent="0.3">
      <c r="A2151" s="41" t="s">
        <v>64</v>
      </c>
      <c r="B2151" s="51">
        <v>2018</v>
      </c>
      <c r="C2151" s="37"/>
      <c r="K2151"/>
      <c r="L2151"/>
    </row>
    <row r="2152" spans="1:12" hidden="1" x14ac:dyDescent="0.3">
      <c r="A2152" s="41" t="s">
        <v>64</v>
      </c>
      <c r="B2152" s="51">
        <v>2018</v>
      </c>
      <c r="C2152" s="37"/>
      <c r="K2152"/>
      <c r="L2152"/>
    </row>
    <row r="2153" spans="1:12" hidden="1" x14ac:dyDescent="0.3">
      <c r="A2153" s="41" t="s">
        <v>64</v>
      </c>
      <c r="B2153" s="51">
        <v>2018</v>
      </c>
      <c r="C2153" s="37"/>
      <c r="K2153"/>
      <c r="L2153"/>
    </row>
    <row r="2154" spans="1:12" x14ac:dyDescent="0.3">
      <c r="A2154" s="44" t="s">
        <v>18</v>
      </c>
      <c r="B2154" s="45"/>
      <c r="C2154" s="16" t="s">
        <v>153</v>
      </c>
      <c r="D2154">
        <v>1.5224600359282341E-2</v>
      </c>
      <c r="E2154">
        <v>2.0145511222271668E-2</v>
      </c>
      <c r="F2154">
        <v>2.2373626373626365</v>
      </c>
      <c r="G2154">
        <f>F2154/1000</f>
        <v>2.2373626373626363E-3</v>
      </c>
      <c r="H2154">
        <v>19.851648351648358</v>
      </c>
      <c r="I2154">
        <f>H2154/1000</f>
        <v>1.9851648351648356E-2</v>
      </c>
      <c r="K2154" s="87">
        <f>E2154*4000</f>
        <v>80.582044889086674</v>
      </c>
      <c r="L2154" s="87">
        <f>D2154*4000</f>
        <v>60.898401437129365</v>
      </c>
    </row>
    <row r="2155" spans="1:12" hidden="1" x14ac:dyDescent="0.3">
      <c r="A2155" s="44" t="s">
        <v>18</v>
      </c>
      <c r="B2155" s="45" t="s">
        <v>18</v>
      </c>
      <c r="K2155"/>
      <c r="L2155"/>
    </row>
    <row r="2156" spans="1:12" hidden="1" x14ac:dyDescent="0.3">
      <c r="A2156" s="30" t="s">
        <v>96</v>
      </c>
      <c r="B2156" s="47">
        <v>2018</v>
      </c>
      <c r="K2156"/>
      <c r="L2156"/>
    </row>
    <row r="2157" spans="1:12" hidden="1" x14ac:dyDescent="0.3">
      <c r="A2157" s="44" t="s">
        <v>18</v>
      </c>
      <c r="B2157" s="45" t="s">
        <v>18</v>
      </c>
      <c r="K2157"/>
      <c r="L2157"/>
    </row>
    <row r="2158" spans="1:12" hidden="1" x14ac:dyDescent="0.3">
      <c r="A2158" s="44" t="s">
        <v>18</v>
      </c>
      <c r="B2158" s="45" t="s">
        <v>18</v>
      </c>
      <c r="K2158"/>
      <c r="L2158"/>
    </row>
    <row r="2159" spans="1:12" hidden="1" x14ac:dyDescent="0.3">
      <c r="A2159" s="30" t="s">
        <v>96</v>
      </c>
      <c r="B2159" s="47">
        <v>2018</v>
      </c>
      <c r="K2159"/>
      <c r="L2159"/>
    </row>
    <row r="2160" spans="1:12" hidden="1" x14ac:dyDescent="0.3">
      <c r="A2160" s="30" t="s">
        <v>96</v>
      </c>
      <c r="B2160" s="47">
        <v>2018</v>
      </c>
      <c r="K2160"/>
      <c r="L2160"/>
    </row>
    <row r="2161" spans="1:3" customFormat="1" hidden="1" x14ac:dyDescent="0.3">
      <c r="A2161" s="44" t="s">
        <v>18</v>
      </c>
      <c r="B2161" s="45" t="s">
        <v>18</v>
      </c>
      <c r="C2161" s="16"/>
    </row>
    <row r="2162" spans="1:3" customFormat="1" hidden="1" x14ac:dyDescent="0.3">
      <c r="A2162" s="30" t="s">
        <v>96</v>
      </c>
      <c r="B2162" s="47">
        <v>2018</v>
      </c>
      <c r="C2162" s="16"/>
    </row>
    <row r="2163" spans="1:3" customFormat="1" hidden="1" x14ac:dyDescent="0.3">
      <c r="A2163" s="30" t="s">
        <v>96</v>
      </c>
      <c r="B2163" s="47">
        <v>2018</v>
      </c>
      <c r="C2163" s="16"/>
    </row>
    <row r="2164" spans="1:3" customFormat="1" hidden="1" x14ac:dyDescent="0.3">
      <c r="A2164" s="44" t="s">
        <v>18</v>
      </c>
      <c r="B2164" s="45" t="s">
        <v>18</v>
      </c>
      <c r="C2164" s="16"/>
    </row>
    <row r="2165" spans="1:3" customFormat="1" hidden="1" x14ac:dyDescent="0.3">
      <c r="A2165" s="30" t="s">
        <v>96</v>
      </c>
      <c r="B2165" s="47">
        <v>2018</v>
      </c>
      <c r="C2165" s="16"/>
    </row>
    <row r="2166" spans="1:3" customFormat="1" hidden="1" x14ac:dyDescent="0.3">
      <c r="A2166" s="30" t="s">
        <v>96</v>
      </c>
      <c r="B2166" s="47">
        <v>2018</v>
      </c>
      <c r="C2166" s="16"/>
    </row>
    <row r="2167" spans="1:3" customFormat="1" hidden="1" x14ac:dyDescent="0.3">
      <c r="A2167" s="49" t="s">
        <v>18</v>
      </c>
      <c r="B2167" s="49" t="s">
        <v>18</v>
      </c>
      <c r="C2167" s="35"/>
    </row>
    <row r="2168" spans="1:3" customFormat="1" hidden="1" x14ac:dyDescent="0.3">
      <c r="A2168" s="30" t="s">
        <v>96</v>
      </c>
      <c r="B2168" s="47">
        <v>2018</v>
      </c>
      <c r="C2168" s="16"/>
    </row>
    <row r="2169" spans="1:3" customFormat="1" hidden="1" x14ac:dyDescent="0.3">
      <c r="A2169" s="30" t="s">
        <v>96</v>
      </c>
      <c r="B2169" s="47">
        <v>2018</v>
      </c>
      <c r="C2169" s="16"/>
    </row>
    <row r="2170" spans="1:3" customFormat="1" hidden="1" x14ac:dyDescent="0.3">
      <c r="A2170" s="30" t="s">
        <v>96</v>
      </c>
      <c r="B2170" s="47">
        <v>2018</v>
      </c>
      <c r="C2170" s="16"/>
    </row>
    <row r="2171" spans="1:3" customFormat="1" hidden="1" x14ac:dyDescent="0.3">
      <c r="A2171" s="30" t="s">
        <v>96</v>
      </c>
      <c r="B2171" s="47">
        <v>2018</v>
      </c>
      <c r="C2171" s="16"/>
    </row>
    <row r="2172" spans="1:3" customFormat="1" hidden="1" x14ac:dyDescent="0.3">
      <c r="A2172" s="30" t="s">
        <v>96</v>
      </c>
      <c r="B2172" s="47">
        <v>2018</v>
      </c>
      <c r="C2172" s="16"/>
    </row>
    <row r="2173" spans="1:3" customFormat="1" hidden="1" x14ac:dyDescent="0.3">
      <c r="A2173" s="44" t="s">
        <v>18</v>
      </c>
      <c r="B2173" s="45" t="s">
        <v>18</v>
      </c>
      <c r="C2173" s="16"/>
    </row>
    <row r="2174" spans="1:3" customFormat="1" hidden="1" x14ac:dyDescent="0.3">
      <c r="A2174" s="30" t="s">
        <v>96</v>
      </c>
      <c r="B2174" s="47">
        <v>2018</v>
      </c>
      <c r="C2174" s="16"/>
    </row>
    <row r="2175" spans="1:3" customFormat="1" hidden="1" x14ac:dyDescent="0.3">
      <c r="A2175" s="30" t="s">
        <v>96</v>
      </c>
      <c r="B2175" s="47">
        <v>2018</v>
      </c>
      <c r="C2175" s="16"/>
    </row>
    <row r="2176" spans="1:3" customFormat="1" hidden="1" x14ac:dyDescent="0.3">
      <c r="A2176" s="30" t="s">
        <v>96</v>
      </c>
      <c r="B2176" s="47">
        <v>2018</v>
      </c>
      <c r="C2176" s="16"/>
    </row>
    <row r="2177" spans="1:3" customFormat="1" hidden="1" x14ac:dyDescent="0.3">
      <c r="A2177" s="30" t="s">
        <v>96</v>
      </c>
      <c r="B2177" s="47">
        <v>2018</v>
      </c>
      <c r="C2177" s="16"/>
    </row>
    <row r="2178" spans="1:3" customFormat="1" hidden="1" x14ac:dyDescent="0.3">
      <c r="A2178" s="30" t="s">
        <v>96</v>
      </c>
      <c r="B2178" s="47">
        <v>2018</v>
      </c>
      <c r="C2178" s="16"/>
    </row>
    <row r="2179" spans="1:3" customFormat="1" hidden="1" x14ac:dyDescent="0.3">
      <c r="A2179" s="30" t="s">
        <v>96</v>
      </c>
      <c r="B2179" s="47">
        <v>2018</v>
      </c>
      <c r="C2179" s="16"/>
    </row>
    <row r="2180" spans="1:3" customFormat="1" hidden="1" x14ac:dyDescent="0.3">
      <c r="A2180" s="49" t="s">
        <v>18</v>
      </c>
      <c r="B2180" s="49" t="s">
        <v>18</v>
      </c>
      <c r="C2180" s="35"/>
    </row>
    <row r="2181" spans="1:3" customFormat="1" hidden="1" x14ac:dyDescent="0.3">
      <c r="A2181" s="49" t="s">
        <v>18</v>
      </c>
      <c r="B2181" s="49" t="s">
        <v>18</v>
      </c>
      <c r="C2181" s="35"/>
    </row>
    <row r="2182" spans="1:3" customFormat="1" hidden="1" x14ac:dyDescent="0.3">
      <c r="A2182" s="30" t="s">
        <v>96</v>
      </c>
      <c r="B2182" s="47">
        <v>2018</v>
      </c>
      <c r="C2182" s="16"/>
    </row>
    <row r="2183" spans="1:3" customFormat="1" hidden="1" x14ac:dyDescent="0.3">
      <c r="A2183" s="30" t="s">
        <v>96</v>
      </c>
      <c r="B2183" s="47">
        <v>2018</v>
      </c>
      <c r="C2183" s="16"/>
    </row>
    <row r="2184" spans="1:3" customFormat="1" hidden="1" x14ac:dyDescent="0.3">
      <c r="A2184" s="30" t="s">
        <v>96</v>
      </c>
      <c r="B2184" s="47">
        <v>2018</v>
      </c>
      <c r="C2184" s="16"/>
    </row>
    <row r="2185" spans="1:3" customFormat="1" hidden="1" x14ac:dyDescent="0.3">
      <c r="A2185" s="30" t="s">
        <v>96</v>
      </c>
      <c r="B2185" s="47">
        <v>2018</v>
      </c>
      <c r="C2185" s="16"/>
    </row>
    <row r="2186" spans="1:3" customFormat="1" hidden="1" x14ac:dyDescent="0.3">
      <c r="A2186" s="30" t="s">
        <v>96</v>
      </c>
      <c r="B2186" s="47">
        <v>2018</v>
      </c>
      <c r="C2186" s="16"/>
    </row>
    <row r="2187" spans="1:3" customFormat="1" hidden="1" x14ac:dyDescent="0.3">
      <c r="A2187" s="30" t="s">
        <v>96</v>
      </c>
      <c r="B2187" s="47">
        <v>2018</v>
      </c>
      <c r="C2187" s="16"/>
    </row>
    <row r="2188" spans="1:3" customFormat="1" hidden="1" x14ac:dyDescent="0.3">
      <c r="A2188" s="30" t="s">
        <v>96</v>
      </c>
      <c r="B2188" s="47">
        <v>2018</v>
      </c>
      <c r="C2188" s="16"/>
    </row>
    <row r="2189" spans="1:3" customFormat="1" hidden="1" x14ac:dyDescent="0.3">
      <c r="A2189" s="30" t="s">
        <v>96</v>
      </c>
      <c r="B2189" s="47">
        <v>2018</v>
      </c>
      <c r="C2189" s="16"/>
    </row>
    <row r="2190" spans="1:3" customFormat="1" hidden="1" x14ac:dyDescent="0.3">
      <c r="A2190" s="49" t="s">
        <v>18</v>
      </c>
      <c r="B2190" s="49" t="s">
        <v>18</v>
      </c>
      <c r="C2190" s="35"/>
    </row>
    <row r="2191" spans="1:3" customFormat="1" hidden="1" x14ac:dyDescent="0.3">
      <c r="A2191" s="30" t="s">
        <v>96</v>
      </c>
      <c r="B2191" s="47">
        <v>2018</v>
      </c>
      <c r="C2191" s="16"/>
    </row>
    <row r="2192" spans="1:3" customFormat="1" hidden="1" x14ac:dyDescent="0.3">
      <c r="A2192" s="49" t="s">
        <v>18</v>
      </c>
      <c r="B2192" s="49" t="s">
        <v>18</v>
      </c>
      <c r="C2192" s="35"/>
    </row>
    <row r="2193" spans="1:3" customFormat="1" hidden="1" x14ac:dyDescent="0.3">
      <c r="A2193" s="30" t="s">
        <v>96</v>
      </c>
      <c r="B2193" s="47">
        <v>2018</v>
      </c>
      <c r="C2193" s="16"/>
    </row>
    <row r="2194" spans="1:3" customFormat="1" hidden="1" x14ac:dyDescent="0.3">
      <c r="A2194" s="30" t="s">
        <v>96</v>
      </c>
      <c r="B2194" s="47">
        <v>2018</v>
      </c>
      <c r="C2194" s="16"/>
    </row>
    <row r="2195" spans="1:3" customFormat="1" hidden="1" x14ac:dyDescent="0.3">
      <c r="A2195" s="30" t="s">
        <v>96</v>
      </c>
      <c r="B2195" s="47">
        <v>2018</v>
      </c>
      <c r="C2195" s="16"/>
    </row>
    <row r="2196" spans="1:3" customFormat="1" hidden="1" x14ac:dyDescent="0.3">
      <c r="A2196" s="30" t="s">
        <v>96</v>
      </c>
      <c r="B2196" s="47">
        <v>2018</v>
      </c>
      <c r="C2196" s="16"/>
    </row>
    <row r="2197" spans="1:3" customFormat="1" hidden="1" x14ac:dyDescent="0.3">
      <c r="A2197" s="30" t="s">
        <v>96</v>
      </c>
      <c r="B2197" s="47">
        <v>2018</v>
      </c>
      <c r="C2197" s="16"/>
    </row>
    <row r="2198" spans="1:3" customFormat="1" hidden="1" x14ac:dyDescent="0.3">
      <c r="A2198" s="30" t="s">
        <v>96</v>
      </c>
      <c r="B2198" s="47">
        <v>2018</v>
      </c>
      <c r="C2198" s="16"/>
    </row>
    <row r="2199" spans="1:3" customFormat="1" hidden="1" x14ac:dyDescent="0.3">
      <c r="A2199" s="30" t="s">
        <v>96</v>
      </c>
      <c r="B2199" s="47">
        <v>2018</v>
      </c>
      <c r="C2199" s="16"/>
    </row>
    <row r="2200" spans="1:3" customFormat="1" hidden="1" x14ac:dyDescent="0.3">
      <c r="A2200" s="30" t="s">
        <v>96</v>
      </c>
      <c r="B2200" s="47">
        <v>2018</v>
      </c>
      <c r="C2200" s="16"/>
    </row>
    <row r="2201" spans="1:3" customFormat="1" hidden="1" x14ac:dyDescent="0.3">
      <c r="A2201" s="49" t="s">
        <v>18</v>
      </c>
      <c r="B2201" s="49" t="s">
        <v>18</v>
      </c>
      <c r="C2201" s="35"/>
    </row>
    <row r="2202" spans="1:3" customFormat="1" hidden="1" x14ac:dyDescent="0.3">
      <c r="A2202" s="30" t="s">
        <v>96</v>
      </c>
      <c r="B2202" s="47">
        <v>2018</v>
      </c>
      <c r="C2202" s="16"/>
    </row>
    <row r="2203" spans="1:3" customFormat="1" hidden="1" x14ac:dyDescent="0.3">
      <c r="A2203" s="30" t="s">
        <v>96</v>
      </c>
      <c r="B2203" s="47">
        <v>2018</v>
      </c>
      <c r="C2203" s="16"/>
    </row>
    <row r="2204" spans="1:3" customFormat="1" hidden="1" x14ac:dyDescent="0.3">
      <c r="A2204" s="30" t="s">
        <v>96</v>
      </c>
      <c r="B2204" s="47">
        <v>2018</v>
      </c>
      <c r="C2204" s="16"/>
    </row>
    <row r="2205" spans="1:3" customFormat="1" hidden="1" x14ac:dyDescent="0.3">
      <c r="A2205" s="30" t="s">
        <v>96</v>
      </c>
      <c r="B2205" s="47">
        <v>2018</v>
      </c>
      <c r="C2205" s="16"/>
    </row>
    <row r="2206" spans="1:3" customFormat="1" hidden="1" x14ac:dyDescent="0.3">
      <c r="A2206" s="30" t="s">
        <v>96</v>
      </c>
      <c r="B2206" s="47">
        <v>2018</v>
      </c>
      <c r="C2206" s="16"/>
    </row>
    <row r="2207" spans="1:3" customFormat="1" hidden="1" x14ac:dyDescent="0.3">
      <c r="A2207" s="30" t="s">
        <v>96</v>
      </c>
      <c r="B2207" s="47">
        <v>2018</v>
      </c>
      <c r="C2207" s="16"/>
    </row>
    <row r="2208" spans="1:3" customFormat="1" hidden="1" x14ac:dyDescent="0.3">
      <c r="A2208" s="30" t="s">
        <v>96</v>
      </c>
      <c r="B2208" s="47">
        <v>2018</v>
      </c>
      <c r="C2208" s="16"/>
    </row>
    <row r="2209" spans="1:12" hidden="1" x14ac:dyDescent="0.3">
      <c r="A2209" s="30" t="s">
        <v>96</v>
      </c>
      <c r="B2209" s="47">
        <v>2018</v>
      </c>
      <c r="K2209"/>
      <c r="L2209"/>
    </row>
    <row r="2210" spans="1:12" hidden="1" x14ac:dyDescent="0.3">
      <c r="A2210" s="41" t="s">
        <v>96</v>
      </c>
      <c r="B2210" s="51">
        <v>2018</v>
      </c>
      <c r="C2210" s="36"/>
      <c r="K2210"/>
      <c r="L2210"/>
    </row>
    <row r="2211" spans="1:12" hidden="1" x14ac:dyDescent="0.3">
      <c r="A2211" s="41" t="s">
        <v>96</v>
      </c>
      <c r="B2211" s="51">
        <v>2018</v>
      </c>
      <c r="C2211" s="36"/>
      <c r="K2211"/>
      <c r="L2211"/>
    </row>
    <row r="2212" spans="1:12" hidden="1" x14ac:dyDescent="0.3">
      <c r="A2212" s="41" t="s">
        <v>96</v>
      </c>
      <c r="B2212" s="51">
        <v>2018</v>
      </c>
      <c r="C2212" s="36"/>
      <c r="K2212"/>
      <c r="L2212"/>
    </row>
    <row r="2213" spans="1:12" hidden="1" x14ac:dyDescent="0.3">
      <c r="A2213" s="41" t="s">
        <v>96</v>
      </c>
      <c r="B2213" s="51">
        <v>2018</v>
      </c>
      <c r="C2213" s="36"/>
      <c r="K2213"/>
      <c r="L2213"/>
    </row>
    <row r="2214" spans="1:12" x14ac:dyDescent="0.3">
      <c r="A2214" s="44" t="s">
        <v>18</v>
      </c>
      <c r="B2214" s="45"/>
      <c r="C2214" s="16" t="s">
        <v>154</v>
      </c>
      <c r="D2214">
        <v>5.0340668174955108E-3</v>
      </c>
      <c r="E2214">
        <v>9.0211623759593965E-3</v>
      </c>
      <c r="F2214">
        <v>3.0847826086956518</v>
      </c>
      <c r="G2214">
        <f>F2214/1000</f>
        <v>3.0847826086956519E-3</v>
      </c>
      <c r="H2214">
        <v>13.947777777777777</v>
      </c>
      <c r="I2214">
        <f>H2214/1000</f>
        <v>1.3947777777777776E-2</v>
      </c>
      <c r="K2214" s="87">
        <f>E2214*4000</f>
        <v>36.084649503837589</v>
      </c>
      <c r="L2214" s="88">
        <f>D2214*4000</f>
        <v>20.136267269982042</v>
      </c>
    </row>
    <row r="2215" spans="1:12" hidden="1" x14ac:dyDescent="0.3">
      <c r="A2215" s="44" t="s">
        <v>18</v>
      </c>
      <c r="B2215" s="45" t="s">
        <v>18</v>
      </c>
      <c r="K2215"/>
      <c r="L2215"/>
    </row>
    <row r="2216" spans="1:12" hidden="1" x14ac:dyDescent="0.3">
      <c r="A2216" s="30" t="s">
        <v>99</v>
      </c>
      <c r="B2216" s="47">
        <v>2018</v>
      </c>
      <c r="K2216"/>
      <c r="L2216"/>
    </row>
    <row r="2217" spans="1:12" hidden="1" x14ac:dyDescent="0.3">
      <c r="A2217" s="45" t="s">
        <v>18</v>
      </c>
      <c r="B2217" s="45" t="s">
        <v>18</v>
      </c>
      <c r="K2217"/>
      <c r="L2217"/>
    </row>
    <row r="2218" spans="1:12" hidden="1" x14ac:dyDescent="0.3">
      <c r="A2218" s="45" t="s">
        <v>18</v>
      </c>
      <c r="B2218" s="45" t="s">
        <v>18</v>
      </c>
      <c r="K2218"/>
      <c r="L2218"/>
    </row>
    <row r="2219" spans="1:12" hidden="1" x14ac:dyDescent="0.3">
      <c r="A2219" s="30" t="s">
        <v>99</v>
      </c>
      <c r="B2219" s="47">
        <v>2018</v>
      </c>
      <c r="K2219"/>
      <c r="L2219"/>
    </row>
    <row r="2220" spans="1:12" hidden="1" x14ac:dyDescent="0.3">
      <c r="A2220" s="30" t="s">
        <v>99</v>
      </c>
      <c r="B2220" s="47">
        <v>2018</v>
      </c>
      <c r="K2220"/>
      <c r="L2220"/>
    </row>
    <row r="2221" spans="1:12" hidden="1" x14ac:dyDescent="0.3">
      <c r="A2221" s="45" t="s">
        <v>18</v>
      </c>
      <c r="B2221" s="45" t="s">
        <v>18</v>
      </c>
      <c r="K2221"/>
      <c r="L2221"/>
    </row>
    <row r="2222" spans="1:12" hidden="1" x14ac:dyDescent="0.3">
      <c r="A2222" s="30" t="s">
        <v>99</v>
      </c>
      <c r="B2222" s="47">
        <v>2018</v>
      </c>
      <c r="K2222"/>
      <c r="L2222"/>
    </row>
    <row r="2223" spans="1:12" hidden="1" x14ac:dyDescent="0.3">
      <c r="A2223" s="30" t="s">
        <v>99</v>
      </c>
      <c r="B2223" s="47">
        <v>2018</v>
      </c>
      <c r="K2223"/>
      <c r="L2223"/>
    </row>
    <row r="2224" spans="1:12" hidden="1" x14ac:dyDescent="0.3">
      <c r="A2224" s="45" t="s">
        <v>18</v>
      </c>
      <c r="B2224" s="45" t="s">
        <v>18</v>
      </c>
      <c r="K2224"/>
      <c r="L2224"/>
    </row>
    <row r="2225" spans="1:3" customFormat="1" hidden="1" x14ac:dyDescent="0.3">
      <c r="A2225" s="30" t="s">
        <v>99</v>
      </c>
      <c r="B2225" s="47">
        <v>2018</v>
      </c>
      <c r="C2225" s="16"/>
    </row>
    <row r="2226" spans="1:3" customFormat="1" hidden="1" x14ac:dyDescent="0.3">
      <c r="A2226" s="30" t="s">
        <v>99</v>
      </c>
      <c r="B2226" s="47">
        <v>2018</v>
      </c>
      <c r="C2226" s="16"/>
    </row>
    <row r="2227" spans="1:3" customFormat="1" hidden="1" x14ac:dyDescent="0.3">
      <c r="A2227" s="49" t="s">
        <v>18</v>
      </c>
      <c r="B2227" s="49" t="s">
        <v>18</v>
      </c>
      <c r="C2227" s="35"/>
    </row>
    <row r="2228" spans="1:3" customFormat="1" hidden="1" x14ac:dyDescent="0.3">
      <c r="A2228" s="30" t="s">
        <v>99</v>
      </c>
      <c r="B2228" s="47">
        <v>2018</v>
      </c>
      <c r="C2228" s="16"/>
    </row>
    <row r="2229" spans="1:3" customFormat="1" hidden="1" x14ac:dyDescent="0.3">
      <c r="A2229" s="30" t="s">
        <v>99</v>
      </c>
      <c r="B2229" s="47">
        <v>2018</v>
      </c>
      <c r="C2229" s="16"/>
    </row>
    <row r="2230" spans="1:3" customFormat="1" hidden="1" x14ac:dyDescent="0.3">
      <c r="A2230" s="30" t="s">
        <v>99</v>
      </c>
      <c r="B2230" s="47">
        <v>2018</v>
      </c>
      <c r="C2230" s="16"/>
    </row>
    <row r="2231" spans="1:3" customFormat="1" hidden="1" x14ac:dyDescent="0.3">
      <c r="A2231" s="30" t="s">
        <v>99</v>
      </c>
      <c r="B2231" s="47">
        <v>2018</v>
      </c>
      <c r="C2231" s="16"/>
    </row>
    <row r="2232" spans="1:3" customFormat="1" hidden="1" x14ac:dyDescent="0.3">
      <c r="A2232" s="30" t="s">
        <v>99</v>
      </c>
      <c r="B2232" s="47">
        <v>2018</v>
      </c>
      <c r="C2232" s="16"/>
    </row>
    <row r="2233" spans="1:3" customFormat="1" hidden="1" x14ac:dyDescent="0.3">
      <c r="A2233" s="45" t="s">
        <v>18</v>
      </c>
      <c r="B2233" s="45" t="s">
        <v>18</v>
      </c>
      <c r="C2233" s="16"/>
    </row>
    <row r="2234" spans="1:3" customFormat="1" hidden="1" x14ac:dyDescent="0.3">
      <c r="A2234" s="30" t="s">
        <v>99</v>
      </c>
      <c r="B2234" s="47">
        <v>2018</v>
      </c>
      <c r="C2234" s="16"/>
    </row>
    <row r="2235" spans="1:3" customFormat="1" hidden="1" x14ac:dyDescent="0.3">
      <c r="A2235" s="30" t="s">
        <v>99</v>
      </c>
      <c r="B2235" s="47">
        <v>2018</v>
      </c>
      <c r="C2235" s="16"/>
    </row>
    <row r="2236" spans="1:3" customFormat="1" hidden="1" x14ac:dyDescent="0.3">
      <c r="A2236" s="30" t="s">
        <v>99</v>
      </c>
      <c r="B2236" s="47">
        <v>2018</v>
      </c>
      <c r="C2236" s="16"/>
    </row>
    <row r="2237" spans="1:3" customFormat="1" hidden="1" x14ac:dyDescent="0.3">
      <c r="A2237" s="30" t="s">
        <v>99</v>
      </c>
      <c r="B2237" s="47">
        <v>2018</v>
      </c>
      <c r="C2237" s="16"/>
    </row>
    <row r="2238" spans="1:3" customFormat="1" hidden="1" x14ac:dyDescent="0.3">
      <c r="A2238" s="30" t="s">
        <v>99</v>
      </c>
      <c r="B2238" s="47">
        <v>2018</v>
      </c>
      <c r="C2238" s="16"/>
    </row>
    <row r="2239" spans="1:3" customFormat="1" hidden="1" x14ac:dyDescent="0.3">
      <c r="A2239" s="30" t="s">
        <v>99</v>
      </c>
      <c r="B2239" s="47">
        <v>2018</v>
      </c>
      <c r="C2239" s="5"/>
    </row>
    <row r="2240" spans="1:3" customFormat="1" hidden="1" x14ac:dyDescent="0.3">
      <c r="A2240" s="49" t="s">
        <v>18</v>
      </c>
      <c r="B2240" s="49" t="s">
        <v>18</v>
      </c>
      <c r="C2240" s="35"/>
    </row>
    <row r="2241" spans="1:3" customFormat="1" hidden="1" x14ac:dyDescent="0.3">
      <c r="A2241" s="49" t="s">
        <v>18</v>
      </c>
      <c r="B2241" s="49" t="s">
        <v>18</v>
      </c>
      <c r="C2241" s="35"/>
    </row>
    <row r="2242" spans="1:3" customFormat="1" hidden="1" x14ac:dyDescent="0.3">
      <c r="A2242" s="30" t="s">
        <v>99</v>
      </c>
      <c r="B2242" s="47">
        <v>2018</v>
      </c>
      <c r="C2242" s="16"/>
    </row>
    <row r="2243" spans="1:3" customFormat="1" hidden="1" x14ac:dyDescent="0.3">
      <c r="A2243" s="30" t="s">
        <v>99</v>
      </c>
      <c r="B2243" s="47">
        <v>2018</v>
      </c>
      <c r="C2243" s="16"/>
    </row>
    <row r="2244" spans="1:3" customFormat="1" hidden="1" x14ac:dyDescent="0.3">
      <c r="A2244" s="30" t="s">
        <v>99</v>
      </c>
      <c r="B2244" s="47">
        <v>2018</v>
      </c>
      <c r="C2244" s="16"/>
    </row>
    <row r="2245" spans="1:3" customFormat="1" hidden="1" x14ac:dyDescent="0.3">
      <c r="A2245" s="30" t="s">
        <v>99</v>
      </c>
      <c r="B2245" s="47">
        <v>2018</v>
      </c>
      <c r="C2245" s="16"/>
    </row>
    <row r="2246" spans="1:3" customFormat="1" hidden="1" x14ac:dyDescent="0.3">
      <c r="A2246" s="30" t="s">
        <v>99</v>
      </c>
      <c r="B2246" s="47">
        <v>2018</v>
      </c>
      <c r="C2246" s="16"/>
    </row>
    <row r="2247" spans="1:3" customFormat="1" hidden="1" x14ac:dyDescent="0.3">
      <c r="A2247" s="30" t="s">
        <v>99</v>
      </c>
      <c r="B2247" s="47">
        <v>2018</v>
      </c>
      <c r="C2247" s="16"/>
    </row>
    <row r="2248" spans="1:3" customFormat="1" hidden="1" x14ac:dyDescent="0.3">
      <c r="A2248" s="30" t="s">
        <v>99</v>
      </c>
      <c r="B2248" s="47">
        <v>2018</v>
      </c>
      <c r="C2248" s="5"/>
    </row>
    <row r="2249" spans="1:3" customFormat="1" hidden="1" x14ac:dyDescent="0.3">
      <c r="A2249" s="30" t="s">
        <v>99</v>
      </c>
      <c r="B2249" s="47">
        <v>2018</v>
      </c>
      <c r="C2249" s="5"/>
    </row>
    <row r="2250" spans="1:3" customFormat="1" hidden="1" x14ac:dyDescent="0.3">
      <c r="A2250" s="49" t="s">
        <v>18</v>
      </c>
      <c r="B2250" s="49" t="s">
        <v>18</v>
      </c>
      <c r="C2250" s="35"/>
    </row>
    <row r="2251" spans="1:3" customFormat="1" hidden="1" x14ac:dyDescent="0.3">
      <c r="A2251" s="30" t="s">
        <v>33</v>
      </c>
      <c r="B2251" s="47">
        <v>2018</v>
      </c>
      <c r="C2251" s="16"/>
    </row>
    <row r="2252" spans="1:3" customFormat="1" hidden="1" x14ac:dyDescent="0.3">
      <c r="A2252" s="49" t="s">
        <v>18</v>
      </c>
      <c r="B2252" s="49" t="s">
        <v>18</v>
      </c>
      <c r="C2252" s="35"/>
    </row>
    <row r="2253" spans="1:3" customFormat="1" hidden="1" x14ac:dyDescent="0.3">
      <c r="A2253" s="30" t="s">
        <v>99</v>
      </c>
      <c r="B2253" s="47">
        <v>2018</v>
      </c>
      <c r="C2253" s="16"/>
    </row>
    <row r="2254" spans="1:3" customFormat="1" hidden="1" x14ac:dyDescent="0.3">
      <c r="A2254" s="30" t="s">
        <v>33</v>
      </c>
      <c r="B2254" s="47">
        <v>2018</v>
      </c>
      <c r="C2254" s="16"/>
    </row>
    <row r="2255" spans="1:3" customFormat="1" hidden="1" x14ac:dyDescent="0.3">
      <c r="A2255" s="30" t="s">
        <v>33</v>
      </c>
      <c r="B2255" s="47">
        <v>2018</v>
      </c>
      <c r="C2255" s="16"/>
    </row>
    <row r="2256" spans="1:3" customFormat="1" hidden="1" x14ac:dyDescent="0.3">
      <c r="A2256" s="30" t="s">
        <v>99</v>
      </c>
      <c r="B2256" s="47">
        <v>2018</v>
      </c>
      <c r="C2256" s="16"/>
    </row>
    <row r="2257" spans="1:3" customFormat="1" hidden="1" x14ac:dyDescent="0.3">
      <c r="A2257" s="30" t="s">
        <v>33</v>
      </c>
      <c r="B2257" s="47">
        <v>2018</v>
      </c>
      <c r="C2257" s="16"/>
    </row>
    <row r="2258" spans="1:3" customFormat="1" hidden="1" x14ac:dyDescent="0.3">
      <c r="A2258" s="30" t="s">
        <v>33</v>
      </c>
      <c r="B2258" s="47">
        <v>2018</v>
      </c>
      <c r="C2258" s="16"/>
    </row>
    <row r="2259" spans="1:3" customFormat="1" hidden="1" x14ac:dyDescent="0.3">
      <c r="A2259" s="30" t="s">
        <v>33</v>
      </c>
      <c r="B2259" s="47">
        <v>2018</v>
      </c>
      <c r="C2259" s="16"/>
    </row>
    <row r="2260" spans="1:3" customFormat="1" hidden="1" x14ac:dyDescent="0.3">
      <c r="A2260" s="30" t="s">
        <v>33</v>
      </c>
      <c r="B2260" s="47">
        <v>2018</v>
      </c>
      <c r="C2260" s="16"/>
    </row>
    <row r="2261" spans="1:3" customFormat="1" hidden="1" x14ac:dyDescent="0.3">
      <c r="A2261" s="49" t="s">
        <v>18</v>
      </c>
      <c r="B2261" s="49" t="s">
        <v>18</v>
      </c>
      <c r="C2261" s="35"/>
    </row>
    <row r="2262" spans="1:3" customFormat="1" hidden="1" x14ac:dyDescent="0.3">
      <c r="A2262" s="30" t="s">
        <v>33</v>
      </c>
      <c r="B2262" s="47">
        <v>2018</v>
      </c>
      <c r="C2262" s="16"/>
    </row>
    <row r="2263" spans="1:3" customFormat="1" hidden="1" x14ac:dyDescent="0.3">
      <c r="A2263" s="30" t="s">
        <v>33</v>
      </c>
      <c r="B2263" s="47">
        <v>2018</v>
      </c>
      <c r="C2263" s="5"/>
    </row>
    <row r="2264" spans="1:3" customFormat="1" hidden="1" x14ac:dyDescent="0.3">
      <c r="A2264" s="30" t="s">
        <v>33</v>
      </c>
      <c r="B2264" s="47">
        <v>2018</v>
      </c>
      <c r="C2264" s="5"/>
    </row>
    <row r="2265" spans="1:3" customFormat="1" hidden="1" x14ac:dyDescent="0.3">
      <c r="A2265" s="30" t="s">
        <v>33</v>
      </c>
      <c r="B2265" s="47">
        <v>2018</v>
      </c>
      <c r="C2265" s="16"/>
    </row>
    <row r="2266" spans="1:3" customFormat="1" hidden="1" x14ac:dyDescent="0.3">
      <c r="A2266" s="30" t="s">
        <v>99</v>
      </c>
      <c r="B2266" s="47">
        <v>2018</v>
      </c>
      <c r="C2266" s="16"/>
    </row>
    <row r="2267" spans="1:3" customFormat="1" hidden="1" x14ac:dyDescent="0.3">
      <c r="A2267" s="30" t="s">
        <v>33</v>
      </c>
      <c r="B2267" s="47">
        <v>2018</v>
      </c>
      <c r="C2267" s="16"/>
    </row>
    <row r="2268" spans="1:3" customFormat="1" hidden="1" x14ac:dyDescent="0.3">
      <c r="A2268" s="30" t="s">
        <v>33</v>
      </c>
      <c r="B2268" s="47">
        <v>2018</v>
      </c>
      <c r="C2268" s="16"/>
    </row>
    <row r="2269" spans="1:3" customFormat="1" hidden="1" x14ac:dyDescent="0.3">
      <c r="A2269" s="30" t="s">
        <v>33</v>
      </c>
      <c r="B2269" s="47">
        <v>2018</v>
      </c>
      <c r="C2269" s="16"/>
    </row>
    <row r="2270" spans="1:3" customFormat="1" hidden="1" x14ac:dyDescent="0.3">
      <c r="A2270" s="41" t="s">
        <v>33</v>
      </c>
      <c r="B2270" s="51">
        <v>2018</v>
      </c>
      <c r="C2270" s="36"/>
    </row>
    <row r="2271" spans="1:3" customFormat="1" hidden="1" x14ac:dyDescent="0.3">
      <c r="A2271" s="41" t="s">
        <v>33</v>
      </c>
      <c r="B2271" s="51">
        <v>2018</v>
      </c>
      <c r="C2271" s="36"/>
    </row>
    <row r="2272" spans="1:3" customFormat="1" hidden="1" x14ac:dyDescent="0.3">
      <c r="A2272" s="41" t="s">
        <v>33</v>
      </c>
      <c r="B2272" s="51">
        <v>2018</v>
      </c>
      <c r="C2272" s="36"/>
    </row>
    <row r="2273" spans="1:12" hidden="1" x14ac:dyDescent="0.3">
      <c r="A2273" s="41" t="s">
        <v>33</v>
      </c>
      <c r="B2273" s="51">
        <v>2018</v>
      </c>
      <c r="C2273" s="36"/>
      <c r="K2273"/>
      <c r="L2273"/>
    </row>
    <row r="2274" spans="1:12" x14ac:dyDescent="0.3">
      <c r="A2274" s="44" t="s">
        <v>18</v>
      </c>
      <c r="B2274" s="45"/>
      <c r="C2274" s="16" t="s">
        <v>155</v>
      </c>
      <c r="D2274">
        <v>9.6638779334384615E-3</v>
      </c>
      <c r="E2274">
        <v>1.5038539430381439E-2</v>
      </c>
      <c r="F2274">
        <v>1.8307692307692309</v>
      </c>
      <c r="G2274">
        <f>F2274/1000</f>
        <v>1.8307692307692309E-3</v>
      </c>
      <c r="H2274">
        <v>17.818681318681314</v>
      </c>
      <c r="I2274">
        <f>H2274/1000</f>
        <v>1.7818681318681313E-2</v>
      </c>
      <c r="K2274" s="87">
        <f>E2274*4000</f>
        <v>60.154157721525756</v>
      </c>
      <c r="L2274" s="87">
        <f>D2274*4000</f>
        <v>38.655511733753848</v>
      </c>
    </row>
    <row r="2275" spans="1:12" hidden="1" x14ac:dyDescent="0.3">
      <c r="A2275" s="44" t="s">
        <v>18</v>
      </c>
      <c r="B2275" s="45" t="s">
        <v>18</v>
      </c>
      <c r="K2275"/>
      <c r="L2275"/>
    </row>
    <row r="2276" spans="1:12" hidden="1" x14ac:dyDescent="0.3">
      <c r="A2276" s="30" t="s">
        <v>36</v>
      </c>
      <c r="B2276" s="47">
        <v>2018</v>
      </c>
      <c r="K2276"/>
      <c r="L2276"/>
    </row>
    <row r="2277" spans="1:12" hidden="1" x14ac:dyDescent="0.3">
      <c r="A2277" s="44" t="s">
        <v>18</v>
      </c>
      <c r="B2277" s="45" t="s">
        <v>18</v>
      </c>
      <c r="K2277"/>
      <c r="L2277"/>
    </row>
    <row r="2278" spans="1:12" hidden="1" x14ac:dyDescent="0.3">
      <c r="A2278" s="44" t="s">
        <v>18</v>
      </c>
      <c r="B2278" s="45" t="s">
        <v>18</v>
      </c>
      <c r="K2278"/>
      <c r="L2278"/>
    </row>
    <row r="2279" spans="1:12" hidden="1" x14ac:dyDescent="0.3">
      <c r="A2279" s="30" t="s">
        <v>36</v>
      </c>
      <c r="B2279" s="47">
        <v>2018</v>
      </c>
      <c r="K2279"/>
      <c r="L2279"/>
    </row>
    <row r="2280" spans="1:12" hidden="1" x14ac:dyDescent="0.3">
      <c r="A2280" s="30" t="s">
        <v>36</v>
      </c>
      <c r="B2280" s="47">
        <v>2018</v>
      </c>
      <c r="K2280"/>
      <c r="L2280"/>
    </row>
    <row r="2281" spans="1:12" hidden="1" x14ac:dyDescent="0.3">
      <c r="A2281" s="44" t="s">
        <v>18</v>
      </c>
      <c r="B2281" s="45" t="s">
        <v>18</v>
      </c>
      <c r="K2281"/>
      <c r="L2281"/>
    </row>
    <row r="2282" spans="1:12" hidden="1" x14ac:dyDescent="0.3">
      <c r="A2282" s="30" t="s">
        <v>36</v>
      </c>
      <c r="B2282" s="47">
        <v>2018</v>
      </c>
      <c r="K2282"/>
      <c r="L2282"/>
    </row>
    <row r="2283" spans="1:12" hidden="1" x14ac:dyDescent="0.3">
      <c r="A2283" s="30" t="s">
        <v>36</v>
      </c>
      <c r="B2283" s="47">
        <v>2018</v>
      </c>
      <c r="K2283"/>
      <c r="L2283"/>
    </row>
    <row r="2284" spans="1:12" hidden="1" x14ac:dyDescent="0.3">
      <c r="A2284" s="44" t="s">
        <v>18</v>
      </c>
      <c r="B2284" s="45" t="s">
        <v>18</v>
      </c>
      <c r="K2284"/>
      <c r="L2284"/>
    </row>
    <row r="2285" spans="1:12" hidden="1" x14ac:dyDescent="0.3">
      <c r="A2285" s="30" t="s">
        <v>36</v>
      </c>
      <c r="B2285" s="47">
        <v>2018</v>
      </c>
      <c r="K2285"/>
      <c r="L2285"/>
    </row>
    <row r="2286" spans="1:12" hidden="1" x14ac:dyDescent="0.3">
      <c r="A2286" s="30" t="s">
        <v>36</v>
      </c>
      <c r="B2286" s="47">
        <v>2018</v>
      </c>
      <c r="K2286"/>
      <c r="L2286"/>
    </row>
    <row r="2287" spans="1:12" hidden="1" x14ac:dyDescent="0.3">
      <c r="A2287" s="49" t="s">
        <v>18</v>
      </c>
      <c r="B2287" s="49" t="s">
        <v>18</v>
      </c>
      <c r="C2287" s="35"/>
      <c r="K2287"/>
      <c r="L2287"/>
    </row>
    <row r="2288" spans="1:12" hidden="1" x14ac:dyDescent="0.3">
      <c r="A2288" s="30" t="s">
        <v>36</v>
      </c>
      <c r="B2288" s="47">
        <v>2018</v>
      </c>
      <c r="K2288"/>
      <c r="L2288"/>
    </row>
    <row r="2289" spans="1:3" customFormat="1" hidden="1" x14ac:dyDescent="0.3">
      <c r="A2289" s="30" t="s">
        <v>36</v>
      </c>
      <c r="B2289" s="47">
        <v>2018</v>
      </c>
      <c r="C2289" s="16"/>
    </row>
    <row r="2290" spans="1:3" customFormat="1" hidden="1" x14ac:dyDescent="0.3">
      <c r="A2290" s="30" t="s">
        <v>36</v>
      </c>
      <c r="B2290" s="47">
        <v>2018</v>
      </c>
      <c r="C2290" s="16"/>
    </row>
    <row r="2291" spans="1:3" customFormat="1" hidden="1" x14ac:dyDescent="0.3">
      <c r="A2291" s="30" t="s">
        <v>36</v>
      </c>
      <c r="B2291" s="47">
        <v>2018</v>
      </c>
      <c r="C2291" s="16"/>
    </row>
    <row r="2292" spans="1:3" customFormat="1" hidden="1" x14ac:dyDescent="0.3">
      <c r="A2292" s="30" t="s">
        <v>36</v>
      </c>
      <c r="B2292" s="47">
        <v>2018</v>
      </c>
      <c r="C2292" s="16"/>
    </row>
    <row r="2293" spans="1:3" customFormat="1" hidden="1" x14ac:dyDescent="0.3">
      <c r="A2293" s="44" t="s">
        <v>18</v>
      </c>
      <c r="B2293" s="45" t="s">
        <v>18</v>
      </c>
      <c r="C2293" s="16"/>
    </row>
    <row r="2294" spans="1:3" customFormat="1" hidden="1" x14ac:dyDescent="0.3">
      <c r="A2294" s="30" t="s">
        <v>36</v>
      </c>
      <c r="B2294" s="47">
        <v>2018</v>
      </c>
      <c r="C2294" s="16"/>
    </row>
    <row r="2295" spans="1:3" customFormat="1" hidden="1" x14ac:dyDescent="0.3">
      <c r="A2295" s="30" t="s">
        <v>36</v>
      </c>
      <c r="B2295" s="47">
        <v>2018</v>
      </c>
      <c r="C2295" s="16"/>
    </row>
    <row r="2296" spans="1:3" customFormat="1" hidden="1" x14ac:dyDescent="0.3">
      <c r="A2296" s="30" t="s">
        <v>36</v>
      </c>
      <c r="B2296" s="47">
        <v>2018</v>
      </c>
      <c r="C2296" s="16"/>
    </row>
    <row r="2297" spans="1:3" customFormat="1" hidden="1" x14ac:dyDescent="0.3">
      <c r="A2297" s="30" t="s">
        <v>36</v>
      </c>
      <c r="B2297" s="47">
        <v>2018</v>
      </c>
      <c r="C2297" s="16"/>
    </row>
    <row r="2298" spans="1:3" customFormat="1" hidden="1" x14ac:dyDescent="0.3">
      <c r="A2298" s="30" t="s">
        <v>36</v>
      </c>
      <c r="B2298" s="47">
        <v>2018</v>
      </c>
      <c r="C2298" s="16"/>
    </row>
    <row r="2299" spans="1:3" customFormat="1" hidden="1" x14ac:dyDescent="0.3">
      <c r="A2299" s="30" t="s">
        <v>36</v>
      </c>
      <c r="B2299" s="47">
        <v>2018</v>
      </c>
      <c r="C2299" s="16"/>
    </row>
    <row r="2300" spans="1:3" customFormat="1" hidden="1" x14ac:dyDescent="0.3">
      <c r="A2300" s="49" t="s">
        <v>18</v>
      </c>
      <c r="B2300" s="49" t="s">
        <v>18</v>
      </c>
      <c r="C2300" s="35"/>
    </row>
    <row r="2301" spans="1:3" customFormat="1" hidden="1" x14ac:dyDescent="0.3">
      <c r="A2301" s="49" t="s">
        <v>18</v>
      </c>
      <c r="B2301" s="49" t="s">
        <v>18</v>
      </c>
      <c r="C2301" s="35"/>
    </row>
    <row r="2302" spans="1:3" customFormat="1" hidden="1" x14ac:dyDescent="0.3">
      <c r="A2302" s="30" t="s">
        <v>36</v>
      </c>
      <c r="B2302" s="47">
        <v>2018</v>
      </c>
      <c r="C2302" s="16"/>
    </row>
    <row r="2303" spans="1:3" customFormat="1" hidden="1" x14ac:dyDescent="0.3">
      <c r="A2303" s="30" t="s">
        <v>36</v>
      </c>
      <c r="B2303" s="47">
        <v>2018</v>
      </c>
      <c r="C2303" s="16"/>
    </row>
    <row r="2304" spans="1:3" customFormat="1" hidden="1" x14ac:dyDescent="0.3">
      <c r="A2304" s="30" t="s">
        <v>36</v>
      </c>
      <c r="B2304" s="47">
        <v>2018</v>
      </c>
      <c r="C2304" s="16"/>
    </row>
    <row r="2305" spans="1:3" customFormat="1" hidden="1" x14ac:dyDescent="0.3">
      <c r="A2305" s="30" t="s">
        <v>36</v>
      </c>
      <c r="B2305" s="47">
        <v>2018</v>
      </c>
      <c r="C2305" s="16"/>
    </row>
    <row r="2306" spans="1:3" customFormat="1" hidden="1" x14ac:dyDescent="0.3">
      <c r="A2306" s="30" t="s">
        <v>36</v>
      </c>
      <c r="B2306" s="47">
        <v>2018</v>
      </c>
      <c r="C2306" s="16"/>
    </row>
    <row r="2307" spans="1:3" customFormat="1" hidden="1" x14ac:dyDescent="0.3">
      <c r="A2307" s="30" t="s">
        <v>36</v>
      </c>
      <c r="B2307" s="47">
        <v>2018</v>
      </c>
      <c r="C2307" s="16"/>
    </row>
    <row r="2308" spans="1:3" customFormat="1" hidden="1" x14ac:dyDescent="0.3">
      <c r="A2308" s="30" t="s">
        <v>36</v>
      </c>
      <c r="B2308" s="47">
        <v>2018</v>
      </c>
      <c r="C2308" s="16"/>
    </row>
    <row r="2309" spans="1:3" customFormat="1" hidden="1" x14ac:dyDescent="0.3">
      <c r="A2309" s="30" t="s">
        <v>36</v>
      </c>
      <c r="B2309" s="47">
        <v>2018</v>
      </c>
      <c r="C2309" s="16"/>
    </row>
    <row r="2310" spans="1:3" customFormat="1" hidden="1" x14ac:dyDescent="0.3">
      <c r="A2310" s="49" t="s">
        <v>18</v>
      </c>
      <c r="B2310" s="49" t="s">
        <v>18</v>
      </c>
      <c r="C2310" s="35"/>
    </row>
    <row r="2311" spans="1:3" customFormat="1" hidden="1" x14ac:dyDescent="0.3">
      <c r="A2311" s="30" t="s">
        <v>36</v>
      </c>
      <c r="B2311" s="47">
        <v>2018</v>
      </c>
      <c r="C2311" s="16"/>
    </row>
    <row r="2312" spans="1:3" customFormat="1" hidden="1" x14ac:dyDescent="0.3">
      <c r="A2312" s="49" t="s">
        <v>18</v>
      </c>
      <c r="B2312" s="49" t="s">
        <v>18</v>
      </c>
      <c r="C2312" s="35"/>
    </row>
    <row r="2313" spans="1:3" customFormat="1" hidden="1" x14ac:dyDescent="0.3">
      <c r="A2313" s="30" t="s">
        <v>36</v>
      </c>
      <c r="B2313" s="47">
        <v>2018</v>
      </c>
      <c r="C2313" s="16"/>
    </row>
    <row r="2314" spans="1:3" customFormat="1" hidden="1" x14ac:dyDescent="0.3">
      <c r="A2314" s="30" t="s">
        <v>36</v>
      </c>
      <c r="B2314" s="47">
        <v>2018</v>
      </c>
      <c r="C2314" s="16"/>
    </row>
    <row r="2315" spans="1:3" customFormat="1" hidden="1" x14ac:dyDescent="0.3">
      <c r="A2315" s="30" t="s">
        <v>36</v>
      </c>
      <c r="B2315" s="47">
        <v>2018</v>
      </c>
      <c r="C2315" s="16"/>
    </row>
    <row r="2316" spans="1:3" customFormat="1" hidden="1" x14ac:dyDescent="0.3">
      <c r="A2316" s="30" t="s">
        <v>36</v>
      </c>
      <c r="B2316" s="47">
        <v>2018</v>
      </c>
      <c r="C2316" s="16"/>
    </row>
    <row r="2317" spans="1:3" customFormat="1" hidden="1" x14ac:dyDescent="0.3">
      <c r="A2317" s="30" t="s">
        <v>36</v>
      </c>
      <c r="B2317" s="47">
        <v>2018</v>
      </c>
      <c r="C2317" s="16"/>
    </row>
    <row r="2318" spans="1:3" customFormat="1" hidden="1" x14ac:dyDescent="0.3">
      <c r="A2318" s="30" t="s">
        <v>36</v>
      </c>
      <c r="B2318" s="47">
        <v>2018</v>
      </c>
      <c r="C2318" s="16"/>
    </row>
    <row r="2319" spans="1:3" customFormat="1" hidden="1" x14ac:dyDescent="0.3">
      <c r="A2319" s="30" t="s">
        <v>36</v>
      </c>
      <c r="B2319" s="47">
        <v>2018</v>
      </c>
      <c r="C2319" s="16"/>
    </row>
    <row r="2320" spans="1:3" customFormat="1" hidden="1" x14ac:dyDescent="0.3">
      <c r="A2320" s="30" t="s">
        <v>36</v>
      </c>
      <c r="B2320" s="47">
        <v>2018</v>
      </c>
      <c r="C2320" s="16"/>
    </row>
    <row r="2321" spans="1:12" hidden="1" x14ac:dyDescent="0.3">
      <c r="A2321" s="49" t="s">
        <v>18</v>
      </c>
      <c r="B2321" s="49" t="s">
        <v>18</v>
      </c>
      <c r="C2321" s="35"/>
      <c r="K2321"/>
      <c r="L2321"/>
    </row>
    <row r="2322" spans="1:12" hidden="1" x14ac:dyDescent="0.3">
      <c r="A2322" s="30" t="s">
        <v>36</v>
      </c>
      <c r="B2322" s="47">
        <v>2018</v>
      </c>
      <c r="K2322"/>
      <c r="L2322"/>
    </row>
    <row r="2323" spans="1:12" hidden="1" x14ac:dyDescent="0.3">
      <c r="A2323" s="30" t="s">
        <v>36</v>
      </c>
      <c r="B2323" s="47">
        <v>2018</v>
      </c>
      <c r="K2323"/>
      <c r="L2323"/>
    </row>
    <row r="2324" spans="1:12" hidden="1" x14ac:dyDescent="0.3">
      <c r="A2324" s="30" t="s">
        <v>36</v>
      </c>
      <c r="B2324" s="47">
        <v>2018</v>
      </c>
      <c r="K2324"/>
      <c r="L2324"/>
    </row>
    <row r="2325" spans="1:12" hidden="1" x14ac:dyDescent="0.3">
      <c r="A2325" s="30" t="s">
        <v>36</v>
      </c>
      <c r="B2325" s="47">
        <v>2018</v>
      </c>
      <c r="K2325"/>
      <c r="L2325"/>
    </row>
    <row r="2326" spans="1:12" hidden="1" x14ac:dyDescent="0.3">
      <c r="A2326" s="30" t="s">
        <v>36</v>
      </c>
      <c r="B2326" s="47">
        <v>2018</v>
      </c>
      <c r="K2326"/>
      <c r="L2326"/>
    </row>
    <row r="2327" spans="1:12" hidden="1" x14ac:dyDescent="0.3">
      <c r="A2327" s="30" t="s">
        <v>36</v>
      </c>
      <c r="B2327" s="47">
        <v>2018</v>
      </c>
      <c r="K2327"/>
      <c r="L2327"/>
    </row>
    <row r="2328" spans="1:12" hidden="1" x14ac:dyDescent="0.3">
      <c r="A2328" s="30" t="s">
        <v>36</v>
      </c>
      <c r="B2328" s="47">
        <v>2018</v>
      </c>
      <c r="K2328"/>
      <c r="L2328"/>
    </row>
    <row r="2329" spans="1:12" hidden="1" x14ac:dyDescent="0.3">
      <c r="A2329" s="30" t="s">
        <v>36</v>
      </c>
      <c r="B2329" s="47">
        <v>2018</v>
      </c>
      <c r="K2329"/>
      <c r="L2329"/>
    </row>
    <row r="2330" spans="1:12" hidden="1" x14ac:dyDescent="0.3">
      <c r="A2330" s="41" t="s">
        <v>36</v>
      </c>
      <c r="B2330" s="51">
        <v>2018</v>
      </c>
      <c r="C2330" s="36"/>
      <c r="K2330"/>
      <c r="L2330"/>
    </row>
    <row r="2331" spans="1:12" hidden="1" x14ac:dyDescent="0.3">
      <c r="A2331" s="41" t="s">
        <v>36</v>
      </c>
      <c r="B2331" s="51">
        <v>2018</v>
      </c>
      <c r="C2331" s="36"/>
      <c r="K2331"/>
      <c r="L2331"/>
    </row>
    <row r="2332" spans="1:12" hidden="1" x14ac:dyDescent="0.3">
      <c r="A2332" s="41" t="s">
        <v>36</v>
      </c>
      <c r="B2332" s="51">
        <v>2018</v>
      </c>
      <c r="C2332" s="36"/>
      <c r="K2332"/>
      <c r="L2332"/>
    </row>
    <row r="2333" spans="1:12" hidden="1" x14ac:dyDescent="0.3">
      <c r="A2333" s="41" t="s">
        <v>36</v>
      </c>
      <c r="B2333" s="51">
        <v>2018</v>
      </c>
      <c r="C2333" s="36"/>
      <c r="K2333"/>
      <c r="L2333"/>
    </row>
    <row r="2334" spans="1:12" x14ac:dyDescent="0.3">
      <c r="A2334" s="44" t="s">
        <v>18</v>
      </c>
      <c r="B2334" s="45">
        <v>2019</v>
      </c>
      <c r="C2334" s="5" t="s">
        <v>156</v>
      </c>
      <c r="D2334">
        <v>8.4360219726265506E-3</v>
      </c>
      <c r="E2334">
        <v>1.0195480693974043E-2</v>
      </c>
      <c r="F2334">
        <v>1.1244444444444446</v>
      </c>
      <c r="G2334">
        <f>F2334/1000</f>
        <v>1.1244444444444446E-3</v>
      </c>
      <c r="H2334">
        <v>24.333333333333343</v>
      </c>
      <c r="I2334">
        <f>H2334/1000</f>
        <v>2.4333333333333342E-2</v>
      </c>
      <c r="K2334" s="87">
        <f>E2334*4000</f>
        <v>40.78192277589617</v>
      </c>
      <c r="L2334" s="87">
        <f>D2334*4000</f>
        <v>33.744087890506201</v>
      </c>
    </row>
    <row r="2335" spans="1:12" hidden="1" x14ac:dyDescent="0.3">
      <c r="A2335" s="44" t="s">
        <v>18</v>
      </c>
      <c r="B2335" s="45" t="s">
        <v>18</v>
      </c>
      <c r="C2335" s="5"/>
      <c r="K2335"/>
      <c r="L2335"/>
    </row>
    <row r="2336" spans="1:12" hidden="1" x14ac:dyDescent="0.3">
      <c r="A2336" s="30" t="s">
        <v>64</v>
      </c>
      <c r="B2336" s="47">
        <v>2019</v>
      </c>
      <c r="C2336" s="5"/>
      <c r="K2336"/>
      <c r="L2336"/>
    </row>
    <row r="2337" spans="1:3" customFormat="1" hidden="1" x14ac:dyDescent="0.3">
      <c r="A2337" s="44" t="s">
        <v>18</v>
      </c>
      <c r="B2337" s="45" t="s">
        <v>18</v>
      </c>
      <c r="C2337" s="5"/>
    </row>
    <row r="2338" spans="1:3" customFormat="1" hidden="1" x14ac:dyDescent="0.3">
      <c r="A2338" s="44" t="s">
        <v>18</v>
      </c>
      <c r="B2338" s="45" t="s">
        <v>18</v>
      </c>
      <c r="C2338" s="5"/>
    </row>
    <row r="2339" spans="1:3" customFormat="1" hidden="1" x14ac:dyDescent="0.3">
      <c r="A2339" s="30" t="s">
        <v>64</v>
      </c>
      <c r="B2339" s="47">
        <v>2019</v>
      </c>
      <c r="C2339" s="5"/>
    </row>
    <row r="2340" spans="1:3" customFormat="1" hidden="1" x14ac:dyDescent="0.3">
      <c r="A2340" s="30" t="s">
        <v>64</v>
      </c>
      <c r="B2340" s="47">
        <v>2019</v>
      </c>
      <c r="C2340" s="5"/>
    </row>
    <row r="2341" spans="1:3" customFormat="1" hidden="1" x14ac:dyDescent="0.3">
      <c r="A2341" s="44" t="s">
        <v>18</v>
      </c>
      <c r="B2341" s="45" t="s">
        <v>18</v>
      </c>
      <c r="C2341" s="5"/>
    </row>
    <row r="2342" spans="1:3" customFormat="1" hidden="1" x14ac:dyDescent="0.3">
      <c r="A2342" s="30" t="s">
        <v>64</v>
      </c>
      <c r="B2342" s="47">
        <v>2019</v>
      </c>
      <c r="C2342" s="5"/>
    </row>
    <row r="2343" spans="1:3" customFormat="1" hidden="1" x14ac:dyDescent="0.3">
      <c r="A2343" s="30" t="s">
        <v>64</v>
      </c>
      <c r="B2343" s="47">
        <v>2019</v>
      </c>
      <c r="C2343" s="5"/>
    </row>
    <row r="2344" spans="1:3" customFormat="1" hidden="1" x14ac:dyDescent="0.3">
      <c r="A2344" s="44" t="s">
        <v>18</v>
      </c>
      <c r="B2344" s="45" t="s">
        <v>18</v>
      </c>
      <c r="C2344" s="5"/>
    </row>
    <row r="2345" spans="1:3" customFormat="1" hidden="1" x14ac:dyDescent="0.3">
      <c r="A2345" s="30" t="s">
        <v>64</v>
      </c>
      <c r="B2345" s="47">
        <v>2019</v>
      </c>
      <c r="C2345" s="5"/>
    </row>
    <row r="2346" spans="1:3" customFormat="1" hidden="1" x14ac:dyDescent="0.3">
      <c r="A2346" s="30" t="s">
        <v>64</v>
      </c>
      <c r="B2346" s="47">
        <v>2019</v>
      </c>
      <c r="C2346" s="5"/>
    </row>
    <row r="2347" spans="1:3" customFormat="1" hidden="1" x14ac:dyDescent="0.3">
      <c r="A2347" s="49" t="s">
        <v>18</v>
      </c>
      <c r="B2347" s="49" t="s">
        <v>18</v>
      </c>
      <c r="C2347" s="35"/>
    </row>
    <row r="2348" spans="1:3" customFormat="1" hidden="1" x14ac:dyDescent="0.3">
      <c r="A2348" s="30" t="s">
        <v>64</v>
      </c>
      <c r="B2348" s="47">
        <v>2019</v>
      </c>
      <c r="C2348" s="5"/>
    </row>
    <row r="2349" spans="1:3" customFormat="1" hidden="1" x14ac:dyDescent="0.3">
      <c r="A2349" s="30" t="s">
        <v>64</v>
      </c>
      <c r="B2349" s="47">
        <v>2019</v>
      </c>
      <c r="C2349" s="5"/>
    </row>
    <row r="2350" spans="1:3" customFormat="1" hidden="1" x14ac:dyDescent="0.3">
      <c r="A2350" s="30" t="s">
        <v>64</v>
      </c>
      <c r="B2350" s="47">
        <v>2019</v>
      </c>
      <c r="C2350" s="5"/>
    </row>
    <row r="2351" spans="1:3" customFormat="1" hidden="1" x14ac:dyDescent="0.3">
      <c r="A2351" s="30" t="s">
        <v>64</v>
      </c>
      <c r="B2351" s="47">
        <v>2019</v>
      </c>
      <c r="C2351" s="5"/>
    </row>
    <row r="2352" spans="1:3" customFormat="1" hidden="1" x14ac:dyDescent="0.3">
      <c r="A2352" s="30" t="s">
        <v>64</v>
      </c>
      <c r="B2352" s="47">
        <v>2019</v>
      </c>
      <c r="C2352" s="5"/>
    </row>
    <row r="2353" spans="1:3" customFormat="1" hidden="1" x14ac:dyDescent="0.3">
      <c r="A2353" s="44" t="s">
        <v>18</v>
      </c>
      <c r="B2353" s="45" t="s">
        <v>18</v>
      </c>
      <c r="C2353" s="5"/>
    </row>
    <row r="2354" spans="1:3" customFormat="1" hidden="1" x14ac:dyDescent="0.3">
      <c r="A2354" s="30" t="s">
        <v>64</v>
      </c>
      <c r="B2354" s="47">
        <v>2019</v>
      </c>
      <c r="C2354" s="5"/>
    </row>
    <row r="2355" spans="1:3" customFormat="1" hidden="1" x14ac:dyDescent="0.3">
      <c r="A2355" s="30" t="s">
        <v>64</v>
      </c>
      <c r="B2355" s="47">
        <v>2019</v>
      </c>
      <c r="C2355" s="5"/>
    </row>
    <row r="2356" spans="1:3" customFormat="1" hidden="1" x14ac:dyDescent="0.3">
      <c r="A2356" s="30" t="s">
        <v>64</v>
      </c>
      <c r="B2356" s="47">
        <v>2019</v>
      </c>
      <c r="C2356" s="5"/>
    </row>
    <row r="2357" spans="1:3" customFormat="1" hidden="1" x14ac:dyDescent="0.3">
      <c r="A2357" s="30" t="s">
        <v>64</v>
      </c>
      <c r="B2357" s="47">
        <v>2019</v>
      </c>
      <c r="C2357" s="5"/>
    </row>
    <row r="2358" spans="1:3" customFormat="1" hidden="1" x14ac:dyDescent="0.3">
      <c r="A2358" s="30" t="s">
        <v>64</v>
      </c>
      <c r="B2358" s="47">
        <v>2019</v>
      </c>
      <c r="C2358" s="5"/>
    </row>
    <row r="2359" spans="1:3" customFormat="1" hidden="1" x14ac:dyDescent="0.3">
      <c r="A2359" s="30" t="s">
        <v>64</v>
      </c>
      <c r="B2359" s="47">
        <v>2019</v>
      </c>
      <c r="C2359" s="5"/>
    </row>
    <row r="2360" spans="1:3" customFormat="1" hidden="1" x14ac:dyDescent="0.3">
      <c r="A2360" s="49" t="s">
        <v>18</v>
      </c>
      <c r="B2360" s="49" t="s">
        <v>18</v>
      </c>
      <c r="C2360" s="35"/>
    </row>
    <row r="2361" spans="1:3" customFormat="1" hidden="1" x14ac:dyDescent="0.3">
      <c r="A2361" s="49" t="s">
        <v>18</v>
      </c>
      <c r="B2361" s="49" t="s">
        <v>18</v>
      </c>
      <c r="C2361" s="35"/>
    </row>
    <row r="2362" spans="1:3" customFormat="1" hidden="1" x14ac:dyDescent="0.3">
      <c r="A2362" s="30" t="s">
        <v>64</v>
      </c>
      <c r="B2362" s="47">
        <v>2019</v>
      </c>
      <c r="C2362" s="5"/>
    </row>
    <row r="2363" spans="1:3" customFormat="1" hidden="1" x14ac:dyDescent="0.3">
      <c r="A2363" s="30" t="s">
        <v>64</v>
      </c>
      <c r="B2363" s="47">
        <v>2019</v>
      </c>
      <c r="C2363" s="5"/>
    </row>
    <row r="2364" spans="1:3" customFormat="1" hidden="1" x14ac:dyDescent="0.3">
      <c r="A2364" s="30" t="s">
        <v>64</v>
      </c>
      <c r="B2364" s="47">
        <v>2019</v>
      </c>
      <c r="C2364" s="5"/>
    </row>
    <row r="2365" spans="1:3" customFormat="1" hidden="1" x14ac:dyDescent="0.3">
      <c r="A2365" s="30" t="s">
        <v>64</v>
      </c>
      <c r="B2365" s="47">
        <v>2019</v>
      </c>
      <c r="C2365" s="5"/>
    </row>
    <row r="2366" spans="1:3" customFormat="1" hidden="1" x14ac:dyDescent="0.3">
      <c r="A2366" s="30" t="s">
        <v>64</v>
      </c>
      <c r="B2366" s="47">
        <v>2019</v>
      </c>
      <c r="C2366" s="5"/>
    </row>
    <row r="2367" spans="1:3" customFormat="1" hidden="1" x14ac:dyDescent="0.3">
      <c r="A2367" s="30" t="s">
        <v>64</v>
      </c>
      <c r="B2367" s="47">
        <v>2019</v>
      </c>
      <c r="C2367" s="5"/>
    </row>
    <row r="2368" spans="1:3" customFormat="1" hidden="1" x14ac:dyDescent="0.3">
      <c r="A2368" s="30" t="s">
        <v>64</v>
      </c>
      <c r="B2368" s="47">
        <v>2019</v>
      </c>
      <c r="C2368" s="5"/>
    </row>
    <row r="2369" spans="1:3" customFormat="1" hidden="1" x14ac:dyDescent="0.3">
      <c r="A2369" s="30" t="s">
        <v>64</v>
      </c>
      <c r="B2369" s="47">
        <v>2019</v>
      </c>
      <c r="C2369" s="5"/>
    </row>
    <row r="2370" spans="1:3" customFormat="1" hidden="1" x14ac:dyDescent="0.3">
      <c r="A2370" s="49" t="s">
        <v>18</v>
      </c>
      <c r="B2370" s="49" t="s">
        <v>18</v>
      </c>
      <c r="C2370" s="35"/>
    </row>
    <row r="2371" spans="1:3" customFormat="1" hidden="1" x14ac:dyDescent="0.3">
      <c r="A2371" s="30" t="s">
        <v>64</v>
      </c>
      <c r="B2371" s="47">
        <v>2019</v>
      </c>
      <c r="C2371" s="5"/>
    </row>
    <row r="2372" spans="1:3" customFormat="1" hidden="1" x14ac:dyDescent="0.3">
      <c r="A2372" s="49" t="s">
        <v>18</v>
      </c>
      <c r="B2372" s="49" t="s">
        <v>18</v>
      </c>
      <c r="C2372" s="35"/>
    </row>
    <row r="2373" spans="1:3" customFormat="1" hidden="1" x14ac:dyDescent="0.3">
      <c r="A2373" s="30" t="s">
        <v>64</v>
      </c>
      <c r="B2373" s="47">
        <v>2019</v>
      </c>
      <c r="C2373" s="5"/>
    </row>
    <row r="2374" spans="1:3" customFormat="1" hidden="1" x14ac:dyDescent="0.3">
      <c r="A2374" s="30" t="s">
        <v>64</v>
      </c>
      <c r="B2374" s="47">
        <v>2019</v>
      </c>
      <c r="C2374" s="5"/>
    </row>
    <row r="2375" spans="1:3" customFormat="1" hidden="1" x14ac:dyDescent="0.3">
      <c r="A2375" s="30" t="s">
        <v>64</v>
      </c>
      <c r="B2375" s="47">
        <v>2019</v>
      </c>
      <c r="C2375" s="5"/>
    </row>
    <row r="2376" spans="1:3" customFormat="1" hidden="1" x14ac:dyDescent="0.3">
      <c r="A2376" s="30" t="s">
        <v>64</v>
      </c>
      <c r="B2376" s="47">
        <v>2019</v>
      </c>
      <c r="C2376" s="5"/>
    </row>
    <row r="2377" spans="1:3" customFormat="1" hidden="1" x14ac:dyDescent="0.3">
      <c r="A2377" s="30" t="s">
        <v>64</v>
      </c>
      <c r="B2377" s="47">
        <v>2019</v>
      </c>
      <c r="C2377" s="5"/>
    </row>
    <row r="2378" spans="1:3" customFormat="1" hidden="1" x14ac:dyDescent="0.3">
      <c r="A2378" s="30" t="s">
        <v>64</v>
      </c>
      <c r="B2378" s="47">
        <v>2019</v>
      </c>
      <c r="C2378" s="5"/>
    </row>
    <row r="2379" spans="1:3" customFormat="1" hidden="1" x14ac:dyDescent="0.3">
      <c r="A2379" s="30" t="s">
        <v>64</v>
      </c>
      <c r="B2379" s="47">
        <v>2019</v>
      </c>
      <c r="C2379" s="5"/>
    </row>
    <row r="2380" spans="1:3" customFormat="1" hidden="1" x14ac:dyDescent="0.3">
      <c r="A2380" s="30" t="s">
        <v>64</v>
      </c>
      <c r="B2380" s="47">
        <v>2019</v>
      </c>
      <c r="C2380" s="5"/>
    </row>
    <row r="2381" spans="1:3" customFormat="1" hidden="1" x14ac:dyDescent="0.3">
      <c r="A2381" s="49" t="s">
        <v>18</v>
      </c>
      <c r="B2381" s="49" t="s">
        <v>18</v>
      </c>
      <c r="C2381" s="35"/>
    </row>
    <row r="2382" spans="1:3" customFormat="1" hidden="1" x14ac:dyDescent="0.3">
      <c r="A2382" s="30" t="s">
        <v>64</v>
      </c>
      <c r="B2382" s="47">
        <v>2019</v>
      </c>
      <c r="C2382" s="5"/>
    </row>
    <row r="2383" spans="1:3" customFormat="1" hidden="1" x14ac:dyDescent="0.3">
      <c r="A2383" s="30" t="s">
        <v>64</v>
      </c>
      <c r="B2383" s="47">
        <v>2019</v>
      </c>
      <c r="C2383" s="5"/>
    </row>
    <row r="2384" spans="1:3" customFormat="1" hidden="1" x14ac:dyDescent="0.3">
      <c r="A2384" s="30" t="s">
        <v>64</v>
      </c>
      <c r="B2384" s="47">
        <v>2019</v>
      </c>
      <c r="C2384" s="5"/>
    </row>
    <row r="2385" spans="1:12" hidden="1" x14ac:dyDescent="0.3">
      <c r="A2385" s="30" t="s">
        <v>64</v>
      </c>
      <c r="B2385" s="47">
        <v>2019</v>
      </c>
      <c r="C2385" s="5"/>
      <c r="K2385"/>
      <c r="L2385"/>
    </row>
    <row r="2386" spans="1:12" hidden="1" x14ac:dyDescent="0.3">
      <c r="A2386" s="30" t="s">
        <v>64</v>
      </c>
      <c r="B2386" s="47">
        <v>2019</v>
      </c>
      <c r="C2386" s="5"/>
      <c r="K2386"/>
      <c r="L2386"/>
    </row>
    <row r="2387" spans="1:12" hidden="1" x14ac:dyDescent="0.3">
      <c r="A2387" s="30" t="s">
        <v>64</v>
      </c>
      <c r="B2387" s="47">
        <v>2019</v>
      </c>
      <c r="C2387" s="5"/>
      <c r="K2387"/>
      <c r="L2387"/>
    </row>
    <row r="2388" spans="1:12" hidden="1" x14ac:dyDescent="0.3">
      <c r="A2388" s="30" t="s">
        <v>64</v>
      </c>
      <c r="B2388" s="47">
        <v>2019</v>
      </c>
      <c r="C2388" s="5"/>
      <c r="K2388"/>
      <c r="L2388"/>
    </row>
    <row r="2389" spans="1:12" hidden="1" x14ac:dyDescent="0.3">
      <c r="A2389" s="30" t="s">
        <v>64</v>
      </c>
      <c r="B2389" s="47">
        <v>2019</v>
      </c>
      <c r="C2389" s="5"/>
      <c r="K2389"/>
      <c r="L2389"/>
    </row>
    <row r="2390" spans="1:12" hidden="1" x14ac:dyDescent="0.3">
      <c r="A2390" s="41" t="s">
        <v>64</v>
      </c>
      <c r="B2390" s="51">
        <v>2019</v>
      </c>
      <c r="C2390" s="37"/>
      <c r="K2390"/>
      <c r="L2390"/>
    </row>
    <row r="2391" spans="1:12" hidden="1" x14ac:dyDescent="0.3">
      <c r="A2391" s="41" t="s">
        <v>64</v>
      </c>
      <c r="B2391" s="51">
        <v>2019</v>
      </c>
      <c r="C2391" s="37"/>
      <c r="K2391"/>
      <c r="L2391"/>
    </row>
    <row r="2392" spans="1:12" hidden="1" x14ac:dyDescent="0.3">
      <c r="A2392" s="41" t="s">
        <v>64</v>
      </c>
      <c r="B2392" s="51">
        <v>2019</v>
      </c>
      <c r="C2392" s="37"/>
      <c r="K2392"/>
      <c r="L2392"/>
    </row>
    <row r="2393" spans="1:12" hidden="1" x14ac:dyDescent="0.3">
      <c r="A2393" s="41" t="s">
        <v>64</v>
      </c>
      <c r="B2393" s="51">
        <v>2019</v>
      </c>
      <c r="C2393" s="37"/>
      <c r="K2393"/>
      <c r="L2393"/>
    </row>
    <row r="2394" spans="1:12" x14ac:dyDescent="0.3">
      <c r="A2394" s="44" t="s">
        <v>18</v>
      </c>
      <c r="B2394" s="45"/>
      <c r="C2394" s="16" t="s">
        <v>153</v>
      </c>
      <c r="D2394">
        <v>1.2003715379132564E-2</v>
      </c>
      <c r="E2394">
        <v>1.7803636311487941E-2</v>
      </c>
      <c r="F2394">
        <v>2.523595505617978</v>
      </c>
      <c r="G2394">
        <f>F2394/1000</f>
        <v>2.523595505617978E-3</v>
      </c>
      <c r="H2394">
        <v>20.154444444444454</v>
      </c>
      <c r="I2394">
        <f>H2394/1000</f>
        <v>2.0154444444444454E-2</v>
      </c>
      <c r="K2394" s="87">
        <f>E2394*4000</f>
        <v>71.214545245951768</v>
      </c>
      <c r="L2394" s="87">
        <f>D2394*4000</f>
        <v>48.014861516530253</v>
      </c>
    </row>
    <row r="2395" spans="1:12" hidden="1" x14ac:dyDescent="0.3">
      <c r="A2395" s="44" t="s">
        <v>18</v>
      </c>
      <c r="B2395" s="45" t="s">
        <v>18</v>
      </c>
      <c r="K2395"/>
      <c r="L2395"/>
    </row>
    <row r="2396" spans="1:12" hidden="1" x14ac:dyDescent="0.3">
      <c r="A2396" s="30" t="s">
        <v>96</v>
      </c>
      <c r="B2396" s="47">
        <v>2019</v>
      </c>
      <c r="K2396"/>
      <c r="L2396"/>
    </row>
    <row r="2397" spans="1:12" hidden="1" x14ac:dyDescent="0.3">
      <c r="A2397" s="44" t="s">
        <v>18</v>
      </c>
      <c r="B2397" s="45" t="s">
        <v>18</v>
      </c>
      <c r="K2397"/>
      <c r="L2397"/>
    </row>
    <row r="2398" spans="1:12" hidden="1" x14ac:dyDescent="0.3">
      <c r="A2398" s="44" t="s">
        <v>18</v>
      </c>
      <c r="B2398" s="45" t="s">
        <v>18</v>
      </c>
      <c r="K2398"/>
      <c r="L2398"/>
    </row>
    <row r="2399" spans="1:12" hidden="1" x14ac:dyDescent="0.3">
      <c r="A2399" s="30" t="s">
        <v>96</v>
      </c>
      <c r="B2399" s="47">
        <v>2019</v>
      </c>
      <c r="K2399"/>
      <c r="L2399"/>
    </row>
    <row r="2400" spans="1:12" hidden="1" x14ac:dyDescent="0.3">
      <c r="A2400" s="30" t="s">
        <v>18</v>
      </c>
      <c r="B2400" s="30" t="s">
        <v>18</v>
      </c>
      <c r="K2400"/>
      <c r="L2400"/>
    </row>
    <row r="2401" spans="1:3" customFormat="1" hidden="1" x14ac:dyDescent="0.3">
      <c r="A2401" s="44" t="s">
        <v>18</v>
      </c>
      <c r="B2401" s="45" t="s">
        <v>18</v>
      </c>
      <c r="C2401" s="16"/>
    </row>
    <row r="2402" spans="1:3" customFormat="1" hidden="1" x14ac:dyDescent="0.3">
      <c r="A2402" s="30" t="s">
        <v>96</v>
      </c>
      <c r="B2402" s="47">
        <v>2019</v>
      </c>
      <c r="C2402" s="16"/>
    </row>
    <row r="2403" spans="1:3" customFormat="1" hidden="1" x14ac:dyDescent="0.3">
      <c r="A2403" s="30" t="s">
        <v>96</v>
      </c>
      <c r="B2403" s="47">
        <v>2019</v>
      </c>
      <c r="C2403" s="16"/>
    </row>
    <row r="2404" spans="1:3" customFormat="1" hidden="1" x14ac:dyDescent="0.3">
      <c r="A2404" s="44" t="s">
        <v>18</v>
      </c>
      <c r="B2404" s="45" t="s">
        <v>18</v>
      </c>
      <c r="C2404" s="16"/>
    </row>
    <row r="2405" spans="1:3" customFormat="1" hidden="1" x14ac:dyDescent="0.3">
      <c r="A2405" s="30" t="s">
        <v>96</v>
      </c>
      <c r="B2405" s="47">
        <v>2019</v>
      </c>
      <c r="C2405" s="16"/>
    </row>
    <row r="2406" spans="1:3" customFormat="1" hidden="1" x14ac:dyDescent="0.3">
      <c r="A2406" s="30" t="s">
        <v>96</v>
      </c>
      <c r="B2406" s="47">
        <v>2019</v>
      </c>
      <c r="C2406" s="16"/>
    </row>
    <row r="2407" spans="1:3" customFormat="1" hidden="1" x14ac:dyDescent="0.3">
      <c r="A2407" s="49" t="s">
        <v>18</v>
      </c>
      <c r="B2407" s="49" t="s">
        <v>18</v>
      </c>
      <c r="C2407" s="35"/>
    </row>
    <row r="2408" spans="1:3" customFormat="1" hidden="1" x14ac:dyDescent="0.3">
      <c r="A2408" s="30" t="s">
        <v>96</v>
      </c>
      <c r="B2408" s="47">
        <v>2019</v>
      </c>
      <c r="C2408" s="16"/>
    </row>
    <row r="2409" spans="1:3" customFormat="1" hidden="1" x14ac:dyDescent="0.3">
      <c r="A2409" s="30" t="s">
        <v>96</v>
      </c>
      <c r="B2409" s="47">
        <v>2019</v>
      </c>
      <c r="C2409" s="16"/>
    </row>
    <row r="2410" spans="1:3" customFormat="1" hidden="1" x14ac:dyDescent="0.3">
      <c r="A2410" s="30" t="s">
        <v>96</v>
      </c>
      <c r="B2410" s="47">
        <v>2019</v>
      </c>
      <c r="C2410" s="16"/>
    </row>
    <row r="2411" spans="1:3" customFormat="1" hidden="1" x14ac:dyDescent="0.3">
      <c r="A2411" s="30" t="s">
        <v>96</v>
      </c>
      <c r="B2411" s="47">
        <v>2019</v>
      </c>
      <c r="C2411" s="16"/>
    </row>
    <row r="2412" spans="1:3" customFormat="1" hidden="1" x14ac:dyDescent="0.3">
      <c r="A2412" s="30" t="s">
        <v>96</v>
      </c>
      <c r="B2412" s="47">
        <v>2019</v>
      </c>
      <c r="C2412" s="16"/>
    </row>
    <row r="2413" spans="1:3" customFormat="1" hidden="1" x14ac:dyDescent="0.3">
      <c r="A2413" s="44" t="s">
        <v>18</v>
      </c>
      <c r="B2413" s="45" t="s">
        <v>18</v>
      </c>
      <c r="C2413" s="16"/>
    </row>
    <row r="2414" spans="1:3" customFormat="1" hidden="1" x14ac:dyDescent="0.3">
      <c r="A2414" s="30" t="s">
        <v>96</v>
      </c>
      <c r="B2414" s="47">
        <v>2019</v>
      </c>
      <c r="C2414" s="16"/>
    </row>
    <row r="2415" spans="1:3" customFormat="1" hidden="1" x14ac:dyDescent="0.3">
      <c r="A2415" s="30" t="s">
        <v>96</v>
      </c>
      <c r="B2415" s="47">
        <v>2019</v>
      </c>
      <c r="C2415" s="16"/>
    </row>
    <row r="2416" spans="1:3" customFormat="1" hidden="1" x14ac:dyDescent="0.3">
      <c r="A2416" s="30" t="s">
        <v>96</v>
      </c>
      <c r="B2416" s="47">
        <v>2019</v>
      </c>
      <c r="C2416" s="16"/>
    </row>
    <row r="2417" spans="1:3" customFormat="1" hidden="1" x14ac:dyDescent="0.3">
      <c r="A2417" s="30" t="s">
        <v>96</v>
      </c>
      <c r="B2417" s="47">
        <v>2019</v>
      </c>
      <c r="C2417" s="16"/>
    </row>
    <row r="2418" spans="1:3" customFormat="1" hidden="1" x14ac:dyDescent="0.3">
      <c r="A2418" s="30" t="s">
        <v>96</v>
      </c>
      <c r="B2418" s="47">
        <v>2019</v>
      </c>
      <c r="C2418" s="16"/>
    </row>
    <row r="2419" spans="1:3" customFormat="1" hidden="1" x14ac:dyDescent="0.3">
      <c r="A2419" s="30" t="s">
        <v>96</v>
      </c>
      <c r="B2419" s="47">
        <v>2019</v>
      </c>
      <c r="C2419" s="16"/>
    </row>
    <row r="2420" spans="1:3" customFormat="1" hidden="1" x14ac:dyDescent="0.3">
      <c r="A2420" s="49" t="s">
        <v>18</v>
      </c>
      <c r="B2420" s="49" t="s">
        <v>18</v>
      </c>
      <c r="C2420" s="35"/>
    </row>
    <row r="2421" spans="1:3" customFormat="1" hidden="1" x14ac:dyDescent="0.3">
      <c r="A2421" s="49" t="s">
        <v>18</v>
      </c>
      <c r="B2421" s="49" t="s">
        <v>18</v>
      </c>
      <c r="C2421" s="35"/>
    </row>
    <row r="2422" spans="1:3" customFormat="1" hidden="1" x14ac:dyDescent="0.3">
      <c r="A2422" s="30" t="s">
        <v>96</v>
      </c>
      <c r="B2422" s="47">
        <v>2019</v>
      </c>
      <c r="C2422" s="16"/>
    </row>
    <row r="2423" spans="1:3" customFormat="1" hidden="1" x14ac:dyDescent="0.3">
      <c r="A2423" s="30" t="s">
        <v>96</v>
      </c>
      <c r="B2423" s="47">
        <v>2019</v>
      </c>
      <c r="C2423" s="16"/>
    </row>
    <row r="2424" spans="1:3" customFormat="1" hidden="1" x14ac:dyDescent="0.3">
      <c r="A2424" s="30" t="s">
        <v>96</v>
      </c>
      <c r="B2424" s="47">
        <v>2019</v>
      </c>
      <c r="C2424" s="16"/>
    </row>
    <row r="2425" spans="1:3" customFormat="1" hidden="1" x14ac:dyDescent="0.3">
      <c r="A2425" s="30" t="s">
        <v>96</v>
      </c>
      <c r="B2425" s="47">
        <v>2019</v>
      </c>
      <c r="C2425" s="16"/>
    </row>
    <row r="2426" spans="1:3" customFormat="1" hidden="1" x14ac:dyDescent="0.3">
      <c r="A2426" s="30" t="s">
        <v>96</v>
      </c>
      <c r="B2426" s="47">
        <v>2019</v>
      </c>
      <c r="C2426" s="16"/>
    </row>
    <row r="2427" spans="1:3" customFormat="1" hidden="1" x14ac:dyDescent="0.3">
      <c r="A2427" s="30" t="s">
        <v>96</v>
      </c>
      <c r="B2427" s="47">
        <v>2019</v>
      </c>
      <c r="C2427" s="16"/>
    </row>
    <row r="2428" spans="1:3" customFormat="1" hidden="1" x14ac:dyDescent="0.3">
      <c r="A2428" s="30" t="s">
        <v>96</v>
      </c>
      <c r="B2428" s="47">
        <v>2019</v>
      </c>
      <c r="C2428" s="16"/>
    </row>
    <row r="2429" spans="1:3" customFormat="1" hidden="1" x14ac:dyDescent="0.3">
      <c r="A2429" s="30" t="s">
        <v>96</v>
      </c>
      <c r="B2429" s="47">
        <v>2019</v>
      </c>
      <c r="C2429" s="16"/>
    </row>
    <row r="2430" spans="1:3" customFormat="1" hidden="1" x14ac:dyDescent="0.3">
      <c r="A2430" s="49" t="s">
        <v>18</v>
      </c>
      <c r="B2430" s="49" t="s">
        <v>18</v>
      </c>
      <c r="C2430" s="35"/>
    </row>
    <row r="2431" spans="1:3" customFormat="1" hidden="1" x14ac:dyDescent="0.3">
      <c r="A2431" s="30" t="s">
        <v>96</v>
      </c>
      <c r="B2431" s="47">
        <v>2019</v>
      </c>
      <c r="C2431" s="16"/>
    </row>
    <row r="2432" spans="1:3" customFormat="1" hidden="1" x14ac:dyDescent="0.3">
      <c r="A2432" s="49" t="s">
        <v>18</v>
      </c>
      <c r="B2432" s="49" t="s">
        <v>18</v>
      </c>
      <c r="C2432" s="35"/>
    </row>
    <row r="2433" spans="1:3" customFormat="1" hidden="1" x14ac:dyDescent="0.3">
      <c r="A2433" s="30" t="s">
        <v>96</v>
      </c>
      <c r="B2433" s="47">
        <v>2019</v>
      </c>
      <c r="C2433" s="16"/>
    </row>
    <row r="2434" spans="1:3" customFormat="1" hidden="1" x14ac:dyDescent="0.3">
      <c r="A2434" s="30" t="s">
        <v>96</v>
      </c>
      <c r="B2434" s="47">
        <v>2019</v>
      </c>
      <c r="C2434" s="16"/>
    </row>
    <row r="2435" spans="1:3" customFormat="1" hidden="1" x14ac:dyDescent="0.3">
      <c r="A2435" s="30" t="s">
        <v>96</v>
      </c>
      <c r="B2435" s="47">
        <v>2019</v>
      </c>
      <c r="C2435" s="16"/>
    </row>
    <row r="2436" spans="1:3" customFormat="1" hidden="1" x14ac:dyDescent="0.3">
      <c r="A2436" s="30" t="s">
        <v>96</v>
      </c>
      <c r="B2436" s="47">
        <v>2019</v>
      </c>
      <c r="C2436" s="16"/>
    </row>
    <row r="2437" spans="1:3" customFormat="1" hidden="1" x14ac:dyDescent="0.3">
      <c r="A2437" s="30" t="s">
        <v>96</v>
      </c>
      <c r="B2437" s="47">
        <v>2019</v>
      </c>
      <c r="C2437" s="16"/>
    </row>
    <row r="2438" spans="1:3" customFormat="1" hidden="1" x14ac:dyDescent="0.3">
      <c r="A2438" s="30" t="s">
        <v>96</v>
      </c>
      <c r="B2438" s="47">
        <v>2019</v>
      </c>
      <c r="C2438" s="16"/>
    </row>
    <row r="2439" spans="1:3" customFormat="1" hidden="1" x14ac:dyDescent="0.3">
      <c r="A2439" s="30" t="s">
        <v>96</v>
      </c>
      <c r="B2439" s="47">
        <v>2019</v>
      </c>
      <c r="C2439" s="16"/>
    </row>
    <row r="2440" spans="1:3" customFormat="1" hidden="1" x14ac:dyDescent="0.3">
      <c r="A2440" s="30" t="s">
        <v>96</v>
      </c>
      <c r="B2440" s="47">
        <v>2019</v>
      </c>
      <c r="C2440" s="16"/>
    </row>
    <row r="2441" spans="1:3" customFormat="1" hidden="1" x14ac:dyDescent="0.3">
      <c r="A2441" s="49" t="s">
        <v>18</v>
      </c>
      <c r="B2441" s="49" t="s">
        <v>18</v>
      </c>
      <c r="C2441" s="35"/>
    </row>
    <row r="2442" spans="1:3" customFormat="1" hidden="1" x14ac:dyDescent="0.3">
      <c r="A2442" s="30" t="s">
        <v>96</v>
      </c>
      <c r="B2442" s="47">
        <v>2019</v>
      </c>
      <c r="C2442" s="16"/>
    </row>
    <row r="2443" spans="1:3" customFormat="1" hidden="1" x14ac:dyDescent="0.3">
      <c r="A2443" s="30" t="s">
        <v>96</v>
      </c>
      <c r="B2443" s="47">
        <v>2019</v>
      </c>
      <c r="C2443" s="16"/>
    </row>
    <row r="2444" spans="1:3" customFormat="1" hidden="1" x14ac:dyDescent="0.3">
      <c r="A2444" s="30" t="s">
        <v>96</v>
      </c>
      <c r="B2444" s="47">
        <v>2019</v>
      </c>
      <c r="C2444" s="16"/>
    </row>
    <row r="2445" spans="1:3" customFormat="1" hidden="1" x14ac:dyDescent="0.3">
      <c r="A2445" s="30" t="s">
        <v>96</v>
      </c>
      <c r="B2445" s="47">
        <v>2019</v>
      </c>
      <c r="C2445" s="16"/>
    </row>
    <row r="2446" spans="1:3" customFormat="1" hidden="1" x14ac:dyDescent="0.3">
      <c r="A2446" s="30" t="s">
        <v>96</v>
      </c>
      <c r="B2446" s="47">
        <v>2019</v>
      </c>
      <c r="C2446" s="16"/>
    </row>
    <row r="2447" spans="1:3" customFormat="1" hidden="1" x14ac:dyDescent="0.3">
      <c r="A2447" s="30" t="s">
        <v>96</v>
      </c>
      <c r="B2447" s="47">
        <v>2019</v>
      </c>
      <c r="C2447" s="16"/>
    </row>
    <row r="2448" spans="1:3" customFormat="1" hidden="1" x14ac:dyDescent="0.3">
      <c r="A2448" s="30" t="s">
        <v>96</v>
      </c>
      <c r="B2448" s="47">
        <v>2019</v>
      </c>
      <c r="C2448" s="16"/>
    </row>
    <row r="2449" spans="1:12" hidden="1" x14ac:dyDescent="0.3">
      <c r="A2449" s="30" t="s">
        <v>96</v>
      </c>
      <c r="B2449" s="47">
        <v>2019</v>
      </c>
      <c r="K2449"/>
      <c r="L2449"/>
    </row>
    <row r="2450" spans="1:12" hidden="1" x14ac:dyDescent="0.3">
      <c r="A2450" s="41" t="s">
        <v>96</v>
      </c>
      <c r="B2450" s="51">
        <v>2019</v>
      </c>
      <c r="C2450" s="36"/>
      <c r="K2450"/>
      <c r="L2450"/>
    </row>
    <row r="2451" spans="1:12" hidden="1" x14ac:dyDescent="0.3">
      <c r="A2451" s="41" t="s">
        <v>96</v>
      </c>
      <c r="B2451" s="51">
        <v>2019</v>
      </c>
      <c r="C2451" s="36"/>
      <c r="K2451"/>
      <c r="L2451"/>
    </row>
    <row r="2452" spans="1:12" hidden="1" x14ac:dyDescent="0.3">
      <c r="A2452" s="41" t="s">
        <v>96</v>
      </c>
      <c r="B2452" s="51">
        <v>2019</v>
      </c>
      <c r="C2452" s="36"/>
      <c r="K2452"/>
      <c r="L2452"/>
    </row>
    <row r="2453" spans="1:12" hidden="1" x14ac:dyDescent="0.3">
      <c r="A2453" s="41" t="s">
        <v>96</v>
      </c>
      <c r="B2453" s="51">
        <v>2019</v>
      </c>
      <c r="C2453" s="36"/>
      <c r="K2453"/>
      <c r="L2453"/>
    </row>
    <row r="2454" spans="1:12" x14ac:dyDescent="0.3">
      <c r="A2454" s="44" t="s">
        <v>18</v>
      </c>
      <c r="B2454" s="45"/>
      <c r="C2454" s="16" t="s">
        <v>154</v>
      </c>
      <c r="D2454">
        <v>7.8196781134865969E-3</v>
      </c>
      <c r="E2454">
        <v>1.4114440985183897E-2</v>
      </c>
      <c r="F2454">
        <v>3.0217391304347818</v>
      </c>
      <c r="G2454">
        <f>F2454/1000</f>
        <v>3.0217391304347817E-3</v>
      </c>
      <c r="H2454">
        <v>13.95652173913043</v>
      </c>
      <c r="I2454">
        <f>H2454/1000</f>
        <v>1.395652173913043E-2</v>
      </c>
      <c r="K2454" s="87">
        <f>E2454*4000</f>
        <v>56.457763940735589</v>
      </c>
      <c r="L2454" s="87">
        <f>D2454*4000</f>
        <v>31.278712453946387</v>
      </c>
    </row>
    <row r="2455" spans="1:12" hidden="1" x14ac:dyDescent="0.3">
      <c r="A2455" s="44" t="s">
        <v>18</v>
      </c>
      <c r="B2455" s="45" t="s">
        <v>18</v>
      </c>
      <c r="K2455"/>
      <c r="L2455"/>
    </row>
    <row r="2456" spans="1:12" hidden="1" x14ac:dyDescent="0.3">
      <c r="A2456" s="30" t="s">
        <v>33</v>
      </c>
      <c r="B2456" s="47">
        <v>2019</v>
      </c>
      <c r="K2456"/>
      <c r="L2456"/>
    </row>
    <row r="2457" spans="1:12" hidden="1" x14ac:dyDescent="0.3">
      <c r="A2457" s="45" t="s">
        <v>18</v>
      </c>
      <c r="B2457" s="45" t="s">
        <v>18</v>
      </c>
      <c r="K2457"/>
      <c r="L2457"/>
    </row>
    <row r="2458" spans="1:12" hidden="1" x14ac:dyDescent="0.3">
      <c r="A2458" s="45" t="s">
        <v>18</v>
      </c>
      <c r="B2458" s="45" t="s">
        <v>18</v>
      </c>
      <c r="K2458"/>
      <c r="L2458"/>
    </row>
    <row r="2459" spans="1:12" hidden="1" x14ac:dyDescent="0.3">
      <c r="A2459" s="30" t="s">
        <v>33</v>
      </c>
      <c r="B2459" s="47">
        <v>2019</v>
      </c>
      <c r="K2459"/>
      <c r="L2459"/>
    </row>
    <row r="2460" spans="1:12" hidden="1" x14ac:dyDescent="0.3">
      <c r="A2460" s="66" t="s">
        <v>18</v>
      </c>
      <c r="B2460" s="66" t="s">
        <v>18</v>
      </c>
      <c r="K2460"/>
      <c r="L2460"/>
    </row>
    <row r="2461" spans="1:12" hidden="1" x14ac:dyDescent="0.3">
      <c r="A2461" s="45" t="s">
        <v>18</v>
      </c>
      <c r="B2461" s="45" t="s">
        <v>18</v>
      </c>
      <c r="K2461"/>
      <c r="L2461"/>
    </row>
    <row r="2462" spans="1:12" hidden="1" x14ac:dyDescent="0.3">
      <c r="A2462" s="30" t="s">
        <v>33</v>
      </c>
      <c r="B2462" s="47">
        <v>2019</v>
      </c>
      <c r="K2462"/>
      <c r="L2462"/>
    </row>
    <row r="2463" spans="1:12" hidden="1" x14ac:dyDescent="0.3">
      <c r="A2463" s="30" t="s">
        <v>33</v>
      </c>
      <c r="B2463" s="47">
        <v>2019</v>
      </c>
      <c r="K2463"/>
      <c r="L2463"/>
    </row>
    <row r="2464" spans="1:12" hidden="1" x14ac:dyDescent="0.3">
      <c r="A2464" s="45" t="s">
        <v>18</v>
      </c>
      <c r="B2464" s="45" t="s">
        <v>18</v>
      </c>
      <c r="K2464"/>
      <c r="L2464"/>
    </row>
    <row r="2465" spans="1:3" customFormat="1" hidden="1" x14ac:dyDescent="0.3">
      <c r="A2465" s="30" t="s">
        <v>33</v>
      </c>
      <c r="B2465" s="47">
        <v>2019</v>
      </c>
      <c r="C2465" s="16"/>
    </row>
    <row r="2466" spans="1:3" customFormat="1" hidden="1" x14ac:dyDescent="0.3">
      <c r="A2466" s="30" t="s">
        <v>33</v>
      </c>
      <c r="B2466" s="47">
        <v>2019</v>
      </c>
      <c r="C2466" s="16"/>
    </row>
    <row r="2467" spans="1:3" customFormat="1" hidden="1" x14ac:dyDescent="0.3">
      <c r="A2467" s="49" t="s">
        <v>18</v>
      </c>
      <c r="B2467" s="49" t="s">
        <v>18</v>
      </c>
      <c r="C2467" s="35"/>
    </row>
    <row r="2468" spans="1:3" customFormat="1" hidden="1" x14ac:dyDescent="0.3">
      <c r="A2468" s="30" t="s">
        <v>33</v>
      </c>
      <c r="B2468" s="47">
        <v>2019</v>
      </c>
      <c r="C2468" s="16"/>
    </row>
    <row r="2469" spans="1:3" customFormat="1" hidden="1" x14ac:dyDescent="0.3">
      <c r="A2469" s="30" t="s">
        <v>33</v>
      </c>
      <c r="B2469" s="47">
        <v>2019</v>
      </c>
      <c r="C2469" s="16"/>
    </row>
    <row r="2470" spans="1:3" customFormat="1" hidden="1" x14ac:dyDescent="0.3">
      <c r="A2470" s="30" t="s">
        <v>33</v>
      </c>
      <c r="B2470" s="47">
        <v>2019</v>
      </c>
      <c r="C2470" s="16"/>
    </row>
    <row r="2471" spans="1:3" customFormat="1" hidden="1" x14ac:dyDescent="0.3">
      <c r="A2471" s="30" t="s">
        <v>33</v>
      </c>
      <c r="B2471" s="47">
        <v>2019</v>
      </c>
      <c r="C2471" s="16"/>
    </row>
    <row r="2472" spans="1:3" customFormat="1" hidden="1" x14ac:dyDescent="0.3">
      <c r="A2472" s="30" t="s">
        <v>33</v>
      </c>
      <c r="B2472" s="47">
        <v>2019</v>
      </c>
      <c r="C2472" s="16"/>
    </row>
    <row r="2473" spans="1:3" customFormat="1" hidden="1" x14ac:dyDescent="0.3">
      <c r="A2473" s="45" t="s">
        <v>18</v>
      </c>
      <c r="B2473" s="45" t="s">
        <v>18</v>
      </c>
      <c r="C2473" s="16"/>
    </row>
    <row r="2474" spans="1:3" customFormat="1" hidden="1" x14ac:dyDescent="0.3">
      <c r="A2474" s="30" t="s">
        <v>33</v>
      </c>
      <c r="B2474" s="47">
        <v>2019</v>
      </c>
      <c r="C2474" s="16"/>
    </row>
    <row r="2475" spans="1:3" customFormat="1" hidden="1" x14ac:dyDescent="0.3">
      <c r="A2475" s="30" t="s">
        <v>33</v>
      </c>
      <c r="B2475" s="47">
        <v>2019</v>
      </c>
      <c r="C2475" s="16"/>
    </row>
    <row r="2476" spans="1:3" customFormat="1" hidden="1" x14ac:dyDescent="0.3">
      <c r="A2476" s="30" t="s">
        <v>33</v>
      </c>
      <c r="B2476" s="47">
        <v>2019</v>
      </c>
      <c r="C2476" s="16"/>
    </row>
    <row r="2477" spans="1:3" customFormat="1" hidden="1" x14ac:dyDescent="0.3">
      <c r="A2477" s="30" t="s">
        <v>33</v>
      </c>
      <c r="B2477" s="47">
        <v>2019</v>
      </c>
      <c r="C2477" s="16"/>
    </row>
    <row r="2478" spans="1:3" customFormat="1" hidden="1" x14ac:dyDescent="0.3">
      <c r="A2478" s="30" t="s">
        <v>33</v>
      </c>
      <c r="B2478" s="47">
        <v>2019</v>
      </c>
      <c r="C2478" s="16"/>
    </row>
    <row r="2479" spans="1:3" customFormat="1" hidden="1" x14ac:dyDescent="0.3">
      <c r="A2479" s="30" t="s">
        <v>33</v>
      </c>
      <c r="B2479" s="47">
        <v>2019</v>
      </c>
      <c r="C2479" s="5"/>
    </row>
    <row r="2480" spans="1:3" customFormat="1" hidden="1" x14ac:dyDescent="0.3">
      <c r="A2480" s="49" t="s">
        <v>18</v>
      </c>
      <c r="B2480" s="49" t="s">
        <v>18</v>
      </c>
      <c r="C2480" s="35"/>
    </row>
    <row r="2481" spans="1:3" customFormat="1" hidden="1" x14ac:dyDescent="0.3">
      <c r="A2481" s="49" t="s">
        <v>18</v>
      </c>
      <c r="B2481" s="49" t="s">
        <v>18</v>
      </c>
      <c r="C2481" s="35"/>
    </row>
    <row r="2482" spans="1:3" customFormat="1" hidden="1" x14ac:dyDescent="0.3">
      <c r="A2482" s="30" t="s">
        <v>33</v>
      </c>
      <c r="B2482" s="47">
        <v>2019</v>
      </c>
      <c r="C2482" s="16"/>
    </row>
    <row r="2483" spans="1:3" customFormat="1" hidden="1" x14ac:dyDescent="0.3">
      <c r="A2483" s="30" t="s">
        <v>33</v>
      </c>
      <c r="B2483" s="47">
        <v>2019</v>
      </c>
      <c r="C2483" s="16"/>
    </row>
    <row r="2484" spans="1:3" customFormat="1" hidden="1" x14ac:dyDescent="0.3">
      <c r="A2484" s="30" t="s">
        <v>33</v>
      </c>
      <c r="B2484" s="47">
        <v>2019</v>
      </c>
      <c r="C2484" s="16"/>
    </row>
    <row r="2485" spans="1:3" customFormat="1" hidden="1" x14ac:dyDescent="0.3">
      <c r="A2485" s="30" t="s">
        <v>33</v>
      </c>
      <c r="B2485" s="47">
        <v>2019</v>
      </c>
      <c r="C2485" s="16"/>
    </row>
    <row r="2486" spans="1:3" customFormat="1" hidden="1" x14ac:dyDescent="0.3">
      <c r="A2486" s="30" t="s">
        <v>33</v>
      </c>
      <c r="B2486" s="47">
        <v>2019</v>
      </c>
      <c r="C2486" s="16"/>
    </row>
    <row r="2487" spans="1:3" customFormat="1" hidden="1" x14ac:dyDescent="0.3">
      <c r="A2487" s="30" t="s">
        <v>33</v>
      </c>
      <c r="B2487" s="47">
        <v>2019</v>
      </c>
      <c r="C2487" s="16"/>
    </row>
    <row r="2488" spans="1:3" customFormat="1" hidden="1" x14ac:dyDescent="0.3">
      <c r="A2488" s="30" t="s">
        <v>33</v>
      </c>
      <c r="B2488" s="47">
        <v>2019</v>
      </c>
      <c r="C2488" s="5"/>
    </row>
    <row r="2489" spans="1:3" customFormat="1" hidden="1" x14ac:dyDescent="0.3">
      <c r="A2489" s="30" t="s">
        <v>33</v>
      </c>
      <c r="B2489" s="47">
        <v>2019</v>
      </c>
      <c r="C2489" s="5"/>
    </row>
    <row r="2490" spans="1:3" customFormat="1" hidden="1" x14ac:dyDescent="0.3">
      <c r="A2490" s="49" t="s">
        <v>18</v>
      </c>
      <c r="B2490" s="49" t="s">
        <v>18</v>
      </c>
      <c r="C2490" s="35"/>
    </row>
    <row r="2491" spans="1:3" customFormat="1" hidden="1" x14ac:dyDescent="0.3">
      <c r="A2491" s="30" t="s">
        <v>33</v>
      </c>
      <c r="B2491" s="47">
        <v>2019</v>
      </c>
      <c r="C2491" s="16"/>
    </row>
    <row r="2492" spans="1:3" customFormat="1" hidden="1" x14ac:dyDescent="0.3">
      <c r="A2492" s="49" t="s">
        <v>18</v>
      </c>
      <c r="B2492" s="49" t="s">
        <v>18</v>
      </c>
      <c r="C2492" s="35"/>
    </row>
    <row r="2493" spans="1:3" customFormat="1" hidden="1" x14ac:dyDescent="0.3">
      <c r="A2493" s="30" t="s">
        <v>33</v>
      </c>
      <c r="B2493" s="47">
        <v>2019</v>
      </c>
      <c r="C2493" s="16"/>
    </row>
    <row r="2494" spans="1:3" customFormat="1" hidden="1" x14ac:dyDescent="0.3">
      <c r="A2494" s="30" t="s">
        <v>33</v>
      </c>
      <c r="B2494" s="47">
        <v>2019</v>
      </c>
      <c r="C2494" s="16"/>
    </row>
    <row r="2495" spans="1:3" customFormat="1" hidden="1" x14ac:dyDescent="0.3">
      <c r="A2495" s="30" t="s">
        <v>33</v>
      </c>
      <c r="B2495" s="47">
        <v>2019</v>
      </c>
      <c r="C2495" s="16"/>
    </row>
    <row r="2496" spans="1:3" customFormat="1" hidden="1" x14ac:dyDescent="0.3">
      <c r="A2496" s="30" t="s">
        <v>33</v>
      </c>
      <c r="B2496" s="47">
        <v>2019</v>
      </c>
      <c r="C2496" s="16"/>
    </row>
    <row r="2497" spans="1:3" customFormat="1" hidden="1" x14ac:dyDescent="0.3">
      <c r="A2497" s="30" t="s">
        <v>33</v>
      </c>
      <c r="B2497" s="47">
        <v>2019</v>
      </c>
      <c r="C2497" s="16"/>
    </row>
    <row r="2498" spans="1:3" customFormat="1" hidden="1" x14ac:dyDescent="0.3">
      <c r="A2498" s="30" t="s">
        <v>33</v>
      </c>
      <c r="B2498" s="47">
        <v>2019</v>
      </c>
      <c r="C2498" s="16"/>
    </row>
    <row r="2499" spans="1:3" customFormat="1" hidden="1" x14ac:dyDescent="0.3">
      <c r="A2499" s="30" t="s">
        <v>33</v>
      </c>
      <c r="B2499" s="47">
        <v>2019</v>
      </c>
      <c r="C2499" s="16"/>
    </row>
    <row r="2500" spans="1:3" customFormat="1" hidden="1" x14ac:dyDescent="0.3">
      <c r="A2500" s="30" t="s">
        <v>33</v>
      </c>
      <c r="B2500" s="47">
        <v>2019</v>
      </c>
      <c r="C2500" s="16"/>
    </row>
    <row r="2501" spans="1:3" customFormat="1" hidden="1" x14ac:dyDescent="0.3">
      <c r="A2501" s="49" t="s">
        <v>18</v>
      </c>
      <c r="B2501" s="49" t="s">
        <v>18</v>
      </c>
      <c r="C2501" s="35"/>
    </row>
    <row r="2502" spans="1:3" customFormat="1" hidden="1" x14ac:dyDescent="0.3">
      <c r="A2502" s="30" t="s">
        <v>33</v>
      </c>
      <c r="B2502" s="47">
        <v>2019</v>
      </c>
      <c r="C2502" s="16"/>
    </row>
    <row r="2503" spans="1:3" customFormat="1" hidden="1" x14ac:dyDescent="0.3">
      <c r="A2503" s="30" t="s">
        <v>33</v>
      </c>
      <c r="B2503" s="47">
        <v>2019</v>
      </c>
      <c r="C2503" s="5"/>
    </row>
    <row r="2504" spans="1:3" customFormat="1" hidden="1" x14ac:dyDescent="0.3">
      <c r="A2504" s="30" t="s">
        <v>33</v>
      </c>
      <c r="B2504" s="47">
        <v>2019</v>
      </c>
      <c r="C2504" s="5"/>
    </row>
    <row r="2505" spans="1:3" customFormat="1" hidden="1" x14ac:dyDescent="0.3">
      <c r="A2505" s="30" t="s">
        <v>33</v>
      </c>
      <c r="B2505" s="47">
        <v>2019</v>
      </c>
      <c r="C2505" s="16"/>
    </row>
    <row r="2506" spans="1:3" customFormat="1" hidden="1" x14ac:dyDescent="0.3">
      <c r="A2506" s="30" t="s">
        <v>33</v>
      </c>
      <c r="B2506" s="47">
        <v>2019</v>
      </c>
      <c r="C2506" s="16"/>
    </row>
    <row r="2507" spans="1:3" customFormat="1" hidden="1" x14ac:dyDescent="0.3">
      <c r="A2507" s="30" t="s">
        <v>33</v>
      </c>
      <c r="B2507" s="47">
        <v>2019</v>
      </c>
      <c r="C2507" s="16"/>
    </row>
    <row r="2508" spans="1:3" customFormat="1" hidden="1" x14ac:dyDescent="0.3">
      <c r="A2508" s="30" t="s">
        <v>33</v>
      </c>
      <c r="B2508" s="47">
        <v>2019</v>
      </c>
      <c r="C2508" s="16"/>
    </row>
    <row r="2509" spans="1:3" customFormat="1" hidden="1" x14ac:dyDescent="0.3">
      <c r="A2509" s="30" t="s">
        <v>33</v>
      </c>
      <c r="B2509" s="47">
        <v>2019</v>
      </c>
      <c r="C2509" s="16"/>
    </row>
    <row r="2510" spans="1:3" customFormat="1" hidden="1" x14ac:dyDescent="0.3">
      <c r="A2510" s="41" t="s">
        <v>33</v>
      </c>
      <c r="B2510" s="51">
        <v>2019</v>
      </c>
      <c r="C2510" s="36"/>
    </row>
    <row r="2511" spans="1:3" customFormat="1" hidden="1" x14ac:dyDescent="0.3">
      <c r="A2511" s="41" t="s">
        <v>33</v>
      </c>
      <c r="B2511" s="51">
        <v>2019</v>
      </c>
      <c r="C2511" s="36"/>
    </row>
    <row r="2512" spans="1:3" customFormat="1" hidden="1" x14ac:dyDescent="0.3">
      <c r="A2512" s="41" t="s">
        <v>33</v>
      </c>
      <c r="B2512" s="51">
        <v>2019</v>
      </c>
      <c r="C2512" s="36"/>
    </row>
    <row r="2513" spans="1:12" hidden="1" x14ac:dyDescent="0.3">
      <c r="A2513" s="41" t="s">
        <v>33</v>
      </c>
      <c r="B2513" s="51">
        <v>2019</v>
      </c>
      <c r="C2513" s="36"/>
      <c r="K2513"/>
      <c r="L2513"/>
    </row>
    <row r="2514" spans="1:12" x14ac:dyDescent="0.3">
      <c r="A2514" s="44" t="s">
        <v>18</v>
      </c>
      <c r="B2514" s="45"/>
      <c r="C2514" s="16" t="s">
        <v>155</v>
      </c>
      <c r="D2514">
        <v>1.6526863915957736E-2</v>
      </c>
      <c r="E2514">
        <v>2.0460501110257469E-2</v>
      </c>
      <c r="F2514">
        <v>2.3011235955056177</v>
      </c>
      <c r="G2514">
        <f>F2514/1000</f>
        <v>2.3011235955056179E-3</v>
      </c>
      <c r="H2514">
        <v>17.891208791208786</v>
      </c>
      <c r="I2514">
        <f>H2514/1000</f>
        <v>1.7891208791208785E-2</v>
      </c>
      <c r="K2514" s="87">
        <f>E2514*4000</f>
        <v>81.842004441029871</v>
      </c>
      <c r="L2514" s="87">
        <f>D2514*4000</f>
        <v>66.107455663830947</v>
      </c>
    </row>
    <row r="2515" spans="1:12" hidden="1" x14ac:dyDescent="0.3">
      <c r="A2515" s="44" t="s">
        <v>18</v>
      </c>
      <c r="B2515" s="45" t="s">
        <v>18</v>
      </c>
      <c r="K2515"/>
      <c r="L2515"/>
    </row>
    <row r="2516" spans="1:12" hidden="1" x14ac:dyDescent="0.3">
      <c r="A2516" s="30" t="s">
        <v>36</v>
      </c>
      <c r="B2516" s="47">
        <v>2019</v>
      </c>
      <c r="K2516"/>
      <c r="L2516"/>
    </row>
    <row r="2517" spans="1:12" hidden="1" x14ac:dyDescent="0.3">
      <c r="A2517" s="44" t="s">
        <v>18</v>
      </c>
      <c r="B2517" s="45" t="s">
        <v>18</v>
      </c>
      <c r="K2517"/>
      <c r="L2517"/>
    </row>
    <row r="2518" spans="1:12" hidden="1" x14ac:dyDescent="0.3">
      <c r="A2518" s="44" t="s">
        <v>18</v>
      </c>
      <c r="B2518" s="45" t="s">
        <v>18</v>
      </c>
      <c r="K2518"/>
      <c r="L2518"/>
    </row>
    <row r="2519" spans="1:12" hidden="1" x14ac:dyDescent="0.3">
      <c r="A2519" s="30" t="s">
        <v>36</v>
      </c>
      <c r="B2519" s="47">
        <v>2019</v>
      </c>
      <c r="K2519"/>
      <c r="L2519"/>
    </row>
    <row r="2520" spans="1:12" hidden="1" x14ac:dyDescent="0.3">
      <c r="A2520" s="66" t="s">
        <v>18</v>
      </c>
      <c r="B2520" s="66" t="s">
        <v>18</v>
      </c>
      <c r="K2520"/>
      <c r="L2520"/>
    </row>
    <row r="2521" spans="1:12" hidden="1" x14ac:dyDescent="0.3">
      <c r="A2521" s="44" t="s">
        <v>18</v>
      </c>
      <c r="B2521" s="45" t="s">
        <v>18</v>
      </c>
      <c r="K2521"/>
      <c r="L2521"/>
    </row>
    <row r="2522" spans="1:12" hidden="1" x14ac:dyDescent="0.3">
      <c r="A2522" s="30" t="s">
        <v>36</v>
      </c>
      <c r="B2522" s="47">
        <v>2019</v>
      </c>
      <c r="K2522"/>
      <c r="L2522"/>
    </row>
    <row r="2523" spans="1:12" hidden="1" x14ac:dyDescent="0.3">
      <c r="A2523" s="30" t="s">
        <v>36</v>
      </c>
      <c r="B2523" s="47">
        <v>2019</v>
      </c>
      <c r="K2523"/>
      <c r="L2523"/>
    </row>
    <row r="2524" spans="1:12" hidden="1" x14ac:dyDescent="0.3">
      <c r="A2524" s="44" t="s">
        <v>18</v>
      </c>
      <c r="B2524" s="45" t="s">
        <v>18</v>
      </c>
      <c r="K2524"/>
      <c r="L2524"/>
    </row>
    <row r="2525" spans="1:12" hidden="1" x14ac:dyDescent="0.3">
      <c r="A2525" s="30" t="s">
        <v>36</v>
      </c>
      <c r="B2525" s="47">
        <v>2019</v>
      </c>
      <c r="K2525"/>
      <c r="L2525"/>
    </row>
    <row r="2526" spans="1:12" hidden="1" x14ac:dyDescent="0.3">
      <c r="A2526" s="30" t="s">
        <v>36</v>
      </c>
      <c r="B2526" s="47">
        <v>2019</v>
      </c>
      <c r="K2526"/>
      <c r="L2526"/>
    </row>
    <row r="2527" spans="1:12" hidden="1" x14ac:dyDescent="0.3">
      <c r="A2527" s="49" t="s">
        <v>18</v>
      </c>
      <c r="B2527" s="49" t="s">
        <v>18</v>
      </c>
      <c r="C2527" s="35"/>
      <c r="K2527"/>
      <c r="L2527"/>
    </row>
    <row r="2528" spans="1:12" hidden="1" x14ac:dyDescent="0.3">
      <c r="A2528" s="30" t="s">
        <v>36</v>
      </c>
      <c r="B2528" s="47">
        <v>2019</v>
      </c>
      <c r="K2528"/>
      <c r="L2528"/>
    </row>
    <row r="2529" spans="1:3" customFormat="1" hidden="1" x14ac:dyDescent="0.3">
      <c r="A2529" s="30" t="s">
        <v>36</v>
      </c>
      <c r="B2529" s="47">
        <v>2019</v>
      </c>
      <c r="C2529" s="16"/>
    </row>
    <row r="2530" spans="1:3" customFormat="1" hidden="1" x14ac:dyDescent="0.3">
      <c r="A2530" s="30" t="s">
        <v>36</v>
      </c>
      <c r="B2530" s="47">
        <v>2019</v>
      </c>
      <c r="C2530" s="16"/>
    </row>
    <row r="2531" spans="1:3" customFormat="1" hidden="1" x14ac:dyDescent="0.3">
      <c r="A2531" s="30" t="s">
        <v>36</v>
      </c>
      <c r="B2531" s="47">
        <v>2019</v>
      </c>
      <c r="C2531" s="16"/>
    </row>
    <row r="2532" spans="1:3" customFormat="1" hidden="1" x14ac:dyDescent="0.3">
      <c r="A2532" s="30" t="s">
        <v>36</v>
      </c>
      <c r="B2532" s="47">
        <v>2019</v>
      </c>
      <c r="C2532" s="16"/>
    </row>
    <row r="2533" spans="1:3" customFormat="1" hidden="1" x14ac:dyDescent="0.3">
      <c r="A2533" s="44" t="s">
        <v>18</v>
      </c>
      <c r="B2533" s="45" t="s">
        <v>18</v>
      </c>
      <c r="C2533" s="16"/>
    </row>
    <row r="2534" spans="1:3" customFormat="1" hidden="1" x14ac:dyDescent="0.3">
      <c r="A2534" s="30" t="s">
        <v>36</v>
      </c>
      <c r="B2534" s="47">
        <v>2019</v>
      </c>
      <c r="C2534" s="16"/>
    </row>
    <row r="2535" spans="1:3" customFormat="1" hidden="1" x14ac:dyDescent="0.3">
      <c r="A2535" s="30" t="s">
        <v>36</v>
      </c>
      <c r="B2535" s="47">
        <v>2019</v>
      </c>
      <c r="C2535" s="16"/>
    </row>
    <row r="2536" spans="1:3" customFormat="1" hidden="1" x14ac:dyDescent="0.3">
      <c r="A2536" s="30" t="s">
        <v>36</v>
      </c>
      <c r="B2536" s="47">
        <v>2019</v>
      </c>
      <c r="C2536" s="16"/>
    </row>
    <row r="2537" spans="1:3" customFormat="1" hidden="1" x14ac:dyDescent="0.3">
      <c r="A2537" s="30" t="s">
        <v>36</v>
      </c>
      <c r="B2537" s="47">
        <v>2019</v>
      </c>
      <c r="C2537" s="16"/>
    </row>
    <row r="2538" spans="1:3" customFormat="1" hidden="1" x14ac:dyDescent="0.3">
      <c r="A2538" s="30" t="s">
        <v>36</v>
      </c>
      <c r="B2538" s="47">
        <v>2019</v>
      </c>
      <c r="C2538" s="16"/>
    </row>
    <row r="2539" spans="1:3" customFormat="1" hidden="1" x14ac:dyDescent="0.3">
      <c r="A2539" s="30" t="s">
        <v>36</v>
      </c>
      <c r="B2539" s="47">
        <v>2019</v>
      </c>
      <c r="C2539" s="16"/>
    </row>
    <row r="2540" spans="1:3" customFormat="1" hidden="1" x14ac:dyDescent="0.3">
      <c r="A2540" s="49" t="s">
        <v>18</v>
      </c>
      <c r="B2540" s="49" t="s">
        <v>18</v>
      </c>
      <c r="C2540" s="35"/>
    </row>
    <row r="2541" spans="1:3" customFormat="1" hidden="1" x14ac:dyDescent="0.3">
      <c r="A2541" s="49" t="s">
        <v>18</v>
      </c>
      <c r="B2541" s="49" t="s">
        <v>18</v>
      </c>
      <c r="C2541" s="35"/>
    </row>
    <row r="2542" spans="1:3" customFormat="1" hidden="1" x14ac:dyDescent="0.3">
      <c r="A2542" s="30" t="s">
        <v>36</v>
      </c>
      <c r="B2542" s="47">
        <v>2019</v>
      </c>
      <c r="C2542" s="16"/>
    </row>
    <row r="2543" spans="1:3" customFormat="1" hidden="1" x14ac:dyDescent="0.3">
      <c r="A2543" s="30" t="s">
        <v>36</v>
      </c>
      <c r="B2543" s="47">
        <v>2019</v>
      </c>
      <c r="C2543" s="16"/>
    </row>
    <row r="2544" spans="1:3" customFormat="1" hidden="1" x14ac:dyDescent="0.3">
      <c r="A2544" s="30" t="s">
        <v>36</v>
      </c>
      <c r="B2544" s="47">
        <v>2019</v>
      </c>
      <c r="C2544" s="16"/>
    </row>
    <row r="2545" spans="1:3" customFormat="1" hidden="1" x14ac:dyDescent="0.3">
      <c r="A2545" s="30" t="s">
        <v>36</v>
      </c>
      <c r="B2545" s="47">
        <v>2019</v>
      </c>
      <c r="C2545" s="16"/>
    </row>
    <row r="2546" spans="1:3" customFormat="1" hidden="1" x14ac:dyDescent="0.3">
      <c r="A2546" s="30" t="s">
        <v>36</v>
      </c>
      <c r="B2546" s="47">
        <v>2019</v>
      </c>
      <c r="C2546" s="16"/>
    </row>
    <row r="2547" spans="1:3" customFormat="1" hidden="1" x14ac:dyDescent="0.3">
      <c r="A2547" s="30" t="s">
        <v>36</v>
      </c>
      <c r="B2547" s="47">
        <v>2019</v>
      </c>
      <c r="C2547" s="16"/>
    </row>
    <row r="2548" spans="1:3" customFormat="1" hidden="1" x14ac:dyDescent="0.3">
      <c r="A2548" s="30" t="s">
        <v>36</v>
      </c>
      <c r="B2548" s="47">
        <v>2019</v>
      </c>
      <c r="C2548" s="16"/>
    </row>
    <row r="2549" spans="1:3" customFormat="1" hidden="1" x14ac:dyDescent="0.3">
      <c r="A2549" s="30" t="s">
        <v>36</v>
      </c>
      <c r="B2549" s="47">
        <v>2019</v>
      </c>
      <c r="C2549" s="16"/>
    </row>
    <row r="2550" spans="1:3" customFormat="1" hidden="1" x14ac:dyDescent="0.3">
      <c r="A2550" s="49" t="s">
        <v>18</v>
      </c>
      <c r="B2550" s="49" t="s">
        <v>18</v>
      </c>
      <c r="C2550" s="35"/>
    </row>
    <row r="2551" spans="1:3" customFormat="1" hidden="1" x14ac:dyDescent="0.3">
      <c r="A2551" s="30" t="s">
        <v>36</v>
      </c>
      <c r="B2551" s="47">
        <v>2019</v>
      </c>
      <c r="C2551" s="16"/>
    </row>
    <row r="2552" spans="1:3" customFormat="1" hidden="1" x14ac:dyDescent="0.3">
      <c r="A2552" s="49" t="s">
        <v>18</v>
      </c>
      <c r="B2552" s="49" t="s">
        <v>18</v>
      </c>
      <c r="C2552" s="35"/>
    </row>
    <row r="2553" spans="1:3" customFormat="1" hidden="1" x14ac:dyDescent="0.3">
      <c r="A2553" s="30" t="s">
        <v>36</v>
      </c>
      <c r="B2553" s="47">
        <v>2019</v>
      </c>
      <c r="C2553" s="16"/>
    </row>
    <row r="2554" spans="1:3" customFormat="1" hidden="1" x14ac:dyDescent="0.3">
      <c r="A2554" s="30" t="s">
        <v>36</v>
      </c>
      <c r="B2554" s="47">
        <v>2019</v>
      </c>
      <c r="C2554" s="16"/>
    </row>
    <row r="2555" spans="1:3" customFormat="1" hidden="1" x14ac:dyDescent="0.3">
      <c r="A2555" s="30" t="s">
        <v>36</v>
      </c>
      <c r="B2555" s="47">
        <v>2019</v>
      </c>
      <c r="C2555" s="16"/>
    </row>
    <row r="2556" spans="1:3" customFormat="1" hidden="1" x14ac:dyDescent="0.3">
      <c r="A2556" s="30" t="s">
        <v>36</v>
      </c>
      <c r="B2556" s="47">
        <v>2019</v>
      </c>
      <c r="C2556" s="16"/>
    </row>
    <row r="2557" spans="1:3" customFormat="1" hidden="1" x14ac:dyDescent="0.3">
      <c r="A2557" s="30" t="s">
        <v>36</v>
      </c>
      <c r="B2557" s="47">
        <v>2019</v>
      </c>
      <c r="C2557" s="16"/>
    </row>
    <row r="2558" spans="1:3" customFormat="1" hidden="1" x14ac:dyDescent="0.3">
      <c r="A2558" s="30" t="s">
        <v>36</v>
      </c>
      <c r="B2558" s="47">
        <v>2019</v>
      </c>
      <c r="C2558" s="16"/>
    </row>
    <row r="2559" spans="1:3" customFormat="1" hidden="1" x14ac:dyDescent="0.3">
      <c r="A2559" s="66" t="s">
        <v>18</v>
      </c>
      <c r="B2559" s="66" t="s">
        <v>18</v>
      </c>
      <c r="C2559" s="16"/>
    </row>
    <row r="2560" spans="1:3" customFormat="1" hidden="1" x14ac:dyDescent="0.3">
      <c r="A2560" s="30" t="s">
        <v>36</v>
      </c>
      <c r="B2560" s="47">
        <v>2019</v>
      </c>
      <c r="C2560" s="16"/>
    </row>
    <row r="2561" spans="1:12" hidden="1" x14ac:dyDescent="0.3">
      <c r="A2561" s="49" t="s">
        <v>18</v>
      </c>
      <c r="B2561" s="49" t="s">
        <v>18</v>
      </c>
      <c r="C2561" s="35"/>
      <c r="K2561"/>
      <c r="L2561"/>
    </row>
    <row r="2562" spans="1:12" hidden="1" x14ac:dyDescent="0.3">
      <c r="A2562" s="30" t="s">
        <v>36</v>
      </c>
      <c r="B2562" s="47">
        <v>2019</v>
      </c>
      <c r="K2562"/>
      <c r="L2562"/>
    </row>
    <row r="2563" spans="1:12" hidden="1" x14ac:dyDescent="0.3">
      <c r="A2563" s="30" t="s">
        <v>36</v>
      </c>
      <c r="B2563" s="47">
        <v>2019</v>
      </c>
      <c r="K2563"/>
      <c r="L2563"/>
    </row>
    <row r="2564" spans="1:12" hidden="1" x14ac:dyDescent="0.3">
      <c r="A2564" s="30" t="s">
        <v>36</v>
      </c>
      <c r="B2564" s="47">
        <v>2019</v>
      </c>
      <c r="K2564"/>
      <c r="L2564"/>
    </row>
    <row r="2565" spans="1:12" hidden="1" x14ac:dyDescent="0.3">
      <c r="A2565" s="30" t="s">
        <v>36</v>
      </c>
      <c r="B2565" s="47">
        <v>2019</v>
      </c>
      <c r="K2565"/>
      <c r="L2565"/>
    </row>
    <row r="2566" spans="1:12" hidden="1" x14ac:dyDescent="0.3">
      <c r="A2566" s="30" t="s">
        <v>36</v>
      </c>
      <c r="B2566" s="47">
        <v>2019</v>
      </c>
      <c r="K2566"/>
      <c r="L2566"/>
    </row>
    <row r="2567" spans="1:12" hidden="1" x14ac:dyDescent="0.3">
      <c r="A2567" s="30" t="s">
        <v>36</v>
      </c>
      <c r="B2567" s="47">
        <v>2019</v>
      </c>
      <c r="K2567"/>
      <c r="L2567"/>
    </row>
    <row r="2568" spans="1:12" hidden="1" x14ac:dyDescent="0.3">
      <c r="A2568" s="30" t="s">
        <v>36</v>
      </c>
      <c r="B2568" s="47">
        <v>2019</v>
      </c>
      <c r="K2568"/>
      <c r="L2568"/>
    </row>
    <row r="2569" spans="1:12" hidden="1" x14ac:dyDescent="0.3">
      <c r="A2569" s="30" t="s">
        <v>36</v>
      </c>
      <c r="B2569" s="47">
        <v>2019</v>
      </c>
      <c r="K2569"/>
      <c r="L2569"/>
    </row>
    <row r="2570" spans="1:12" hidden="1" x14ac:dyDescent="0.3">
      <c r="A2570" s="41" t="s">
        <v>36</v>
      </c>
      <c r="B2570" s="51">
        <v>2019</v>
      </c>
      <c r="C2570" s="36"/>
      <c r="K2570"/>
      <c r="L2570"/>
    </row>
    <row r="2571" spans="1:12" hidden="1" x14ac:dyDescent="0.3">
      <c r="A2571" s="41" t="s">
        <v>36</v>
      </c>
      <c r="B2571" s="51">
        <v>2019</v>
      </c>
      <c r="C2571" s="36"/>
      <c r="K2571"/>
      <c r="L2571"/>
    </row>
    <row r="2572" spans="1:12" hidden="1" x14ac:dyDescent="0.3">
      <c r="A2572" s="41" t="s">
        <v>36</v>
      </c>
      <c r="B2572" s="51">
        <v>2019</v>
      </c>
      <c r="C2572" s="36"/>
      <c r="K2572"/>
      <c r="L2572"/>
    </row>
    <row r="2573" spans="1:12" hidden="1" x14ac:dyDescent="0.3">
      <c r="A2573" s="41" t="s">
        <v>36</v>
      </c>
      <c r="B2573" s="51">
        <v>2019</v>
      </c>
      <c r="C2573" s="36"/>
      <c r="K2573"/>
      <c r="L2573"/>
    </row>
    <row r="2574" spans="1:12" x14ac:dyDescent="0.3">
      <c r="A2574" s="44" t="s">
        <v>18</v>
      </c>
      <c r="B2574" s="45">
        <v>2020</v>
      </c>
      <c r="C2574" s="5" t="s">
        <v>156</v>
      </c>
      <c r="D2574">
        <v>1.4629903920866567E-2</v>
      </c>
      <c r="E2574">
        <v>2.0649840844092368E-2</v>
      </c>
      <c r="F2574">
        <v>1.8711111111111112</v>
      </c>
      <c r="G2574">
        <f>F2574/1000</f>
        <v>1.8711111111111112E-3</v>
      </c>
      <c r="H2574">
        <v>22.248888888888892</v>
      </c>
      <c r="I2574">
        <f>H2574/1000</f>
        <v>2.2248888888888891E-2</v>
      </c>
      <c r="K2574" s="87">
        <f>E2574*4000</f>
        <v>82.599363376369467</v>
      </c>
      <c r="L2574" s="87">
        <f>D2574*4000</f>
        <v>58.51961568346627</v>
      </c>
    </row>
    <row r="2575" spans="1:12" hidden="1" x14ac:dyDescent="0.3">
      <c r="A2575" s="44" t="s">
        <v>18</v>
      </c>
      <c r="B2575" s="45" t="s">
        <v>18</v>
      </c>
      <c r="C2575" s="5"/>
      <c r="K2575"/>
      <c r="L2575"/>
    </row>
    <row r="2576" spans="1:12" hidden="1" x14ac:dyDescent="0.3">
      <c r="A2576" s="30" t="s">
        <v>64</v>
      </c>
      <c r="B2576" s="47">
        <v>2020</v>
      </c>
      <c r="C2576" s="5"/>
      <c r="K2576"/>
      <c r="L2576"/>
    </row>
    <row r="2577" spans="1:3" customFormat="1" hidden="1" x14ac:dyDescent="0.3">
      <c r="A2577" s="44" t="s">
        <v>18</v>
      </c>
      <c r="B2577" s="45" t="s">
        <v>18</v>
      </c>
      <c r="C2577" s="5"/>
    </row>
    <row r="2578" spans="1:3" customFormat="1" hidden="1" x14ac:dyDescent="0.3">
      <c r="A2578" s="44" t="s">
        <v>18</v>
      </c>
      <c r="B2578" s="45" t="s">
        <v>18</v>
      </c>
      <c r="C2578" s="5"/>
    </row>
    <row r="2579" spans="1:3" customFormat="1" hidden="1" x14ac:dyDescent="0.3">
      <c r="A2579" s="30" t="s">
        <v>64</v>
      </c>
      <c r="B2579" s="47">
        <v>2020</v>
      </c>
      <c r="C2579" s="5"/>
    </row>
    <row r="2580" spans="1:3" customFormat="1" hidden="1" x14ac:dyDescent="0.3">
      <c r="A2580" s="66" t="s">
        <v>18</v>
      </c>
      <c r="B2580" s="66" t="s">
        <v>18</v>
      </c>
      <c r="C2580" s="5"/>
    </row>
    <row r="2581" spans="1:3" customFormat="1" hidden="1" x14ac:dyDescent="0.3">
      <c r="A2581" s="44" t="s">
        <v>18</v>
      </c>
      <c r="B2581" s="45" t="s">
        <v>18</v>
      </c>
      <c r="C2581" s="5"/>
    </row>
    <row r="2582" spans="1:3" customFormat="1" hidden="1" x14ac:dyDescent="0.3">
      <c r="A2582" s="30" t="s">
        <v>64</v>
      </c>
      <c r="B2582" s="47">
        <v>2020</v>
      </c>
      <c r="C2582" s="5"/>
    </row>
    <row r="2583" spans="1:3" customFormat="1" hidden="1" x14ac:dyDescent="0.3">
      <c r="A2583" s="30" t="s">
        <v>64</v>
      </c>
      <c r="B2583" s="47">
        <v>2020</v>
      </c>
      <c r="C2583" s="5"/>
    </row>
    <row r="2584" spans="1:3" customFormat="1" hidden="1" x14ac:dyDescent="0.3">
      <c r="A2584" s="44" t="s">
        <v>18</v>
      </c>
      <c r="B2584" s="45" t="s">
        <v>18</v>
      </c>
      <c r="C2584" s="5"/>
    </row>
    <row r="2585" spans="1:3" customFormat="1" hidden="1" x14ac:dyDescent="0.3">
      <c r="A2585" s="30" t="s">
        <v>64</v>
      </c>
      <c r="B2585" s="47">
        <v>2020</v>
      </c>
      <c r="C2585" s="5"/>
    </row>
    <row r="2586" spans="1:3" customFormat="1" hidden="1" x14ac:dyDescent="0.3">
      <c r="A2586" s="30" t="s">
        <v>64</v>
      </c>
      <c r="B2586" s="47">
        <v>2020</v>
      </c>
      <c r="C2586" s="5"/>
    </row>
    <row r="2587" spans="1:3" customFormat="1" hidden="1" x14ac:dyDescent="0.3">
      <c r="A2587" s="49" t="s">
        <v>18</v>
      </c>
      <c r="B2587" s="49" t="s">
        <v>18</v>
      </c>
      <c r="C2587" s="35"/>
    </row>
    <row r="2588" spans="1:3" customFormat="1" hidden="1" x14ac:dyDescent="0.3">
      <c r="A2588" s="30" t="s">
        <v>64</v>
      </c>
      <c r="B2588" s="47">
        <v>2020</v>
      </c>
      <c r="C2588" s="5"/>
    </row>
    <row r="2589" spans="1:3" customFormat="1" hidden="1" x14ac:dyDescent="0.3">
      <c r="A2589" s="30" t="s">
        <v>64</v>
      </c>
      <c r="B2589" s="47">
        <v>2020</v>
      </c>
      <c r="C2589" s="5"/>
    </row>
    <row r="2590" spans="1:3" customFormat="1" hidden="1" x14ac:dyDescent="0.3">
      <c r="A2590" s="30" t="s">
        <v>64</v>
      </c>
      <c r="B2590" s="47">
        <v>2020</v>
      </c>
      <c r="C2590" s="5"/>
    </row>
    <row r="2591" spans="1:3" customFormat="1" hidden="1" x14ac:dyDescent="0.3">
      <c r="A2591" s="30" t="s">
        <v>64</v>
      </c>
      <c r="B2591" s="47">
        <v>2020</v>
      </c>
      <c r="C2591" s="5"/>
    </row>
    <row r="2592" spans="1:3" customFormat="1" hidden="1" x14ac:dyDescent="0.3">
      <c r="A2592" s="30" t="s">
        <v>64</v>
      </c>
      <c r="B2592" s="47">
        <v>2020</v>
      </c>
      <c r="C2592" s="5"/>
    </row>
    <row r="2593" spans="1:3" customFormat="1" hidden="1" x14ac:dyDescent="0.3">
      <c r="A2593" s="44" t="s">
        <v>18</v>
      </c>
      <c r="B2593" s="45" t="s">
        <v>18</v>
      </c>
      <c r="C2593" s="5"/>
    </row>
    <row r="2594" spans="1:3" customFormat="1" hidden="1" x14ac:dyDescent="0.3">
      <c r="A2594" s="30" t="s">
        <v>64</v>
      </c>
      <c r="B2594" s="47">
        <v>2020</v>
      </c>
      <c r="C2594" s="5"/>
    </row>
    <row r="2595" spans="1:3" customFormat="1" hidden="1" x14ac:dyDescent="0.3">
      <c r="A2595" s="30" t="s">
        <v>64</v>
      </c>
      <c r="B2595" s="47">
        <v>2020</v>
      </c>
      <c r="C2595" s="5"/>
    </row>
    <row r="2596" spans="1:3" customFormat="1" hidden="1" x14ac:dyDescent="0.3">
      <c r="A2596" s="30" t="s">
        <v>64</v>
      </c>
      <c r="B2596" s="47">
        <v>2020</v>
      </c>
      <c r="C2596" s="5"/>
    </row>
    <row r="2597" spans="1:3" customFormat="1" hidden="1" x14ac:dyDescent="0.3">
      <c r="A2597" s="30" t="s">
        <v>64</v>
      </c>
      <c r="B2597" s="47">
        <v>2020</v>
      </c>
      <c r="C2597" s="5"/>
    </row>
    <row r="2598" spans="1:3" customFormat="1" hidden="1" x14ac:dyDescent="0.3">
      <c r="A2598" s="30" t="s">
        <v>64</v>
      </c>
      <c r="B2598" s="47">
        <v>2020</v>
      </c>
      <c r="C2598" s="5"/>
    </row>
    <row r="2599" spans="1:3" customFormat="1" hidden="1" x14ac:dyDescent="0.3">
      <c r="A2599" s="30" t="s">
        <v>64</v>
      </c>
      <c r="B2599" s="47">
        <v>2020</v>
      </c>
      <c r="C2599" s="5"/>
    </row>
    <row r="2600" spans="1:3" customFormat="1" hidden="1" x14ac:dyDescent="0.3">
      <c r="A2600" s="49" t="s">
        <v>18</v>
      </c>
      <c r="B2600" s="49" t="s">
        <v>18</v>
      </c>
      <c r="C2600" s="35"/>
    </row>
    <row r="2601" spans="1:3" customFormat="1" hidden="1" x14ac:dyDescent="0.3">
      <c r="A2601" s="49" t="s">
        <v>18</v>
      </c>
      <c r="B2601" s="49" t="s">
        <v>18</v>
      </c>
      <c r="C2601" s="35"/>
    </row>
    <row r="2602" spans="1:3" customFormat="1" hidden="1" x14ac:dyDescent="0.3">
      <c r="A2602" s="30" t="s">
        <v>64</v>
      </c>
      <c r="B2602" s="47">
        <v>2020</v>
      </c>
      <c r="C2602" s="5"/>
    </row>
    <row r="2603" spans="1:3" customFormat="1" hidden="1" x14ac:dyDescent="0.3">
      <c r="A2603" s="30" t="s">
        <v>64</v>
      </c>
      <c r="B2603" s="47">
        <v>2020</v>
      </c>
      <c r="C2603" s="5"/>
    </row>
    <row r="2604" spans="1:3" customFormat="1" hidden="1" x14ac:dyDescent="0.3">
      <c r="A2604" s="30" t="s">
        <v>64</v>
      </c>
      <c r="B2604" s="47">
        <v>2020</v>
      </c>
      <c r="C2604" s="5"/>
    </row>
    <row r="2605" spans="1:3" customFormat="1" hidden="1" x14ac:dyDescent="0.3">
      <c r="A2605" s="30" t="s">
        <v>64</v>
      </c>
      <c r="B2605" s="47">
        <v>2020</v>
      </c>
      <c r="C2605" s="5"/>
    </row>
    <row r="2606" spans="1:3" customFormat="1" hidden="1" x14ac:dyDescent="0.3">
      <c r="A2606" s="30" t="s">
        <v>64</v>
      </c>
      <c r="B2606" s="47">
        <v>2020</v>
      </c>
      <c r="C2606" s="5"/>
    </row>
    <row r="2607" spans="1:3" customFormat="1" hidden="1" x14ac:dyDescent="0.3">
      <c r="A2607" s="30" t="s">
        <v>64</v>
      </c>
      <c r="B2607" s="47">
        <v>2020</v>
      </c>
      <c r="C2607" s="5"/>
    </row>
    <row r="2608" spans="1:3" customFormat="1" hidden="1" x14ac:dyDescent="0.3">
      <c r="A2608" s="30" t="s">
        <v>64</v>
      </c>
      <c r="B2608" s="47">
        <v>2020</v>
      </c>
      <c r="C2608" s="5"/>
    </row>
    <row r="2609" spans="1:3" customFormat="1" hidden="1" x14ac:dyDescent="0.3">
      <c r="A2609" s="30" t="s">
        <v>64</v>
      </c>
      <c r="B2609" s="47">
        <v>2020</v>
      </c>
      <c r="C2609" s="5"/>
    </row>
    <row r="2610" spans="1:3" customFormat="1" hidden="1" x14ac:dyDescent="0.3">
      <c r="A2610" s="49" t="s">
        <v>18</v>
      </c>
      <c r="B2610" s="49" t="s">
        <v>18</v>
      </c>
      <c r="C2610" s="35"/>
    </row>
    <row r="2611" spans="1:3" customFormat="1" hidden="1" x14ac:dyDescent="0.3">
      <c r="A2611" s="30" t="s">
        <v>64</v>
      </c>
      <c r="B2611" s="47">
        <v>2020</v>
      </c>
      <c r="C2611" s="5"/>
    </row>
    <row r="2612" spans="1:3" customFormat="1" hidden="1" x14ac:dyDescent="0.3">
      <c r="A2612" s="49" t="s">
        <v>18</v>
      </c>
      <c r="B2612" s="49" t="s">
        <v>18</v>
      </c>
      <c r="C2612" s="35"/>
    </row>
    <row r="2613" spans="1:3" customFormat="1" hidden="1" x14ac:dyDescent="0.3">
      <c r="A2613" s="30" t="s">
        <v>64</v>
      </c>
      <c r="B2613" s="47">
        <v>2020</v>
      </c>
      <c r="C2613" s="5"/>
    </row>
    <row r="2614" spans="1:3" customFormat="1" hidden="1" x14ac:dyDescent="0.3">
      <c r="A2614" s="30" t="s">
        <v>64</v>
      </c>
      <c r="B2614" s="47">
        <v>2020</v>
      </c>
      <c r="C2614" s="5"/>
    </row>
    <row r="2615" spans="1:3" customFormat="1" hidden="1" x14ac:dyDescent="0.3">
      <c r="A2615" s="30" t="s">
        <v>64</v>
      </c>
      <c r="B2615" s="47">
        <v>2020</v>
      </c>
      <c r="C2615" s="5"/>
    </row>
    <row r="2616" spans="1:3" customFormat="1" hidden="1" x14ac:dyDescent="0.3">
      <c r="A2616" s="30" t="s">
        <v>64</v>
      </c>
      <c r="B2616" s="47">
        <v>2020</v>
      </c>
      <c r="C2616" s="5"/>
    </row>
    <row r="2617" spans="1:3" customFormat="1" hidden="1" x14ac:dyDescent="0.3">
      <c r="A2617" s="30" t="s">
        <v>64</v>
      </c>
      <c r="B2617" s="47">
        <v>2020</v>
      </c>
      <c r="C2617" s="5"/>
    </row>
    <row r="2618" spans="1:3" customFormat="1" hidden="1" x14ac:dyDescent="0.3">
      <c r="A2618" s="30" t="s">
        <v>64</v>
      </c>
      <c r="B2618" s="47">
        <v>2020</v>
      </c>
      <c r="C2618" s="5"/>
    </row>
    <row r="2619" spans="1:3" customFormat="1" hidden="1" x14ac:dyDescent="0.3">
      <c r="A2619" s="66" t="s">
        <v>18</v>
      </c>
      <c r="B2619" s="66" t="s">
        <v>18</v>
      </c>
      <c r="C2619" s="5"/>
    </row>
    <row r="2620" spans="1:3" customFormat="1" hidden="1" x14ac:dyDescent="0.3">
      <c r="A2620" s="30" t="s">
        <v>64</v>
      </c>
      <c r="B2620" s="47">
        <v>2020</v>
      </c>
      <c r="C2620" s="5"/>
    </row>
    <row r="2621" spans="1:3" customFormat="1" hidden="1" x14ac:dyDescent="0.3">
      <c r="A2621" s="49" t="s">
        <v>18</v>
      </c>
      <c r="B2621" s="49" t="s">
        <v>18</v>
      </c>
      <c r="C2621" s="35"/>
    </row>
    <row r="2622" spans="1:3" customFormat="1" hidden="1" x14ac:dyDescent="0.3">
      <c r="A2622" s="30" t="s">
        <v>64</v>
      </c>
      <c r="B2622" s="47">
        <v>2020</v>
      </c>
      <c r="C2622" s="5"/>
    </row>
    <row r="2623" spans="1:3" customFormat="1" hidden="1" x14ac:dyDescent="0.3">
      <c r="A2623" s="30" t="s">
        <v>64</v>
      </c>
      <c r="B2623" s="47">
        <v>2020</v>
      </c>
      <c r="C2623" s="5"/>
    </row>
    <row r="2624" spans="1:3" customFormat="1" hidden="1" x14ac:dyDescent="0.3">
      <c r="A2624" s="30" t="s">
        <v>64</v>
      </c>
      <c r="B2624" s="47">
        <v>2020</v>
      </c>
      <c r="C2624" s="5"/>
    </row>
    <row r="2625" spans="1:3" customFormat="1" hidden="1" x14ac:dyDescent="0.3">
      <c r="A2625" s="30" t="s">
        <v>64</v>
      </c>
      <c r="B2625" s="47">
        <v>2020</v>
      </c>
      <c r="C2625" s="5"/>
    </row>
    <row r="2626" spans="1:3" customFormat="1" hidden="1" x14ac:dyDescent="0.3">
      <c r="A2626" s="30" t="s">
        <v>64</v>
      </c>
      <c r="B2626" s="47">
        <v>2020</v>
      </c>
      <c r="C2626" s="5"/>
    </row>
    <row r="2627" spans="1:3" customFormat="1" hidden="1" x14ac:dyDescent="0.3">
      <c r="A2627" s="30" t="s">
        <v>64</v>
      </c>
      <c r="B2627" s="47">
        <v>2020</v>
      </c>
      <c r="C2627" s="5"/>
    </row>
    <row r="2628" spans="1:3" customFormat="1" hidden="1" x14ac:dyDescent="0.3">
      <c r="A2628" s="30" t="s">
        <v>64</v>
      </c>
      <c r="B2628" s="47">
        <v>2020</v>
      </c>
      <c r="C2628" s="5"/>
    </row>
    <row r="2629" spans="1:3" customFormat="1" hidden="1" x14ac:dyDescent="0.3">
      <c r="A2629" s="30" t="s">
        <v>64</v>
      </c>
      <c r="B2629" s="47">
        <v>2020</v>
      </c>
      <c r="C2629" s="5"/>
    </row>
    <row r="2630" spans="1:3" customFormat="1" hidden="1" x14ac:dyDescent="0.3">
      <c r="A2630" s="41" t="s">
        <v>64</v>
      </c>
      <c r="B2630" s="51">
        <v>2020</v>
      </c>
      <c r="C2630" s="37"/>
    </row>
    <row r="2631" spans="1:3" customFormat="1" hidden="1" x14ac:dyDescent="0.3">
      <c r="A2631" s="41" t="s">
        <v>64</v>
      </c>
      <c r="B2631" s="51">
        <v>2020</v>
      </c>
      <c r="C2631" s="37"/>
    </row>
    <row r="2632" spans="1:3" customFormat="1" hidden="1" x14ac:dyDescent="0.3">
      <c r="A2632" s="41" t="s">
        <v>64</v>
      </c>
      <c r="B2632" s="51">
        <v>2020</v>
      </c>
      <c r="C2632" s="37"/>
    </row>
    <row r="2633" spans="1:3" customFormat="1" hidden="1" x14ac:dyDescent="0.3">
      <c r="A2633" s="41" t="s">
        <v>64</v>
      </c>
      <c r="B2633" s="51">
        <v>2020</v>
      </c>
      <c r="C2633" s="37"/>
    </row>
    <row r="2634" spans="1:3" customFormat="1" hidden="1" x14ac:dyDescent="0.3">
      <c r="A2634" s="16"/>
      <c r="B2634" s="16"/>
      <c r="C2634" s="16"/>
    </row>
    <row r="2635" spans="1:3" customFormat="1" hidden="1" x14ac:dyDescent="0.3">
      <c r="A2635" s="16"/>
      <c r="B2635" s="16"/>
      <c r="C2635" s="16"/>
    </row>
    <row r="2636" spans="1:3" customFormat="1" hidden="1" x14ac:dyDescent="0.3">
      <c r="A2636" s="16"/>
      <c r="B2636" s="16"/>
      <c r="C2636" s="16"/>
    </row>
    <row r="2637" spans="1:3" customFormat="1" hidden="1" x14ac:dyDescent="0.3">
      <c r="A2637" s="16"/>
      <c r="B2637" s="16"/>
      <c r="C2637" s="16"/>
    </row>
    <row r="2638" spans="1:3" customFormat="1" hidden="1" x14ac:dyDescent="0.3">
      <c r="A2638" s="16"/>
      <c r="B2638" s="16"/>
      <c r="C2638" s="16"/>
    </row>
    <row r="2639" spans="1:3" customFormat="1" hidden="1" x14ac:dyDescent="0.3">
      <c r="A2639" s="16"/>
      <c r="B2639" s="16"/>
      <c r="C2639" s="16"/>
    </row>
    <row r="2640" spans="1:3" customFormat="1" hidden="1" x14ac:dyDescent="0.3">
      <c r="A2640" s="16"/>
      <c r="B2640" s="16"/>
      <c r="C2640" s="16"/>
    </row>
    <row r="2641" spans="1:3" customFormat="1" hidden="1" x14ac:dyDescent="0.3">
      <c r="A2641" s="16"/>
      <c r="B2641" s="16"/>
      <c r="C2641" s="16"/>
    </row>
    <row r="2642" spans="1:3" customFormat="1" hidden="1" x14ac:dyDescent="0.3">
      <c r="A2642" s="16"/>
      <c r="B2642" s="16"/>
      <c r="C2642" s="16"/>
    </row>
    <row r="2643" spans="1:3" customFormat="1" hidden="1" x14ac:dyDescent="0.3">
      <c r="A2643" s="16"/>
      <c r="B2643" s="16"/>
      <c r="C2643" s="16"/>
    </row>
    <row r="2644" spans="1:3" customFormat="1" hidden="1" x14ac:dyDescent="0.3">
      <c r="A2644" s="16"/>
      <c r="B2644" s="16"/>
      <c r="C2644" s="16"/>
    </row>
    <row r="2645" spans="1:3" customFormat="1" hidden="1" x14ac:dyDescent="0.3">
      <c r="A2645" s="16"/>
      <c r="B2645" s="16"/>
      <c r="C2645" s="16"/>
    </row>
    <row r="2646" spans="1:3" customFormat="1" hidden="1" x14ac:dyDescent="0.3">
      <c r="A2646" s="16"/>
      <c r="B2646" s="16"/>
      <c r="C2646" s="16"/>
    </row>
    <row r="2647" spans="1:3" customFormat="1" hidden="1" x14ac:dyDescent="0.3">
      <c r="A2647" s="16"/>
      <c r="B2647" s="16"/>
      <c r="C2647" s="16"/>
    </row>
    <row r="2648" spans="1:3" customFormat="1" hidden="1" x14ac:dyDescent="0.3">
      <c r="A2648" s="16"/>
      <c r="B2648" s="16"/>
      <c r="C2648" s="16"/>
    </row>
    <row r="2649" spans="1:3" customFormat="1" hidden="1" x14ac:dyDescent="0.3">
      <c r="A2649" s="16"/>
      <c r="B2649" s="16"/>
      <c r="C2649" s="16"/>
    </row>
    <row r="2650" spans="1:3" customFormat="1" hidden="1" x14ac:dyDescent="0.3">
      <c r="A2650" s="16"/>
      <c r="B2650" s="16"/>
      <c r="C2650" s="16"/>
    </row>
    <row r="2651" spans="1:3" customFormat="1" hidden="1" x14ac:dyDescent="0.3">
      <c r="A2651" s="16"/>
      <c r="B2651" s="16"/>
      <c r="C2651" s="16"/>
    </row>
    <row r="2652" spans="1:3" customFormat="1" hidden="1" x14ac:dyDescent="0.3">
      <c r="A2652" s="16"/>
      <c r="B2652" s="16"/>
      <c r="C2652" s="16"/>
    </row>
    <row r="2653" spans="1:3" customFormat="1" hidden="1" x14ac:dyDescent="0.3">
      <c r="A2653" s="16"/>
      <c r="B2653" s="16"/>
      <c r="C2653" s="16"/>
    </row>
    <row r="2654" spans="1:3" customFormat="1" hidden="1" x14ac:dyDescent="0.3">
      <c r="A2654" s="16"/>
      <c r="B2654" s="16"/>
      <c r="C2654" s="16"/>
    </row>
    <row r="2655" spans="1:3" customFormat="1" hidden="1" x14ac:dyDescent="0.3">
      <c r="A2655" s="16"/>
      <c r="B2655" s="16"/>
      <c r="C2655" s="16"/>
    </row>
    <row r="2656" spans="1:3" customFormat="1" hidden="1" x14ac:dyDescent="0.3">
      <c r="A2656" s="16"/>
      <c r="B2656" s="16"/>
      <c r="C2656" s="16"/>
    </row>
    <row r="2657" spans="1:3" customFormat="1" hidden="1" x14ac:dyDescent="0.3">
      <c r="A2657" s="16"/>
      <c r="B2657" s="16"/>
      <c r="C2657" s="16"/>
    </row>
    <row r="2658" spans="1:3" customFormat="1" hidden="1" x14ac:dyDescent="0.3">
      <c r="A2658" s="16"/>
      <c r="B2658" s="16"/>
      <c r="C2658" s="16"/>
    </row>
    <row r="2659" spans="1:3" customFormat="1" hidden="1" x14ac:dyDescent="0.3">
      <c r="A2659" s="16"/>
      <c r="B2659" s="16"/>
      <c r="C2659" s="16"/>
    </row>
    <row r="2660" spans="1:3" customFormat="1" hidden="1" x14ac:dyDescent="0.3">
      <c r="A2660" s="16"/>
      <c r="B2660" s="16"/>
      <c r="C2660" s="16"/>
    </row>
    <row r="2661" spans="1:3" customFormat="1" hidden="1" x14ac:dyDescent="0.3">
      <c r="A2661" s="16"/>
      <c r="B2661" s="16"/>
      <c r="C2661" s="16"/>
    </row>
    <row r="2662" spans="1:3" customFormat="1" hidden="1" x14ac:dyDescent="0.3">
      <c r="A2662" s="16"/>
      <c r="B2662" s="16"/>
      <c r="C2662" s="16"/>
    </row>
    <row r="2663" spans="1:3" customFormat="1" hidden="1" x14ac:dyDescent="0.3">
      <c r="A2663" s="16"/>
      <c r="B2663" s="16"/>
      <c r="C2663" s="16"/>
    </row>
    <row r="2664" spans="1:3" customFormat="1" hidden="1" x14ac:dyDescent="0.3">
      <c r="A2664" s="16"/>
      <c r="B2664" s="16"/>
      <c r="C2664" s="16"/>
    </row>
    <row r="2665" spans="1:3" customFormat="1" hidden="1" x14ac:dyDescent="0.3">
      <c r="A2665" s="16"/>
      <c r="B2665" s="16"/>
      <c r="C2665" s="16"/>
    </row>
    <row r="2666" spans="1:3" customFormat="1" hidden="1" x14ac:dyDescent="0.3">
      <c r="A2666" s="16"/>
      <c r="B2666" s="16"/>
      <c r="C2666" s="16"/>
    </row>
    <row r="2667" spans="1:3" customFormat="1" hidden="1" x14ac:dyDescent="0.3">
      <c r="A2667" s="16"/>
      <c r="B2667" s="16"/>
      <c r="C2667" s="16"/>
    </row>
    <row r="2668" spans="1:3" customFormat="1" hidden="1" x14ac:dyDescent="0.3">
      <c r="A2668" s="16"/>
      <c r="B2668" s="16"/>
      <c r="C2668" s="16"/>
    </row>
    <row r="2669" spans="1:3" customFormat="1" hidden="1" x14ac:dyDescent="0.3">
      <c r="A2669" s="16"/>
      <c r="B2669" s="16"/>
      <c r="C2669" s="16"/>
    </row>
    <row r="2670" spans="1:3" customFormat="1" hidden="1" x14ac:dyDescent="0.3">
      <c r="A2670" s="16"/>
      <c r="B2670" s="16"/>
      <c r="C2670" s="16"/>
    </row>
    <row r="2671" spans="1:3" customFormat="1" hidden="1" x14ac:dyDescent="0.3">
      <c r="A2671" s="16"/>
      <c r="B2671" s="16"/>
      <c r="C2671" s="16"/>
    </row>
    <row r="2672" spans="1:3" customFormat="1" hidden="1" x14ac:dyDescent="0.3">
      <c r="A2672" s="16"/>
      <c r="B2672" s="16"/>
      <c r="C2672" s="16"/>
    </row>
    <row r="2673" spans="1:3" customFormat="1" hidden="1" x14ac:dyDescent="0.3">
      <c r="A2673" s="16"/>
      <c r="B2673" s="16"/>
      <c r="C2673" s="16"/>
    </row>
    <row r="2674" spans="1:3" customFormat="1" hidden="1" x14ac:dyDescent="0.3">
      <c r="A2674" s="16"/>
      <c r="B2674" s="16"/>
      <c r="C2674" s="16"/>
    </row>
    <row r="2675" spans="1:3" customFormat="1" hidden="1" x14ac:dyDescent="0.3">
      <c r="A2675" s="16"/>
      <c r="B2675" s="16"/>
      <c r="C2675" s="16"/>
    </row>
    <row r="2676" spans="1:3" customFormat="1" hidden="1" x14ac:dyDescent="0.3">
      <c r="A2676" s="16"/>
      <c r="B2676" s="16"/>
      <c r="C2676" s="16"/>
    </row>
    <row r="2677" spans="1:3" customFormat="1" hidden="1" x14ac:dyDescent="0.3">
      <c r="A2677" s="16"/>
      <c r="B2677" s="16"/>
      <c r="C2677" s="16"/>
    </row>
    <row r="2678" spans="1:3" customFormat="1" hidden="1" x14ac:dyDescent="0.3">
      <c r="A2678" s="16"/>
      <c r="B2678" s="16"/>
      <c r="C2678" s="16"/>
    </row>
    <row r="2679" spans="1:3" customFormat="1" hidden="1" x14ac:dyDescent="0.3">
      <c r="A2679" s="16"/>
      <c r="B2679" s="16"/>
      <c r="C2679" s="16"/>
    </row>
    <row r="2680" spans="1:3" customFormat="1" hidden="1" x14ac:dyDescent="0.3">
      <c r="A2680" s="16"/>
      <c r="B2680" s="16"/>
      <c r="C2680" s="16"/>
    </row>
    <row r="2681" spans="1:3" customFormat="1" hidden="1" x14ac:dyDescent="0.3">
      <c r="A2681" s="16"/>
      <c r="B2681" s="16"/>
      <c r="C2681" s="16"/>
    </row>
    <row r="2682" spans="1:3" customFormat="1" hidden="1" x14ac:dyDescent="0.3">
      <c r="A2682" s="16"/>
      <c r="B2682" s="16"/>
      <c r="C2682" s="16"/>
    </row>
    <row r="2683" spans="1:3" customFormat="1" hidden="1" x14ac:dyDescent="0.3">
      <c r="A2683" s="16"/>
      <c r="B2683" s="16"/>
      <c r="C2683" s="16"/>
    </row>
    <row r="2684" spans="1:3" customFormat="1" hidden="1" x14ac:dyDescent="0.3">
      <c r="A2684" s="16"/>
      <c r="B2684" s="16"/>
      <c r="C2684" s="16"/>
    </row>
    <row r="2685" spans="1:3" customFormat="1" hidden="1" x14ac:dyDescent="0.3">
      <c r="A2685" s="16"/>
      <c r="B2685" s="16"/>
      <c r="C2685" s="16"/>
    </row>
    <row r="2686" spans="1:3" customFormat="1" hidden="1" x14ac:dyDescent="0.3">
      <c r="A2686" s="16"/>
      <c r="B2686" s="16"/>
      <c r="C2686" s="16"/>
    </row>
    <row r="2687" spans="1:3" customFormat="1" hidden="1" x14ac:dyDescent="0.3">
      <c r="A2687" s="16"/>
      <c r="B2687" s="16"/>
      <c r="C2687" s="16"/>
    </row>
    <row r="2688" spans="1:3" customFormat="1" hidden="1" x14ac:dyDescent="0.3">
      <c r="A2688" s="16"/>
      <c r="B2688" s="16"/>
      <c r="C2688" s="16"/>
    </row>
    <row r="2689" spans="1:3" customFormat="1" hidden="1" x14ac:dyDescent="0.3">
      <c r="A2689" s="16"/>
      <c r="B2689" s="16"/>
      <c r="C2689" s="16"/>
    </row>
    <row r="2690" spans="1:3" customFormat="1" hidden="1" x14ac:dyDescent="0.3">
      <c r="A2690" s="16"/>
      <c r="B2690" s="16"/>
      <c r="C2690" s="16"/>
    </row>
    <row r="2691" spans="1:3" customFormat="1" hidden="1" x14ac:dyDescent="0.3">
      <c r="A2691" s="16"/>
      <c r="B2691" s="16"/>
      <c r="C2691" s="16"/>
    </row>
    <row r="2692" spans="1:3" customFormat="1" hidden="1" x14ac:dyDescent="0.3">
      <c r="A2692" s="16"/>
      <c r="B2692" s="16"/>
      <c r="C2692" s="16"/>
    </row>
    <row r="2693" spans="1:3" customFormat="1" hidden="1" x14ac:dyDescent="0.3">
      <c r="A2693" s="16"/>
      <c r="B2693" s="16"/>
      <c r="C2693" s="16"/>
    </row>
    <row r="2694" spans="1:3" customFormat="1" hidden="1" x14ac:dyDescent="0.3">
      <c r="A2694" s="16"/>
      <c r="B2694" s="16"/>
      <c r="C2694" s="16"/>
    </row>
    <row r="2695" spans="1:3" customFormat="1" hidden="1" x14ac:dyDescent="0.3">
      <c r="A2695" s="16"/>
      <c r="B2695" s="16"/>
      <c r="C2695" s="16"/>
    </row>
    <row r="2696" spans="1:3" customFormat="1" hidden="1" x14ac:dyDescent="0.3">
      <c r="A2696" s="16"/>
      <c r="B2696" s="16"/>
      <c r="C2696" s="16"/>
    </row>
    <row r="2697" spans="1:3" customFormat="1" hidden="1" x14ac:dyDescent="0.3">
      <c r="A2697" s="16"/>
      <c r="B2697" s="16"/>
      <c r="C2697" s="16"/>
    </row>
    <row r="2698" spans="1:3" customFormat="1" hidden="1" x14ac:dyDescent="0.3">
      <c r="A2698" s="16"/>
      <c r="B2698" s="16"/>
      <c r="C2698" s="16"/>
    </row>
    <row r="2699" spans="1:3" customFormat="1" hidden="1" x14ac:dyDescent="0.3">
      <c r="A2699" s="16"/>
      <c r="B2699" s="16"/>
      <c r="C2699" s="16"/>
    </row>
    <row r="2700" spans="1:3" customFormat="1" hidden="1" x14ac:dyDescent="0.3">
      <c r="A2700" s="16"/>
      <c r="B2700" s="16"/>
      <c r="C2700" s="16"/>
    </row>
    <row r="2701" spans="1:3" customFormat="1" hidden="1" x14ac:dyDescent="0.3">
      <c r="A2701" s="16"/>
      <c r="B2701" s="16"/>
      <c r="C2701" s="16"/>
    </row>
    <row r="2702" spans="1:3" customFormat="1" hidden="1" x14ac:dyDescent="0.3">
      <c r="A2702" s="16"/>
      <c r="B2702" s="16"/>
      <c r="C2702" s="16"/>
    </row>
    <row r="2703" spans="1:3" customFormat="1" hidden="1" x14ac:dyDescent="0.3">
      <c r="A2703" s="16"/>
      <c r="B2703" s="16"/>
      <c r="C2703" s="16"/>
    </row>
    <row r="2704" spans="1:3" customFormat="1" hidden="1" x14ac:dyDescent="0.3">
      <c r="A2704" s="16"/>
      <c r="B2704" s="16"/>
      <c r="C2704" s="16"/>
    </row>
    <row r="2705" spans="1:3" customFormat="1" hidden="1" x14ac:dyDescent="0.3">
      <c r="A2705" s="16"/>
      <c r="B2705" s="16"/>
      <c r="C2705" s="16"/>
    </row>
    <row r="2706" spans="1:3" customFormat="1" hidden="1" x14ac:dyDescent="0.3">
      <c r="A2706" s="16"/>
      <c r="B2706" s="16"/>
      <c r="C2706" s="16"/>
    </row>
    <row r="2707" spans="1:3" customFormat="1" hidden="1" x14ac:dyDescent="0.3">
      <c r="A2707" s="16"/>
      <c r="B2707" s="16"/>
      <c r="C2707" s="16"/>
    </row>
    <row r="2708" spans="1:3" customFormat="1" hidden="1" x14ac:dyDescent="0.3">
      <c r="A2708" s="16"/>
      <c r="B2708" s="16"/>
      <c r="C2708" s="16"/>
    </row>
    <row r="2709" spans="1:3" customFormat="1" hidden="1" x14ac:dyDescent="0.3">
      <c r="A2709" s="16"/>
      <c r="B2709" s="16"/>
      <c r="C2709" s="16"/>
    </row>
    <row r="2710" spans="1:3" customFormat="1" hidden="1" x14ac:dyDescent="0.3">
      <c r="A2710" s="16"/>
      <c r="B2710" s="16"/>
      <c r="C2710" s="16"/>
    </row>
    <row r="2711" spans="1:3" customFormat="1" hidden="1" x14ac:dyDescent="0.3">
      <c r="A2711" s="16"/>
      <c r="B2711" s="16"/>
      <c r="C2711" s="16"/>
    </row>
    <row r="2712" spans="1:3" customFormat="1" hidden="1" x14ac:dyDescent="0.3">
      <c r="A2712" s="16"/>
      <c r="B2712" s="16"/>
      <c r="C2712" s="16"/>
    </row>
    <row r="2713" spans="1:3" customFormat="1" hidden="1" x14ac:dyDescent="0.3">
      <c r="A2713" s="16"/>
      <c r="B2713" s="16"/>
      <c r="C2713" s="16"/>
    </row>
    <row r="2714" spans="1:3" customFormat="1" hidden="1" x14ac:dyDescent="0.3">
      <c r="A2714" s="16"/>
      <c r="B2714" s="16"/>
      <c r="C2714" s="16"/>
    </row>
    <row r="2715" spans="1:3" customFormat="1" hidden="1" x14ac:dyDescent="0.3">
      <c r="A2715" s="16"/>
      <c r="B2715" s="16"/>
      <c r="C2715" s="16"/>
    </row>
    <row r="2716" spans="1:3" customFormat="1" hidden="1" x14ac:dyDescent="0.3">
      <c r="A2716" s="16"/>
      <c r="B2716" s="16"/>
      <c r="C2716" s="16"/>
    </row>
    <row r="2717" spans="1:3" customFormat="1" hidden="1" x14ac:dyDescent="0.3">
      <c r="A2717" s="16"/>
      <c r="B2717" s="16"/>
      <c r="C2717" s="16"/>
    </row>
    <row r="2718" spans="1:3" customFormat="1" hidden="1" x14ac:dyDescent="0.3">
      <c r="A2718" s="16"/>
      <c r="B2718" s="16"/>
      <c r="C2718" s="16"/>
    </row>
    <row r="2719" spans="1:3" customFormat="1" hidden="1" x14ac:dyDescent="0.3">
      <c r="A2719" s="16"/>
      <c r="B2719" s="16"/>
      <c r="C2719" s="16"/>
    </row>
    <row r="2720" spans="1:3" customFormat="1" hidden="1" x14ac:dyDescent="0.3">
      <c r="A2720" s="16"/>
      <c r="B2720" s="16"/>
      <c r="C2720" s="16"/>
    </row>
    <row r="2721" spans="1:12" hidden="1" x14ac:dyDescent="0.3">
      <c r="K2721"/>
      <c r="L2721"/>
    </row>
    <row r="2722" spans="1:12" hidden="1" x14ac:dyDescent="0.3">
      <c r="K2722"/>
      <c r="L2722"/>
    </row>
    <row r="2723" spans="1:12" hidden="1" x14ac:dyDescent="0.3">
      <c r="K2723"/>
      <c r="L2723"/>
    </row>
    <row r="2724" spans="1:12" hidden="1" x14ac:dyDescent="0.3">
      <c r="K2724"/>
      <c r="L2724"/>
    </row>
    <row r="2725" spans="1:12" hidden="1" x14ac:dyDescent="0.3">
      <c r="K2725"/>
      <c r="L2725"/>
    </row>
    <row r="2726" spans="1:12" hidden="1" x14ac:dyDescent="0.3">
      <c r="K2726"/>
      <c r="L2726"/>
    </row>
    <row r="2727" spans="1:12" x14ac:dyDescent="0.3">
      <c r="A2727" s="44" t="s">
        <v>18</v>
      </c>
      <c r="B2727" s="45"/>
      <c r="C2727" s="16" t="s">
        <v>153</v>
      </c>
      <c r="D2727">
        <v>1.6393373806496178E-2</v>
      </c>
      <c r="E2727">
        <v>2.5838018791197903E-2</v>
      </c>
      <c r="F2727">
        <v>3.2333333333333334</v>
      </c>
      <c r="G2727">
        <f t="shared" ref="G2727:G2732" si="0">F2727/1000</f>
        <v>3.2333333333333333E-3</v>
      </c>
      <c r="H2727">
        <v>18.64777777777778</v>
      </c>
      <c r="I2727">
        <f t="shared" ref="I2727:I2732" si="1">H2727/1000</f>
        <v>1.864777777777778E-2</v>
      </c>
      <c r="K2727" s="87">
        <f t="shared" ref="K2727:K2729" si="2">E2727*4000</f>
        <v>103.35207516479161</v>
      </c>
      <c r="L2727" s="87">
        <f t="shared" ref="L2727:L2729" si="3">D2727*4000</f>
        <v>65.573495225984715</v>
      </c>
    </row>
    <row r="2728" spans="1:12" x14ac:dyDescent="0.3">
      <c r="A2728" s="44" t="s">
        <v>18</v>
      </c>
      <c r="B2728" s="45"/>
      <c r="C2728" s="16" t="s">
        <v>154</v>
      </c>
      <c r="D2728">
        <v>5.7007965639672186E-3</v>
      </c>
      <c r="E2728">
        <v>7.0393378045199339E-3</v>
      </c>
      <c r="F2728">
        <v>2.0326086956521743</v>
      </c>
      <c r="G2728">
        <f t="shared" si="0"/>
        <v>2.0326086956521743E-3</v>
      </c>
      <c r="H2728">
        <v>13.880219780219784</v>
      </c>
      <c r="I2728">
        <f t="shared" si="1"/>
        <v>1.3880219780219784E-2</v>
      </c>
      <c r="K2728" s="87">
        <f t="shared" si="2"/>
        <v>28.157351218079736</v>
      </c>
      <c r="L2728" s="87">
        <f t="shared" si="3"/>
        <v>22.803186255868873</v>
      </c>
    </row>
    <row r="2729" spans="1:12" x14ac:dyDescent="0.3">
      <c r="A2729" s="44" t="s">
        <v>18</v>
      </c>
      <c r="B2729" s="45"/>
      <c r="C2729" s="16" t="s">
        <v>155</v>
      </c>
      <c r="D2729">
        <v>8.4578344452214162E-3</v>
      </c>
      <c r="E2729">
        <v>1.3529058549117418E-2</v>
      </c>
      <c r="F2729">
        <v>2.3130434782608695</v>
      </c>
      <c r="G2729">
        <f t="shared" si="0"/>
        <v>2.3130434782608696E-3</v>
      </c>
      <c r="H2729">
        <v>18.535164835164831</v>
      </c>
      <c r="I2729">
        <f t="shared" si="1"/>
        <v>1.8535164835164833E-2</v>
      </c>
      <c r="K2729" s="87">
        <f t="shared" si="2"/>
        <v>54.116234196469676</v>
      </c>
      <c r="L2729" s="87">
        <f t="shared" si="3"/>
        <v>33.831337780885661</v>
      </c>
    </row>
    <row r="2730" spans="1:12" x14ac:dyDescent="0.3">
      <c r="A2730" s="44" t="s">
        <v>18</v>
      </c>
      <c r="B2730" s="16">
        <v>2021</v>
      </c>
      <c r="C2730" s="16" t="s">
        <v>156</v>
      </c>
      <c r="D2730">
        <v>1.6607947898188962E-2</v>
      </c>
      <c r="E2730">
        <v>2.4034715137484695E-2</v>
      </c>
      <c r="F2730">
        <v>1.8422222222222224</v>
      </c>
      <c r="G2730">
        <f t="shared" si="0"/>
        <v>1.8422222222222225E-3</v>
      </c>
      <c r="H2730">
        <v>21.919318181818173</v>
      </c>
      <c r="I2730">
        <f t="shared" si="1"/>
        <v>2.1919318181818172E-2</v>
      </c>
      <c r="K2730" s="87">
        <f t="shared" ref="K2730:K2733" si="4">E2730*4000</f>
        <v>96.138860549938784</v>
      </c>
      <c r="L2730" s="87">
        <f t="shared" ref="L2730:L2733" si="5">D2730*4000</f>
        <v>66.431791592755843</v>
      </c>
    </row>
    <row r="2731" spans="1:12" x14ac:dyDescent="0.3">
      <c r="A2731" s="44" t="s">
        <v>18</v>
      </c>
      <c r="C2731" s="16" t="s">
        <v>153</v>
      </c>
      <c r="D2731">
        <v>7.1716381230311176E-3</v>
      </c>
      <c r="E2731">
        <v>1.6646499156933833E-2</v>
      </c>
      <c r="F2731">
        <v>1.215217391304348</v>
      </c>
      <c r="G2731">
        <f t="shared" si="0"/>
        <v>1.2152173913043481E-3</v>
      </c>
      <c r="H2731">
        <v>19.141758241758239</v>
      </c>
      <c r="I2731">
        <f t="shared" si="1"/>
        <v>1.914175824175824E-2</v>
      </c>
      <c r="K2731" s="87">
        <f t="shared" si="4"/>
        <v>66.585996627735327</v>
      </c>
      <c r="L2731" s="87">
        <f t="shared" si="5"/>
        <v>28.68655249212447</v>
      </c>
    </row>
    <row r="2732" spans="1:12" x14ac:dyDescent="0.3">
      <c r="A2732" s="44" t="s">
        <v>18</v>
      </c>
      <c r="C2732" s="16" t="s">
        <v>154</v>
      </c>
      <c r="D2732">
        <v>1.7126308002243761E-2</v>
      </c>
      <c r="E2732">
        <v>2.1461335155141498E-2</v>
      </c>
      <c r="F2732">
        <v>3.0100000000000007</v>
      </c>
      <c r="G2732">
        <f t="shared" si="0"/>
        <v>3.0100000000000005E-3</v>
      </c>
      <c r="H2732">
        <v>14.475609756097558</v>
      </c>
      <c r="I2732">
        <f t="shared" si="1"/>
        <v>1.4475609756097558E-2</v>
      </c>
      <c r="K2732" s="87">
        <f t="shared" si="4"/>
        <v>85.845340620565992</v>
      </c>
      <c r="L2732" s="87">
        <f t="shared" si="5"/>
        <v>68.505232008975042</v>
      </c>
    </row>
    <row r="2733" spans="1:12" x14ac:dyDescent="0.3">
      <c r="A2733" s="44" t="s">
        <v>18</v>
      </c>
      <c r="C2733" s="16" t="s">
        <v>155</v>
      </c>
      <c r="D2733">
        <v>2.1265534808832625E-2</v>
      </c>
      <c r="E2733">
        <v>3.2179817731253224E-2</v>
      </c>
      <c r="K2733" s="87">
        <f t="shared" si="4"/>
        <v>128.71927092501289</v>
      </c>
      <c r="L2733" s="87">
        <f t="shared" si="5"/>
        <v>85.062139235330505</v>
      </c>
    </row>
    <row r="2734" spans="1:12" x14ac:dyDescent="0.3">
      <c r="B2734" s="16">
        <v>2022</v>
      </c>
      <c r="C2734" s="16" t="s">
        <v>156</v>
      </c>
      <c r="D2734">
        <v>9.9023652653162288E-3</v>
      </c>
      <c r="E2734">
        <v>2.0626856191269419E-2</v>
      </c>
      <c r="K2734" s="87">
        <f t="shared" ref="K2734" si="6">E2734*4000</f>
        <v>82.507424765077673</v>
      </c>
      <c r="L2734" s="87">
        <f t="shared" ref="L2734" si="7">D2734*4000</f>
        <v>39.609461061264916</v>
      </c>
    </row>
    <row r="2735" spans="1:12" x14ac:dyDescent="0.3">
      <c r="C2735" s="16" t="s">
        <v>153</v>
      </c>
      <c r="D2735">
        <v>-3.5257030505241E-4</v>
      </c>
      <c r="E2735">
        <v>1.0202864852186281E-2</v>
      </c>
      <c r="K2735" s="87">
        <f t="shared" ref="K2735" si="8">E2735*4000</f>
        <v>40.811459408745122</v>
      </c>
      <c r="L2735" s="87">
        <f t="shared" ref="L2735" si="9">D2735*4000</f>
        <v>-1.41028122020964</v>
      </c>
    </row>
    <row r="2736" spans="1:12" x14ac:dyDescent="0.3">
      <c r="C2736" s="16" t="s">
        <v>154</v>
      </c>
      <c r="D2736">
        <v>7.4832867787451443E-3</v>
      </c>
      <c r="E2736">
        <v>1.2218490196221621E-2</v>
      </c>
      <c r="K2736" s="87">
        <f t="shared" ref="K2736" si="10">E2736*4000</f>
        <v>48.873960784886485</v>
      </c>
      <c r="L2736" s="87">
        <f t="shared" ref="L2736" si="11">D2736*4000</f>
        <v>29.933147114980578</v>
      </c>
    </row>
    <row r="2737" spans="2:12" x14ac:dyDescent="0.3">
      <c r="C2737" s="16" t="s">
        <v>155</v>
      </c>
      <c r="D2737">
        <v>1.2649432561523101E-2</v>
      </c>
      <c r="E2737">
        <v>1.9039519658344526E-2</v>
      </c>
      <c r="K2737" s="87">
        <f t="shared" ref="K2737:K2742" si="12">E2737*4000</f>
        <v>76.158078633378111</v>
      </c>
      <c r="L2737" s="87">
        <f t="shared" ref="L2737:L2742" si="13">D2737*4000</f>
        <v>50.597730246092404</v>
      </c>
    </row>
    <row r="2738" spans="2:12" x14ac:dyDescent="0.3">
      <c r="B2738" s="16">
        <v>2023</v>
      </c>
      <c r="C2738" s="16" t="s">
        <v>156</v>
      </c>
      <c r="D2738">
        <v>6.5801825495931544E-3</v>
      </c>
      <c r="E2738">
        <v>1.2489865518651241E-2</v>
      </c>
      <c r="K2738" s="87">
        <f t="shared" si="12"/>
        <v>49.959462074604964</v>
      </c>
      <c r="L2738" s="87">
        <f t="shared" si="13"/>
        <v>26.320730198372619</v>
      </c>
    </row>
    <row r="2739" spans="2:12" x14ac:dyDescent="0.3">
      <c r="C2739" s="16" t="s">
        <v>153</v>
      </c>
      <c r="D2739" s="5">
        <v>1.3949434583733199E-2</v>
      </c>
      <c r="E2739" s="5">
        <v>1.6965597626171676E-2</v>
      </c>
      <c r="K2739" s="87">
        <f t="shared" si="12"/>
        <v>67.862390504686701</v>
      </c>
      <c r="L2739" s="87">
        <f t="shared" si="13"/>
        <v>55.797738334932795</v>
      </c>
    </row>
    <row r="2740" spans="2:12" x14ac:dyDescent="0.3">
      <c r="C2740" s="16" t="s">
        <v>154</v>
      </c>
      <c r="D2740">
        <v>7.9474711439675855E-3</v>
      </c>
      <c r="E2740">
        <v>1.1825017315617515E-2</v>
      </c>
      <c r="K2740" s="87">
        <f t="shared" si="12"/>
        <v>47.30006926247006</v>
      </c>
      <c r="L2740" s="87">
        <f t="shared" si="13"/>
        <v>31.789884575870342</v>
      </c>
    </row>
    <row r="2741" spans="2:12" x14ac:dyDescent="0.3">
      <c r="C2741" s="16" t="s">
        <v>155</v>
      </c>
      <c r="D2741">
        <v>1.2651981595513789E-2</v>
      </c>
      <c r="E2741">
        <v>1.6307539869333722E-2</v>
      </c>
      <c r="K2741" s="87">
        <f t="shared" si="12"/>
        <v>65.230159477334894</v>
      </c>
      <c r="L2741" s="87">
        <f t="shared" si="13"/>
        <v>50.607926382055155</v>
      </c>
    </row>
    <row r="2742" spans="2:12" x14ac:dyDescent="0.3">
      <c r="B2742" s="16">
        <v>2024</v>
      </c>
      <c r="C2742" s="16" t="s">
        <v>156</v>
      </c>
      <c r="D2742">
        <v>1.1677252740817786E-2</v>
      </c>
      <c r="E2742">
        <v>2.2802812093808071E-2</v>
      </c>
      <c r="K2742" s="87">
        <f t="shared" si="12"/>
        <v>91.211248375232287</v>
      </c>
      <c r="L2742" s="87">
        <f t="shared" si="13"/>
        <v>46.709010963271147</v>
      </c>
    </row>
    <row r="2743" spans="2:12" x14ac:dyDescent="0.3">
      <c r="C2743" s="16" t="s">
        <v>153</v>
      </c>
      <c r="D2743">
        <v>4.1512404778480819E-3</v>
      </c>
      <c r="E2743">
        <v>9.8872196117024327E-3</v>
      </c>
      <c r="K2743" s="87">
        <f t="shared" ref="K2743" si="14">E2743*4000</f>
        <v>39.548878446809731</v>
      </c>
      <c r="L2743" s="87">
        <f t="shared" ref="L2743" si="15">D2743*4000</f>
        <v>16.604961911392326</v>
      </c>
    </row>
    <row r="2744" spans="2:12" x14ac:dyDescent="0.3">
      <c r="C2744" s="16" t="s">
        <v>154</v>
      </c>
      <c r="D2744">
        <v>9.2636964014244216E-3</v>
      </c>
      <c r="E2744">
        <v>1.5084993817326078E-2</v>
      </c>
      <c r="K2744" s="87">
        <f t="shared" ref="K2744" si="16">E2744*4000</f>
        <v>60.339975269304311</v>
      </c>
      <c r="L2744" s="87">
        <f t="shared" ref="L2744" si="17">D2744*4000</f>
        <v>37.054785605697688</v>
      </c>
    </row>
    <row r="2745" spans="2:12" x14ac:dyDescent="0.3">
      <c r="C2745" s="16" t="s">
        <v>155</v>
      </c>
      <c r="D2745">
        <v>1.6138156377116974E-2</v>
      </c>
      <c r="E2745">
        <v>2.1389079113335034E-2</v>
      </c>
      <c r="K2745" s="87">
        <f t="shared" ref="K2745" si="18">E2745*4000</f>
        <v>85.556316453340131</v>
      </c>
      <c r="L2745" s="87">
        <f t="shared" ref="L2745" si="19">D2745*4000</f>
        <v>64.552625508467898</v>
      </c>
    </row>
    <row r="2746" spans="2:12" x14ac:dyDescent="0.3">
      <c r="B2746" s="16">
        <v>2025</v>
      </c>
      <c r="C2746" s="16" t="s">
        <v>156</v>
      </c>
      <c r="D2746">
        <v>7.5026705201677668E-3</v>
      </c>
      <c r="E2746">
        <v>9.8593161349111013E-3</v>
      </c>
      <c r="K2746" s="87">
        <f t="shared" ref="K2746" si="20">E2746*4000</f>
        <v>39.437264539644403</v>
      </c>
      <c r="L2746" s="87">
        <f t="shared" ref="L2746" si="21">D2746*4000</f>
        <v>30.010682080671067</v>
      </c>
    </row>
    <row r="2747" spans="2:12" x14ac:dyDescent="0.3">
      <c r="C2747" s="16" t="s">
        <v>153</v>
      </c>
    </row>
    <row r="2748" spans="2:12" x14ac:dyDescent="0.3">
      <c r="C2748" s="16" t="s">
        <v>154</v>
      </c>
    </row>
    <row r="2749" spans="2:12" x14ac:dyDescent="0.3">
      <c r="C2749" s="16" t="s">
        <v>155</v>
      </c>
    </row>
  </sheetData>
  <autoFilter ref="D1:D2726" xr:uid="{C5110015-3578-4A68-A83D-42963C8AAC83}">
    <filterColumn colId="0">
      <customFilters>
        <customFilter operator="notEqual" val=" "/>
      </custom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67"/>
  <sheetViews>
    <sheetView workbookViewId="0">
      <pane ySplit="1" topLeftCell="A1744" activePane="bottomLeft" state="frozen"/>
      <selection pane="bottomLeft" activeCell="A1775" sqref="A1775"/>
    </sheetView>
  </sheetViews>
  <sheetFormatPr defaultColWidth="19.44140625" defaultRowHeight="13.2" x14ac:dyDescent="0.25"/>
  <cols>
    <col min="1" max="16384" width="19.44140625" style="16"/>
  </cols>
  <sheetData>
    <row r="1" spans="1:7" x14ac:dyDescent="0.25">
      <c r="A1" s="2" t="s">
        <v>30</v>
      </c>
      <c r="B1" s="19" t="s">
        <v>41</v>
      </c>
      <c r="C1" s="19" t="s">
        <v>42</v>
      </c>
      <c r="D1" s="3" t="s">
        <v>25</v>
      </c>
      <c r="E1" s="3" t="s">
        <v>130</v>
      </c>
      <c r="F1" s="4" t="s">
        <v>53</v>
      </c>
      <c r="G1" s="19" t="s">
        <v>43</v>
      </c>
    </row>
    <row r="2" spans="1:7" x14ac:dyDescent="0.25">
      <c r="A2" s="8">
        <v>39925</v>
      </c>
      <c r="B2" s="20" t="s">
        <v>17</v>
      </c>
      <c r="C2" s="20" t="s">
        <v>18</v>
      </c>
      <c r="D2" s="74">
        <v>0.154</v>
      </c>
      <c r="E2" s="74">
        <v>3.5999999999999997E-2</v>
      </c>
      <c r="F2" s="75">
        <f t="shared" ref="F2:F11" si="0">E2/D2</f>
        <v>0.23376623376623376</v>
      </c>
      <c r="G2" s="73" t="s">
        <v>18</v>
      </c>
    </row>
    <row r="3" spans="1:7" x14ac:dyDescent="0.25">
      <c r="A3" s="8">
        <v>39926</v>
      </c>
      <c r="B3" s="20" t="s">
        <v>17</v>
      </c>
      <c r="C3" s="20" t="s">
        <v>18</v>
      </c>
      <c r="D3" s="74">
        <v>0.155</v>
      </c>
      <c r="E3" s="74">
        <v>3.7999999999999999E-2</v>
      </c>
      <c r="F3" s="75">
        <f t="shared" si="0"/>
        <v>0.24516129032258063</v>
      </c>
      <c r="G3" s="73" t="s">
        <v>18</v>
      </c>
    </row>
    <row r="4" spans="1:7" x14ac:dyDescent="0.25">
      <c r="A4" s="8">
        <v>39925</v>
      </c>
      <c r="B4" s="20" t="s">
        <v>20</v>
      </c>
      <c r="C4" s="20" t="s">
        <v>18</v>
      </c>
      <c r="D4" s="74">
        <v>0.14000000000000001</v>
      </c>
      <c r="E4" s="74">
        <v>0.06</v>
      </c>
      <c r="F4" s="75">
        <f t="shared" si="0"/>
        <v>0.42857142857142849</v>
      </c>
      <c r="G4" s="73" t="s">
        <v>18</v>
      </c>
    </row>
    <row r="5" spans="1:7" x14ac:dyDescent="0.25">
      <c r="A5" s="8">
        <v>39926</v>
      </c>
      <c r="B5" s="20" t="s">
        <v>20</v>
      </c>
      <c r="C5" s="20" t="s">
        <v>18</v>
      </c>
      <c r="D5" s="74">
        <v>0.14699999999999999</v>
      </c>
      <c r="E5" s="74">
        <v>5.8000000000000003E-2</v>
      </c>
      <c r="F5" s="75">
        <f t="shared" si="0"/>
        <v>0.39455782312925175</v>
      </c>
      <c r="G5" s="73" t="s">
        <v>18</v>
      </c>
    </row>
    <row r="6" spans="1:7" x14ac:dyDescent="0.25">
      <c r="A6" s="8" t="s">
        <v>31</v>
      </c>
      <c r="B6" s="20" t="s">
        <v>17</v>
      </c>
      <c r="C6" s="20" t="s">
        <v>18</v>
      </c>
      <c r="D6" s="74">
        <v>0.36174000000000001</v>
      </c>
      <c r="E6" s="74">
        <v>0.10043000000000001</v>
      </c>
      <c r="F6" s="75">
        <f t="shared" si="0"/>
        <v>0.27763034223475425</v>
      </c>
      <c r="G6" s="73" t="s">
        <v>18</v>
      </c>
    </row>
    <row r="7" spans="1:7" x14ac:dyDescent="0.25">
      <c r="A7" s="8" t="s">
        <v>31</v>
      </c>
      <c r="B7" s="20" t="s">
        <v>20</v>
      </c>
      <c r="C7" s="20" t="s">
        <v>18</v>
      </c>
      <c r="D7" s="74">
        <v>0.19403000000000001</v>
      </c>
      <c r="E7" s="74">
        <v>8.7029999999999996E-2</v>
      </c>
      <c r="F7" s="75">
        <f t="shared" si="0"/>
        <v>0.4485388857393186</v>
      </c>
      <c r="G7" s="73" t="s">
        <v>18</v>
      </c>
    </row>
    <row r="8" spans="1:7" x14ac:dyDescent="0.25">
      <c r="A8" s="17" t="s">
        <v>34</v>
      </c>
      <c r="B8" s="20" t="s">
        <v>17</v>
      </c>
      <c r="C8" s="20" t="s">
        <v>18</v>
      </c>
      <c r="D8" s="74">
        <v>0.21529999999999996</v>
      </c>
      <c r="E8" s="74">
        <v>5.3800000000000001E-2</v>
      </c>
      <c r="F8" s="75">
        <f t="shared" si="0"/>
        <v>0.2498838829540177</v>
      </c>
      <c r="G8" s="73" t="s">
        <v>18</v>
      </c>
    </row>
    <row r="9" spans="1:7" x14ac:dyDescent="0.25">
      <c r="A9" s="17" t="s">
        <v>34</v>
      </c>
      <c r="B9" s="20" t="s">
        <v>20</v>
      </c>
      <c r="C9" s="20" t="s">
        <v>18</v>
      </c>
      <c r="D9" s="74">
        <v>0.1835</v>
      </c>
      <c r="E9" s="74">
        <v>7.3799999999999991E-2</v>
      </c>
      <c r="F9" s="75">
        <f t="shared" si="0"/>
        <v>0.40217983651226152</v>
      </c>
      <c r="G9" s="73" t="s">
        <v>18</v>
      </c>
    </row>
    <row r="10" spans="1:7" x14ac:dyDescent="0.25">
      <c r="A10" s="8" t="s">
        <v>38</v>
      </c>
      <c r="B10" s="20" t="s">
        <v>17</v>
      </c>
      <c r="C10" s="20" t="s">
        <v>18</v>
      </c>
      <c r="D10" s="74">
        <v>0.187</v>
      </c>
      <c r="E10" s="74">
        <v>0.1028</v>
      </c>
      <c r="F10" s="75">
        <f t="shared" si="0"/>
        <v>0.54973262032085568</v>
      </c>
      <c r="G10" s="73" t="s">
        <v>18</v>
      </c>
    </row>
    <row r="11" spans="1:7" x14ac:dyDescent="0.25">
      <c r="A11" s="8" t="s">
        <v>38</v>
      </c>
      <c r="B11" s="20" t="s">
        <v>20</v>
      </c>
      <c r="C11" s="20" t="s">
        <v>18</v>
      </c>
      <c r="D11" s="74">
        <v>0.16700000000000001</v>
      </c>
      <c r="E11" s="74">
        <v>8.0299999999999996E-2</v>
      </c>
      <c r="F11" s="75">
        <f t="shared" si="0"/>
        <v>0.48083832335329335</v>
      </c>
      <c r="G11" s="73" t="s">
        <v>18</v>
      </c>
    </row>
    <row r="12" spans="1:7" x14ac:dyDescent="0.25">
      <c r="A12" s="21" t="s">
        <v>140</v>
      </c>
      <c r="B12" s="17" t="s">
        <v>44</v>
      </c>
      <c r="C12" s="17" t="s">
        <v>45</v>
      </c>
      <c r="D12" s="74">
        <v>0.16120000000000001</v>
      </c>
      <c r="E12" s="74">
        <v>3.5799999999999998E-2</v>
      </c>
      <c r="F12" s="74">
        <v>0.22208436724565755</v>
      </c>
      <c r="G12" s="74">
        <v>0.31199553725685503</v>
      </c>
    </row>
    <row r="13" spans="1:7" x14ac:dyDescent="0.25">
      <c r="A13" s="21" t="s">
        <v>140</v>
      </c>
      <c r="B13" s="17" t="s">
        <v>44</v>
      </c>
      <c r="C13" s="17" t="s">
        <v>46</v>
      </c>
      <c r="D13" s="74">
        <v>0.13420000000000001</v>
      </c>
      <c r="E13" s="74">
        <v>4.5600000000000002E-2</v>
      </c>
      <c r="F13" s="74">
        <v>0.33979135618479878</v>
      </c>
      <c r="G13" s="74"/>
    </row>
    <row r="14" spans="1:7" x14ac:dyDescent="0.25">
      <c r="A14" s="21" t="s">
        <v>140</v>
      </c>
      <c r="B14" s="17" t="s">
        <v>44</v>
      </c>
      <c r="C14" s="17" t="s">
        <v>47</v>
      </c>
      <c r="D14" s="74">
        <v>0.1244</v>
      </c>
      <c r="E14" s="74">
        <v>4.3799999999999999E-2</v>
      </c>
      <c r="F14" s="74">
        <v>0.35209003215434082</v>
      </c>
      <c r="G14" s="74"/>
    </row>
    <row r="15" spans="1:7" x14ac:dyDescent="0.25">
      <c r="A15" s="21" t="s">
        <v>140</v>
      </c>
      <c r="B15" s="17" t="s">
        <v>44</v>
      </c>
      <c r="C15" s="17" t="s">
        <v>48</v>
      </c>
      <c r="D15" s="74">
        <v>9.7600000000000006E-2</v>
      </c>
      <c r="E15" s="74">
        <v>3.2599999999999997E-2</v>
      </c>
      <c r="F15" s="74">
        <v>0.33401639344262291</v>
      </c>
      <c r="G15" s="74"/>
    </row>
    <row r="16" spans="1:7" x14ac:dyDescent="0.25">
      <c r="A16" s="21" t="s">
        <v>140</v>
      </c>
      <c r="B16" s="17" t="s">
        <v>49</v>
      </c>
      <c r="C16" s="17" t="s">
        <v>45</v>
      </c>
      <c r="D16" s="74">
        <v>0.157</v>
      </c>
      <c r="E16" s="74">
        <v>6.4000000000000001E-2</v>
      </c>
      <c r="F16" s="74">
        <v>0.40764331210191085</v>
      </c>
      <c r="G16" s="74">
        <v>0.38550200891752234</v>
      </c>
    </row>
    <row r="17" spans="1:7" x14ac:dyDescent="0.25">
      <c r="A17" s="21" t="s">
        <v>140</v>
      </c>
      <c r="B17" s="17" t="s">
        <v>49</v>
      </c>
      <c r="C17" s="17" t="s">
        <v>46</v>
      </c>
      <c r="D17" s="74">
        <v>8.7999999999999995E-2</v>
      </c>
      <c r="E17" s="74">
        <v>3.8199999999999998E-2</v>
      </c>
      <c r="F17" s="74">
        <v>0.43409090909090908</v>
      </c>
      <c r="G17" s="74"/>
    </row>
    <row r="18" spans="1:7" x14ac:dyDescent="0.25">
      <c r="A18" s="21" t="s">
        <v>140</v>
      </c>
      <c r="B18" s="17" t="s">
        <v>49</v>
      </c>
      <c r="C18" s="17" t="s">
        <v>47</v>
      </c>
      <c r="D18" s="74">
        <v>0.1042</v>
      </c>
      <c r="E18" s="74">
        <v>4.2000000000000003E-2</v>
      </c>
      <c r="F18" s="74">
        <v>0.4030710172744722</v>
      </c>
      <c r="G18" s="74"/>
    </row>
    <row r="19" spans="1:7" x14ac:dyDescent="0.25">
      <c r="A19" s="21" t="s">
        <v>140</v>
      </c>
      <c r="B19" s="17" t="s">
        <v>49</v>
      </c>
      <c r="C19" s="17" t="s">
        <v>48</v>
      </c>
      <c r="D19" s="74">
        <v>0.1144</v>
      </c>
      <c r="E19" s="74">
        <v>3.4000000000000002E-2</v>
      </c>
      <c r="F19" s="74">
        <v>0.29720279720279724</v>
      </c>
      <c r="G19" s="74"/>
    </row>
    <row r="20" spans="1:7" x14ac:dyDescent="0.25">
      <c r="A20" s="21" t="s">
        <v>140</v>
      </c>
      <c r="B20" s="17" t="s">
        <v>50</v>
      </c>
      <c r="C20" s="17" t="s">
        <v>45</v>
      </c>
      <c r="D20" s="74">
        <v>0.15340000000000001</v>
      </c>
      <c r="E20" s="74">
        <v>5.4800000000000001E-2</v>
      </c>
      <c r="F20" s="74">
        <v>0.35723598435462839</v>
      </c>
      <c r="G20" s="74">
        <v>0.35099997360031593</v>
      </c>
    </row>
    <row r="21" spans="1:7" x14ac:dyDescent="0.25">
      <c r="A21" s="21" t="s">
        <v>140</v>
      </c>
      <c r="B21" s="17" t="s">
        <v>50</v>
      </c>
      <c r="C21" s="17" t="s">
        <v>46</v>
      </c>
      <c r="D21" s="74">
        <v>8.7800000000000003E-2</v>
      </c>
      <c r="E21" s="74">
        <v>2.6599999999999999E-2</v>
      </c>
      <c r="F21" s="74">
        <v>0.30296127562642367</v>
      </c>
      <c r="G21" s="74"/>
    </row>
    <row r="22" spans="1:7" x14ac:dyDescent="0.25">
      <c r="A22" s="21" t="s">
        <v>140</v>
      </c>
      <c r="B22" s="17" t="s">
        <v>50</v>
      </c>
      <c r="C22" s="17" t="s">
        <v>47</v>
      </c>
      <c r="D22" s="74">
        <v>8.4199999999999997E-2</v>
      </c>
      <c r="E22" s="74">
        <v>2.7799999999999998E-2</v>
      </c>
      <c r="F22" s="74">
        <v>0.33016627078384797</v>
      </c>
      <c r="G22" s="74"/>
    </row>
    <row r="23" spans="1:7" x14ac:dyDescent="0.25">
      <c r="A23" s="21" t="s">
        <v>140</v>
      </c>
      <c r="B23" s="17" t="s">
        <v>50</v>
      </c>
      <c r="C23" s="17" t="s">
        <v>48</v>
      </c>
      <c r="D23" s="74">
        <v>4.3999999999999997E-2</v>
      </c>
      <c r="E23" s="74">
        <v>1.8200000000000001E-2</v>
      </c>
      <c r="F23" s="74">
        <v>0.41363636363636369</v>
      </c>
      <c r="G23" s="74"/>
    </row>
    <row r="24" spans="1:7" x14ac:dyDescent="0.25">
      <c r="A24" s="21" t="s">
        <v>140</v>
      </c>
      <c r="B24" s="17" t="s">
        <v>51</v>
      </c>
      <c r="C24" s="17" t="s">
        <v>45</v>
      </c>
      <c r="D24" s="74">
        <v>0.1072</v>
      </c>
      <c r="E24" s="74">
        <v>4.3999999999999997E-2</v>
      </c>
      <c r="F24" s="74">
        <v>0.41044776119402981</v>
      </c>
      <c r="G24" s="74">
        <v>0.53856132704664561</v>
      </c>
    </row>
    <row r="25" spans="1:7" x14ac:dyDescent="0.25">
      <c r="A25" s="21" t="s">
        <v>140</v>
      </c>
      <c r="B25" s="17" t="s">
        <v>51</v>
      </c>
      <c r="C25" s="17" t="s">
        <v>46</v>
      </c>
      <c r="D25" s="74">
        <v>4.6600000000000003E-2</v>
      </c>
      <c r="E25" s="74">
        <v>3.6600000000000001E-2</v>
      </c>
      <c r="F25" s="74">
        <v>0.78540772532188841</v>
      </c>
      <c r="G25" s="74"/>
    </row>
    <row r="26" spans="1:7" x14ac:dyDescent="0.25">
      <c r="A26" s="21" t="s">
        <v>140</v>
      </c>
      <c r="B26" s="17" t="s">
        <v>51</v>
      </c>
      <c r="C26" s="17" t="s">
        <v>47</v>
      </c>
      <c r="D26" s="74">
        <v>4.4600000000000001E-2</v>
      </c>
      <c r="E26" s="74">
        <v>2.1999999999999999E-2</v>
      </c>
      <c r="F26" s="74">
        <v>0.49327354260089684</v>
      </c>
      <c r="G26" s="74"/>
    </row>
    <row r="27" spans="1:7" x14ac:dyDescent="0.25">
      <c r="A27" s="21" t="s">
        <v>140</v>
      </c>
      <c r="B27" s="17" t="s">
        <v>51</v>
      </c>
      <c r="C27" s="17" t="s">
        <v>48</v>
      </c>
      <c r="D27" s="74">
        <v>6.0199999999999997E-2</v>
      </c>
      <c r="E27" s="74">
        <v>2.8000000000000001E-2</v>
      </c>
      <c r="F27" s="74">
        <v>0.46511627906976749</v>
      </c>
      <c r="G27" s="74"/>
    </row>
    <row r="28" spans="1:7" x14ac:dyDescent="0.25">
      <c r="A28" s="17" t="s">
        <v>54</v>
      </c>
      <c r="B28" s="17" t="s">
        <v>44</v>
      </c>
      <c r="C28" s="17" t="s">
        <v>45</v>
      </c>
      <c r="D28" s="74">
        <v>0.27</v>
      </c>
      <c r="E28" s="74">
        <v>5.3600000000000002E-2</v>
      </c>
      <c r="F28" s="74">
        <v>0.19851851851851851</v>
      </c>
      <c r="G28" s="74">
        <v>0.26125219874587369</v>
      </c>
    </row>
    <row r="29" spans="1:7" x14ac:dyDescent="0.25">
      <c r="A29" s="17" t="s">
        <v>54</v>
      </c>
      <c r="B29" s="17" t="s">
        <v>44</v>
      </c>
      <c r="C29" s="17" t="s">
        <v>46</v>
      </c>
      <c r="D29" s="74">
        <v>5.3600000000000002E-2</v>
      </c>
      <c r="E29" s="74">
        <v>1.52E-2</v>
      </c>
      <c r="F29" s="74">
        <v>0.28358208955223879</v>
      </c>
      <c r="G29" s="74"/>
    </row>
    <row r="30" spans="1:7" x14ac:dyDescent="0.25">
      <c r="A30" s="17" t="s">
        <v>54</v>
      </c>
      <c r="B30" s="17" t="s">
        <v>44</v>
      </c>
      <c r="C30" s="17" t="s">
        <v>47</v>
      </c>
      <c r="D30" s="74">
        <v>0.1172</v>
      </c>
      <c r="E30" s="74">
        <v>2.98E-2</v>
      </c>
      <c r="F30" s="74">
        <v>0.25426621160409557</v>
      </c>
      <c r="G30" s="74"/>
    </row>
    <row r="31" spans="1:7" x14ac:dyDescent="0.25">
      <c r="A31" s="17" t="s">
        <v>54</v>
      </c>
      <c r="B31" s="17" t="s">
        <v>44</v>
      </c>
      <c r="C31" s="17" t="s">
        <v>48</v>
      </c>
      <c r="D31" s="74">
        <v>0.19440000000000002</v>
      </c>
      <c r="E31" s="74">
        <v>0.06</v>
      </c>
      <c r="F31" s="74">
        <v>0.30864197530864196</v>
      </c>
      <c r="G31" s="74"/>
    </row>
    <row r="32" spans="1:7" x14ac:dyDescent="0.25">
      <c r="A32" s="17" t="s">
        <v>54</v>
      </c>
      <c r="B32" s="17" t="s">
        <v>49</v>
      </c>
      <c r="C32" s="17" t="s">
        <v>45</v>
      </c>
      <c r="D32" s="74">
        <v>4.2000000000000003E-2</v>
      </c>
      <c r="E32" s="74">
        <v>2.3399999999999997E-2</v>
      </c>
      <c r="F32" s="74">
        <v>0.55714285714285705</v>
      </c>
      <c r="G32" s="74">
        <v>0.54067430354805768</v>
      </c>
    </row>
    <row r="33" spans="1:7" x14ac:dyDescent="0.25">
      <c r="A33" s="17" t="s">
        <v>54</v>
      </c>
      <c r="B33" s="17" t="s">
        <v>49</v>
      </c>
      <c r="C33" s="17" t="s">
        <v>46</v>
      </c>
      <c r="D33" s="74">
        <v>5.16E-2</v>
      </c>
      <c r="E33" s="74">
        <v>2.9600000000000001E-2</v>
      </c>
      <c r="F33" s="74">
        <v>0.5736434108527132</v>
      </c>
      <c r="G33" s="74"/>
    </row>
    <row r="34" spans="1:7" x14ac:dyDescent="0.25">
      <c r="A34" s="17" t="s">
        <v>54</v>
      </c>
      <c r="B34" s="17" t="s">
        <v>49</v>
      </c>
      <c r="C34" s="17" t="s">
        <v>47</v>
      </c>
      <c r="D34" s="74">
        <v>7.6999999999999999E-2</v>
      </c>
      <c r="E34" s="74">
        <v>3.6400000000000002E-2</v>
      </c>
      <c r="F34" s="74">
        <v>0.47272727272727277</v>
      </c>
      <c r="G34" s="74"/>
    </row>
    <row r="35" spans="1:7" x14ac:dyDescent="0.25">
      <c r="A35" s="17" t="s">
        <v>54</v>
      </c>
      <c r="B35" s="17" t="s">
        <v>49</v>
      </c>
      <c r="C35" s="17" t="s">
        <v>48</v>
      </c>
      <c r="D35" s="74">
        <v>4.9000000000000002E-2</v>
      </c>
      <c r="E35" s="74">
        <v>2.7399999999999997E-2</v>
      </c>
      <c r="F35" s="74">
        <v>0.55918367346938769</v>
      </c>
      <c r="G35" s="74"/>
    </row>
    <row r="36" spans="1:7" x14ac:dyDescent="0.25">
      <c r="A36" s="17" t="s">
        <v>54</v>
      </c>
      <c r="B36" s="17" t="s">
        <v>50</v>
      </c>
      <c r="C36" s="17" t="s">
        <v>45</v>
      </c>
      <c r="D36" s="74">
        <v>4.58E-2</v>
      </c>
      <c r="E36" s="74">
        <v>2.58E-2</v>
      </c>
      <c r="F36" s="74">
        <v>0.5633187772925764</v>
      </c>
      <c r="G36" s="74">
        <v>0.45166326351851388</v>
      </c>
    </row>
    <row r="37" spans="1:7" x14ac:dyDescent="0.25">
      <c r="A37" s="17" t="s">
        <v>54</v>
      </c>
      <c r="B37" s="17" t="s">
        <v>50</v>
      </c>
      <c r="C37" s="17" t="s">
        <v>46</v>
      </c>
      <c r="D37" s="74">
        <v>7.9200000000000007E-2</v>
      </c>
      <c r="E37" s="74">
        <v>3.2199999999999999E-2</v>
      </c>
      <c r="F37" s="74">
        <v>0.40656565656565652</v>
      </c>
      <c r="G37" s="74"/>
    </row>
    <row r="38" spans="1:7" x14ac:dyDescent="0.25">
      <c r="A38" s="17" t="s">
        <v>54</v>
      </c>
      <c r="B38" s="17" t="s">
        <v>50</v>
      </c>
      <c r="C38" s="17" t="s">
        <v>47</v>
      </c>
      <c r="D38" s="74">
        <v>7.46E-2</v>
      </c>
      <c r="E38" s="74">
        <v>2.9000000000000001E-2</v>
      </c>
      <c r="F38" s="74">
        <v>0.38873994638069709</v>
      </c>
      <c r="G38" s="74"/>
    </row>
    <row r="39" spans="1:7" x14ac:dyDescent="0.25">
      <c r="A39" s="17" t="s">
        <v>54</v>
      </c>
      <c r="B39" s="17" t="s">
        <v>50</v>
      </c>
      <c r="C39" s="17" t="s">
        <v>48</v>
      </c>
      <c r="D39" s="74">
        <v>5.5799999999999995E-2</v>
      </c>
      <c r="E39" s="74">
        <v>2.5000000000000001E-2</v>
      </c>
      <c r="F39" s="74">
        <v>0.44802867383512551</v>
      </c>
      <c r="G39" s="74"/>
    </row>
    <row r="40" spans="1:7" x14ac:dyDescent="0.25">
      <c r="A40" s="17" t="s">
        <v>54</v>
      </c>
      <c r="B40" s="17" t="s">
        <v>51</v>
      </c>
      <c r="C40" s="17" t="s">
        <v>45</v>
      </c>
      <c r="D40" s="74">
        <v>2.2800000000000001E-2</v>
      </c>
      <c r="E40" s="74">
        <v>1.4999999999999999E-2</v>
      </c>
      <c r="F40" s="74">
        <v>0.6578947368421052</v>
      </c>
      <c r="G40" s="74">
        <v>0.53861466396449798</v>
      </c>
    </row>
    <row r="41" spans="1:7" x14ac:dyDescent="0.25">
      <c r="A41" s="17" t="s">
        <v>54</v>
      </c>
      <c r="B41" s="17" t="s">
        <v>51</v>
      </c>
      <c r="C41" s="17" t="s">
        <v>46</v>
      </c>
      <c r="D41" s="74">
        <v>4.58E-2</v>
      </c>
      <c r="E41" s="74">
        <v>2.52E-2</v>
      </c>
      <c r="F41" s="74">
        <v>0.55021834061135366</v>
      </c>
      <c r="G41" s="74"/>
    </row>
    <row r="42" spans="1:7" x14ac:dyDescent="0.25">
      <c r="A42" s="17" t="s">
        <v>54</v>
      </c>
      <c r="B42" s="17" t="s">
        <v>51</v>
      </c>
      <c r="C42" s="17" t="s">
        <v>47</v>
      </c>
      <c r="D42" s="74">
        <v>9.0400000000000008E-2</v>
      </c>
      <c r="E42" s="74">
        <v>4.1000000000000002E-2</v>
      </c>
      <c r="F42" s="74">
        <v>0.45353982300884954</v>
      </c>
      <c r="G42" s="74"/>
    </row>
    <row r="43" spans="1:7" x14ac:dyDescent="0.25">
      <c r="A43" s="17" t="s">
        <v>54</v>
      </c>
      <c r="B43" s="17" t="s">
        <v>51</v>
      </c>
      <c r="C43" s="17" t="s">
        <v>48</v>
      </c>
      <c r="D43" s="74">
        <v>5.5600000000000004E-2</v>
      </c>
      <c r="E43" s="74">
        <v>2.7399999999999997E-2</v>
      </c>
      <c r="F43" s="74">
        <v>0.49280575539568339</v>
      </c>
      <c r="G43" s="74"/>
    </row>
    <row r="44" spans="1:7" x14ac:dyDescent="0.25">
      <c r="A44" s="17" t="s">
        <v>55</v>
      </c>
      <c r="B44" s="17" t="s">
        <v>44</v>
      </c>
      <c r="C44" s="17" t="s">
        <v>45</v>
      </c>
      <c r="D44" s="74">
        <v>6.0600000000000001E-2</v>
      </c>
      <c r="E44" s="74">
        <v>2.5399999999999999E-2</v>
      </c>
      <c r="F44" s="74">
        <v>0.41914191419141911</v>
      </c>
      <c r="G44" s="74">
        <v>0.43175467707998072</v>
      </c>
    </row>
    <row r="45" spans="1:7" x14ac:dyDescent="0.25">
      <c r="A45" s="17" t="s">
        <v>55</v>
      </c>
      <c r="B45" s="17" t="s">
        <v>44</v>
      </c>
      <c r="C45" s="17" t="s">
        <v>46</v>
      </c>
      <c r="D45" s="74">
        <v>4.2000000000000003E-2</v>
      </c>
      <c r="E45" s="74">
        <v>2.0799999999999999E-2</v>
      </c>
      <c r="F45" s="74">
        <v>0.4952380952380952</v>
      </c>
      <c r="G45" s="74"/>
    </row>
    <row r="46" spans="1:7" x14ac:dyDescent="0.25">
      <c r="A46" s="17" t="s">
        <v>55</v>
      </c>
      <c r="B46" s="17" t="s">
        <v>44</v>
      </c>
      <c r="C46" s="17" t="s">
        <v>47</v>
      </c>
      <c r="D46" s="74">
        <v>7.740000000000001E-2</v>
      </c>
      <c r="E46" s="74">
        <v>3.0800000000000001E-2</v>
      </c>
      <c r="F46" s="74">
        <v>0.39793281653746765</v>
      </c>
      <c r="G46" s="74"/>
    </row>
    <row r="47" spans="1:7" x14ac:dyDescent="0.25">
      <c r="A47" s="17" t="s">
        <v>55</v>
      </c>
      <c r="B47" s="17" t="s">
        <v>44</v>
      </c>
      <c r="C47" s="17" t="s">
        <v>48</v>
      </c>
      <c r="D47" s="74">
        <v>6.8000000000000005E-2</v>
      </c>
      <c r="E47" s="74">
        <v>2.8199999999999999E-2</v>
      </c>
      <c r="F47" s="74">
        <v>0.41470588235294115</v>
      </c>
      <c r="G47" s="74"/>
    </row>
    <row r="48" spans="1:7" x14ac:dyDescent="0.25">
      <c r="A48" s="17" t="s">
        <v>55</v>
      </c>
      <c r="B48" s="17" t="s">
        <v>49</v>
      </c>
      <c r="C48" s="17" t="s">
        <v>45</v>
      </c>
      <c r="D48" s="74">
        <v>8.4400000000000003E-2</v>
      </c>
      <c r="E48" s="74">
        <v>4.6600000000000003E-2</v>
      </c>
      <c r="F48" s="74">
        <v>0.55213270142180093</v>
      </c>
      <c r="G48" s="74">
        <v>0.55260538258993797</v>
      </c>
    </row>
    <row r="49" spans="1:7" x14ac:dyDescent="0.25">
      <c r="A49" s="17" t="s">
        <v>55</v>
      </c>
      <c r="B49" s="17" t="s">
        <v>49</v>
      </c>
      <c r="C49" s="17" t="s">
        <v>46</v>
      </c>
      <c r="D49" s="74">
        <v>8.8599999999999998E-2</v>
      </c>
      <c r="E49" s="74">
        <v>4.8600000000000004E-2</v>
      </c>
      <c r="F49" s="74">
        <v>0.54853273137697522</v>
      </c>
      <c r="G49" s="74"/>
    </row>
    <row r="50" spans="1:7" x14ac:dyDescent="0.25">
      <c r="A50" s="17" t="s">
        <v>55</v>
      </c>
      <c r="B50" s="17" t="s">
        <v>49</v>
      </c>
      <c r="C50" s="17" t="s">
        <v>47</v>
      </c>
      <c r="D50" s="74">
        <v>6.5599999999999992E-2</v>
      </c>
      <c r="E50" s="74">
        <v>0.04</v>
      </c>
      <c r="F50" s="74">
        <v>0.60975609756097571</v>
      </c>
      <c r="G50" s="74"/>
    </row>
    <row r="51" spans="1:7" x14ac:dyDescent="0.25">
      <c r="A51" s="17" t="s">
        <v>55</v>
      </c>
      <c r="B51" s="17" t="s">
        <v>49</v>
      </c>
      <c r="C51" s="17" t="s">
        <v>48</v>
      </c>
      <c r="D51" s="74">
        <v>7.8400000000000011E-2</v>
      </c>
      <c r="E51" s="74">
        <v>3.9200000000000006E-2</v>
      </c>
      <c r="F51" s="74">
        <v>0.5</v>
      </c>
      <c r="G51" s="74"/>
    </row>
    <row r="52" spans="1:7" x14ac:dyDescent="0.25">
      <c r="A52" s="17" t="s">
        <v>55</v>
      </c>
      <c r="B52" s="17" t="s">
        <v>50</v>
      </c>
      <c r="C52" s="17" t="s">
        <v>45</v>
      </c>
      <c r="D52" s="74">
        <v>5.1400000000000001E-2</v>
      </c>
      <c r="E52" s="74">
        <v>2.4399999999999998E-2</v>
      </c>
      <c r="F52" s="74">
        <v>0.47470817120622566</v>
      </c>
      <c r="G52" s="74">
        <v>0.44686570806887344</v>
      </c>
    </row>
    <row r="53" spans="1:7" x14ac:dyDescent="0.25">
      <c r="A53" s="17" t="s">
        <v>55</v>
      </c>
      <c r="B53" s="17" t="s">
        <v>50</v>
      </c>
      <c r="C53" s="17" t="s">
        <v>46</v>
      </c>
      <c r="D53" s="74">
        <v>4.6799999999999994E-2</v>
      </c>
      <c r="E53" s="74">
        <v>2.2800000000000001E-2</v>
      </c>
      <c r="F53" s="74">
        <v>0.48717948717948728</v>
      </c>
      <c r="G53" s="74"/>
    </row>
    <row r="54" spans="1:7" x14ac:dyDescent="0.25">
      <c r="A54" s="17" t="s">
        <v>55</v>
      </c>
      <c r="B54" s="17" t="s">
        <v>50</v>
      </c>
      <c r="C54" s="17" t="s">
        <v>47</v>
      </c>
      <c r="D54" s="74">
        <v>6.3E-2</v>
      </c>
      <c r="E54" s="74">
        <v>2.7E-2</v>
      </c>
      <c r="F54" s="74">
        <v>0.42857142857142855</v>
      </c>
      <c r="G54" s="74"/>
    </row>
    <row r="55" spans="1:7" x14ac:dyDescent="0.25">
      <c r="A55" s="17" t="s">
        <v>55</v>
      </c>
      <c r="B55" s="17" t="s">
        <v>50</v>
      </c>
      <c r="C55" s="17" t="s">
        <v>48</v>
      </c>
      <c r="D55" s="74">
        <v>5.3399999999999996E-2</v>
      </c>
      <c r="E55" s="74">
        <v>2.12E-2</v>
      </c>
      <c r="F55" s="74">
        <v>0.39700374531835209</v>
      </c>
      <c r="G55" s="74"/>
    </row>
    <row r="56" spans="1:7" x14ac:dyDescent="0.25">
      <c r="A56" s="17" t="s">
        <v>55</v>
      </c>
      <c r="B56" s="17" t="s">
        <v>51</v>
      </c>
      <c r="C56" s="17" t="s">
        <v>45</v>
      </c>
      <c r="D56" s="74">
        <v>6.4200000000000007E-2</v>
      </c>
      <c r="E56" s="74">
        <v>3.3000000000000002E-2</v>
      </c>
      <c r="F56" s="74">
        <v>0.51401869158878499</v>
      </c>
      <c r="G56" s="74">
        <v>0.55028906076317807</v>
      </c>
    </row>
    <row r="57" spans="1:7" x14ac:dyDescent="0.25">
      <c r="A57" s="17" t="s">
        <v>55</v>
      </c>
      <c r="B57" s="17" t="s">
        <v>51</v>
      </c>
      <c r="C57" s="17" t="s">
        <v>46</v>
      </c>
      <c r="D57" s="74">
        <v>3.7200000000000004E-2</v>
      </c>
      <c r="E57" s="74">
        <v>2.3399999999999997E-2</v>
      </c>
      <c r="F57" s="74">
        <v>0.62903225806451601</v>
      </c>
      <c r="G57" s="74"/>
    </row>
    <row r="58" spans="1:7" x14ac:dyDescent="0.25">
      <c r="A58" s="17" t="s">
        <v>55</v>
      </c>
      <c r="B58" s="17" t="s">
        <v>51</v>
      </c>
      <c r="C58" s="17" t="s">
        <v>47</v>
      </c>
      <c r="D58" s="74">
        <v>4.6799999999999994E-2</v>
      </c>
      <c r="E58" s="74">
        <v>2.1399999999999999E-2</v>
      </c>
      <c r="F58" s="74">
        <v>0.45726495726495731</v>
      </c>
      <c r="G58" s="74"/>
    </row>
    <row r="59" spans="1:7" x14ac:dyDescent="0.25">
      <c r="A59" s="17" t="s">
        <v>55</v>
      </c>
      <c r="B59" s="17" t="s">
        <v>51</v>
      </c>
      <c r="C59" s="17" t="s">
        <v>48</v>
      </c>
      <c r="D59" s="74">
        <v>4.7600000000000003E-2</v>
      </c>
      <c r="E59" s="74">
        <v>2.86E-2</v>
      </c>
      <c r="F59" s="74">
        <v>0.60084033613445376</v>
      </c>
      <c r="G59" s="74"/>
    </row>
    <row r="60" spans="1:7" x14ac:dyDescent="0.25">
      <c r="A60" s="17" t="s">
        <v>56</v>
      </c>
      <c r="B60" s="17" t="s">
        <v>44</v>
      </c>
      <c r="C60" s="17" t="s">
        <v>45</v>
      </c>
      <c r="D60" s="74">
        <v>6.1600000000000002E-2</v>
      </c>
      <c r="E60" s="74">
        <v>2.4199999999999999E-2</v>
      </c>
      <c r="F60" s="74">
        <v>0.39285714285714285</v>
      </c>
      <c r="G60" s="74">
        <v>0.39492702830438248</v>
      </c>
    </row>
    <row r="61" spans="1:7" x14ac:dyDescent="0.25">
      <c r="A61" s="17" t="s">
        <v>56</v>
      </c>
      <c r="B61" s="17" t="s">
        <v>44</v>
      </c>
      <c r="C61" s="17" t="s">
        <v>46</v>
      </c>
      <c r="D61" s="74">
        <v>7.0199999999999999E-2</v>
      </c>
      <c r="E61" s="74">
        <v>2.6600000000000002E-2</v>
      </c>
      <c r="F61" s="74">
        <v>0.37891737891737898</v>
      </c>
      <c r="G61" s="74"/>
    </row>
    <row r="62" spans="1:7" x14ac:dyDescent="0.25">
      <c r="A62" s="17" t="s">
        <v>56</v>
      </c>
      <c r="B62" s="17" t="s">
        <v>44</v>
      </c>
      <c r="C62" s="17" t="s">
        <v>47</v>
      </c>
      <c r="D62" s="74">
        <v>6.2200000000000005E-2</v>
      </c>
      <c r="E62" s="74">
        <v>2.2200000000000001E-2</v>
      </c>
      <c r="F62" s="74">
        <v>0.35691318327974275</v>
      </c>
      <c r="G62" s="74"/>
    </row>
    <row r="63" spans="1:7" x14ac:dyDescent="0.25">
      <c r="A63" s="17" t="s">
        <v>56</v>
      </c>
      <c r="B63" s="17" t="s">
        <v>44</v>
      </c>
      <c r="C63" s="17" t="s">
        <v>48</v>
      </c>
      <c r="D63" s="74">
        <v>9.8000000000000004E-2</v>
      </c>
      <c r="E63" s="74">
        <v>4.4200000000000003E-2</v>
      </c>
      <c r="F63" s="74">
        <v>0.45102040816326533</v>
      </c>
      <c r="G63" s="74"/>
    </row>
    <row r="64" spans="1:7" x14ac:dyDescent="0.25">
      <c r="A64" s="17" t="s">
        <v>56</v>
      </c>
      <c r="B64" s="17" t="s">
        <v>49</v>
      </c>
      <c r="C64" s="17" t="s">
        <v>45</v>
      </c>
      <c r="D64" s="74">
        <v>8.2200000000000009E-2</v>
      </c>
      <c r="E64" s="74">
        <v>4.0799999999999996E-2</v>
      </c>
      <c r="F64" s="74">
        <v>0.49635036496350354</v>
      </c>
      <c r="G64" s="74">
        <v>0.49073394043417284</v>
      </c>
    </row>
    <row r="65" spans="1:7" x14ac:dyDescent="0.25">
      <c r="A65" s="17" t="s">
        <v>56</v>
      </c>
      <c r="B65" s="17" t="s">
        <v>49</v>
      </c>
      <c r="C65" s="17" t="s">
        <v>46</v>
      </c>
      <c r="D65" s="74">
        <v>7.1800000000000003E-2</v>
      </c>
      <c r="E65" s="74">
        <v>3.78E-2</v>
      </c>
      <c r="F65" s="74">
        <v>0.52646239554317542</v>
      </c>
      <c r="G65" s="74"/>
    </row>
    <row r="66" spans="1:7" x14ac:dyDescent="0.25">
      <c r="A66" s="17" t="s">
        <v>56</v>
      </c>
      <c r="B66" s="17" t="s">
        <v>49</v>
      </c>
      <c r="C66" s="17" t="s">
        <v>47</v>
      </c>
      <c r="D66" s="74">
        <v>0.09</v>
      </c>
      <c r="E66" s="74">
        <v>4.2599999999999999E-2</v>
      </c>
      <c r="F66" s="74">
        <v>0.47333333333333333</v>
      </c>
      <c r="G66" s="74"/>
    </row>
    <row r="67" spans="1:7" x14ac:dyDescent="0.25">
      <c r="A67" s="17" t="s">
        <v>56</v>
      </c>
      <c r="B67" s="17" t="s">
        <v>49</v>
      </c>
      <c r="C67" s="17" t="s">
        <v>48</v>
      </c>
      <c r="D67" s="74">
        <v>0.10840000000000001</v>
      </c>
      <c r="E67" s="74">
        <v>5.0599999999999999E-2</v>
      </c>
      <c r="F67" s="74">
        <v>0.46678966789667892</v>
      </c>
      <c r="G67" s="74"/>
    </row>
    <row r="68" spans="1:7" x14ac:dyDescent="0.25">
      <c r="A68" s="17" t="s">
        <v>56</v>
      </c>
      <c r="B68" s="17" t="s">
        <v>50</v>
      </c>
      <c r="C68" s="17" t="s">
        <v>45</v>
      </c>
      <c r="D68" s="74">
        <v>2.7399999999999997E-2</v>
      </c>
      <c r="E68" s="74">
        <v>1.72E-2</v>
      </c>
      <c r="F68" s="74">
        <v>0.62773722627737227</v>
      </c>
      <c r="G68" s="74">
        <v>0.58337549254786669</v>
      </c>
    </row>
    <row r="69" spans="1:7" x14ac:dyDescent="0.25">
      <c r="A69" s="17" t="s">
        <v>56</v>
      </c>
      <c r="B69" s="17" t="s">
        <v>50</v>
      </c>
      <c r="C69" s="17" t="s">
        <v>46</v>
      </c>
      <c r="D69" s="74">
        <v>3.5200000000000002E-2</v>
      </c>
      <c r="E69" s="74">
        <v>2.06E-2</v>
      </c>
      <c r="F69" s="74">
        <v>0.58522727272727271</v>
      </c>
      <c r="G69" s="74"/>
    </row>
    <row r="70" spans="1:7" x14ac:dyDescent="0.25">
      <c r="A70" s="17" t="s">
        <v>56</v>
      </c>
      <c r="B70" s="17" t="s">
        <v>50</v>
      </c>
      <c r="C70" s="17" t="s">
        <v>47</v>
      </c>
      <c r="D70" s="74">
        <v>4.8399999999999999E-2</v>
      </c>
      <c r="E70" s="74">
        <v>2.7399999999999997E-2</v>
      </c>
      <c r="F70" s="74">
        <v>0.56611570247933884</v>
      </c>
      <c r="G70" s="74"/>
    </row>
    <row r="71" spans="1:7" x14ac:dyDescent="0.25">
      <c r="A71" s="17" t="s">
        <v>56</v>
      </c>
      <c r="B71" s="17" t="s">
        <v>50</v>
      </c>
      <c r="C71" s="17" t="s">
        <v>48</v>
      </c>
      <c r="D71" s="74">
        <v>5.8799999999999998E-2</v>
      </c>
      <c r="E71" s="74">
        <v>3.2600000000000004E-2</v>
      </c>
      <c r="F71" s="74">
        <v>0.55442176870748305</v>
      </c>
      <c r="G71" s="74"/>
    </row>
    <row r="72" spans="1:7" x14ac:dyDescent="0.25">
      <c r="A72" s="17" t="s">
        <v>56</v>
      </c>
      <c r="B72" s="17" t="s">
        <v>51</v>
      </c>
      <c r="C72" s="17" t="s">
        <v>45</v>
      </c>
      <c r="D72" s="74">
        <v>3.4000000000000002E-2</v>
      </c>
      <c r="E72" s="74">
        <v>2.12E-2</v>
      </c>
      <c r="F72" s="74">
        <v>0.62352941176470589</v>
      </c>
      <c r="G72" s="74">
        <v>0.54135570231314523</v>
      </c>
    </row>
    <row r="73" spans="1:7" x14ac:dyDescent="0.25">
      <c r="A73" s="17" t="s">
        <v>56</v>
      </c>
      <c r="B73" s="17" t="s">
        <v>51</v>
      </c>
      <c r="C73" s="17" t="s">
        <v>46</v>
      </c>
      <c r="D73" s="74">
        <v>9.240000000000001E-2</v>
      </c>
      <c r="E73" s="74">
        <v>4.6600000000000003E-2</v>
      </c>
      <c r="F73" s="74">
        <v>0.50432900432900429</v>
      </c>
      <c r="G73" s="74"/>
    </row>
    <row r="74" spans="1:7" x14ac:dyDescent="0.25">
      <c r="A74" s="17" t="s">
        <v>56</v>
      </c>
      <c r="B74" s="17" t="s">
        <v>51</v>
      </c>
      <c r="C74" s="17" t="s">
        <v>47</v>
      </c>
      <c r="D74" s="74">
        <v>6.9000000000000006E-2</v>
      </c>
      <c r="E74" s="74">
        <v>3.8399999999999997E-2</v>
      </c>
      <c r="F74" s="74">
        <v>0.55652173913043468</v>
      </c>
      <c r="G74" s="74"/>
    </row>
    <row r="75" spans="1:7" x14ac:dyDescent="0.25">
      <c r="A75" s="17" t="s">
        <v>56</v>
      </c>
      <c r="B75" s="17" t="s">
        <v>51</v>
      </c>
      <c r="C75" s="17" t="s">
        <v>48</v>
      </c>
      <c r="D75" s="74">
        <v>8.4400000000000003E-2</v>
      </c>
      <c r="E75" s="74">
        <v>4.0600000000000004E-2</v>
      </c>
      <c r="F75" s="74">
        <v>0.48104265402843605</v>
      </c>
      <c r="G75" s="74"/>
    </row>
    <row r="76" spans="1:7" x14ac:dyDescent="0.25">
      <c r="A76" s="22">
        <v>40483</v>
      </c>
      <c r="B76" s="17" t="s">
        <v>44</v>
      </c>
      <c r="C76" s="17" t="s">
        <v>45</v>
      </c>
      <c r="D76" s="74">
        <v>7.8200000000000006E-2</v>
      </c>
      <c r="E76" s="74">
        <v>2.7199999999999998E-2</v>
      </c>
      <c r="F76" s="74">
        <v>0.34782608695652167</v>
      </c>
      <c r="G76" s="74">
        <v>0.32321818974726269</v>
      </c>
    </row>
    <row r="77" spans="1:7" x14ac:dyDescent="0.25">
      <c r="A77" s="22">
        <v>40483</v>
      </c>
      <c r="B77" s="17" t="s">
        <v>44</v>
      </c>
      <c r="C77" s="17" t="s">
        <v>46</v>
      </c>
      <c r="D77" s="74">
        <v>0.1138</v>
      </c>
      <c r="E77" s="74">
        <v>3.8200000000000005E-2</v>
      </c>
      <c r="F77" s="74">
        <v>0.33567662565905099</v>
      </c>
      <c r="G77" s="74"/>
    </row>
    <row r="78" spans="1:7" x14ac:dyDescent="0.25">
      <c r="A78" s="22">
        <v>40483</v>
      </c>
      <c r="B78" s="17" t="s">
        <v>44</v>
      </c>
      <c r="C78" s="17" t="s">
        <v>47</v>
      </c>
      <c r="D78" s="74">
        <v>0.2868</v>
      </c>
      <c r="E78" s="74">
        <v>8.8999999999999996E-2</v>
      </c>
      <c r="F78" s="74">
        <v>0.31032078103207811</v>
      </c>
      <c r="G78" s="74"/>
    </row>
    <row r="79" spans="1:7" x14ac:dyDescent="0.25">
      <c r="A79" s="22">
        <v>40483</v>
      </c>
      <c r="B79" s="17" t="s">
        <v>44</v>
      </c>
      <c r="C79" s="17" t="s">
        <v>48</v>
      </c>
      <c r="D79" s="74">
        <v>0.23139999999999999</v>
      </c>
      <c r="E79" s="74">
        <v>6.9199999999999998E-2</v>
      </c>
      <c r="F79" s="74">
        <v>0.29904926534140019</v>
      </c>
      <c r="G79" s="74"/>
    </row>
    <row r="80" spans="1:7" x14ac:dyDescent="0.25">
      <c r="A80" s="22">
        <v>40483</v>
      </c>
      <c r="B80" s="17" t="s">
        <v>49</v>
      </c>
      <c r="C80" s="17" t="s">
        <v>45</v>
      </c>
      <c r="D80" s="74">
        <v>7.5600000000000001E-2</v>
      </c>
      <c r="E80" s="74">
        <v>2.98E-2</v>
      </c>
      <c r="F80" s="74">
        <v>0.39417989417989419</v>
      </c>
      <c r="G80" s="74">
        <v>0.40864644739902184</v>
      </c>
    </row>
    <row r="81" spans="1:7" x14ac:dyDescent="0.25">
      <c r="A81" s="22">
        <v>40483</v>
      </c>
      <c r="B81" s="17" t="s">
        <v>49</v>
      </c>
      <c r="C81" s="17" t="s">
        <v>46</v>
      </c>
      <c r="D81" s="74">
        <v>7.7200000000000005E-2</v>
      </c>
      <c r="E81" s="74">
        <v>3.44E-2</v>
      </c>
      <c r="F81" s="74">
        <v>0.44559585492227977</v>
      </c>
      <c r="G81" s="74"/>
    </row>
    <row r="82" spans="1:7" x14ac:dyDescent="0.25">
      <c r="A82" s="22">
        <v>40483</v>
      </c>
      <c r="B82" s="17" t="s">
        <v>49</v>
      </c>
      <c r="C82" s="17" t="s">
        <v>47</v>
      </c>
      <c r="D82" s="74">
        <v>0.10940000000000001</v>
      </c>
      <c r="E82" s="74">
        <v>4.1399999999999999E-2</v>
      </c>
      <c r="F82" s="74">
        <v>0.37842778793418641</v>
      </c>
      <c r="G82" s="74"/>
    </row>
    <row r="83" spans="1:7" x14ac:dyDescent="0.25">
      <c r="A83" s="22">
        <v>40483</v>
      </c>
      <c r="B83" s="17" t="s">
        <v>49</v>
      </c>
      <c r="C83" s="17" t="s">
        <v>48</v>
      </c>
      <c r="D83" s="74">
        <v>0.17580000000000001</v>
      </c>
      <c r="E83" s="74">
        <v>7.3200000000000001E-2</v>
      </c>
      <c r="F83" s="74">
        <v>0.41638225255972694</v>
      </c>
      <c r="G83" s="74"/>
    </row>
    <row r="84" spans="1:7" x14ac:dyDescent="0.25">
      <c r="A84" s="22">
        <v>40483</v>
      </c>
      <c r="B84" s="17" t="s">
        <v>50</v>
      </c>
      <c r="C84" s="17" t="s">
        <v>45</v>
      </c>
      <c r="D84" s="74">
        <v>5.8999999999999997E-2</v>
      </c>
      <c r="E84" s="74">
        <v>2.5999999999999999E-2</v>
      </c>
      <c r="F84" s="74">
        <v>0.44067796610169491</v>
      </c>
      <c r="G84" s="74">
        <v>0.39404902155350052</v>
      </c>
    </row>
    <row r="85" spans="1:7" x14ac:dyDescent="0.25">
      <c r="A85" s="22">
        <v>40483</v>
      </c>
      <c r="B85" s="17" t="s">
        <v>50</v>
      </c>
      <c r="C85" s="17" t="s">
        <v>46</v>
      </c>
      <c r="D85" s="74">
        <v>7.3200000000000001E-2</v>
      </c>
      <c r="E85" s="74">
        <v>2.86E-2</v>
      </c>
      <c r="F85" s="74">
        <v>0.39071038251366119</v>
      </c>
      <c r="G85" s="74"/>
    </row>
    <row r="86" spans="1:7" x14ac:dyDescent="0.25">
      <c r="A86" s="22">
        <v>40483</v>
      </c>
      <c r="B86" s="17" t="s">
        <v>50</v>
      </c>
      <c r="C86" s="17" t="s">
        <v>47</v>
      </c>
      <c r="D86" s="74">
        <v>0.1046</v>
      </c>
      <c r="E86" s="74">
        <v>3.8600000000000002E-2</v>
      </c>
      <c r="F86" s="74">
        <v>0.36902485659655837</v>
      </c>
      <c r="G86" s="74"/>
    </row>
    <row r="87" spans="1:7" x14ac:dyDescent="0.25">
      <c r="A87" s="22">
        <v>40483</v>
      </c>
      <c r="B87" s="17" t="s">
        <v>50</v>
      </c>
      <c r="C87" s="17" t="s">
        <v>48</v>
      </c>
      <c r="D87" s="74">
        <v>0.28739999999999999</v>
      </c>
      <c r="E87" s="74">
        <v>0.108</v>
      </c>
      <c r="F87" s="74">
        <v>0.37578288100208768</v>
      </c>
      <c r="G87" s="74"/>
    </row>
    <row r="88" spans="1:7" x14ac:dyDescent="0.25">
      <c r="A88" s="22">
        <v>40483</v>
      </c>
      <c r="B88" s="17" t="s">
        <v>51</v>
      </c>
      <c r="C88" s="17" t="s">
        <v>45</v>
      </c>
      <c r="D88" s="74">
        <v>7.8200000000000006E-2</v>
      </c>
      <c r="E88" s="74">
        <v>3.7399999999999996E-2</v>
      </c>
      <c r="F88" s="74">
        <v>0.47826086956521729</v>
      </c>
      <c r="G88" s="74">
        <v>0.4295604476224073</v>
      </c>
    </row>
    <row r="89" spans="1:7" x14ac:dyDescent="0.25">
      <c r="A89" s="22">
        <v>40483</v>
      </c>
      <c r="B89" s="17" t="s">
        <v>51</v>
      </c>
      <c r="C89" s="17" t="s">
        <v>46</v>
      </c>
      <c r="D89" s="74">
        <v>0.14660000000000001</v>
      </c>
      <c r="E89" s="74">
        <v>6.88E-2</v>
      </c>
      <c r="F89" s="74">
        <v>0.46930422919508863</v>
      </c>
      <c r="G89" s="74"/>
    </row>
    <row r="90" spans="1:7" x14ac:dyDescent="0.25">
      <c r="A90" s="22">
        <v>40483</v>
      </c>
      <c r="B90" s="17" t="s">
        <v>51</v>
      </c>
      <c r="C90" s="17" t="s">
        <v>47</v>
      </c>
      <c r="D90" s="74">
        <v>0.189</v>
      </c>
      <c r="E90" s="74">
        <v>6.8400000000000002E-2</v>
      </c>
      <c r="F90" s="74">
        <v>0.3619047619047619</v>
      </c>
      <c r="G90" s="74"/>
    </row>
    <row r="91" spans="1:7" x14ac:dyDescent="0.25">
      <c r="A91" s="22">
        <v>40483</v>
      </c>
      <c r="B91" s="17" t="s">
        <v>51</v>
      </c>
      <c r="C91" s="17" t="s">
        <v>48</v>
      </c>
      <c r="D91" s="74">
        <v>0.114</v>
      </c>
      <c r="E91" s="74">
        <v>4.6600000000000003E-2</v>
      </c>
      <c r="F91" s="74">
        <v>0.4087719298245614</v>
      </c>
      <c r="G91" s="74"/>
    </row>
    <row r="92" spans="1:7" x14ac:dyDescent="0.25">
      <c r="A92" s="22">
        <v>40484</v>
      </c>
      <c r="B92" s="17" t="s">
        <v>44</v>
      </c>
      <c r="C92" s="17" t="s">
        <v>45</v>
      </c>
      <c r="D92" s="74">
        <v>5.5399999999999998E-2</v>
      </c>
      <c r="E92" s="74">
        <v>2.0399999999999998E-2</v>
      </c>
      <c r="F92" s="74">
        <v>0.3682310469314079</v>
      </c>
      <c r="G92" s="74">
        <v>0.29341055767676621</v>
      </c>
    </row>
    <row r="93" spans="1:7" x14ac:dyDescent="0.25">
      <c r="A93" s="22">
        <v>40484</v>
      </c>
      <c r="B93" s="17" t="s">
        <v>44</v>
      </c>
      <c r="C93" s="17" t="s">
        <v>46</v>
      </c>
      <c r="D93" s="74">
        <v>8.1000000000000003E-2</v>
      </c>
      <c r="E93" s="74">
        <v>2.4399999999999998E-2</v>
      </c>
      <c r="F93" s="74">
        <v>0.30123456790123454</v>
      </c>
      <c r="G93" s="74"/>
    </row>
    <row r="94" spans="1:7" x14ac:dyDescent="0.25">
      <c r="A94" s="22">
        <v>40484</v>
      </c>
      <c r="B94" s="17" t="s">
        <v>44</v>
      </c>
      <c r="C94" s="17" t="s">
        <v>47</v>
      </c>
      <c r="D94" s="74">
        <v>0.2462</v>
      </c>
      <c r="E94" s="74">
        <v>6.3200000000000006E-2</v>
      </c>
      <c r="F94" s="74">
        <v>0.25670186839967507</v>
      </c>
      <c r="G94" s="74"/>
    </row>
    <row r="95" spans="1:7" x14ac:dyDescent="0.25">
      <c r="A95" s="22">
        <v>40484</v>
      </c>
      <c r="B95" s="17" t="s">
        <v>44</v>
      </c>
      <c r="C95" s="17" t="s">
        <v>48</v>
      </c>
      <c r="D95" s="74">
        <v>0.47520000000000001</v>
      </c>
      <c r="E95" s="74">
        <v>0.1176</v>
      </c>
      <c r="F95" s="74">
        <v>0.24747474747474746</v>
      </c>
      <c r="G95" s="74"/>
    </row>
    <row r="96" spans="1:7" x14ac:dyDescent="0.25">
      <c r="A96" s="22">
        <v>40484</v>
      </c>
      <c r="B96" s="17" t="s">
        <v>49</v>
      </c>
      <c r="C96" s="17" t="s">
        <v>45</v>
      </c>
      <c r="D96" s="74">
        <v>0.1426</v>
      </c>
      <c r="E96" s="74">
        <v>5.4799999999999995E-2</v>
      </c>
      <c r="F96" s="74">
        <v>0.38429172510518927</v>
      </c>
      <c r="G96" s="74">
        <v>0.44835789188721908</v>
      </c>
    </row>
    <row r="97" spans="1:7" x14ac:dyDescent="0.25">
      <c r="A97" s="22">
        <v>40484</v>
      </c>
      <c r="B97" s="17" t="s">
        <v>49</v>
      </c>
      <c r="C97" s="17" t="s">
        <v>46</v>
      </c>
      <c r="D97" s="74">
        <v>9.4200000000000006E-2</v>
      </c>
      <c r="E97" s="74">
        <v>3.5000000000000003E-2</v>
      </c>
      <c r="F97" s="74">
        <v>0.3715498938428875</v>
      </c>
      <c r="G97" s="74"/>
    </row>
    <row r="98" spans="1:7" x14ac:dyDescent="0.25">
      <c r="A98" s="22">
        <v>40484</v>
      </c>
      <c r="B98" s="17" t="s">
        <v>49</v>
      </c>
      <c r="C98" s="17" t="s">
        <v>47</v>
      </c>
      <c r="D98" s="74">
        <v>0.17</v>
      </c>
      <c r="E98" s="74">
        <v>9.0400000000000008E-2</v>
      </c>
      <c r="F98" s="74">
        <v>0.53176470588235292</v>
      </c>
      <c r="G98" s="74"/>
    </row>
    <row r="99" spans="1:7" x14ac:dyDescent="0.25">
      <c r="A99" s="22">
        <v>40484</v>
      </c>
      <c r="B99" s="17" t="s">
        <v>49</v>
      </c>
      <c r="C99" s="17" t="s">
        <v>48</v>
      </c>
      <c r="D99" s="74">
        <v>0.20599999999999999</v>
      </c>
      <c r="E99" s="74">
        <v>0.1042</v>
      </c>
      <c r="F99" s="74">
        <v>0.50582524271844664</v>
      </c>
      <c r="G99" s="74"/>
    </row>
    <row r="100" spans="1:7" x14ac:dyDescent="0.25">
      <c r="A100" s="22">
        <v>40484</v>
      </c>
      <c r="B100" s="17" t="s">
        <v>50</v>
      </c>
      <c r="C100" s="17" t="s">
        <v>45</v>
      </c>
      <c r="D100" s="74">
        <v>0.10579999999999999</v>
      </c>
      <c r="E100" s="74">
        <v>3.44E-2</v>
      </c>
      <c r="F100" s="74">
        <v>0.3251417769376182</v>
      </c>
      <c r="G100" s="74">
        <v>0.29600507155555766</v>
      </c>
    </row>
    <row r="101" spans="1:7" x14ac:dyDescent="0.25">
      <c r="A101" s="22">
        <v>40484</v>
      </c>
      <c r="B101" s="17" t="s">
        <v>50</v>
      </c>
      <c r="C101" s="17" t="s">
        <v>46</v>
      </c>
      <c r="D101" s="74">
        <v>0.161</v>
      </c>
      <c r="E101" s="74">
        <v>4.0799999999999996E-2</v>
      </c>
      <c r="F101" s="74">
        <v>0.25341614906832294</v>
      </c>
      <c r="G101" s="74"/>
    </row>
    <row r="102" spans="1:7" x14ac:dyDescent="0.25">
      <c r="A102" s="22">
        <v>40484</v>
      </c>
      <c r="B102" s="17" t="s">
        <v>50</v>
      </c>
      <c r="C102" s="17" t="s">
        <v>47</v>
      </c>
      <c r="D102" s="74">
        <v>0.1462</v>
      </c>
      <c r="E102" s="74">
        <v>4.3799999999999999E-2</v>
      </c>
      <c r="F102" s="74">
        <v>0.29958960328317374</v>
      </c>
      <c r="G102" s="74"/>
    </row>
    <row r="103" spans="1:7" x14ac:dyDescent="0.25">
      <c r="A103" s="22">
        <v>40484</v>
      </c>
      <c r="B103" s="17" t="s">
        <v>50</v>
      </c>
      <c r="C103" s="17" t="s">
        <v>48</v>
      </c>
      <c r="D103" s="74">
        <v>0.2452</v>
      </c>
      <c r="E103" s="74">
        <v>7.4999999999999997E-2</v>
      </c>
      <c r="F103" s="74">
        <v>0.30587275693311583</v>
      </c>
      <c r="G103" s="74"/>
    </row>
    <row r="104" spans="1:7" x14ac:dyDescent="0.25">
      <c r="A104" s="22">
        <v>40484</v>
      </c>
      <c r="B104" s="17" t="s">
        <v>51</v>
      </c>
      <c r="C104" s="17" t="s">
        <v>45</v>
      </c>
      <c r="D104" s="74">
        <v>0.14399999999999999</v>
      </c>
      <c r="E104" s="74">
        <v>7.3400000000000007E-2</v>
      </c>
      <c r="F104" s="74">
        <v>0.5097222222222223</v>
      </c>
      <c r="G104" s="74">
        <v>0.46219652500504427</v>
      </c>
    </row>
    <row r="105" spans="1:7" x14ac:dyDescent="0.25">
      <c r="A105" s="22">
        <v>40484</v>
      </c>
      <c r="B105" s="17" t="s">
        <v>51</v>
      </c>
      <c r="C105" s="17" t="s">
        <v>46</v>
      </c>
      <c r="D105" s="74">
        <v>0.1376</v>
      </c>
      <c r="E105" s="74">
        <v>6.6799999999999998E-2</v>
      </c>
      <c r="F105" s="74">
        <v>0.48546511627906974</v>
      </c>
      <c r="G105" s="74"/>
    </row>
    <row r="106" spans="1:7" x14ac:dyDescent="0.25">
      <c r="A106" s="22">
        <v>40484</v>
      </c>
      <c r="B106" s="17" t="s">
        <v>51</v>
      </c>
      <c r="C106" s="17" t="s">
        <v>47</v>
      </c>
      <c r="D106" s="74">
        <v>0.1988</v>
      </c>
      <c r="E106" s="74">
        <v>7.959999999999999E-2</v>
      </c>
      <c r="F106" s="74">
        <v>0.40040241448692149</v>
      </c>
      <c r="G106" s="74"/>
    </row>
    <row r="107" spans="1:7" x14ac:dyDescent="0.25">
      <c r="A107" s="22">
        <v>40484</v>
      </c>
      <c r="B107" s="17" t="s">
        <v>51</v>
      </c>
      <c r="C107" s="17" t="s">
        <v>48</v>
      </c>
      <c r="D107" s="74">
        <v>0.17519999999999999</v>
      </c>
      <c r="E107" s="74">
        <v>7.9400000000000012E-2</v>
      </c>
      <c r="F107" s="74">
        <v>0.45319634703196354</v>
      </c>
      <c r="G107" s="74"/>
    </row>
    <row r="108" spans="1:7" x14ac:dyDescent="0.25">
      <c r="A108" s="22">
        <v>40577</v>
      </c>
      <c r="B108" s="15" t="s">
        <v>44</v>
      </c>
      <c r="C108" s="23" t="s">
        <v>45</v>
      </c>
      <c r="D108" s="75">
        <v>0.14050000000000001</v>
      </c>
      <c r="E108" s="74">
        <v>4.07E-2</v>
      </c>
      <c r="F108" s="76">
        <f>E108/D108</f>
        <v>0.28967971530249109</v>
      </c>
      <c r="G108" s="74">
        <f>AVERAGE(F108:F111)</f>
        <v>0.27799594035133357</v>
      </c>
    </row>
    <row r="109" spans="1:7" x14ac:dyDescent="0.25">
      <c r="A109" s="22">
        <v>40577</v>
      </c>
      <c r="B109" s="15" t="s">
        <v>44</v>
      </c>
      <c r="C109" s="23" t="s">
        <v>46</v>
      </c>
      <c r="D109" s="75">
        <v>0.26219999999999999</v>
      </c>
      <c r="E109" s="75">
        <v>5.5399999999999998E-2</v>
      </c>
      <c r="F109" s="76">
        <f>E109/D109</f>
        <v>0.2112890922959573</v>
      </c>
      <c r="G109" s="74"/>
    </row>
    <row r="110" spans="1:7" x14ac:dyDescent="0.25">
      <c r="A110" s="22">
        <v>40577</v>
      </c>
      <c r="B110" s="15" t="s">
        <v>44</v>
      </c>
      <c r="C110" s="23" t="s">
        <v>47</v>
      </c>
      <c r="D110" s="75">
        <v>0.17749999999999999</v>
      </c>
      <c r="E110" s="75">
        <v>4.8899999999999999E-2</v>
      </c>
      <c r="F110" s="76">
        <f t="shared" ref="F110:F123" si="1">E110/D110</f>
        <v>0.27549295774647886</v>
      </c>
      <c r="G110" s="74"/>
    </row>
    <row r="111" spans="1:7" x14ac:dyDescent="0.25">
      <c r="A111" s="22">
        <v>40577</v>
      </c>
      <c r="B111" s="15" t="s">
        <v>44</v>
      </c>
      <c r="C111" s="23" t="s">
        <v>48</v>
      </c>
      <c r="D111" s="75">
        <v>0.15229999999999999</v>
      </c>
      <c r="E111" s="75">
        <v>5.11E-2</v>
      </c>
      <c r="F111" s="76">
        <f>E111/D111</f>
        <v>0.33552199606040711</v>
      </c>
      <c r="G111" s="74"/>
    </row>
    <row r="112" spans="1:7" x14ac:dyDescent="0.25">
      <c r="A112" s="22">
        <v>40577</v>
      </c>
      <c r="B112" s="15" t="s">
        <v>49</v>
      </c>
      <c r="C112" s="23" t="s">
        <v>45</v>
      </c>
      <c r="D112" s="75">
        <v>0.1205</v>
      </c>
      <c r="E112" s="75">
        <v>4.24E-2</v>
      </c>
      <c r="F112" s="76">
        <f>E112/D112</f>
        <v>0.35186721991701247</v>
      </c>
      <c r="G112" s="74">
        <f>AVERAGE(F112:F115)</f>
        <v>0.45285234501132809</v>
      </c>
    </row>
    <row r="113" spans="1:7" x14ac:dyDescent="0.25">
      <c r="A113" s="22">
        <v>40577</v>
      </c>
      <c r="B113" s="15" t="s">
        <v>49</v>
      </c>
      <c r="C113" s="23" t="s">
        <v>46</v>
      </c>
      <c r="D113" s="75">
        <v>1.9300000000000001E-2</v>
      </c>
      <c r="E113" s="75">
        <v>1.46E-2</v>
      </c>
      <c r="F113" s="76">
        <f t="shared" si="1"/>
        <v>0.75647668393782375</v>
      </c>
      <c r="G113" s="74"/>
    </row>
    <row r="114" spans="1:7" x14ac:dyDescent="0.25">
      <c r="A114" s="22">
        <v>40577</v>
      </c>
      <c r="B114" s="15" t="s">
        <v>49</v>
      </c>
      <c r="C114" s="23" t="s">
        <v>47</v>
      </c>
      <c r="D114" s="75">
        <v>0.08</v>
      </c>
      <c r="E114" s="75">
        <v>3.44E-2</v>
      </c>
      <c r="F114" s="76">
        <f t="shared" si="1"/>
        <v>0.43</v>
      </c>
      <c r="G114" s="74"/>
    </row>
    <row r="115" spans="1:7" x14ac:dyDescent="0.25">
      <c r="A115" s="22">
        <v>40577</v>
      </c>
      <c r="B115" s="15" t="s">
        <v>49</v>
      </c>
      <c r="C115" s="23" t="s">
        <v>48</v>
      </c>
      <c r="D115" s="75">
        <v>0.13439999999999999</v>
      </c>
      <c r="E115" s="75">
        <v>3.6700000000000003E-2</v>
      </c>
      <c r="F115" s="76">
        <f>E115/D115</f>
        <v>0.27306547619047622</v>
      </c>
      <c r="G115" s="74"/>
    </row>
    <row r="116" spans="1:7" x14ac:dyDescent="0.25">
      <c r="A116" s="22">
        <v>40577</v>
      </c>
      <c r="B116" s="15" t="s">
        <v>50</v>
      </c>
      <c r="C116" s="23" t="s">
        <v>45</v>
      </c>
      <c r="D116" s="75">
        <v>7.7700000000000005E-2</v>
      </c>
      <c r="E116" s="75">
        <v>2.75E-2</v>
      </c>
      <c r="F116" s="76">
        <f t="shared" si="1"/>
        <v>0.3539253539253539</v>
      </c>
      <c r="G116" s="74">
        <f>AVERAGE(F116:F119)</f>
        <v>0.31902647848956084</v>
      </c>
    </row>
    <row r="117" spans="1:7" x14ac:dyDescent="0.25">
      <c r="A117" s="22">
        <v>40577</v>
      </c>
      <c r="B117" s="15" t="s">
        <v>50</v>
      </c>
      <c r="C117" s="23" t="s">
        <v>46</v>
      </c>
      <c r="D117" s="75">
        <v>0.15090000000000001</v>
      </c>
      <c r="E117" s="75">
        <v>4.99E-2</v>
      </c>
      <c r="F117" s="76">
        <f>E117/D117</f>
        <v>0.33068257123923128</v>
      </c>
      <c r="G117" s="74"/>
    </row>
    <row r="118" spans="1:7" x14ac:dyDescent="0.25">
      <c r="A118" s="22">
        <v>40577</v>
      </c>
      <c r="B118" s="15" t="s">
        <v>50</v>
      </c>
      <c r="C118" s="23" t="s">
        <v>47</v>
      </c>
      <c r="D118" s="75">
        <v>0.1055</v>
      </c>
      <c r="E118" s="75">
        <v>2.9700000000000001E-2</v>
      </c>
      <c r="F118" s="76">
        <f>E118/D118</f>
        <v>0.28151658767772514</v>
      </c>
      <c r="G118" s="74"/>
    </row>
    <row r="119" spans="1:7" x14ac:dyDescent="0.25">
      <c r="A119" s="22">
        <v>40577</v>
      </c>
      <c r="B119" s="15" t="s">
        <v>50</v>
      </c>
      <c r="C119" s="23" t="s">
        <v>48</v>
      </c>
      <c r="D119" s="75">
        <v>0.1613</v>
      </c>
      <c r="E119" s="75">
        <v>0.05</v>
      </c>
      <c r="F119" s="76">
        <f t="shared" si="1"/>
        <v>0.30998140111593309</v>
      </c>
      <c r="G119" s="74"/>
    </row>
    <row r="120" spans="1:7" x14ac:dyDescent="0.25">
      <c r="A120" s="22">
        <v>40577</v>
      </c>
      <c r="B120" s="15" t="s">
        <v>51</v>
      </c>
      <c r="C120" s="23" t="s">
        <v>45</v>
      </c>
      <c r="D120" s="75">
        <v>6.4299999999999996E-2</v>
      </c>
      <c r="E120" s="75">
        <v>3.4500000000000003E-2</v>
      </c>
      <c r="F120" s="76">
        <f>E120/D120</f>
        <v>0.53654743390357706</v>
      </c>
      <c r="G120" s="74">
        <f>AVERAGE(F120:F123)</f>
        <v>0.46998041063802187</v>
      </c>
    </row>
    <row r="121" spans="1:7" x14ac:dyDescent="0.25">
      <c r="A121" s="22">
        <v>40577</v>
      </c>
      <c r="B121" s="15" t="s">
        <v>51</v>
      </c>
      <c r="C121" s="23" t="s">
        <v>46</v>
      </c>
      <c r="D121" s="75">
        <v>7.6499999999999999E-2</v>
      </c>
      <c r="E121" s="75">
        <v>4.3799999999999999E-2</v>
      </c>
      <c r="F121" s="76">
        <f t="shared" si="1"/>
        <v>0.5725490196078431</v>
      </c>
      <c r="G121" s="74"/>
    </row>
    <row r="122" spans="1:7" x14ac:dyDescent="0.25">
      <c r="A122" s="22">
        <v>40577</v>
      </c>
      <c r="B122" s="15" t="s">
        <v>51</v>
      </c>
      <c r="C122" s="23" t="s">
        <v>47</v>
      </c>
      <c r="D122" s="75">
        <v>0.25559999999999999</v>
      </c>
      <c r="E122" s="75">
        <v>6.7500000000000004E-2</v>
      </c>
      <c r="F122" s="76">
        <f>E122/D122</f>
        <v>0.26408450704225356</v>
      </c>
      <c r="G122" s="74"/>
    </row>
    <row r="123" spans="1:7" x14ac:dyDescent="0.25">
      <c r="A123" s="22">
        <v>40577</v>
      </c>
      <c r="B123" s="15" t="s">
        <v>51</v>
      </c>
      <c r="C123" s="23" t="s">
        <v>48</v>
      </c>
      <c r="D123" s="75">
        <v>0.12609999999999999</v>
      </c>
      <c r="E123" s="75">
        <v>6.3900000000000012E-2</v>
      </c>
      <c r="F123" s="76">
        <f t="shared" si="1"/>
        <v>0.50674068199841404</v>
      </c>
      <c r="G123" s="74"/>
    </row>
    <row r="124" spans="1:7" x14ac:dyDescent="0.25">
      <c r="A124" s="22">
        <v>40578</v>
      </c>
      <c r="B124" s="15" t="s">
        <v>44</v>
      </c>
      <c r="C124" s="23" t="s">
        <v>45</v>
      </c>
      <c r="D124" s="75">
        <v>0.13009999999999999</v>
      </c>
      <c r="E124" s="74">
        <v>3.0700000000000002E-2</v>
      </c>
      <c r="F124" s="76">
        <f>E124/D124</f>
        <v>0.23597232897770948</v>
      </c>
      <c r="G124" s="74">
        <f>AVERAGE(F124:F127)</f>
        <v>0.27094632894349646</v>
      </c>
    </row>
    <row r="125" spans="1:7" x14ac:dyDescent="0.25">
      <c r="A125" s="22">
        <v>40578</v>
      </c>
      <c r="B125" s="15" t="s">
        <v>44</v>
      </c>
      <c r="C125" s="23" t="s">
        <v>46</v>
      </c>
      <c r="D125" s="75">
        <v>0.20230000000000001</v>
      </c>
      <c r="E125" s="75">
        <v>6.0900000000000003E-2</v>
      </c>
      <c r="F125" s="76">
        <f t="shared" ref="F125:F171" si="2">E125/D125</f>
        <v>0.30103806228373703</v>
      </c>
      <c r="G125" s="74"/>
    </row>
    <row r="126" spans="1:7" x14ac:dyDescent="0.25">
      <c r="A126" s="22">
        <v>40578</v>
      </c>
      <c r="B126" s="15" t="s">
        <v>44</v>
      </c>
      <c r="C126" s="23" t="s">
        <v>47</v>
      </c>
      <c r="D126" s="75">
        <v>0.1865</v>
      </c>
      <c r="E126" s="75">
        <v>5.8900000000000001E-2</v>
      </c>
      <c r="F126" s="76">
        <f t="shared" si="2"/>
        <v>0.3158176943699732</v>
      </c>
      <c r="G126" s="74"/>
    </row>
    <row r="127" spans="1:7" x14ac:dyDescent="0.25">
      <c r="A127" s="22">
        <v>40578</v>
      </c>
      <c r="B127" s="15" t="s">
        <v>44</v>
      </c>
      <c r="C127" s="23" t="s">
        <v>48</v>
      </c>
      <c r="D127" s="75">
        <v>0.2455</v>
      </c>
      <c r="E127" s="75">
        <v>5.67E-2</v>
      </c>
      <c r="F127" s="76">
        <f t="shared" si="2"/>
        <v>0.23095723014256619</v>
      </c>
      <c r="G127" s="74"/>
    </row>
    <row r="128" spans="1:7" x14ac:dyDescent="0.25">
      <c r="A128" s="22">
        <v>40578</v>
      </c>
      <c r="B128" s="15" t="s">
        <v>49</v>
      </c>
      <c r="C128" s="23" t="s">
        <v>45</v>
      </c>
      <c r="D128" s="75">
        <v>0.11990000000000001</v>
      </c>
      <c r="E128" s="75">
        <v>4.7700000000000006E-2</v>
      </c>
      <c r="F128" s="76">
        <f t="shared" si="2"/>
        <v>0.39783152627189328</v>
      </c>
      <c r="G128" s="74">
        <f>AVERAGE(F128:F131)</f>
        <v>0.46693401715666916</v>
      </c>
    </row>
    <row r="129" spans="1:7" x14ac:dyDescent="0.25">
      <c r="A129" s="22">
        <v>40578</v>
      </c>
      <c r="B129" s="15" t="s">
        <v>49</v>
      </c>
      <c r="C129" s="23" t="s">
        <v>46</v>
      </c>
      <c r="D129" s="75">
        <v>2.9100000000000001E-2</v>
      </c>
      <c r="E129" s="75">
        <v>1.83E-2</v>
      </c>
      <c r="F129" s="76">
        <f t="shared" si="2"/>
        <v>0.62886597938144329</v>
      </c>
      <c r="G129" s="74"/>
    </row>
    <row r="130" spans="1:7" x14ac:dyDescent="0.25">
      <c r="A130" s="22">
        <v>40578</v>
      </c>
      <c r="B130" s="15" t="s">
        <v>49</v>
      </c>
      <c r="C130" s="23" t="s">
        <v>47</v>
      </c>
      <c r="D130" s="75">
        <v>7.5700000000000003E-2</v>
      </c>
      <c r="E130" s="75">
        <v>3.0100000000000002E-2</v>
      </c>
      <c r="F130" s="76">
        <f t="shared" si="2"/>
        <v>0.39762219286657863</v>
      </c>
      <c r="G130" s="74"/>
    </row>
    <row r="131" spans="1:7" x14ac:dyDescent="0.25">
      <c r="A131" s="22">
        <v>40578</v>
      </c>
      <c r="B131" s="15" t="s">
        <v>49</v>
      </c>
      <c r="C131" s="23" t="s">
        <v>48</v>
      </c>
      <c r="D131" s="75">
        <v>0.14050000000000001</v>
      </c>
      <c r="E131" s="75">
        <v>6.2299999999999994E-2</v>
      </c>
      <c r="F131" s="76">
        <f t="shared" si="2"/>
        <v>0.44341637010676149</v>
      </c>
      <c r="G131" s="74"/>
    </row>
    <row r="132" spans="1:7" x14ac:dyDescent="0.25">
      <c r="A132" s="22">
        <v>40578</v>
      </c>
      <c r="B132" s="15" t="s">
        <v>50</v>
      </c>
      <c r="C132" s="23" t="s">
        <v>45</v>
      </c>
      <c r="D132" s="75">
        <v>8.8700000000000001E-2</v>
      </c>
      <c r="E132" s="75">
        <v>2.7100000000000003E-2</v>
      </c>
      <c r="F132" s="76">
        <f t="shared" si="2"/>
        <v>0.30552423900789177</v>
      </c>
      <c r="G132" s="74">
        <f>AVERAGE(F132:F135)</f>
        <v>0.32937230946137031</v>
      </c>
    </row>
    <row r="133" spans="1:7" x14ac:dyDescent="0.25">
      <c r="A133" s="22">
        <v>40578</v>
      </c>
      <c r="B133" s="15" t="s">
        <v>50</v>
      </c>
      <c r="C133" s="23" t="s">
        <v>46</v>
      </c>
      <c r="D133" s="75">
        <v>0.1061</v>
      </c>
      <c r="E133" s="75">
        <v>3.5700000000000003E-2</v>
      </c>
      <c r="F133" s="76">
        <f t="shared" si="2"/>
        <v>0.33647502356267672</v>
      </c>
      <c r="G133" s="74"/>
    </row>
    <row r="134" spans="1:7" x14ac:dyDescent="0.25">
      <c r="A134" s="22">
        <v>40578</v>
      </c>
      <c r="B134" s="15" t="s">
        <v>50</v>
      </c>
      <c r="C134" s="23" t="s">
        <v>47</v>
      </c>
      <c r="D134" s="75">
        <v>0.13469999999999999</v>
      </c>
      <c r="E134" s="75">
        <v>4.87E-2</v>
      </c>
      <c r="F134" s="76">
        <f t="shared" si="2"/>
        <v>0.36154417223459545</v>
      </c>
      <c r="G134" s="74"/>
    </row>
    <row r="135" spans="1:7" x14ac:dyDescent="0.25">
      <c r="A135" s="22">
        <v>40578</v>
      </c>
      <c r="B135" s="15" t="s">
        <v>50</v>
      </c>
      <c r="C135" s="23" t="s">
        <v>48</v>
      </c>
      <c r="D135" s="75">
        <v>0.15130000000000002</v>
      </c>
      <c r="E135" s="75">
        <v>4.7500000000000001E-2</v>
      </c>
      <c r="F135" s="76">
        <f t="shared" si="2"/>
        <v>0.31394580304031722</v>
      </c>
      <c r="G135" s="74"/>
    </row>
    <row r="136" spans="1:7" x14ac:dyDescent="0.25">
      <c r="A136" s="22">
        <v>40578</v>
      </c>
      <c r="B136" s="15" t="s">
        <v>51</v>
      </c>
      <c r="C136" s="23" t="s">
        <v>45</v>
      </c>
      <c r="D136" s="75">
        <v>0.16689999999999999</v>
      </c>
      <c r="E136" s="75">
        <v>5.91E-2</v>
      </c>
      <c r="F136" s="76">
        <f t="shared" si="2"/>
        <v>0.35410425404433793</v>
      </c>
      <c r="G136" s="74">
        <f>AVERAGE(F136:F139)</f>
        <v>0.45550228826026351</v>
      </c>
    </row>
    <row r="137" spans="1:7" x14ac:dyDescent="0.25">
      <c r="A137" s="22">
        <v>40578</v>
      </c>
      <c r="B137" s="15" t="s">
        <v>51</v>
      </c>
      <c r="C137" s="23" t="s">
        <v>46</v>
      </c>
      <c r="D137" s="75">
        <v>7.5499999999999998E-2</v>
      </c>
      <c r="E137" s="75">
        <v>3.6299999999999999E-2</v>
      </c>
      <c r="F137" s="76">
        <f t="shared" si="2"/>
        <v>0.48079470198675495</v>
      </c>
      <c r="G137" s="74"/>
    </row>
    <row r="138" spans="1:7" x14ac:dyDescent="0.25">
      <c r="A138" s="22">
        <v>40578</v>
      </c>
      <c r="B138" s="15" t="s">
        <v>51</v>
      </c>
      <c r="C138" s="23" t="s">
        <v>47</v>
      </c>
      <c r="D138" s="75">
        <v>4.3299999999999998E-2</v>
      </c>
      <c r="E138" s="75">
        <v>2.0799999999999999E-2</v>
      </c>
      <c r="F138" s="76">
        <f t="shared" si="2"/>
        <v>0.48036951501154734</v>
      </c>
      <c r="G138" s="74"/>
    </row>
    <row r="139" spans="1:7" x14ac:dyDescent="0.25">
      <c r="A139" s="22">
        <v>40578</v>
      </c>
      <c r="B139" s="15" t="s">
        <v>51</v>
      </c>
      <c r="C139" s="23" t="s">
        <v>48</v>
      </c>
      <c r="D139" s="75">
        <v>0.12609999999999999</v>
      </c>
      <c r="E139" s="75">
        <v>6.3900000000000012E-2</v>
      </c>
      <c r="F139" s="76">
        <f t="shared" si="2"/>
        <v>0.50674068199841404</v>
      </c>
      <c r="G139" s="74"/>
    </row>
    <row r="140" spans="1:7" x14ac:dyDescent="0.25">
      <c r="A140" s="22" t="s">
        <v>62</v>
      </c>
      <c r="B140" s="15" t="s">
        <v>44</v>
      </c>
      <c r="C140" s="23" t="s">
        <v>45</v>
      </c>
      <c r="D140" s="75">
        <v>5.79E-2</v>
      </c>
      <c r="E140" s="75">
        <v>1.7899999999999999E-2</v>
      </c>
      <c r="F140" s="76">
        <f t="shared" si="2"/>
        <v>0.30915371329879099</v>
      </c>
      <c r="G140" s="74">
        <f>AVERAGE(F140:F143)</f>
        <v>0.31329696087540071</v>
      </c>
    </row>
    <row r="141" spans="1:7" x14ac:dyDescent="0.25">
      <c r="A141" s="22" t="s">
        <v>62</v>
      </c>
      <c r="B141" s="15" t="s">
        <v>44</v>
      </c>
      <c r="C141" s="23" t="s">
        <v>46</v>
      </c>
      <c r="D141" s="75">
        <v>8.4699999999999998E-2</v>
      </c>
      <c r="E141" s="75">
        <v>2.6499999999999999E-2</v>
      </c>
      <c r="F141" s="76">
        <f t="shared" si="2"/>
        <v>0.31286894923258557</v>
      </c>
      <c r="G141" s="74"/>
    </row>
    <row r="142" spans="1:7" x14ac:dyDescent="0.25">
      <c r="A142" s="22" t="s">
        <v>62</v>
      </c>
      <c r="B142" s="15" t="s">
        <v>44</v>
      </c>
      <c r="C142" s="23" t="s">
        <v>47</v>
      </c>
      <c r="D142" s="75">
        <v>0.20050000000000001</v>
      </c>
      <c r="E142" s="75">
        <v>6.2299999999999994E-2</v>
      </c>
      <c r="F142" s="76">
        <f t="shared" si="2"/>
        <v>0.31072319201995008</v>
      </c>
      <c r="G142" s="74"/>
    </row>
    <row r="143" spans="1:7" x14ac:dyDescent="0.25">
      <c r="A143" s="22" t="s">
        <v>62</v>
      </c>
      <c r="B143" s="15" t="s">
        <v>44</v>
      </c>
      <c r="C143" s="23" t="s">
        <v>48</v>
      </c>
      <c r="D143" s="75">
        <v>0.23530000000000001</v>
      </c>
      <c r="E143" s="75">
        <v>7.5399999999999995E-2</v>
      </c>
      <c r="F143" s="76">
        <f t="shared" si="2"/>
        <v>0.3204419889502762</v>
      </c>
      <c r="G143" s="74"/>
    </row>
    <row r="144" spans="1:7" x14ac:dyDescent="0.25">
      <c r="A144" s="22" t="s">
        <v>62</v>
      </c>
      <c r="B144" s="15" t="s">
        <v>49</v>
      </c>
      <c r="C144" s="23" t="s">
        <v>45</v>
      </c>
      <c r="D144" s="75">
        <v>8.8700000000000001E-2</v>
      </c>
      <c r="E144" s="75">
        <v>2.8899999999999999E-2</v>
      </c>
      <c r="F144" s="76">
        <f t="shared" si="2"/>
        <v>0.32581736189402477</v>
      </c>
      <c r="G144" s="74">
        <f>AVERAGE(F144:F147)</f>
        <v>0.41002021114392401</v>
      </c>
    </row>
    <row r="145" spans="1:7" x14ac:dyDescent="0.25">
      <c r="A145" s="22" t="s">
        <v>62</v>
      </c>
      <c r="B145" s="15" t="s">
        <v>49</v>
      </c>
      <c r="C145" s="23" t="s">
        <v>46</v>
      </c>
      <c r="D145" s="75">
        <v>0.1807</v>
      </c>
      <c r="E145" s="75">
        <v>6.6099999999999992E-2</v>
      </c>
      <c r="F145" s="76">
        <f t="shared" si="2"/>
        <v>0.36579966795794128</v>
      </c>
      <c r="G145" s="74"/>
    </row>
    <row r="146" spans="1:7" x14ac:dyDescent="0.25">
      <c r="A146" s="22" t="s">
        <v>62</v>
      </c>
      <c r="B146" s="15" t="s">
        <v>49</v>
      </c>
      <c r="C146" s="23" t="s">
        <v>47</v>
      </c>
      <c r="D146" s="75">
        <v>0.1653</v>
      </c>
      <c r="E146" s="75">
        <v>8.8700000000000001E-2</v>
      </c>
      <c r="F146" s="76">
        <f t="shared" si="2"/>
        <v>0.5366001209921355</v>
      </c>
      <c r="G146" s="74"/>
    </row>
    <row r="147" spans="1:7" x14ac:dyDescent="0.25">
      <c r="A147" s="22" t="s">
        <v>62</v>
      </c>
      <c r="B147" s="15" t="s">
        <v>49</v>
      </c>
      <c r="C147" s="23" t="s">
        <v>48</v>
      </c>
      <c r="D147" s="75">
        <v>0.23769999999999999</v>
      </c>
      <c r="E147" s="75">
        <v>9.7900000000000001E-2</v>
      </c>
      <c r="F147" s="76">
        <f t="shared" si="2"/>
        <v>0.41186369373159448</v>
      </c>
      <c r="G147" s="74"/>
    </row>
    <row r="148" spans="1:7" x14ac:dyDescent="0.25">
      <c r="A148" s="22" t="s">
        <v>62</v>
      </c>
      <c r="B148" s="15" t="s">
        <v>50</v>
      </c>
      <c r="C148" s="23" t="s">
        <v>45</v>
      </c>
      <c r="D148" s="75">
        <v>0.16869999999999999</v>
      </c>
      <c r="E148" s="75">
        <v>6.6299999999999998E-2</v>
      </c>
      <c r="F148" s="76">
        <f t="shared" si="2"/>
        <v>0.3930053349140486</v>
      </c>
      <c r="G148" s="74">
        <f>AVERAGE(F148:F151)</f>
        <v>0.39557382513974848</v>
      </c>
    </row>
    <row r="149" spans="1:7" x14ac:dyDescent="0.25">
      <c r="A149" s="22" t="s">
        <v>62</v>
      </c>
      <c r="B149" s="15" t="s">
        <v>50</v>
      </c>
      <c r="C149" s="23" t="s">
        <v>46</v>
      </c>
      <c r="D149" s="75">
        <v>0.17730000000000001</v>
      </c>
      <c r="E149" s="75">
        <v>6.9699999999999998E-2</v>
      </c>
      <c r="F149" s="76">
        <f t="shared" si="2"/>
        <v>0.39311900733220528</v>
      </c>
      <c r="G149" s="74"/>
    </row>
    <row r="150" spans="1:7" x14ac:dyDescent="0.25">
      <c r="A150" s="22" t="s">
        <v>62</v>
      </c>
      <c r="B150" s="15" t="s">
        <v>50</v>
      </c>
      <c r="C150" s="23" t="s">
        <v>47</v>
      </c>
      <c r="D150" s="75">
        <v>0.13269999999999998</v>
      </c>
      <c r="E150" s="75">
        <v>5.4100000000000002E-2</v>
      </c>
      <c r="F150" s="76">
        <f t="shared" si="2"/>
        <v>0.40768651092690283</v>
      </c>
      <c r="G150" s="74"/>
    </row>
    <row r="151" spans="1:7" x14ac:dyDescent="0.25">
      <c r="A151" s="22" t="s">
        <v>62</v>
      </c>
      <c r="B151" s="15" t="s">
        <v>50</v>
      </c>
      <c r="C151" s="23" t="s">
        <v>48</v>
      </c>
      <c r="D151" s="75">
        <v>0.15109999999999998</v>
      </c>
      <c r="E151" s="75">
        <v>5.8700000000000002E-2</v>
      </c>
      <c r="F151" s="76">
        <f t="shared" si="2"/>
        <v>0.38848444738583726</v>
      </c>
      <c r="G151" s="74"/>
    </row>
    <row r="152" spans="1:7" x14ac:dyDescent="0.25">
      <c r="A152" s="22" t="s">
        <v>62</v>
      </c>
      <c r="B152" s="15" t="s">
        <v>51</v>
      </c>
      <c r="C152" s="23" t="s">
        <v>45</v>
      </c>
      <c r="D152" s="75">
        <v>0.14230000000000001</v>
      </c>
      <c r="E152" s="75">
        <v>6.2700000000000006E-2</v>
      </c>
      <c r="F152" s="76">
        <f t="shared" si="2"/>
        <v>0.44061841180604355</v>
      </c>
      <c r="G152" s="74">
        <f>AVERAGE(F152:F155)</f>
        <v>0.42606373534074704</v>
      </c>
    </row>
    <row r="153" spans="1:7" x14ac:dyDescent="0.25">
      <c r="A153" s="22" t="s">
        <v>62</v>
      </c>
      <c r="B153" s="15" t="s">
        <v>51</v>
      </c>
      <c r="C153" s="23" t="s">
        <v>46</v>
      </c>
      <c r="D153" s="75">
        <v>0.18590000000000001</v>
      </c>
      <c r="E153" s="75">
        <v>8.0500000000000002E-2</v>
      </c>
      <c r="F153" s="76">
        <f t="shared" si="2"/>
        <v>0.43302850995158687</v>
      </c>
      <c r="G153" s="74"/>
    </row>
    <row r="154" spans="1:7" x14ac:dyDescent="0.25">
      <c r="A154" s="22" t="s">
        <v>62</v>
      </c>
      <c r="B154" s="15" t="s">
        <v>51</v>
      </c>
      <c r="C154" s="23" t="s">
        <v>47</v>
      </c>
      <c r="D154" s="75">
        <v>0.1449</v>
      </c>
      <c r="E154" s="74">
        <v>5.91E-2</v>
      </c>
      <c r="F154" s="76">
        <f t="shared" si="2"/>
        <v>0.40786749482401657</v>
      </c>
      <c r="G154" s="74"/>
    </row>
    <row r="155" spans="1:7" x14ac:dyDescent="0.25">
      <c r="A155" s="22" t="s">
        <v>62</v>
      </c>
      <c r="B155" s="15" t="s">
        <v>51</v>
      </c>
      <c r="C155" s="23" t="s">
        <v>48</v>
      </c>
      <c r="D155" s="75">
        <v>0.24010000000000001</v>
      </c>
      <c r="E155" s="75">
        <v>0.10150000000000001</v>
      </c>
      <c r="F155" s="76">
        <f t="shared" si="2"/>
        <v>0.42274052478134111</v>
      </c>
      <c r="G155" s="74"/>
    </row>
    <row r="156" spans="1:7" x14ac:dyDescent="0.25">
      <c r="A156" s="22">
        <v>40580</v>
      </c>
      <c r="B156" s="15" t="s">
        <v>44</v>
      </c>
      <c r="C156" s="23" t="s">
        <v>45</v>
      </c>
      <c r="D156" s="75">
        <v>0.23849999999999999</v>
      </c>
      <c r="E156" s="75">
        <v>8.09E-2</v>
      </c>
      <c r="F156" s="76">
        <f t="shared" si="2"/>
        <v>0.33920335429769394</v>
      </c>
      <c r="G156" s="74">
        <f>AVERAGE(F156:F159)</f>
        <v>0.36352981778817772</v>
      </c>
    </row>
    <row r="157" spans="1:7" x14ac:dyDescent="0.25">
      <c r="A157" s="22">
        <v>40580</v>
      </c>
      <c r="B157" s="15" t="s">
        <v>44</v>
      </c>
      <c r="C157" s="23" t="s">
        <v>46</v>
      </c>
      <c r="D157" s="75">
        <v>0.11370000000000001</v>
      </c>
      <c r="E157" s="75">
        <v>4.1700000000000001E-2</v>
      </c>
      <c r="F157" s="76">
        <f t="shared" si="2"/>
        <v>0.36675461741424797</v>
      </c>
      <c r="G157" s="74"/>
    </row>
    <row r="158" spans="1:7" x14ac:dyDescent="0.25">
      <c r="A158" s="22">
        <v>40580</v>
      </c>
      <c r="B158" s="15" t="s">
        <v>44</v>
      </c>
      <c r="C158" s="23" t="s">
        <v>47</v>
      </c>
      <c r="D158" s="75">
        <v>8.8300000000000003E-2</v>
      </c>
      <c r="E158" s="75">
        <v>3.2500000000000001E-2</v>
      </c>
      <c r="F158" s="76">
        <f t="shared" si="2"/>
        <v>0.36806342015855037</v>
      </c>
      <c r="G158" s="74"/>
    </row>
    <row r="159" spans="1:7" x14ac:dyDescent="0.25">
      <c r="A159" s="22">
        <v>40580</v>
      </c>
      <c r="B159" s="15" t="s">
        <v>44</v>
      </c>
      <c r="C159" s="23" t="s">
        <v>48</v>
      </c>
      <c r="D159" s="75">
        <v>6.13E-2</v>
      </c>
      <c r="E159" s="75">
        <v>2.3300000000000001E-2</v>
      </c>
      <c r="F159" s="76">
        <f t="shared" si="2"/>
        <v>0.38009787928221861</v>
      </c>
      <c r="G159" s="74"/>
    </row>
    <row r="160" spans="1:7" x14ac:dyDescent="0.25">
      <c r="A160" s="22">
        <v>40580</v>
      </c>
      <c r="B160" s="15" t="s">
        <v>49</v>
      </c>
      <c r="C160" s="23" t="s">
        <v>45</v>
      </c>
      <c r="D160" s="75">
        <v>0.1865</v>
      </c>
      <c r="E160" s="75">
        <v>6.6400000000000001E-2</v>
      </c>
      <c r="F160" s="76">
        <f t="shared" si="2"/>
        <v>0.35603217158176942</v>
      </c>
      <c r="G160" s="74">
        <f>AVERAGE(F160:F163)</f>
        <v>0.36418299599307224</v>
      </c>
    </row>
    <row r="161" spans="1:7" x14ac:dyDescent="0.25">
      <c r="A161" s="22">
        <v>40580</v>
      </c>
      <c r="B161" s="15" t="s">
        <v>49</v>
      </c>
      <c r="C161" s="23" t="s">
        <v>46</v>
      </c>
      <c r="D161" s="75">
        <v>0.16450000000000001</v>
      </c>
      <c r="E161" s="75">
        <v>6.3299999999999995E-2</v>
      </c>
      <c r="F161" s="76">
        <f t="shared" si="2"/>
        <v>0.38480243161094219</v>
      </c>
      <c r="G161" s="74"/>
    </row>
    <row r="162" spans="1:7" x14ac:dyDescent="0.25">
      <c r="A162" s="22">
        <v>40580</v>
      </c>
      <c r="B162" s="15" t="s">
        <v>49</v>
      </c>
      <c r="C162" s="23" t="s">
        <v>47</v>
      </c>
      <c r="D162" s="75">
        <v>0.15230000000000002</v>
      </c>
      <c r="E162" s="75">
        <v>5.9900000000000002E-2</v>
      </c>
      <c r="F162" s="76">
        <f t="shared" si="2"/>
        <v>0.39330269205515428</v>
      </c>
      <c r="G162" s="74"/>
    </row>
    <row r="163" spans="1:7" x14ac:dyDescent="0.25">
      <c r="A163" s="22">
        <v>40580</v>
      </c>
      <c r="B163" s="15" t="s">
        <v>49</v>
      </c>
      <c r="C163" s="23" t="s">
        <v>48</v>
      </c>
      <c r="D163" s="75">
        <v>0.22969999999999999</v>
      </c>
      <c r="E163" s="75">
        <v>7.4099999999999999E-2</v>
      </c>
      <c r="F163" s="76">
        <f t="shared" si="2"/>
        <v>0.32259468872442315</v>
      </c>
      <c r="G163" s="74"/>
    </row>
    <row r="164" spans="1:7" x14ac:dyDescent="0.25">
      <c r="A164" s="22">
        <v>40580</v>
      </c>
      <c r="B164" s="15" t="s">
        <v>50</v>
      </c>
      <c r="C164" s="23" t="s">
        <v>45</v>
      </c>
      <c r="D164" s="75">
        <v>6.8500000000000005E-2</v>
      </c>
      <c r="E164" s="75">
        <v>2.5100000000000001E-2</v>
      </c>
      <c r="F164" s="76">
        <f t="shared" si="2"/>
        <v>0.36642335766423356</v>
      </c>
      <c r="G164" s="74">
        <f>AVERAGE(F164:F167)</f>
        <v>0.36147241482631065</v>
      </c>
    </row>
    <row r="165" spans="1:7" x14ac:dyDescent="0.25">
      <c r="A165" s="22">
        <v>40580</v>
      </c>
      <c r="B165" s="15" t="s">
        <v>50</v>
      </c>
      <c r="C165" s="23" t="s">
        <v>46</v>
      </c>
      <c r="D165" s="75">
        <v>6.7099999999999993E-2</v>
      </c>
      <c r="E165" s="75">
        <v>2.3300000000000001E-2</v>
      </c>
      <c r="F165" s="76">
        <f t="shared" si="2"/>
        <v>0.34724292101341286</v>
      </c>
      <c r="G165" s="74"/>
    </row>
    <row r="166" spans="1:7" x14ac:dyDescent="0.25">
      <c r="A166" s="22">
        <v>40580</v>
      </c>
      <c r="B166" s="15" t="s">
        <v>50</v>
      </c>
      <c r="C166" s="23" t="s">
        <v>47</v>
      </c>
      <c r="D166" s="75">
        <v>8.1099999999999992E-2</v>
      </c>
      <c r="E166" s="75">
        <v>2.9899999999999999E-2</v>
      </c>
      <c r="F166" s="76">
        <f t="shared" si="2"/>
        <v>0.36868064118372385</v>
      </c>
      <c r="G166" s="74"/>
    </row>
    <row r="167" spans="1:7" x14ac:dyDescent="0.25">
      <c r="A167" s="22">
        <v>40580</v>
      </c>
      <c r="B167" s="15" t="s">
        <v>50</v>
      </c>
      <c r="C167" s="23" t="s">
        <v>48</v>
      </c>
      <c r="D167" s="75">
        <v>9.7099999999999992E-2</v>
      </c>
      <c r="E167" s="75">
        <v>3.5299999999999998E-2</v>
      </c>
      <c r="F167" s="76">
        <f t="shared" si="2"/>
        <v>0.36354273944387233</v>
      </c>
      <c r="G167" s="74"/>
    </row>
    <row r="168" spans="1:7" x14ac:dyDescent="0.25">
      <c r="A168" s="22">
        <v>40580</v>
      </c>
      <c r="B168" s="15" t="s">
        <v>51</v>
      </c>
      <c r="C168" s="23" t="s">
        <v>45</v>
      </c>
      <c r="D168" s="75">
        <v>6.7699999999999996E-2</v>
      </c>
      <c r="E168" s="75">
        <v>3.0099999999999998E-2</v>
      </c>
      <c r="F168" s="76">
        <f t="shared" si="2"/>
        <v>0.4446085672082718</v>
      </c>
      <c r="G168" s="74">
        <f>AVERAGE(F168:F171)</f>
        <v>0.38981755968462883</v>
      </c>
    </row>
    <row r="169" spans="1:7" x14ac:dyDescent="0.25">
      <c r="A169" s="22">
        <v>40580</v>
      </c>
      <c r="B169" s="15" t="s">
        <v>51</v>
      </c>
      <c r="C169" s="23" t="s">
        <v>46</v>
      </c>
      <c r="D169" s="75">
        <v>0.1197</v>
      </c>
      <c r="E169" s="75">
        <v>4.1500000000000002E-2</v>
      </c>
      <c r="F169" s="76">
        <f t="shared" si="2"/>
        <v>0.34670008354218884</v>
      </c>
      <c r="G169" s="74"/>
    </row>
    <row r="170" spans="1:7" x14ac:dyDescent="0.25">
      <c r="A170" s="22">
        <v>40580</v>
      </c>
      <c r="B170" s="15" t="s">
        <v>51</v>
      </c>
      <c r="C170" s="23" t="s">
        <v>47</v>
      </c>
      <c r="D170" s="75">
        <v>0.12869999999999998</v>
      </c>
      <c r="E170" s="75">
        <v>4.99E-2</v>
      </c>
      <c r="F170" s="76">
        <f t="shared" si="2"/>
        <v>0.38772338772338777</v>
      </c>
      <c r="G170" s="74"/>
    </row>
    <row r="171" spans="1:7" x14ac:dyDescent="0.25">
      <c r="A171" s="22">
        <v>40580</v>
      </c>
      <c r="B171" s="15" t="s">
        <v>51</v>
      </c>
      <c r="C171" s="23" t="s">
        <v>48</v>
      </c>
      <c r="D171" s="75">
        <v>0.22669999999999998</v>
      </c>
      <c r="E171" s="75">
        <v>8.6199999999999999E-2</v>
      </c>
      <c r="F171" s="76">
        <f t="shared" si="2"/>
        <v>0.38023820026466698</v>
      </c>
      <c r="G171" s="74"/>
    </row>
    <row r="172" spans="1:7" x14ac:dyDescent="0.25">
      <c r="A172" s="22" t="s">
        <v>75</v>
      </c>
      <c r="B172" s="15" t="s">
        <v>44</v>
      </c>
      <c r="C172" s="23" t="s">
        <v>45</v>
      </c>
      <c r="D172" s="75">
        <v>0.31580000000000003</v>
      </c>
      <c r="E172" s="75">
        <v>8.2200000000000009E-2</v>
      </c>
      <c r="F172" s="76">
        <f>E172/D172</f>
        <v>0.26029132362254592</v>
      </c>
      <c r="G172" s="74">
        <f>AVERAGE(F172:F175)</f>
        <v>0.28304641181070583</v>
      </c>
    </row>
    <row r="173" spans="1:7" x14ac:dyDescent="0.25">
      <c r="A173" s="22" t="s">
        <v>75</v>
      </c>
      <c r="B173" s="15" t="s">
        <v>44</v>
      </c>
      <c r="C173" s="23" t="s">
        <v>46</v>
      </c>
      <c r="D173" s="75">
        <v>0.32819999999999999</v>
      </c>
      <c r="E173" s="75">
        <v>9.9000000000000005E-2</v>
      </c>
      <c r="F173" s="76">
        <f t="shared" ref="F173:F187" si="3">E173/D173</f>
        <v>0.30164533820840955</v>
      </c>
      <c r="G173" s="74"/>
    </row>
    <row r="174" spans="1:7" x14ac:dyDescent="0.25">
      <c r="A174" s="22" t="s">
        <v>75</v>
      </c>
      <c r="B174" s="15" t="s">
        <v>44</v>
      </c>
      <c r="C174" s="23" t="s">
        <v>47</v>
      </c>
      <c r="D174" s="75">
        <v>0.22500000000000001</v>
      </c>
      <c r="E174" s="75">
        <v>7.3000000000000009E-2</v>
      </c>
      <c r="F174" s="76">
        <f t="shared" si="3"/>
        <v>0.32444444444444448</v>
      </c>
      <c r="G174" s="74"/>
    </row>
    <row r="175" spans="1:7" x14ac:dyDescent="0.25">
      <c r="A175" s="22" t="s">
        <v>75</v>
      </c>
      <c r="B175" s="15" t="s">
        <v>44</v>
      </c>
      <c r="C175" s="23" t="s">
        <v>48</v>
      </c>
      <c r="D175" s="75">
        <v>0.2026</v>
      </c>
      <c r="E175" s="75">
        <v>4.9799999999999997E-2</v>
      </c>
      <c r="F175" s="76">
        <f t="shared" si="3"/>
        <v>0.24580454096742349</v>
      </c>
      <c r="G175" s="74"/>
    </row>
    <row r="176" spans="1:7" x14ac:dyDescent="0.25">
      <c r="A176" s="22" t="s">
        <v>75</v>
      </c>
      <c r="B176" s="15" t="s">
        <v>49</v>
      </c>
      <c r="C176" s="23" t="s">
        <v>45</v>
      </c>
      <c r="D176" s="75">
        <v>0.26919999999999999</v>
      </c>
      <c r="E176" s="75">
        <v>0.11</v>
      </c>
      <c r="F176" s="76">
        <f t="shared" si="3"/>
        <v>0.40861812778603268</v>
      </c>
      <c r="G176" s="74">
        <f>AVERAGE(F176:F179)</f>
        <v>0.35920040415345689</v>
      </c>
    </row>
    <row r="177" spans="1:7" x14ac:dyDescent="0.25">
      <c r="A177" s="22" t="s">
        <v>75</v>
      </c>
      <c r="B177" s="15" t="s">
        <v>49</v>
      </c>
      <c r="C177" s="23" t="s">
        <v>46</v>
      </c>
      <c r="D177" s="75">
        <v>0.27139999999999997</v>
      </c>
      <c r="E177" s="75">
        <v>7.400000000000001E-2</v>
      </c>
      <c r="F177" s="76">
        <f t="shared" si="3"/>
        <v>0.27266028002947684</v>
      </c>
      <c r="G177" s="74"/>
    </row>
    <row r="178" spans="1:7" x14ac:dyDescent="0.25">
      <c r="A178" s="22" t="s">
        <v>75</v>
      </c>
      <c r="B178" s="15" t="s">
        <v>49</v>
      </c>
      <c r="C178" s="23" t="s">
        <v>47</v>
      </c>
      <c r="D178" s="75">
        <v>0.2646</v>
      </c>
      <c r="E178" s="75">
        <v>9.8000000000000004E-2</v>
      </c>
      <c r="F178" s="76">
        <f t="shared" si="3"/>
        <v>0.37037037037037041</v>
      </c>
      <c r="G178" s="74"/>
    </row>
    <row r="179" spans="1:7" x14ac:dyDescent="0.25">
      <c r="A179" s="22" t="s">
        <v>75</v>
      </c>
      <c r="B179" s="15" t="s">
        <v>49</v>
      </c>
      <c r="C179" s="23" t="s">
        <v>48</v>
      </c>
      <c r="D179" s="75">
        <v>0.22900000000000001</v>
      </c>
      <c r="E179" s="75">
        <v>8.8200000000000001E-2</v>
      </c>
      <c r="F179" s="76">
        <f t="shared" si="3"/>
        <v>0.38515283842794756</v>
      </c>
      <c r="G179" s="74"/>
    </row>
    <row r="180" spans="1:7" x14ac:dyDescent="0.25">
      <c r="A180" s="22" t="s">
        <v>75</v>
      </c>
      <c r="B180" s="15" t="s">
        <v>50</v>
      </c>
      <c r="C180" s="23" t="s">
        <v>45</v>
      </c>
      <c r="D180" s="75">
        <v>0.38059999999999999</v>
      </c>
      <c r="E180" s="75">
        <v>9.580000000000001E-2</v>
      </c>
      <c r="F180" s="76">
        <f t="shared" si="3"/>
        <v>0.25170782974251188</v>
      </c>
      <c r="G180" s="74">
        <f>AVERAGE(F180:F183)</f>
        <v>0.29657812762538199</v>
      </c>
    </row>
    <row r="181" spans="1:7" x14ac:dyDescent="0.25">
      <c r="A181" s="22" t="s">
        <v>75</v>
      </c>
      <c r="B181" s="15" t="s">
        <v>50</v>
      </c>
      <c r="C181" s="23" t="s">
        <v>46</v>
      </c>
      <c r="D181" s="75">
        <v>0.22900000000000001</v>
      </c>
      <c r="E181" s="75">
        <v>6.54E-2</v>
      </c>
      <c r="F181" s="76">
        <f t="shared" si="3"/>
        <v>0.28558951965065499</v>
      </c>
      <c r="G181" s="74"/>
    </row>
    <row r="182" spans="1:7" x14ac:dyDescent="0.25">
      <c r="A182" s="22" t="s">
        <v>75</v>
      </c>
      <c r="B182" s="15" t="s">
        <v>50</v>
      </c>
      <c r="C182" s="23" t="s">
        <v>47</v>
      </c>
      <c r="D182" s="75">
        <v>0.23319999999999999</v>
      </c>
      <c r="E182" s="75">
        <v>6.8400000000000002E-2</v>
      </c>
      <c r="F182" s="76">
        <f t="shared" si="3"/>
        <v>0.29331046312178388</v>
      </c>
      <c r="G182" s="74"/>
    </row>
    <row r="183" spans="1:7" x14ac:dyDescent="0.25">
      <c r="A183" s="22" t="s">
        <v>75</v>
      </c>
      <c r="B183" s="15" t="s">
        <v>50</v>
      </c>
      <c r="C183" s="23" t="s">
        <v>48</v>
      </c>
      <c r="D183" s="75">
        <v>0.20860000000000001</v>
      </c>
      <c r="E183" s="75">
        <v>7.4200000000000002E-2</v>
      </c>
      <c r="F183" s="76">
        <f t="shared" si="3"/>
        <v>0.35570469798657717</v>
      </c>
      <c r="G183" s="74"/>
    </row>
    <row r="184" spans="1:7" x14ac:dyDescent="0.25">
      <c r="A184" s="22" t="s">
        <v>75</v>
      </c>
      <c r="B184" s="15" t="s">
        <v>51</v>
      </c>
      <c r="C184" s="23" t="s">
        <v>45</v>
      </c>
      <c r="D184" s="75">
        <v>0.221</v>
      </c>
      <c r="E184" s="75">
        <v>8.8800000000000004E-2</v>
      </c>
      <c r="F184" s="76">
        <f t="shared" si="3"/>
        <v>0.40180995475113124</v>
      </c>
      <c r="G184" s="74">
        <f>AVERAGE(F184:F187)</f>
        <v>0.35883946675153622</v>
      </c>
    </row>
    <row r="185" spans="1:7" x14ac:dyDescent="0.25">
      <c r="A185" s="22" t="s">
        <v>75</v>
      </c>
      <c r="B185" s="15" t="s">
        <v>51</v>
      </c>
      <c r="C185" s="23" t="s">
        <v>46</v>
      </c>
      <c r="D185" s="75">
        <v>0.246</v>
      </c>
      <c r="E185" s="75">
        <v>7.0400000000000004E-2</v>
      </c>
      <c r="F185" s="76">
        <f t="shared" si="3"/>
        <v>0.2861788617886179</v>
      </c>
      <c r="G185" s="74"/>
    </row>
    <row r="186" spans="1:7" x14ac:dyDescent="0.25">
      <c r="A186" s="22" t="s">
        <v>75</v>
      </c>
      <c r="B186" s="15" t="s">
        <v>51</v>
      </c>
      <c r="C186" s="23" t="s">
        <v>47</v>
      </c>
      <c r="D186" s="75">
        <v>0.18079999999999999</v>
      </c>
      <c r="E186" s="75">
        <v>7.1600000000000011E-2</v>
      </c>
      <c r="F186" s="76">
        <f t="shared" si="3"/>
        <v>0.39601769911504431</v>
      </c>
      <c r="G186" s="74"/>
    </row>
    <row r="187" spans="1:7" x14ac:dyDescent="0.25">
      <c r="A187" s="22" t="s">
        <v>75</v>
      </c>
      <c r="B187" s="15" t="s">
        <v>51</v>
      </c>
      <c r="C187" s="23" t="s">
        <v>48</v>
      </c>
      <c r="D187" s="75">
        <v>0.14799999999999999</v>
      </c>
      <c r="E187" s="75">
        <v>5.1999999999999998E-2</v>
      </c>
      <c r="F187" s="76">
        <f t="shared" si="3"/>
        <v>0.35135135135135137</v>
      </c>
      <c r="G187" s="74"/>
    </row>
    <row r="188" spans="1:7" x14ac:dyDescent="0.25">
      <c r="A188" s="22">
        <v>40750</v>
      </c>
      <c r="B188" s="15" t="s">
        <v>44</v>
      </c>
      <c r="C188" s="23" t="s">
        <v>45</v>
      </c>
      <c r="D188" s="74">
        <v>0.35039999999999999</v>
      </c>
      <c r="E188" s="74">
        <v>7.9200000000000007E-2</v>
      </c>
      <c r="F188" s="76">
        <f>E188/D188</f>
        <v>0.22602739726027399</v>
      </c>
      <c r="G188" s="74">
        <f>AVERAGE(F188:F191)</f>
        <v>0.30281907462118574</v>
      </c>
    </row>
    <row r="189" spans="1:7" x14ac:dyDescent="0.25">
      <c r="A189" s="22">
        <v>40750</v>
      </c>
      <c r="B189" s="15" t="s">
        <v>44</v>
      </c>
      <c r="C189" s="23" t="s">
        <v>46</v>
      </c>
      <c r="D189" s="74">
        <v>0.33379999999999999</v>
      </c>
      <c r="E189" s="74">
        <v>0.1182</v>
      </c>
      <c r="F189" s="76">
        <f t="shared" ref="F189:F232" si="4">E189/D189</f>
        <v>0.35410425404433793</v>
      </c>
      <c r="G189" s="74"/>
    </row>
    <row r="190" spans="1:7" x14ac:dyDescent="0.25">
      <c r="A190" s="22">
        <v>40750</v>
      </c>
      <c r="B190" s="15" t="s">
        <v>44</v>
      </c>
      <c r="C190" s="23" t="s">
        <v>47</v>
      </c>
      <c r="D190" s="74">
        <v>0.23480000000000001</v>
      </c>
      <c r="E190" s="74">
        <v>2.5000000000000001E-2</v>
      </c>
      <c r="F190" s="76">
        <f t="shared" si="4"/>
        <v>0.10647359454855196</v>
      </c>
      <c r="G190" s="74"/>
    </row>
    <row r="191" spans="1:7" x14ac:dyDescent="0.25">
      <c r="A191" s="22">
        <v>40750</v>
      </c>
      <c r="B191" s="15" t="s">
        <v>44</v>
      </c>
      <c r="C191" s="23" t="s">
        <v>48</v>
      </c>
      <c r="D191" s="74">
        <v>0.1216</v>
      </c>
      <c r="E191" s="74">
        <v>6.3799999999999996E-2</v>
      </c>
      <c r="F191" s="76">
        <f t="shared" si="4"/>
        <v>0.52467105263157887</v>
      </c>
      <c r="G191" s="74"/>
    </row>
    <row r="192" spans="1:7" x14ac:dyDescent="0.25">
      <c r="A192" s="22">
        <v>40750</v>
      </c>
      <c r="B192" s="15" t="s">
        <v>49</v>
      </c>
      <c r="C192" s="23" t="s">
        <v>45</v>
      </c>
      <c r="D192" s="74">
        <v>0.13539999999999999</v>
      </c>
      <c r="E192" s="74">
        <v>9.1200000000000003E-2</v>
      </c>
      <c r="F192" s="76">
        <f t="shared" si="4"/>
        <v>0.6735598227474151</v>
      </c>
      <c r="G192" s="74">
        <f>AVERAGE(F192:F195)</f>
        <v>0.48072037292394509</v>
      </c>
    </row>
    <row r="193" spans="1:7" x14ac:dyDescent="0.25">
      <c r="A193" s="22">
        <v>40750</v>
      </c>
      <c r="B193" s="15" t="s">
        <v>49</v>
      </c>
      <c r="C193" s="23" t="s">
        <v>46</v>
      </c>
      <c r="D193" s="74">
        <v>0.25280000000000002</v>
      </c>
      <c r="E193" s="74">
        <v>0.10299999999999999</v>
      </c>
      <c r="F193" s="76">
        <f t="shared" si="4"/>
        <v>0.40743670886075944</v>
      </c>
      <c r="G193" s="74"/>
    </row>
    <row r="194" spans="1:7" x14ac:dyDescent="0.25">
      <c r="A194" s="22">
        <v>40750</v>
      </c>
      <c r="B194" s="15" t="s">
        <v>49</v>
      </c>
      <c r="C194" s="23" t="s">
        <v>47</v>
      </c>
      <c r="D194" s="74">
        <v>0.16140000000000002</v>
      </c>
      <c r="E194" s="74">
        <v>6.3E-2</v>
      </c>
      <c r="F194" s="76">
        <f t="shared" si="4"/>
        <v>0.3903345724907063</v>
      </c>
      <c r="G194" s="74"/>
    </row>
    <row r="195" spans="1:7" x14ac:dyDescent="0.25">
      <c r="A195" s="22">
        <v>40750</v>
      </c>
      <c r="B195" s="15" t="s">
        <v>49</v>
      </c>
      <c r="C195" s="23" t="s">
        <v>48</v>
      </c>
      <c r="D195" s="74">
        <v>0.1032</v>
      </c>
      <c r="E195" s="74">
        <v>4.6600000000000003E-2</v>
      </c>
      <c r="F195" s="76">
        <f t="shared" si="4"/>
        <v>0.45155038759689925</v>
      </c>
      <c r="G195" s="74"/>
    </row>
    <row r="196" spans="1:7" x14ac:dyDescent="0.25">
      <c r="A196" s="22">
        <v>40750</v>
      </c>
      <c r="B196" s="15" t="s">
        <v>50</v>
      </c>
      <c r="C196" s="23" t="s">
        <v>45</v>
      </c>
      <c r="D196" s="74">
        <v>0.1052</v>
      </c>
      <c r="E196" s="74">
        <v>3.6400000000000002E-2</v>
      </c>
      <c r="F196" s="76">
        <f t="shared" si="4"/>
        <v>0.34600760456273766</v>
      </c>
      <c r="G196" s="74">
        <f>AVERAGE(F196:F199)</f>
        <v>0.35084628930506295</v>
      </c>
    </row>
    <row r="197" spans="1:7" x14ac:dyDescent="0.25">
      <c r="A197" s="22">
        <v>40750</v>
      </c>
      <c r="B197" s="15" t="s">
        <v>50</v>
      </c>
      <c r="C197" s="23" t="s">
        <v>46</v>
      </c>
      <c r="D197" s="74">
        <v>0.115</v>
      </c>
      <c r="E197" s="74">
        <v>3.56E-2</v>
      </c>
      <c r="F197" s="76">
        <f t="shared" si="4"/>
        <v>0.30956521739130433</v>
      </c>
      <c r="G197" s="74"/>
    </row>
    <row r="198" spans="1:7" x14ac:dyDescent="0.25">
      <c r="A198" s="22">
        <v>40750</v>
      </c>
      <c r="B198" s="15" t="s">
        <v>50</v>
      </c>
      <c r="C198" s="23" t="s">
        <v>47</v>
      </c>
      <c r="D198" s="74">
        <v>5.4200000000000005E-2</v>
      </c>
      <c r="E198" s="74">
        <v>2.0399999999999998E-2</v>
      </c>
      <c r="F198" s="76">
        <f t="shared" si="4"/>
        <v>0.37638376383763833</v>
      </c>
      <c r="G198" s="74"/>
    </row>
    <row r="199" spans="1:7" x14ac:dyDescent="0.25">
      <c r="A199" s="22">
        <v>40750</v>
      </c>
      <c r="B199" s="15" t="s">
        <v>50</v>
      </c>
      <c r="C199" s="23" t="s">
        <v>48</v>
      </c>
      <c r="D199" s="74">
        <v>1.4E-2</v>
      </c>
      <c r="E199" s="74">
        <v>5.1999999999999998E-3</v>
      </c>
      <c r="F199" s="76">
        <f t="shared" si="4"/>
        <v>0.37142857142857139</v>
      </c>
      <c r="G199" s="74"/>
    </row>
    <row r="200" spans="1:7" x14ac:dyDescent="0.25">
      <c r="A200" s="22">
        <v>40750</v>
      </c>
      <c r="B200" s="15" t="s">
        <v>51</v>
      </c>
      <c r="C200" s="23" t="s">
        <v>45</v>
      </c>
      <c r="D200" s="74">
        <v>2.35E-2</v>
      </c>
      <c r="E200" s="74">
        <v>9.7999999999999997E-3</v>
      </c>
      <c r="F200" s="76">
        <f t="shared" si="4"/>
        <v>0.41702127659574467</v>
      </c>
      <c r="G200" s="74">
        <f>AVERAGE(F200:F203)</f>
        <v>0.49033248475696345</v>
      </c>
    </row>
    <row r="201" spans="1:7" x14ac:dyDescent="0.25">
      <c r="A201" s="22">
        <v>40750</v>
      </c>
      <c r="B201" s="15" t="s">
        <v>51</v>
      </c>
      <c r="C201" s="23" t="s">
        <v>46</v>
      </c>
      <c r="D201" s="74">
        <v>2.8399999999999998E-2</v>
      </c>
      <c r="E201" s="74">
        <v>1.8600000000000002E-2</v>
      </c>
      <c r="F201" s="76">
        <f t="shared" si="4"/>
        <v>0.65492957746478886</v>
      </c>
      <c r="G201" s="74"/>
    </row>
    <row r="202" spans="1:7" x14ac:dyDescent="0.25">
      <c r="A202" s="22">
        <v>40750</v>
      </c>
      <c r="B202" s="15" t="s">
        <v>51</v>
      </c>
      <c r="C202" s="23" t="s">
        <v>47</v>
      </c>
      <c r="D202" s="74">
        <v>8.5000000000000006E-3</v>
      </c>
      <c r="E202" s="74">
        <v>3.8999999999999998E-3</v>
      </c>
      <c r="F202" s="76">
        <f t="shared" si="4"/>
        <v>0.45882352941176463</v>
      </c>
      <c r="G202" s="74"/>
    </row>
    <row r="203" spans="1:7" x14ac:dyDescent="0.25">
      <c r="A203" s="22">
        <v>40750</v>
      </c>
      <c r="B203" s="15" t="s">
        <v>51</v>
      </c>
      <c r="C203" s="23" t="s">
        <v>48</v>
      </c>
      <c r="D203" s="74">
        <v>7.1999999999999998E-3</v>
      </c>
      <c r="E203" s="74">
        <v>3.0999999999999999E-3</v>
      </c>
      <c r="F203" s="76">
        <f t="shared" si="4"/>
        <v>0.43055555555555552</v>
      </c>
      <c r="G203" s="74"/>
    </row>
    <row r="204" spans="1:7" x14ac:dyDescent="0.25">
      <c r="A204" s="22">
        <v>40751</v>
      </c>
      <c r="B204" s="15" t="s">
        <v>44</v>
      </c>
      <c r="C204" s="23" t="s">
        <v>45</v>
      </c>
      <c r="D204" s="74">
        <v>0.27739999999999998</v>
      </c>
      <c r="E204" s="74">
        <v>7.1599999999999997E-2</v>
      </c>
      <c r="F204" s="76">
        <f t="shared" si="4"/>
        <v>0.25811103100216293</v>
      </c>
      <c r="G204" s="74">
        <f>AVERAGE(F204:F207)</f>
        <v>0.26958425421001148</v>
      </c>
    </row>
    <row r="205" spans="1:7" x14ac:dyDescent="0.25">
      <c r="A205" s="22">
        <v>40751</v>
      </c>
      <c r="B205" s="15" t="s">
        <v>44</v>
      </c>
      <c r="C205" s="23" t="s">
        <v>46</v>
      </c>
      <c r="D205" s="74">
        <v>0.1774</v>
      </c>
      <c r="E205" s="74">
        <v>5.9200000000000003E-2</v>
      </c>
      <c r="F205" s="76">
        <f t="shared" si="4"/>
        <v>0.33370913190529877</v>
      </c>
      <c r="G205" s="74"/>
    </row>
    <row r="206" spans="1:7" x14ac:dyDescent="0.25">
      <c r="A206" s="22">
        <v>40751</v>
      </c>
      <c r="B206" s="15" t="s">
        <v>44</v>
      </c>
      <c r="C206" s="23" t="s">
        <v>47</v>
      </c>
      <c r="D206" s="74">
        <v>0.11700000000000001</v>
      </c>
      <c r="E206" s="74">
        <v>2.3399999999999997E-2</v>
      </c>
      <c r="F206" s="76">
        <f t="shared" si="4"/>
        <v>0.19999999999999996</v>
      </c>
      <c r="G206" s="74"/>
    </row>
    <row r="207" spans="1:7" x14ac:dyDescent="0.25">
      <c r="A207" s="22">
        <v>40751</v>
      </c>
      <c r="B207" s="15" t="s">
        <v>44</v>
      </c>
      <c r="C207" s="23" t="s">
        <v>48</v>
      </c>
      <c r="D207" s="74">
        <v>3.56E-2</v>
      </c>
      <c r="E207" s="74">
        <v>1.0199999999999999E-2</v>
      </c>
      <c r="F207" s="76">
        <f t="shared" si="4"/>
        <v>0.28651685393258425</v>
      </c>
      <c r="G207" s="74"/>
    </row>
    <row r="208" spans="1:7" x14ac:dyDescent="0.25">
      <c r="A208" s="22">
        <v>40751</v>
      </c>
      <c r="B208" s="15" t="s">
        <v>49</v>
      </c>
      <c r="C208" s="23" t="s">
        <v>45</v>
      </c>
      <c r="D208" s="74">
        <v>0.1696</v>
      </c>
      <c r="E208" s="74">
        <v>8.4000000000000005E-2</v>
      </c>
      <c r="F208" s="76">
        <f t="shared" si="4"/>
        <v>0.49528301886792453</v>
      </c>
      <c r="G208" s="74">
        <f>AVERAGE(F208:F211)</f>
        <v>0.50463607504944497</v>
      </c>
    </row>
    <row r="209" spans="1:7" x14ac:dyDescent="0.25">
      <c r="A209" s="22">
        <v>40751</v>
      </c>
      <c r="B209" s="15" t="s">
        <v>49</v>
      </c>
      <c r="C209" s="23" t="s">
        <v>46</v>
      </c>
      <c r="D209" s="74">
        <v>0.12559999999999999</v>
      </c>
      <c r="E209" s="74">
        <v>6.3200000000000006E-2</v>
      </c>
      <c r="F209" s="76">
        <f t="shared" si="4"/>
        <v>0.50318471337579629</v>
      </c>
      <c r="G209" s="74"/>
    </row>
    <row r="210" spans="1:7" x14ac:dyDescent="0.25">
      <c r="A210" s="22">
        <v>40751</v>
      </c>
      <c r="B210" s="15" t="s">
        <v>49</v>
      </c>
      <c r="C210" s="23" t="s">
        <v>47</v>
      </c>
      <c r="D210" s="74">
        <v>0.16600000000000001</v>
      </c>
      <c r="E210" s="74">
        <v>7.7799999999999994E-2</v>
      </c>
      <c r="F210" s="76">
        <f t="shared" si="4"/>
        <v>0.46867469879518064</v>
      </c>
      <c r="G210" s="74"/>
    </row>
    <row r="211" spans="1:7" x14ac:dyDescent="0.25">
      <c r="A211" s="22">
        <v>40751</v>
      </c>
      <c r="B211" s="15" t="s">
        <v>49</v>
      </c>
      <c r="C211" s="23" t="s">
        <v>48</v>
      </c>
      <c r="D211" s="74">
        <v>8.5599999999999996E-2</v>
      </c>
      <c r="E211" s="74">
        <v>4.7200000000000006E-2</v>
      </c>
      <c r="F211" s="76">
        <f t="shared" si="4"/>
        <v>0.55140186915887857</v>
      </c>
      <c r="G211" s="74"/>
    </row>
    <row r="212" spans="1:7" x14ac:dyDescent="0.25">
      <c r="A212" s="22">
        <v>40751</v>
      </c>
      <c r="B212" s="15" t="s">
        <v>50</v>
      </c>
      <c r="C212" s="23" t="s">
        <v>45</v>
      </c>
      <c r="D212" s="74">
        <v>0.15855</v>
      </c>
      <c r="E212" s="74">
        <v>6.3750000000000001E-2</v>
      </c>
      <c r="F212" s="76">
        <f t="shared" si="4"/>
        <v>0.40208136234626302</v>
      </c>
      <c r="G212" s="74">
        <f>AVERAGE(F212:F215)</f>
        <v>0.41509976572816359</v>
      </c>
    </row>
    <row r="213" spans="1:7" x14ac:dyDescent="0.25">
      <c r="A213" s="22">
        <v>40751</v>
      </c>
      <c r="B213" s="15" t="s">
        <v>50</v>
      </c>
      <c r="C213" s="23" t="s">
        <v>46</v>
      </c>
      <c r="D213" s="74">
        <v>0.20129999999999998</v>
      </c>
      <c r="E213" s="74">
        <v>9.4399999999999998E-2</v>
      </c>
      <c r="F213" s="76">
        <f t="shared" si="4"/>
        <v>0.46895181321410834</v>
      </c>
      <c r="G213" s="74"/>
    </row>
    <row r="214" spans="1:7" x14ac:dyDescent="0.25">
      <c r="A214" s="22">
        <v>40751</v>
      </c>
      <c r="B214" s="15" t="s">
        <v>50</v>
      </c>
      <c r="C214" s="23" t="s">
        <v>47</v>
      </c>
      <c r="D214" s="74">
        <v>8.43E-2</v>
      </c>
      <c r="E214" s="74">
        <v>3.5099999999999992E-2</v>
      </c>
      <c r="F214" s="76">
        <f t="shared" si="4"/>
        <v>0.41637010676156577</v>
      </c>
      <c r="G214" s="74"/>
    </row>
    <row r="215" spans="1:7" x14ac:dyDescent="0.25">
      <c r="A215" s="22">
        <v>40751</v>
      </c>
      <c r="B215" s="15" t="s">
        <v>50</v>
      </c>
      <c r="C215" s="23" t="s">
        <v>48</v>
      </c>
      <c r="D215" s="74">
        <v>5.9249999999999997E-2</v>
      </c>
      <c r="E215" s="74">
        <v>2.2100000000000002E-2</v>
      </c>
      <c r="F215" s="76">
        <f t="shared" si="4"/>
        <v>0.37299578059071736</v>
      </c>
      <c r="G215" s="74"/>
    </row>
    <row r="216" spans="1:7" x14ac:dyDescent="0.25">
      <c r="A216" s="22">
        <v>40751</v>
      </c>
      <c r="B216" s="15" t="s">
        <v>51</v>
      </c>
      <c r="C216" s="23" t="s">
        <v>45</v>
      </c>
      <c r="D216" s="74">
        <v>0.13919999999999999</v>
      </c>
      <c r="E216" s="74">
        <v>6.2399999999999997E-2</v>
      </c>
      <c r="F216" s="76">
        <f t="shared" si="4"/>
        <v>0.44827586206896552</v>
      </c>
      <c r="G216" s="74">
        <f>AVERAGE(F216:F219)</f>
        <v>0.56280037004340588</v>
      </c>
    </row>
    <row r="217" spans="1:7" x14ac:dyDescent="0.25">
      <c r="A217" s="22">
        <v>40751</v>
      </c>
      <c r="B217" s="15" t="s">
        <v>51</v>
      </c>
      <c r="C217" s="23" t="s">
        <v>46</v>
      </c>
      <c r="D217" s="74">
        <v>0.151</v>
      </c>
      <c r="E217" s="74">
        <v>8.6199999999999999E-2</v>
      </c>
      <c r="F217" s="76">
        <f t="shared" si="4"/>
        <v>0.57086092715231784</v>
      </c>
      <c r="G217" s="74"/>
    </row>
    <row r="218" spans="1:7" x14ac:dyDescent="0.25">
      <c r="A218" s="22">
        <v>40751</v>
      </c>
      <c r="B218" s="15" t="s">
        <v>51</v>
      </c>
      <c r="C218" s="23" t="s">
        <v>47</v>
      </c>
      <c r="D218" s="74">
        <v>0.17080000000000001</v>
      </c>
      <c r="E218" s="74">
        <v>0.1152</v>
      </c>
      <c r="F218" s="76">
        <f t="shared" si="4"/>
        <v>0.67447306791569084</v>
      </c>
      <c r="G218" s="74"/>
    </row>
    <row r="219" spans="1:7" x14ac:dyDescent="0.25">
      <c r="A219" s="22">
        <v>40751</v>
      </c>
      <c r="B219" s="15" t="s">
        <v>51</v>
      </c>
      <c r="C219" s="23" t="s">
        <v>48</v>
      </c>
      <c r="D219" s="74">
        <v>0.15280000000000002</v>
      </c>
      <c r="E219" s="74">
        <v>8.5199999999999998E-2</v>
      </c>
      <c r="F219" s="76">
        <f t="shared" si="4"/>
        <v>0.55759162303664911</v>
      </c>
      <c r="G219" s="74"/>
    </row>
    <row r="220" spans="1:7" x14ac:dyDescent="0.25">
      <c r="A220" s="22">
        <v>40749</v>
      </c>
      <c r="B220" s="15" t="s">
        <v>44</v>
      </c>
      <c r="C220" s="23" t="s">
        <v>45</v>
      </c>
      <c r="D220" s="74">
        <v>0.21359999999999998</v>
      </c>
      <c r="E220" s="74">
        <v>6.3399999999999998E-2</v>
      </c>
      <c r="F220" s="76">
        <f t="shared" si="4"/>
        <v>0.29681647940074907</v>
      </c>
      <c r="G220" s="74">
        <f>AVERAGE(F220:F223)</f>
        <v>0.29861460932340061</v>
      </c>
    </row>
    <row r="221" spans="1:7" x14ac:dyDescent="0.25">
      <c r="A221" s="22">
        <v>40749</v>
      </c>
      <c r="B221" s="15" t="s">
        <v>44</v>
      </c>
      <c r="C221" s="23" t="s">
        <v>46</v>
      </c>
      <c r="D221" s="74">
        <v>0.11259999999999999</v>
      </c>
      <c r="E221" s="74">
        <v>3.9200000000000006E-2</v>
      </c>
      <c r="F221" s="76">
        <f t="shared" si="4"/>
        <v>0.34813499111900542</v>
      </c>
      <c r="G221" s="74"/>
    </row>
    <row r="222" spans="1:7" x14ac:dyDescent="0.25">
      <c r="A222" s="22">
        <v>40749</v>
      </c>
      <c r="B222" s="15" t="s">
        <v>44</v>
      </c>
      <c r="C222" s="23" t="s">
        <v>47</v>
      </c>
      <c r="D222" s="74">
        <v>0.06</v>
      </c>
      <c r="E222" s="74">
        <v>1.5800000000000002E-2</v>
      </c>
      <c r="F222" s="76">
        <f t="shared" si="4"/>
        <v>0.26333333333333336</v>
      </c>
      <c r="G222" s="74"/>
    </row>
    <row r="223" spans="1:7" x14ac:dyDescent="0.25">
      <c r="A223" s="22">
        <v>40749</v>
      </c>
      <c r="B223" s="15" t="s">
        <v>44</v>
      </c>
      <c r="C223" s="23" t="s">
        <v>48</v>
      </c>
      <c r="D223" s="74">
        <v>6.2200000000000005E-2</v>
      </c>
      <c r="E223" s="74">
        <v>1.78E-2</v>
      </c>
      <c r="F223" s="76">
        <f t="shared" si="4"/>
        <v>0.28617363344051444</v>
      </c>
      <c r="G223" s="74"/>
    </row>
    <row r="224" spans="1:7" x14ac:dyDescent="0.25">
      <c r="A224" s="22">
        <v>40749</v>
      </c>
      <c r="B224" s="15" t="s">
        <v>49</v>
      </c>
      <c r="C224" s="23" t="s">
        <v>45</v>
      </c>
      <c r="D224" s="74">
        <v>6.4500000000000002E-2</v>
      </c>
      <c r="E224" s="74">
        <v>3.0599999999999995E-2</v>
      </c>
      <c r="F224" s="76">
        <f t="shared" si="4"/>
        <v>0.4744186046511627</v>
      </c>
      <c r="G224" s="74">
        <f>AVERAGE(F224:F227)</f>
        <v>0.4564536480147704</v>
      </c>
    </row>
    <row r="225" spans="1:8" x14ac:dyDescent="0.25">
      <c r="A225" s="22">
        <v>40749</v>
      </c>
      <c r="B225" s="15" t="s">
        <v>49</v>
      </c>
      <c r="C225" s="23" t="s">
        <v>46</v>
      </c>
      <c r="D225" s="74">
        <v>6.090000000000001E-2</v>
      </c>
      <c r="E225" s="74">
        <v>2.5349999999999998E-2</v>
      </c>
      <c r="F225" s="76">
        <f t="shared" si="4"/>
        <v>0.41625615763546786</v>
      </c>
      <c r="G225" s="74"/>
    </row>
    <row r="226" spans="1:8" x14ac:dyDescent="0.25">
      <c r="A226" s="22">
        <v>40749</v>
      </c>
      <c r="B226" s="15" t="s">
        <v>49</v>
      </c>
      <c r="C226" s="23" t="s">
        <v>47</v>
      </c>
      <c r="D226" s="74">
        <v>4.5450000000000004E-2</v>
      </c>
      <c r="E226" s="74">
        <v>1.89E-2</v>
      </c>
      <c r="F226" s="76">
        <f t="shared" si="4"/>
        <v>0.41584158415841582</v>
      </c>
      <c r="G226" s="74"/>
    </row>
    <row r="227" spans="1:8" x14ac:dyDescent="0.25">
      <c r="A227" s="22">
        <v>40749</v>
      </c>
      <c r="B227" s="15" t="s">
        <v>49</v>
      </c>
      <c r="C227" s="23" t="s">
        <v>48</v>
      </c>
      <c r="D227" s="74">
        <v>4.2750000000000003E-2</v>
      </c>
      <c r="E227" s="74">
        <v>2.2200000000000001E-2</v>
      </c>
      <c r="F227" s="76">
        <f t="shared" si="4"/>
        <v>0.51929824561403504</v>
      </c>
      <c r="G227" s="74"/>
    </row>
    <row r="228" spans="1:8" x14ac:dyDescent="0.25">
      <c r="A228" s="22">
        <v>40749</v>
      </c>
      <c r="B228" s="15" t="s">
        <v>50</v>
      </c>
      <c r="C228" s="23" t="s">
        <v>45</v>
      </c>
      <c r="D228" s="74">
        <v>5.8799999999999998E-2</v>
      </c>
      <c r="E228" s="74">
        <v>1.72E-2</v>
      </c>
      <c r="F228" s="76">
        <f t="shared" si="4"/>
        <v>0.29251700680272108</v>
      </c>
      <c r="G228" s="74">
        <f>AVERAGE(F228:F231)</f>
        <v>0.31792955383423982</v>
      </c>
    </row>
    <row r="229" spans="1:8" x14ac:dyDescent="0.25">
      <c r="A229" s="22">
        <v>40749</v>
      </c>
      <c r="B229" s="15" t="s">
        <v>50</v>
      </c>
      <c r="C229" s="23" t="s">
        <v>46</v>
      </c>
      <c r="D229" s="74">
        <v>0.1012</v>
      </c>
      <c r="E229" s="74">
        <v>3.4200000000000001E-2</v>
      </c>
      <c r="F229" s="76">
        <f t="shared" si="4"/>
        <v>0.33794466403162055</v>
      </c>
      <c r="G229" s="74"/>
    </row>
    <row r="230" spans="1:8" x14ac:dyDescent="0.25">
      <c r="A230" s="22">
        <v>40749</v>
      </c>
      <c r="B230" s="15" t="s">
        <v>50</v>
      </c>
      <c r="C230" s="23" t="s">
        <v>47</v>
      </c>
      <c r="D230" s="74">
        <v>3.8200000000000005E-2</v>
      </c>
      <c r="E230" s="74">
        <v>1.3800000000000002E-2</v>
      </c>
      <c r="F230" s="76">
        <f t="shared" si="4"/>
        <v>0.36125654450261779</v>
      </c>
      <c r="G230" s="74"/>
    </row>
    <row r="231" spans="1:8" x14ac:dyDescent="0.25">
      <c r="A231" s="22">
        <v>40749</v>
      </c>
      <c r="B231" s="15" t="s">
        <v>50</v>
      </c>
      <c r="C231" s="23" t="s">
        <v>48</v>
      </c>
      <c r="D231" s="74">
        <v>3.5000000000000003E-2</v>
      </c>
      <c r="E231" s="74">
        <v>9.8000000000000014E-3</v>
      </c>
      <c r="F231" s="76">
        <f t="shared" si="4"/>
        <v>0.28000000000000003</v>
      </c>
      <c r="G231" s="74"/>
    </row>
    <row r="232" spans="1:8" x14ac:dyDescent="0.25">
      <c r="A232" s="22">
        <v>40749</v>
      </c>
      <c r="B232" s="15" t="s">
        <v>51</v>
      </c>
      <c r="C232" s="23" t="s">
        <v>45</v>
      </c>
      <c r="D232" s="74">
        <v>2.12E-2</v>
      </c>
      <c r="E232" s="74">
        <v>1.01E-2</v>
      </c>
      <c r="F232" s="76">
        <f t="shared" si="4"/>
        <v>0.47641509433962265</v>
      </c>
      <c r="G232" s="74">
        <f>AVERAGE(F232:F235)</f>
        <v>0.47641509433962265</v>
      </c>
    </row>
    <row r="233" spans="1:8" x14ac:dyDescent="0.25">
      <c r="A233" s="22">
        <v>40749</v>
      </c>
      <c r="B233" s="15" t="s">
        <v>51</v>
      </c>
      <c r="C233" s="23" t="s">
        <v>46</v>
      </c>
      <c r="D233" s="74" t="s">
        <v>18</v>
      </c>
      <c r="E233" s="74" t="s">
        <v>18</v>
      </c>
      <c r="F233" s="74" t="s">
        <v>18</v>
      </c>
      <c r="G233" s="74"/>
    </row>
    <row r="234" spans="1:8" x14ac:dyDescent="0.25">
      <c r="A234" s="22">
        <v>40749</v>
      </c>
      <c r="B234" s="15" t="s">
        <v>51</v>
      </c>
      <c r="C234" s="23" t="s">
        <v>47</v>
      </c>
      <c r="D234" s="74" t="s">
        <v>18</v>
      </c>
      <c r="E234" s="74" t="s">
        <v>18</v>
      </c>
      <c r="F234" s="74" t="s">
        <v>18</v>
      </c>
      <c r="G234" s="74"/>
    </row>
    <row r="235" spans="1:8" x14ac:dyDescent="0.25">
      <c r="A235" s="22">
        <v>40749</v>
      </c>
      <c r="B235" s="15" t="s">
        <v>51</v>
      </c>
      <c r="C235" s="23" t="s">
        <v>48</v>
      </c>
      <c r="D235" s="74" t="s">
        <v>18</v>
      </c>
      <c r="E235" s="74" t="s">
        <v>18</v>
      </c>
      <c r="F235" s="74" t="s">
        <v>18</v>
      </c>
      <c r="G235" s="74"/>
    </row>
    <row r="236" spans="1:8" x14ac:dyDescent="0.25">
      <c r="A236" s="22">
        <v>40855</v>
      </c>
      <c r="B236" s="14" t="s">
        <v>82</v>
      </c>
      <c r="C236" s="23" t="s">
        <v>45</v>
      </c>
      <c r="D236" s="74">
        <v>169.7</v>
      </c>
      <c r="E236" s="74">
        <v>32.700000000000003</v>
      </c>
      <c r="F236" s="74" t="s">
        <v>18</v>
      </c>
      <c r="G236" s="74">
        <v>0.29782749675745779</v>
      </c>
    </row>
    <row r="237" spans="1:8" x14ac:dyDescent="0.25">
      <c r="A237" s="22">
        <v>40855</v>
      </c>
      <c r="B237" s="14" t="s">
        <v>82</v>
      </c>
      <c r="C237" s="23" t="s">
        <v>46</v>
      </c>
      <c r="D237" s="75">
        <v>112</v>
      </c>
      <c r="E237" s="74">
        <v>35.299999999999997</v>
      </c>
      <c r="F237" s="74" t="s">
        <v>18</v>
      </c>
      <c r="G237" s="74"/>
    </row>
    <row r="238" spans="1:8" x14ac:dyDescent="0.25">
      <c r="A238" s="22">
        <v>40855</v>
      </c>
      <c r="B238" s="14" t="s">
        <v>82</v>
      </c>
      <c r="C238" s="23" t="s">
        <v>47</v>
      </c>
      <c r="D238" s="74">
        <v>200.5</v>
      </c>
      <c r="E238" s="74">
        <v>38.200000000000003</v>
      </c>
      <c r="F238" s="74" t="s">
        <v>18</v>
      </c>
      <c r="G238" s="74"/>
      <c r="H238" s="18"/>
    </row>
    <row r="239" spans="1:8" x14ac:dyDescent="0.25">
      <c r="A239" s="22">
        <v>40855</v>
      </c>
      <c r="B239" s="14" t="s">
        <v>82</v>
      </c>
      <c r="C239" s="23" t="s">
        <v>48</v>
      </c>
      <c r="D239" s="74">
        <v>124</v>
      </c>
      <c r="E239" s="74">
        <v>48.3</v>
      </c>
      <c r="F239" s="74" t="s">
        <v>18</v>
      </c>
      <c r="G239" s="74"/>
      <c r="H239" s="18"/>
    </row>
    <row r="240" spans="1:8" x14ac:dyDescent="0.25">
      <c r="A240" s="22">
        <v>40855</v>
      </c>
      <c r="B240" s="14" t="s">
        <v>82</v>
      </c>
      <c r="C240" s="17" t="s">
        <v>86</v>
      </c>
      <c r="D240" s="74">
        <v>10.6</v>
      </c>
      <c r="E240" s="74">
        <v>29.2</v>
      </c>
      <c r="F240" s="74" t="s">
        <v>18</v>
      </c>
      <c r="G240" s="74"/>
      <c r="H240" s="18"/>
    </row>
    <row r="241" spans="1:8" x14ac:dyDescent="0.25">
      <c r="A241" s="22">
        <v>40855</v>
      </c>
      <c r="B241" s="14" t="s">
        <v>82</v>
      </c>
      <c r="C241" s="23" t="s">
        <v>87</v>
      </c>
      <c r="D241" s="74"/>
      <c r="E241" s="74">
        <v>46.2</v>
      </c>
      <c r="F241" s="74" t="s">
        <v>18</v>
      </c>
      <c r="G241" s="74"/>
      <c r="H241" s="18"/>
    </row>
    <row r="242" spans="1:8" x14ac:dyDescent="0.25">
      <c r="A242" s="22">
        <v>40855</v>
      </c>
      <c r="B242" s="14" t="s">
        <v>83</v>
      </c>
      <c r="C242" s="23" t="s">
        <v>45</v>
      </c>
      <c r="D242" s="74">
        <v>171</v>
      </c>
      <c r="E242" s="74">
        <v>41.3</v>
      </c>
      <c r="F242" s="74" t="s">
        <v>18</v>
      </c>
      <c r="G242" s="74">
        <v>0.24534686971235198</v>
      </c>
      <c r="H242" s="18"/>
    </row>
    <row r="243" spans="1:8" x14ac:dyDescent="0.25">
      <c r="A243" s="22">
        <v>40855</v>
      </c>
      <c r="B243" s="14" t="s">
        <v>83</v>
      </c>
      <c r="C243" s="23" t="s">
        <v>46</v>
      </c>
      <c r="D243" s="74">
        <v>18.2</v>
      </c>
      <c r="E243" s="74">
        <v>33.5</v>
      </c>
      <c r="F243" s="74" t="s">
        <v>18</v>
      </c>
      <c r="G243" s="74"/>
      <c r="H243" s="18"/>
    </row>
    <row r="244" spans="1:8" x14ac:dyDescent="0.25">
      <c r="A244" s="22">
        <v>40855</v>
      </c>
      <c r="B244" s="14" t="s">
        <v>83</v>
      </c>
      <c r="C244" s="23" t="s">
        <v>47</v>
      </c>
      <c r="D244" s="74">
        <v>140.6</v>
      </c>
      <c r="E244" s="74">
        <v>12.2</v>
      </c>
      <c r="F244" s="74" t="s">
        <v>18</v>
      </c>
      <c r="G244" s="74"/>
      <c r="H244" s="18"/>
    </row>
    <row r="245" spans="1:8" x14ac:dyDescent="0.25">
      <c r="A245" s="22">
        <v>40855</v>
      </c>
      <c r="B245" s="14" t="s">
        <v>83</v>
      </c>
      <c r="C245" s="23" t="s">
        <v>48</v>
      </c>
      <c r="D245" s="74">
        <v>8.6999999999999993</v>
      </c>
      <c r="E245" s="74"/>
      <c r="F245" s="74" t="s">
        <v>18</v>
      </c>
      <c r="G245" s="74"/>
      <c r="H245" s="18"/>
    </row>
    <row r="246" spans="1:8" x14ac:dyDescent="0.25">
      <c r="A246" s="22">
        <v>40855</v>
      </c>
      <c r="B246" s="14" t="s">
        <v>83</v>
      </c>
      <c r="C246" s="17" t="s">
        <v>86</v>
      </c>
      <c r="D246" s="74">
        <v>16.100000000000001</v>
      </c>
      <c r="E246" s="74"/>
      <c r="F246" s="74" t="s">
        <v>18</v>
      </c>
      <c r="G246" s="74"/>
      <c r="H246" s="18"/>
    </row>
    <row r="247" spans="1:8" x14ac:dyDescent="0.25">
      <c r="A247" s="22">
        <v>40855</v>
      </c>
      <c r="B247" s="14" t="s">
        <v>84</v>
      </c>
      <c r="C247" s="23" t="s">
        <v>45</v>
      </c>
      <c r="D247" s="74">
        <v>89.1</v>
      </c>
      <c r="E247" s="74">
        <v>35.9</v>
      </c>
      <c r="F247" s="74" t="s">
        <v>18</v>
      </c>
      <c r="G247" s="74">
        <v>0.31737849779086885</v>
      </c>
      <c r="H247" s="18"/>
    </row>
    <row r="248" spans="1:8" x14ac:dyDescent="0.25">
      <c r="A248" s="22">
        <v>40855</v>
      </c>
      <c r="B248" s="14" t="s">
        <v>84</v>
      </c>
      <c r="C248" s="23" t="s">
        <v>46</v>
      </c>
      <c r="D248" s="74">
        <v>102</v>
      </c>
      <c r="E248" s="74">
        <v>21.7</v>
      </c>
      <c r="F248" s="74" t="s">
        <v>18</v>
      </c>
      <c r="G248" s="74"/>
      <c r="H248" s="18"/>
    </row>
    <row r="249" spans="1:8" x14ac:dyDescent="0.25">
      <c r="A249" s="22">
        <v>40855</v>
      </c>
      <c r="B249" s="14" t="s">
        <v>84</v>
      </c>
      <c r="C249" s="23" t="s">
        <v>47</v>
      </c>
      <c r="D249" s="74">
        <v>41.4</v>
      </c>
      <c r="E249" s="74">
        <v>28.6</v>
      </c>
      <c r="F249" s="74" t="s">
        <v>18</v>
      </c>
      <c r="G249" s="74"/>
      <c r="H249" s="18"/>
    </row>
    <row r="250" spans="1:8" x14ac:dyDescent="0.25">
      <c r="A250" s="22">
        <v>40855</v>
      </c>
      <c r="B250" s="14" t="s">
        <v>84</v>
      </c>
      <c r="C250" s="23" t="s">
        <v>48</v>
      </c>
      <c r="D250" s="74">
        <v>4.5999999999999996</v>
      </c>
      <c r="E250" s="74"/>
      <c r="F250" s="74" t="s">
        <v>18</v>
      </c>
      <c r="G250" s="74"/>
      <c r="H250" s="18"/>
    </row>
    <row r="251" spans="1:8" x14ac:dyDescent="0.25">
      <c r="A251" s="22">
        <v>40855</v>
      </c>
      <c r="B251" s="14" t="s">
        <v>84</v>
      </c>
      <c r="C251" s="17" t="s">
        <v>86</v>
      </c>
      <c r="D251" s="75">
        <v>1.4</v>
      </c>
      <c r="E251" s="74"/>
      <c r="F251" s="74" t="s">
        <v>18</v>
      </c>
      <c r="G251" s="74"/>
      <c r="H251" s="18"/>
    </row>
    <row r="252" spans="1:8" x14ac:dyDescent="0.25">
      <c r="A252" s="22">
        <v>40855</v>
      </c>
      <c r="B252" s="14" t="s">
        <v>84</v>
      </c>
      <c r="C252" s="17" t="s">
        <v>87</v>
      </c>
      <c r="D252" s="74">
        <v>33.1</v>
      </c>
      <c r="E252" s="74"/>
      <c r="F252" s="74" t="s">
        <v>18</v>
      </c>
      <c r="G252" s="74"/>
      <c r="H252" s="18"/>
    </row>
    <row r="253" spans="1:8" x14ac:dyDescent="0.25">
      <c r="A253" s="22">
        <v>40855</v>
      </c>
      <c r="B253" s="14" t="s">
        <v>85</v>
      </c>
      <c r="C253" s="23" t="s">
        <v>45</v>
      </c>
      <c r="D253" s="74">
        <v>55.5</v>
      </c>
      <c r="E253" s="74">
        <v>47.3</v>
      </c>
      <c r="F253" s="74" t="s">
        <v>18</v>
      </c>
      <c r="G253" s="74">
        <v>0.37760571768910062</v>
      </c>
      <c r="H253" s="18"/>
    </row>
    <row r="254" spans="1:8" x14ac:dyDescent="0.25">
      <c r="A254" s="22">
        <v>40855</v>
      </c>
      <c r="B254" s="14" t="s">
        <v>85</v>
      </c>
      <c r="C254" s="23" t="s">
        <v>46</v>
      </c>
      <c r="D254" s="74">
        <v>13</v>
      </c>
      <c r="E254" s="74">
        <v>16.100000000000001</v>
      </c>
      <c r="F254" s="74" t="s">
        <v>18</v>
      </c>
      <c r="G254" s="74"/>
      <c r="H254" s="18"/>
    </row>
    <row r="255" spans="1:8" x14ac:dyDescent="0.25">
      <c r="A255" s="22">
        <v>40855</v>
      </c>
      <c r="B255" s="14" t="s">
        <v>85</v>
      </c>
      <c r="C255" s="23" t="s">
        <v>47</v>
      </c>
      <c r="D255" s="74">
        <v>48.4</v>
      </c>
      <c r="E255" s="74"/>
      <c r="F255" s="74" t="s">
        <v>18</v>
      </c>
      <c r="G255" s="74"/>
      <c r="H255" s="18"/>
    </row>
    <row r="256" spans="1:8" x14ac:dyDescent="0.25">
      <c r="A256" s="22">
        <v>40855</v>
      </c>
      <c r="B256" s="14" t="s">
        <v>85</v>
      </c>
      <c r="C256" s="23" t="s">
        <v>48</v>
      </c>
      <c r="D256" s="74">
        <v>20.399999999999999</v>
      </c>
      <c r="E256" s="74"/>
      <c r="F256" s="74" t="s">
        <v>18</v>
      </c>
      <c r="G256" s="74"/>
      <c r="H256" s="18"/>
    </row>
    <row r="257" spans="1:8" x14ac:dyDescent="0.25">
      <c r="A257" s="22">
        <v>40855</v>
      </c>
      <c r="B257" s="14" t="s">
        <v>85</v>
      </c>
      <c r="C257" s="17" t="s">
        <v>86</v>
      </c>
      <c r="D257" s="74">
        <v>30.6</v>
      </c>
      <c r="E257" s="74"/>
      <c r="F257" s="74" t="s">
        <v>18</v>
      </c>
      <c r="G257" s="74"/>
      <c r="H257" s="18"/>
    </row>
    <row r="258" spans="1:8" x14ac:dyDescent="0.25">
      <c r="A258" s="24">
        <v>40856</v>
      </c>
      <c r="B258" s="14" t="s">
        <v>82</v>
      </c>
      <c r="C258" s="23" t="s">
        <v>45</v>
      </c>
      <c r="D258" s="74">
        <v>152.80000000000001</v>
      </c>
      <c r="E258" s="74">
        <v>42.1</v>
      </c>
      <c r="F258" s="74" t="s">
        <v>18</v>
      </c>
      <c r="G258" s="74">
        <v>0.32077349637423574</v>
      </c>
      <c r="H258" s="18"/>
    </row>
    <row r="259" spans="1:8" x14ac:dyDescent="0.25">
      <c r="A259" s="24">
        <v>40856</v>
      </c>
      <c r="B259" s="14" t="s">
        <v>82</v>
      </c>
      <c r="C259" s="23" t="s">
        <v>46</v>
      </c>
      <c r="D259" s="74">
        <v>119.1</v>
      </c>
      <c r="E259" s="74">
        <v>37.6</v>
      </c>
      <c r="F259" s="74" t="s">
        <v>18</v>
      </c>
      <c r="G259" s="74"/>
      <c r="H259" s="18"/>
    </row>
    <row r="260" spans="1:8" x14ac:dyDescent="0.25">
      <c r="A260" s="24">
        <v>40856</v>
      </c>
      <c r="B260" s="14" t="s">
        <v>82</v>
      </c>
      <c r="C260" s="23" t="s">
        <v>47</v>
      </c>
      <c r="D260" s="74">
        <v>225.7</v>
      </c>
      <c r="E260" s="74">
        <v>33.5</v>
      </c>
      <c r="F260" s="74" t="s">
        <v>18</v>
      </c>
      <c r="G260" s="74"/>
      <c r="H260" s="18"/>
    </row>
    <row r="261" spans="1:8" x14ac:dyDescent="0.25">
      <c r="A261" s="24">
        <v>40856</v>
      </c>
      <c r="B261" s="14" t="s">
        <v>82</v>
      </c>
      <c r="C261" s="23" t="s">
        <v>48</v>
      </c>
      <c r="D261" s="74">
        <v>75.8</v>
      </c>
      <c r="E261" s="74">
        <v>44.5</v>
      </c>
      <c r="F261" s="74" t="s">
        <v>18</v>
      </c>
      <c r="G261" s="74"/>
      <c r="H261" s="18"/>
    </row>
    <row r="262" spans="1:8" x14ac:dyDescent="0.25">
      <c r="A262" s="24">
        <v>40856</v>
      </c>
      <c r="B262" s="14" t="s">
        <v>82</v>
      </c>
      <c r="C262" s="17" t="s">
        <v>86</v>
      </c>
      <c r="D262" s="74">
        <v>129.9</v>
      </c>
      <c r="E262" s="74">
        <v>39.6</v>
      </c>
      <c r="F262" s="74" t="s">
        <v>18</v>
      </c>
      <c r="G262" s="74"/>
      <c r="H262" s="18"/>
    </row>
    <row r="263" spans="1:8" x14ac:dyDescent="0.25">
      <c r="A263" s="24">
        <v>40856</v>
      </c>
      <c r="B263" s="14" t="s">
        <v>82</v>
      </c>
      <c r="C263" s="23" t="s">
        <v>87</v>
      </c>
      <c r="D263" s="74"/>
      <c r="E263" s="74">
        <v>28.3</v>
      </c>
      <c r="F263" s="74" t="s">
        <v>18</v>
      </c>
      <c r="G263" s="74"/>
      <c r="H263" s="18"/>
    </row>
    <row r="264" spans="1:8" x14ac:dyDescent="0.25">
      <c r="A264" s="24">
        <v>40856</v>
      </c>
      <c r="B264" s="14" t="s">
        <v>83</v>
      </c>
      <c r="C264" s="23" t="s">
        <v>45</v>
      </c>
      <c r="D264" s="74">
        <v>10.199999999999999</v>
      </c>
      <c r="E264" s="74">
        <v>19.600000000000001</v>
      </c>
      <c r="F264" s="74" t="s">
        <v>18</v>
      </c>
      <c r="G264" s="74">
        <v>0.36420233463035018</v>
      </c>
      <c r="H264" s="18"/>
    </row>
    <row r="265" spans="1:8" x14ac:dyDescent="0.25">
      <c r="A265" s="24">
        <v>40856</v>
      </c>
      <c r="B265" s="14" t="s">
        <v>83</v>
      </c>
      <c r="C265" s="23" t="s">
        <v>46</v>
      </c>
      <c r="D265" s="74">
        <v>8.1</v>
      </c>
      <c r="E265" s="74">
        <v>27.2</v>
      </c>
      <c r="F265" s="74" t="s">
        <v>18</v>
      </c>
      <c r="G265" s="74"/>
      <c r="H265" s="18"/>
    </row>
    <row r="266" spans="1:8" x14ac:dyDescent="0.25">
      <c r="A266" s="24">
        <v>40856</v>
      </c>
      <c r="B266" s="14" t="s">
        <v>83</v>
      </c>
      <c r="C266" s="23" t="s">
        <v>47</v>
      </c>
      <c r="D266" s="74">
        <v>23.5</v>
      </c>
      <c r="E266" s="74"/>
      <c r="F266" s="74" t="s">
        <v>18</v>
      </c>
      <c r="G266" s="74"/>
      <c r="H266" s="18"/>
    </row>
    <row r="267" spans="1:8" x14ac:dyDescent="0.25">
      <c r="A267" s="24">
        <v>40856</v>
      </c>
      <c r="B267" s="14" t="s">
        <v>83</v>
      </c>
      <c r="C267" s="23" t="s">
        <v>48</v>
      </c>
      <c r="D267" s="74">
        <v>25</v>
      </c>
      <c r="E267" s="74"/>
      <c r="F267" s="74" t="s">
        <v>18</v>
      </c>
      <c r="G267" s="74"/>
      <c r="H267" s="18"/>
    </row>
    <row r="268" spans="1:8" x14ac:dyDescent="0.25">
      <c r="A268" s="24">
        <v>40856</v>
      </c>
      <c r="B268" s="14" t="s">
        <v>83</v>
      </c>
      <c r="C268" s="17" t="s">
        <v>86</v>
      </c>
      <c r="D268" s="74">
        <v>61.7</v>
      </c>
      <c r="E268" s="74"/>
      <c r="F268" s="74" t="s">
        <v>18</v>
      </c>
      <c r="G268" s="74"/>
      <c r="H268" s="18"/>
    </row>
    <row r="269" spans="1:8" x14ac:dyDescent="0.25">
      <c r="A269" s="24">
        <v>40856</v>
      </c>
      <c r="B269" s="14" t="s">
        <v>84</v>
      </c>
      <c r="C269" s="23" t="s">
        <v>45</v>
      </c>
      <c r="D269" s="74">
        <v>7.8</v>
      </c>
      <c r="E269" s="74">
        <v>20.7</v>
      </c>
      <c r="F269" s="74" t="s">
        <v>18</v>
      </c>
      <c r="G269" s="74">
        <v>0.355290337388111</v>
      </c>
      <c r="H269" s="18"/>
    </row>
    <row r="270" spans="1:8" x14ac:dyDescent="0.25">
      <c r="A270" s="24">
        <v>40856</v>
      </c>
      <c r="B270" s="14" t="s">
        <v>84</v>
      </c>
      <c r="C270" s="23" t="s">
        <v>46</v>
      </c>
      <c r="D270" s="74">
        <v>14.5</v>
      </c>
      <c r="E270" s="74">
        <v>31.7</v>
      </c>
      <c r="F270" s="74" t="s">
        <v>18</v>
      </c>
      <c r="G270" s="74"/>
      <c r="H270" s="18"/>
    </row>
    <row r="271" spans="1:8" x14ac:dyDescent="0.25">
      <c r="A271" s="24">
        <v>40856</v>
      </c>
      <c r="B271" s="14" t="s">
        <v>84</v>
      </c>
      <c r="C271" s="23" t="s">
        <v>47</v>
      </c>
      <c r="D271" s="74">
        <v>329</v>
      </c>
      <c r="E271" s="75">
        <v>25.4</v>
      </c>
      <c r="F271" s="74" t="s">
        <v>18</v>
      </c>
      <c r="G271" s="74"/>
      <c r="H271" s="18"/>
    </row>
    <row r="272" spans="1:8" x14ac:dyDescent="0.25">
      <c r="A272" s="24">
        <v>40856</v>
      </c>
      <c r="B272" s="14" t="s">
        <v>84</v>
      </c>
      <c r="C272" s="23" t="s">
        <v>48</v>
      </c>
      <c r="D272" s="74">
        <v>1.6</v>
      </c>
      <c r="E272" s="75">
        <v>34.4</v>
      </c>
      <c r="F272" s="74" t="s">
        <v>18</v>
      </c>
      <c r="G272" s="74"/>
      <c r="H272" s="18"/>
    </row>
    <row r="273" spans="1:8" x14ac:dyDescent="0.25">
      <c r="A273" s="24">
        <v>40856</v>
      </c>
      <c r="B273" s="14" t="s">
        <v>84</v>
      </c>
      <c r="C273" s="17" t="s">
        <v>86</v>
      </c>
      <c r="D273" s="74">
        <v>82.8</v>
      </c>
      <c r="E273" s="75">
        <v>20</v>
      </c>
      <c r="F273" s="74" t="s">
        <v>18</v>
      </c>
      <c r="G273" s="74"/>
      <c r="H273" s="18"/>
    </row>
    <row r="274" spans="1:8" x14ac:dyDescent="0.25">
      <c r="A274" s="24">
        <v>40856</v>
      </c>
      <c r="B274" s="14" t="s">
        <v>84</v>
      </c>
      <c r="C274" s="23" t="s">
        <v>87</v>
      </c>
      <c r="D274" s="74"/>
      <c r="E274" s="75">
        <v>22.6</v>
      </c>
      <c r="F274" s="74" t="s">
        <v>18</v>
      </c>
      <c r="G274" s="74"/>
      <c r="H274" s="18"/>
    </row>
    <row r="275" spans="1:8" x14ac:dyDescent="0.25">
      <c r="A275" s="24">
        <v>40856</v>
      </c>
      <c r="B275" s="14" t="s">
        <v>85</v>
      </c>
      <c r="C275" s="23" t="s">
        <v>45</v>
      </c>
      <c r="D275" s="74">
        <v>81.8</v>
      </c>
      <c r="E275" s="74">
        <v>42.4</v>
      </c>
      <c r="F275" s="74" t="s">
        <v>18</v>
      </c>
      <c r="G275" s="74">
        <v>0.54699315808426352</v>
      </c>
      <c r="H275" s="18"/>
    </row>
    <row r="276" spans="1:8" x14ac:dyDescent="0.25">
      <c r="A276" s="24">
        <v>40856</v>
      </c>
      <c r="B276" s="14" t="s">
        <v>85</v>
      </c>
      <c r="C276" s="23" t="s">
        <v>46</v>
      </c>
      <c r="D276" s="74">
        <v>3.7</v>
      </c>
      <c r="E276" s="74">
        <v>35.299999999999997</v>
      </c>
      <c r="F276" s="74" t="s">
        <v>18</v>
      </c>
      <c r="G276" s="74"/>
      <c r="H276" s="18"/>
    </row>
    <row r="277" spans="1:8" x14ac:dyDescent="0.25">
      <c r="A277" s="24">
        <v>40856</v>
      </c>
      <c r="B277" s="14" t="s">
        <v>85</v>
      </c>
      <c r="C277" s="23" t="s">
        <v>47</v>
      </c>
      <c r="D277" s="74">
        <v>8.6</v>
      </c>
      <c r="E277" s="74">
        <v>39.1</v>
      </c>
      <c r="F277" s="74" t="s">
        <v>18</v>
      </c>
      <c r="G277" s="74"/>
      <c r="H277" s="18"/>
    </row>
    <row r="278" spans="1:8" x14ac:dyDescent="0.25">
      <c r="A278" s="24">
        <v>40856</v>
      </c>
      <c r="B278" s="14" t="s">
        <v>85</v>
      </c>
      <c r="C278" s="23" t="s">
        <v>48</v>
      </c>
      <c r="D278" s="74">
        <v>180.3</v>
      </c>
      <c r="E278" s="74">
        <v>35.1</v>
      </c>
      <c r="F278" s="74" t="s">
        <v>18</v>
      </c>
      <c r="G278" s="74"/>
      <c r="H278" s="18"/>
    </row>
    <row r="279" spans="1:8" x14ac:dyDescent="0.25">
      <c r="A279" s="24">
        <v>40856</v>
      </c>
      <c r="B279" s="14" t="s">
        <v>85</v>
      </c>
      <c r="C279" s="17" t="s">
        <v>86</v>
      </c>
      <c r="D279" s="74">
        <v>3.3</v>
      </c>
      <c r="E279" s="74"/>
      <c r="F279" s="74" t="s">
        <v>18</v>
      </c>
      <c r="G279" s="74"/>
      <c r="H279" s="18"/>
    </row>
    <row r="280" spans="1:8" x14ac:dyDescent="0.25">
      <c r="A280" s="22">
        <v>40963</v>
      </c>
      <c r="B280" s="15" t="s">
        <v>44</v>
      </c>
      <c r="C280" s="23" t="s">
        <v>45</v>
      </c>
      <c r="D280" s="74">
        <v>18</v>
      </c>
      <c r="E280" s="74">
        <v>7.1</v>
      </c>
      <c r="F280" s="76">
        <f t="shared" ref="F280:F311" si="5">E280/D280</f>
        <v>0.39444444444444443</v>
      </c>
      <c r="G280" s="74">
        <f>AVERAGE(F280:F283)</f>
        <v>0.34062094017371458</v>
      </c>
    </row>
    <row r="281" spans="1:8" x14ac:dyDescent="0.25">
      <c r="A281" s="22">
        <v>40963</v>
      </c>
      <c r="B281" s="15" t="s">
        <v>44</v>
      </c>
      <c r="C281" s="23" t="s">
        <v>46</v>
      </c>
      <c r="D281" s="74">
        <v>20.100000000000001</v>
      </c>
      <c r="E281" s="74">
        <v>7.2</v>
      </c>
      <c r="F281" s="76">
        <f t="shared" si="5"/>
        <v>0.35820895522388058</v>
      </c>
      <c r="G281" s="74"/>
    </row>
    <row r="282" spans="1:8" x14ac:dyDescent="0.25">
      <c r="A282" s="22">
        <v>40963</v>
      </c>
      <c r="B282" s="15" t="s">
        <v>44</v>
      </c>
      <c r="C282" s="23" t="s">
        <v>47</v>
      </c>
      <c r="D282" s="74">
        <v>24.2</v>
      </c>
      <c r="E282" s="74">
        <v>7</v>
      </c>
      <c r="F282" s="76">
        <f t="shared" si="5"/>
        <v>0.28925619834710747</v>
      </c>
      <c r="G282" s="74"/>
    </row>
    <row r="283" spans="1:8" x14ac:dyDescent="0.25">
      <c r="A283" s="22">
        <v>40963</v>
      </c>
      <c r="B283" s="15" t="s">
        <v>44</v>
      </c>
      <c r="C283" s="23" t="s">
        <v>48</v>
      </c>
      <c r="D283" s="74">
        <v>20.9</v>
      </c>
      <c r="E283" s="74">
        <v>6.7</v>
      </c>
      <c r="F283" s="76">
        <f t="shared" si="5"/>
        <v>0.32057416267942584</v>
      </c>
      <c r="G283" s="74"/>
    </row>
    <row r="284" spans="1:8" x14ac:dyDescent="0.25">
      <c r="A284" s="22">
        <v>40963</v>
      </c>
      <c r="B284" s="15" t="s">
        <v>49</v>
      </c>
      <c r="C284" s="23" t="s">
        <v>45</v>
      </c>
      <c r="D284" s="74" t="s">
        <v>18</v>
      </c>
      <c r="E284" s="74" t="s">
        <v>18</v>
      </c>
      <c r="F284" s="74" t="s">
        <v>18</v>
      </c>
      <c r="G284" s="75" t="s">
        <v>132</v>
      </c>
    </row>
    <row r="285" spans="1:8" x14ac:dyDescent="0.25">
      <c r="A285" s="22">
        <v>40963</v>
      </c>
      <c r="B285" s="15" t="s">
        <v>49</v>
      </c>
      <c r="C285" s="23" t="s">
        <v>46</v>
      </c>
      <c r="D285" s="74" t="s">
        <v>18</v>
      </c>
      <c r="E285" s="74" t="s">
        <v>18</v>
      </c>
      <c r="F285" s="74" t="s">
        <v>18</v>
      </c>
      <c r="G285" s="74"/>
    </row>
    <row r="286" spans="1:8" x14ac:dyDescent="0.25">
      <c r="A286" s="22">
        <v>40963</v>
      </c>
      <c r="B286" s="15" t="s">
        <v>49</v>
      </c>
      <c r="C286" s="23" t="s">
        <v>47</v>
      </c>
      <c r="D286" s="74" t="s">
        <v>18</v>
      </c>
      <c r="E286" s="74" t="s">
        <v>18</v>
      </c>
      <c r="F286" s="74" t="s">
        <v>18</v>
      </c>
      <c r="G286" s="74"/>
    </row>
    <row r="287" spans="1:8" x14ac:dyDescent="0.25">
      <c r="A287" s="22">
        <v>40963</v>
      </c>
      <c r="B287" s="15" t="s">
        <v>49</v>
      </c>
      <c r="C287" s="23" t="s">
        <v>48</v>
      </c>
      <c r="D287" s="74" t="s">
        <v>18</v>
      </c>
      <c r="E287" s="74" t="s">
        <v>18</v>
      </c>
      <c r="F287" s="74" t="s">
        <v>18</v>
      </c>
      <c r="G287" s="74"/>
    </row>
    <row r="288" spans="1:8" x14ac:dyDescent="0.25">
      <c r="A288" s="22">
        <v>40963</v>
      </c>
      <c r="B288" s="15" t="s">
        <v>50</v>
      </c>
      <c r="C288" s="23" t="s">
        <v>45</v>
      </c>
      <c r="D288" s="74">
        <v>7.3</v>
      </c>
      <c r="E288" s="74">
        <v>2.8</v>
      </c>
      <c r="F288" s="76">
        <f>E288/D288</f>
        <v>0.38356164383561642</v>
      </c>
      <c r="G288" s="74">
        <f>AVERAGE(F288:F291)</f>
        <v>0.42496007204621089</v>
      </c>
    </row>
    <row r="289" spans="1:7" x14ac:dyDescent="0.25">
      <c r="A289" s="22">
        <v>40963</v>
      </c>
      <c r="B289" s="15" t="s">
        <v>50</v>
      </c>
      <c r="C289" s="23" t="s">
        <v>46</v>
      </c>
      <c r="D289" s="74">
        <v>6.6</v>
      </c>
      <c r="E289" s="74">
        <v>2.8</v>
      </c>
      <c r="F289" s="76">
        <f>E288/D288</f>
        <v>0.38356164383561642</v>
      </c>
      <c r="G289" s="74"/>
    </row>
    <row r="290" spans="1:7" x14ac:dyDescent="0.25">
      <c r="A290" s="22">
        <v>40963</v>
      </c>
      <c r="B290" s="15" t="s">
        <v>50</v>
      </c>
      <c r="C290" s="23" t="s">
        <v>47</v>
      </c>
      <c r="D290" s="74">
        <v>5.9</v>
      </c>
      <c r="E290" s="74">
        <v>3</v>
      </c>
      <c r="F290" s="76">
        <f>E289/D289</f>
        <v>0.42424242424242425</v>
      </c>
      <c r="G290" s="74"/>
    </row>
    <row r="291" spans="1:7" x14ac:dyDescent="0.25">
      <c r="A291" s="22">
        <v>40963</v>
      </c>
      <c r="B291" s="15" t="s">
        <v>50</v>
      </c>
      <c r="C291" s="23" t="s">
        <v>48</v>
      </c>
      <c r="D291" s="74">
        <v>6.2</v>
      </c>
      <c r="E291" s="74">
        <v>3.2</v>
      </c>
      <c r="F291" s="76">
        <f>E290/D290</f>
        <v>0.50847457627118642</v>
      </c>
      <c r="G291" s="74"/>
    </row>
    <row r="292" spans="1:7" x14ac:dyDescent="0.25">
      <c r="A292" s="22">
        <v>40963</v>
      </c>
      <c r="B292" s="15" t="s">
        <v>51</v>
      </c>
      <c r="C292" s="23" t="s">
        <v>45</v>
      </c>
      <c r="D292" s="74" t="s">
        <v>18</v>
      </c>
      <c r="E292" s="74" t="s">
        <v>18</v>
      </c>
      <c r="F292" s="74" t="s">
        <v>18</v>
      </c>
      <c r="G292" s="75" t="s">
        <v>132</v>
      </c>
    </row>
    <row r="293" spans="1:7" x14ac:dyDescent="0.25">
      <c r="A293" s="22">
        <v>40963</v>
      </c>
      <c r="B293" s="15" t="s">
        <v>51</v>
      </c>
      <c r="C293" s="23" t="s">
        <v>46</v>
      </c>
      <c r="D293" s="74" t="s">
        <v>18</v>
      </c>
      <c r="E293" s="74" t="s">
        <v>18</v>
      </c>
      <c r="F293" s="74" t="s">
        <v>18</v>
      </c>
      <c r="G293" s="74"/>
    </row>
    <row r="294" spans="1:7" x14ac:dyDescent="0.25">
      <c r="A294" s="22">
        <v>40963</v>
      </c>
      <c r="B294" s="15" t="s">
        <v>51</v>
      </c>
      <c r="C294" s="23" t="s">
        <v>47</v>
      </c>
      <c r="D294" s="74" t="s">
        <v>18</v>
      </c>
      <c r="E294" s="74" t="s">
        <v>18</v>
      </c>
      <c r="F294" s="74" t="s">
        <v>18</v>
      </c>
      <c r="G294" s="74"/>
    </row>
    <row r="295" spans="1:7" x14ac:dyDescent="0.25">
      <c r="A295" s="22">
        <v>40963</v>
      </c>
      <c r="B295" s="15" t="s">
        <v>51</v>
      </c>
      <c r="C295" s="23" t="s">
        <v>48</v>
      </c>
      <c r="D295" s="74" t="s">
        <v>18</v>
      </c>
      <c r="E295" s="74" t="s">
        <v>18</v>
      </c>
      <c r="F295" s="74" t="s">
        <v>18</v>
      </c>
      <c r="G295" s="74"/>
    </row>
    <row r="296" spans="1:7" x14ac:dyDescent="0.25">
      <c r="A296" s="22">
        <v>40964</v>
      </c>
      <c r="B296" s="15" t="s">
        <v>44</v>
      </c>
      <c r="C296" s="23" t="s">
        <v>45</v>
      </c>
      <c r="D296" s="74">
        <v>81.400000000000006</v>
      </c>
      <c r="E296" s="74">
        <v>30.2</v>
      </c>
      <c r="F296" s="76">
        <f t="shared" si="5"/>
        <v>0.37100737100737097</v>
      </c>
      <c r="G296" s="74">
        <f>AVERAGE(F296:F299)</f>
        <v>0.39143936286427528</v>
      </c>
    </row>
    <row r="297" spans="1:7" x14ac:dyDescent="0.25">
      <c r="A297" s="22">
        <v>40964</v>
      </c>
      <c r="B297" s="15" t="s">
        <v>44</v>
      </c>
      <c r="C297" s="23" t="s">
        <v>46</v>
      </c>
      <c r="D297" s="74">
        <v>67.599999999999994</v>
      </c>
      <c r="E297" s="74">
        <v>26.4</v>
      </c>
      <c r="F297" s="76">
        <f t="shared" si="5"/>
        <v>0.39053254437869822</v>
      </c>
      <c r="G297" s="74"/>
    </row>
    <row r="298" spans="1:7" x14ac:dyDescent="0.25">
      <c r="A298" s="22">
        <v>40964</v>
      </c>
      <c r="B298" s="15" t="s">
        <v>44</v>
      </c>
      <c r="C298" s="23" t="s">
        <v>47</v>
      </c>
      <c r="D298" s="74">
        <v>30.6</v>
      </c>
      <c r="E298" s="74">
        <v>12.6</v>
      </c>
      <c r="F298" s="76">
        <f t="shared" si="5"/>
        <v>0.41176470588235292</v>
      </c>
      <c r="G298" s="74"/>
    </row>
    <row r="299" spans="1:7" x14ac:dyDescent="0.25">
      <c r="A299" s="22">
        <v>40964</v>
      </c>
      <c r="B299" s="15" t="s">
        <v>44</v>
      </c>
      <c r="C299" s="23" t="s">
        <v>48</v>
      </c>
      <c r="D299" s="74">
        <v>26.5</v>
      </c>
      <c r="E299" s="74">
        <v>10.4</v>
      </c>
      <c r="F299" s="76">
        <f t="shared" si="5"/>
        <v>0.39245283018867927</v>
      </c>
      <c r="G299" s="74"/>
    </row>
    <row r="300" spans="1:7" x14ac:dyDescent="0.25">
      <c r="A300" s="22">
        <v>40964</v>
      </c>
      <c r="B300" s="15" t="s">
        <v>49</v>
      </c>
      <c r="C300" s="23" t="s">
        <v>45</v>
      </c>
      <c r="D300" s="74">
        <v>61.8</v>
      </c>
      <c r="E300" s="74">
        <v>26.1</v>
      </c>
      <c r="F300" s="76">
        <f t="shared" si="5"/>
        <v>0.42233009708737868</v>
      </c>
      <c r="G300" s="74">
        <f>AVERAGE(F300:F303)</f>
        <v>0.43378822227508007</v>
      </c>
    </row>
    <row r="301" spans="1:7" x14ac:dyDescent="0.25">
      <c r="A301" s="22">
        <v>40964</v>
      </c>
      <c r="B301" s="15" t="s">
        <v>49</v>
      </c>
      <c r="C301" s="23" t="s">
        <v>46</v>
      </c>
      <c r="D301" s="74">
        <v>92.1</v>
      </c>
      <c r="E301" s="74">
        <v>41.4</v>
      </c>
      <c r="F301" s="76">
        <f t="shared" si="5"/>
        <v>0.44951140065146583</v>
      </c>
      <c r="G301" s="74"/>
    </row>
    <row r="302" spans="1:7" x14ac:dyDescent="0.25">
      <c r="A302" s="22">
        <v>40964</v>
      </c>
      <c r="B302" s="15" t="s">
        <v>49</v>
      </c>
      <c r="C302" s="23" t="s">
        <v>47</v>
      </c>
      <c r="D302" s="74">
        <v>74.5</v>
      </c>
      <c r="E302" s="74">
        <v>32</v>
      </c>
      <c r="F302" s="76">
        <f t="shared" si="5"/>
        <v>0.42953020134228187</v>
      </c>
      <c r="G302" s="74"/>
    </row>
    <row r="303" spans="1:7" x14ac:dyDescent="0.25">
      <c r="A303" s="22">
        <v>40964</v>
      </c>
      <c r="B303" s="15" t="s">
        <v>49</v>
      </c>
      <c r="C303" s="23" t="s">
        <v>48</v>
      </c>
      <c r="D303" s="74">
        <v>52.1</v>
      </c>
      <c r="E303" s="74">
        <v>22.6</v>
      </c>
      <c r="F303" s="76">
        <f t="shared" si="5"/>
        <v>0.43378119001919385</v>
      </c>
      <c r="G303" s="74"/>
    </row>
    <row r="304" spans="1:7" x14ac:dyDescent="0.25">
      <c r="A304" s="22">
        <v>40964</v>
      </c>
      <c r="B304" s="15" t="s">
        <v>50</v>
      </c>
      <c r="C304" s="23" t="s">
        <v>45</v>
      </c>
      <c r="D304" s="74">
        <v>35.1</v>
      </c>
      <c r="E304" s="74">
        <v>17.100000000000001</v>
      </c>
      <c r="F304" s="76">
        <f t="shared" si="5"/>
        <v>0.48717948717948723</v>
      </c>
      <c r="G304" s="74">
        <f>AVERAGE(F304:F307)</f>
        <v>0.52540118611547182</v>
      </c>
    </row>
    <row r="305" spans="1:7" x14ac:dyDescent="0.25">
      <c r="A305" s="22">
        <v>40964</v>
      </c>
      <c r="B305" s="15" t="s">
        <v>50</v>
      </c>
      <c r="C305" s="23" t="s">
        <v>46</v>
      </c>
      <c r="D305" s="74">
        <v>31.5</v>
      </c>
      <c r="E305" s="74">
        <v>17.5</v>
      </c>
      <c r="F305" s="76">
        <f t="shared" si="5"/>
        <v>0.55555555555555558</v>
      </c>
      <c r="G305" s="74"/>
    </row>
    <row r="306" spans="1:7" x14ac:dyDescent="0.25">
      <c r="A306" s="22">
        <v>40964</v>
      </c>
      <c r="B306" s="15" t="s">
        <v>50</v>
      </c>
      <c r="C306" s="23" t="s">
        <v>47</v>
      </c>
      <c r="D306" s="74">
        <v>19.5</v>
      </c>
      <c r="E306" s="74">
        <v>10.5</v>
      </c>
      <c r="F306" s="76">
        <f t="shared" si="5"/>
        <v>0.53846153846153844</v>
      </c>
      <c r="G306" s="74"/>
    </row>
    <row r="307" spans="1:7" x14ac:dyDescent="0.25">
      <c r="A307" s="22">
        <v>40964</v>
      </c>
      <c r="B307" s="15" t="s">
        <v>50</v>
      </c>
      <c r="C307" s="23" t="s">
        <v>48</v>
      </c>
      <c r="D307" s="74">
        <v>19.600000000000001</v>
      </c>
      <c r="E307" s="74">
        <v>10.199999999999999</v>
      </c>
      <c r="F307" s="76">
        <f t="shared" si="5"/>
        <v>0.52040816326530603</v>
      </c>
      <c r="G307" s="74"/>
    </row>
    <row r="308" spans="1:7" x14ac:dyDescent="0.25">
      <c r="A308" s="22">
        <v>40964</v>
      </c>
      <c r="B308" s="15" t="s">
        <v>51</v>
      </c>
      <c r="C308" s="23" t="s">
        <v>45</v>
      </c>
      <c r="D308" s="74">
        <v>52.1</v>
      </c>
      <c r="E308" s="74">
        <v>25.6</v>
      </c>
      <c r="F308" s="76">
        <f t="shared" si="5"/>
        <v>0.49136276391554706</v>
      </c>
      <c r="G308" s="74">
        <f>AVERAGE(F308:F311)</f>
        <v>0.48870280406561334</v>
      </c>
    </row>
    <row r="309" spans="1:7" x14ac:dyDescent="0.25">
      <c r="A309" s="22">
        <v>40964</v>
      </c>
      <c r="B309" s="15" t="s">
        <v>51</v>
      </c>
      <c r="C309" s="23" t="s">
        <v>46</v>
      </c>
      <c r="D309" s="74">
        <v>60.7</v>
      </c>
      <c r="E309" s="74">
        <v>31.1</v>
      </c>
      <c r="F309" s="76">
        <f t="shared" si="5"/>
        <v>0.51235584843492588</v>
      </c>
      <c r="G309" s="74"/>
    </row>
    <row r="310" spans="1:7" x14ac:dyDescent="0.25">
      <c r="A310" s="22">
        <v>40964</v>
      </c>
      <c r="B310" s="15" t="s">
        <v>51</v>
      </c>
      <c r="C310" s="23" t="s">
        <v>47</v>
      </c>
      <c r="D310" s="74">
        <v>32</v>
      </c>
      <c r="E310" s="74">
        <v>15.1</v>
      </c>
      <c r="F310" s="76">
        <f t="shared" si="5"/>
        <v>0.47187499999999999</v>
      </c>
      <c r="G310" s="74"/>
    </row>
    <row r="311" spans="1:7" x14ac:dyDescent="0.25">
      <c r="A311" s="22">
        <v>40964</v>
      </c>
      <c r="B311" s="15" t="s">
        <v>51</v>
      </c>
      <c r="C311" s="23" t="s">
        <v>48</v>
      </c>
      <c r="D311" s="74">
        <v>40.9</v>
      </c>
      <c r="E311" s="74">
        <v>19.600000000000001</v>
      </c>
      <c r="F311" s="76">
        <f t="shared" si="5"/>
        <v>0.47921760391198048</v>
      </c>
      <c r="G311" s="74"/>
    </row>
    <row r="312" spans="1:7" x14ac:dyDescent="0.25">
      <c r="A312" s="22">
        <v>41023</v>
      </c>
      <c r="B312" s="15" t="s">
        <v>44</v>
      </c>
      <c r="C312" s="23" t="s">
        <v>45</v>
      </c>
      <c r="D312" s="74">
        <v>2.1600000000000001E-2</v>
      </c>
      <c r="E312" s="74">
        <v>3.3E-3</v>
      </c>
      <c r="F312" s="76">
        <f>E312/D312</f>
        <v>0.15277777777777776</v>
      </c>
      <c r="G312" s="74"/>
    </row>
    <row r="313" spans="1:7" x14ac:dyDescent="0.25">
      <c r="A313" s="22">
        <v>41023</v>
      </c>
      <c r="B313" s="15" t="s">
        <v>44</v>
      </c>
      <c r="C313" s="23" t="s">
        <v>46</v>
      </c>
      <c r="D313" s="74">
        <v>1.6300000000000002E-2</v>
      </c>
      <c r="E313" s="74">
        <v>4.2000000000000006E-3</v>
      </c>
      <c r="F313" s="76">
        <f>E313/D313</f>
        <v>0.25766871165644173</v>
      </c>
      <c r="G313" s="74">
        <f>AVERAGE(F312:F313)</f>
        <v>0.20522324471710973</v>
      </c>
    </row>
    <row r="314" spans="1:7" x14ac:dyDescent="0.25">
      <c r="A314" s="22">
        <v>41023</v>
      </c>
      <c r="B314" s="15" t="s">
        <v>44</v>
      </c>
      <c r="C314" s="23" t="s">
        <v>47</v>
      </c>
      <c r="D314" s="74" t="s">
        <v>18</v>
      </c>
      <c r="E314" s="74" t="s">
        <v>18</v>
      </c>
      <c r="F314" s="74" t="s">
        <v>18</v>
      </c>
      <c r="G314" s="74"/>
    </row>
    <row r="315" spans="1:7" x14ac:dyDescent="0.25">
      <c r="A315" s="22">
        <v>41023</v>
      </c>
      <c r="B315" s="15" t="s">
        <v>44</v>
      </c>
      <c r="C315" s="23" t="s">
        <v>48</v>
      </c>
      <c r="D315" s="74" t="s">
        <v>18</v>
      </c>
      <c r="E315" s="74" t="s">
        <v>18</v>
      </c>
      <c r="F315" s="74" t="s">
        <v>18</v>
      </c>
      <c r="G315" s="74"/>
    </row>
    <row r="316" spans="1:7" x14ac:dyDescent="0.25">
      <c r="A316" s="22">
        <v>41023</v>
      </c>
      <c r="B316" s="15" t="s">
        <v>49</v>
      </c>
      <c r="C316" s="23" t="s">
        <v>45</v>
      </c>
      <c r="D316" s="74" t="s">
        <v>18</v>
      </c>
      <c r="E316" s="74" t="s">
        <v>18</v>
      </c>
      <c r="F316" s="74" t="s">
        <v>18</v>
      </c>
      <c r="G316" s="74"/>
    </row>
    <row r="317" spans="1:7" x14ac:dyDescent="0.25">
      <c r="A317" s="22">
        <v>41023</v>
      </c>
      <c r="B317" s="15" t="s">
        <v>49</v>
      </c>
      <c r="C317" s="23" t="s">
        <v>46</v>
      </c>
      <c r="D317" s="74" t="s">
        <v>18</v>
      </c>
      <c r="E317" s="74" t="s">
        <v>18</v>
      </c>
      <c r="F317" s="74" t="s">
        <v>18</v>
      </c>
      <c r="G317" s="74"/>
    </row>
    <row r="318" spans="1:7" x14ac:dyDescent="0.25">
      <c r="A318" s="22">
        <v>41023</v>
      </c>
      <c r="B318" s="15" t="s">
        <v>49</v>
      </c>
      <c r="C318" s="23" t="s">
        <v>47</v>
      </c>
      <c r="D318" s="74" t="s">
        <v>18</v>
      </c>
      <c r="E318" s="74" t="s">
        <v>18</v>
      </c>
      <c r="F318" s="74" t="s">
        <v>18</v>
      </c>
      <c r="G318" s="74"/>
    </row>
    <row r="319" spans="1:7" x14ac:dyDescent="0.25">
      <c r="A319" s="22">
        <v>41023</v>
      </c>
      <c r="B319" s="15" t="s">
        <v>49</v>
      </c>
      <c r="C319" s="23" t="s">
        <v>48</v>
      </c>
      <c r="D319" s="74" t="s">
        <v>18</v>
      </c>
      <c r="E319" s="74" t="s">
        <v>18</v>
      </c>
      <c r="F319" s="74" t="s">
        <v>18</v>
      </c>
      <c r="G319" s="74"/>
    </row>
    <row r="320" spans="1:7" x14ac:dyDescent="0.25">
      <c r="A320" s="22">
        <v>41023</v>
      </c>
      <c r="B320" s="15" t="s">
        <v>50</v>
      </c>
      <c r="C320" s="23" t="s">
        <v>45</v>
      </c>
      <c r="D320" s="74">
        <v>1.23E-2</v>
      </c>
      <c r="E320" s="74">
        <v>3.2000000000000002E-3</v>
      </c>
      <c r="F320" s="76">
        <f>E320/D320</f>
        <v>0.26016260162601629</v>
      </c>
      <c r="G320" s="74"/>
    </row>
    <row r="321" spans="1:7" x14ac:dyDescent="0.25">
      <c r="A321" s="22">
        <v>41023</v>
      </c>
      <c r="B321" s="15" t="s">
        <v>50</v>
      </c>
      <c r="C321" s="23" t="s">
        <v>46</v>
      </c>
      <c r="D321" s="74">
        <v>1.01E-2</v>
      </c>
      <c r="E321" s="74">
        <v>2.5000000000000001E-3</v>
      </c>
      <c r="F321" s="76">
        <f>E321/D321</f>
        <v>0.24752475247524755</v>
      </c>
      <c r="G321" s="74">
        <f>AVERAGE(F320:F321)</f>
        <v>0.25384367705063193</v>
      </c>
    </row>
    <row r="322" spans="1:7" x14ac:dyDescent="0.25">
      <c r="A322" s="22">
        <v>41023</v>
      </c>
      <c r="B322" s="15" t="s">
        <v>50</v>
      </c>
      <c r="C322" s="23" t="s">
        <v>47</v>
      </c>
      <c r="D322" s="74" t="s">
        <v>18</v>
      </c>
      <c r="E322" s="74" t="s">
        <v>18</v>
      </c>
      <c r="F322" s="74" t="s">
        <v>18</v>
      </c>
      <c r="G322" s="74"/>
    </row>
    <row r="323" spans="1:7" x14ac:dyDescent="0.25">
      <c r="A323" s="22">
        <v>41023</v>
      </c>
      <c r="B323" s="15" t="s">
        <v>50</v>
      </c>
      <c r="C323" s="23" t="s">
        <v>48</v>
      </c>
      <c r="D323" s="74" t="s">
        <v>18</v>
      </c>
      <c r="E323" s="74" t="s">
        <v>18</v>
      </c>
      <c r="F323" s="74" t="s">
        <v>18</v>
      </c>
      <c r="G323" s="74"/>
    </row>
    <row r="324" spans="1:7" x14ac:dyDescent="0.25">
      <c r="A324" s="22">
        <v>41023</v>
      </c>
      <c r="B324" s="15" t="s">
        <v>51</v>
      </c>
      <c r="C324" s="23" t="s">
        <v>45</v>
      </c>
      <c r="D324" s="74" t="s">
        <v>18</v>
      </c>
      <c r="E324" s="74" t="s">
        <v>18</v>
      </c>
      <c r="F324" s="74" t="s">
        <v>18</v>
      </c>
      <c r="G324" s="74"/>
    </row>
    <row r="325" spans="1:7" x14ac:dyDescent="0.25">
      <c r="A325" s="22">
        <v>41023</v>
      </c>
      <c r="B325" s="15" t="s">
        <v>51</v>
      </c>
      <c r="C325" s="23" t="s">
        <v>46</v>
      </c>
      <c r="D325" s="74" t="s">
        <v>18</v>
      </c>
      <c r="E325" s="74" t="s">
        <v>18</v>
      </c>
      <c r="F325" s="74" t="s">
        <v>18</v>
      </c>
      <c r="G325" s="74"/>
    </row>
    <row r="326" spans="1:7" x14ac:dyDescent="0.25">
      <c r="A326" s="22">
        <v>41023</v>
      </c>
      <c r="B326" s="15" t="s">
        <v>51</v>
      </c>
      <c r="C326" s="23" t="s">
        <v>47</v>
      </c>
      <c r="D326" s="74" t="s">
        <v>18</v>
      </c>
      <c r="E326" s="74" t="s">
        <v>18</v>
      </c>
      <c r="F326" s="74" t="s">
        <v>18</v>
      </c>
      <c r="G326" s="74"/>
    </row>
    <row r="327" spans="1:7" x14ac:dyDescent="0.25">
      <c r="A327" s="22">
        <v>41023</v>
      </c>
      <c r="B327" s="15" t="s">
        <v>51</v>
      </c>
      <c r="C327" s="23" t="s">
        <v>48</v>
      </c>
      <c r="D327" s="74" t="s">
        <v>18</v>
      </c>
      <c r="E327" s="74" t="s">
        <v>18</v>
      </c>
      <c r="F327" s="74" t="s">
        <v>18</v>
      </c>
      <c r="G327" s="74"/>
    </row>
    <row r="328" spans="1:7" x14ac:dyDescent="0.25">
      <c r="A328" s="22">
        <v>41024</v>
      </c>
      <c r="B328" s="15" t="s">
        <v>44</v>
      </c>
      <c r="C328" s="23" t="s">
        <v>45</v>
      </c>
      <c r="D328" s="74">
        <v>1.5099999999999999E-2</v>
      </c>
      <c r="E328" s="74">
        <v>4.4000000000000003E-3</v>
      </c>
      <c r="F328" s="76">
        <f>E328/D328</f>
        <v>0.29139072847682124</v>
      </c>
      <c r="G328" s="74"/>
    </row>
    <row r="329" spans="1:7" x14ac:dyDescent="0.25">
      <c r="A329" s="22">
        <v>41024</v>
      </c>
      <c r="B329" s="15" t="s">
        <v>44</v>
      </c>
      <c r="C329" s="23" t="s">
        <v>46</v>
      </c>
      <c r="D329" s="74">
        <v>1.3800000000000002E-2</v>
      </c>
      <c r="E329" s="74">
        <v>3.8E-3</v>
      </c>
      <c r="F329" s="76">
        <f t="shared" ref="F329:F343" si="6">E329/D329</f>
        <v>0.27536231884057966</v>
      </c>
      <c r="G329" s="74"/>
    </row>
    <row r="330" spans="1:7" x14ac:dyDescent="0.25">
      <c r="A330" s="22">
        <v>41024</v>
      </c>
      <c r="B330" s="15" t="s">
        <v>44</v>
      </c>
      <c r="C330" s="23" t="s">
        <v>47</v>
      </c>
      <c r="D330" s="74">
        <v>1.47E-2</v>
      </c>
      <c r="E330" s="74">
        <v>5.0000000000000001E-3</v>
      </c>
      <c r="F330" s="76">
        <f t="shared" si="6"/>
        <v>0.34013605442176875</v>
      </c>
      <c r="G330" s="74"/>
    </row>
    <row r="331" spans="1:7" x14ac:dyDescent="0.25">
      <c r="A331" s="22">
        <v>41024</v>
      </c>
      <c r="B331" s="15" t="s">
        <v>44</v>
      </c>
      <c r="C331" s="23" t="s">
        <v>48</v>
      </c>
      <c r="D331" s="74">
        <v>1.61E-2</v>
      </c>
      <c r="E331" s="74">
        <v>4.2000000000000006E-3</v>
      </c>
      <c r="F331" s="76">
        <f t="shared" si="6"/>
        <v>0.26086956521739135</v>
      </c>
      <c r="G331" s="74">
        <f>AVERAGE(F328:F331)</f>
        <v>0.29193966673914029</v>
      </c>
    </row>
    <row r="332" spans="1:7" x14ac:dyDescent="0.25">
      <c r="A332" s="22">
        <v>41024</v>
      </c>
      <c r="B332" s="15" t="s">
        <v>49</v>
      </c>
      <c r="C332" s="23" t="s">
        <v>45</v>
      </c>
      <c r="D332" s="74">
        <v>1.4199999999999999E-2</v>
      </c>
      <c r="E332" s="74">
        <v>6.6E-3</v>
      </c>
      <c r="F332" s="76">
        <f t="shared" si="6"/>
        <v>0.46478873239436624</v>
      </c>
      <c r="G332" s="74"/>
    </row>
    <row r="333" spans="1:7" x14ac:dyDescent="0.25">
      <c r="A333" s="22">
        <v>41024</v>
      </c>
      <c r="B333" s="15" t="s">
        <v>49</v>
      </c>
      <c r="C333" s="23" t="s">
        <v>46</v>
      </c>
      <c r="D333" s="74">
        <v>1.6300000000000002E-2</v>
      </c>
      <c r="E333" s="74">
        <v>7.9000000000000008E-3</v>
      </c>
      <c r="F333" s="76">
        <f t="shared" si="6"/>
        <v>0.48466257668711654</v>
      </c>
      <c r="G333" s="74"/>
    </row>
    <row r="334" spans="1:7" x14ac:dyDescent="0.25">
      <c r="A334" s="22">
        <v>41024</v>
      </c>
      <c r="B334" s="15" t="s">
        <v>49</v>
      </c>
      <c r="C334" s="23" t="s">
        <v>47</v>
      </c>
      <c r="D334" s="74">
        <v>1.72E-2</v>
      </c>
      <c r="E334" s="74">
        <v>8.8999999999999999E-3</v>
      </c>
      <c r="F334" s="76">
        <f t="shared" si="6"/>
        <v>0.51744186046511631</v>
      </c>
      <c r="G334" s="74"/>
    </row>
    <row r="335" spans="1:7" x14ac:dyDescent="0.25">
      <c r="A335" s="22">
        <v>41024</v>
      </c>
      <c r="B335" s="15" t="s">
        <v>49</v>
      </c>
      <c r="C335" s="23" t="s">
        <v>48</v>
      </c>
      <c r="D335" s="74">
        <v>1.23E-2</v>
      </c>
      <c r="E335" s="74">
        <v>4.9000000000000007E-3</v>
      </c>
      <c r="F335" s="76">
        <f t="shared" si="6"/>
        <v>0.39837398373983746</v>
      </c>
      <c r="G335" s="74">
        <f>AVERAGE(F332:F335)</f>
        <v>0.46631678832160917</v>
      </c>
    </row>
    <row r="336" spans="1:7" x14ac:dyDescent="0.25">
      <c r="A336" s="22">
        <v>41024</v>
      </c>
      <c r="B336" s="15" t="s">
        <v>50</v>
      </c>
      <c r="C336" s="23" t="s">
        <v>45</v>
      </c>
      <c r="D336" s="74">
        <v>1.72E-2</v>
      </c>
      <c r="E336" s="74">
        <v>5.9000000000000007E-3</v>
      </c>
      <c r="F336" s="76">
        <f t="shared" si="6"/>
        <v>0.34302325581395354</v>
      </c>
      <c r="G336" s="74"/>
    </row>
    <row r="337" spans="1:7" x14ac:dyDescent="0.25">
      <c r="A337" s="22">
        <v>41024</v>
      </c>
      <c r="B337" s="15" t="s">
        <v>50</v>
      </c>
      <c r="C337" s="23" t="s">
        <v>46</v>
      </c>
      <c r="D337" s="74">
        <v>1.2500000000000001E-2</v>
      </c>
      <c r="E337" s="74">
        <v>4.7999999999999996E-3</v>
      </c>
      <c r="F337" s="76">
        <f t="shared" si="6"/>
        <v>0.38399999999999995</v>
      </c>
      <c r="G337" s="74"/>
    </row>
    <row r="338" spans="1:7" x14ac:dyDescent="0.25">
      <c r="A338" s="22">
        <v>41024</v>
      </c>
      <c r="B338" s="15" t="s">
        <v>50</v>
      </c>
      <c r="C338" s="23" t="s">
        <v>47</v>
      </c>
      <c r="D338" s="74">
        <v>1.89E-2</v>
      </c>
      <c r="E338" s="74">
        <v>6.6E-3</v>
      </c>
      <c r="F338" s="76">
        <f t="shared" si="6"/>
        <v>0.34920634920634919</v>
      </c>
      <c r="G338" s="74"/>
    </row>
    <row r="339" spans="1:7" x14ac:dyDescent="0.25">
      <c r="A339" s="22">
        <v>41024</v>
      </c>
      <c r="B339" s="15" t="s">
        <v>50</v>
      </c>
      <c r="C339" s="23" t="s">
        <v>48</v>
      </c>
      <c r="D339" s="74">
        <v>1.0199999999999999E-2</v>
      </c>
      <c r="E339" s="74">
        <v>3.0999999999999999E-3</v>
      </c>
      <c r="F339" s="76">
        <f t="shared" si="6"/>
        <v>0.30392156862745101</v>
      </c>
      <c r="G339" s="74">
        <f>AVERAGE(F336:F339)</f>
        <v>0.34503779341193846</v>
      </c>
    </row>
    <row r="340" spans="1:7" x14ac:dyDescent="0.25">
      <c r="A340" s="22">
        <v>41024</v>
      </c>
      <c r="B340" s="15" t="s">
        <v>51</v>
      </c>
      <c r="C340" s="23" t="s">
        <v>45</v>
      </c>
      <c r="D340" s="74">
        <v>1.21E-2</v>
      </c>
      <c r="E340" s="74">
        <v>6.0000000000000001E-3</v>
      </c>
      <c r="F340" s="76">
        <f t="shared" si="6"/>
        <v>0.49586776859504134</v>
      </c>
      <c r="G340" s="74"/>
    </row>
    <row r="341" spans="1:7" x14ac:dyDescent="0.25">
      <c r="A341" s="22">
        <v>41024</v>
      </c>
      <c r="B341" s="15" t="s">
        <v>51</v>
      </c>
      <c r="C341" s="23" t="s">
        <v>46</v>
      </c>
      <c r="D341" s="74">
        <v>1.6399999999999998E-2</v>
      </c>
      <c r="E341" s="74">
        <v>9.1999999999999998E-3</v>
      </c>
      <c r="F341" s="76">
        <f t="shared" si="6"/>
        <v>0.56097560975609762</v>
      </c>
      <c r="G341" s="74"/>
    </row>
    <row r="342" spans="1:7" x14ac:dyDescent="0.25">
      <c r="A342" s="22">
        <v>41024</v>
      </c>
      <c r="B342" s="15" t="s">
        <v>51</v>
      </c>
      <c r="C342" s="23" t="s">
        <v>47</v>
      </c>
      <c r="D342" s="74">
        <v>1.1300000000000001E-2</v>
      </c>
      <c r="E342" s="74">
        <v>5.0999999999999995E-3</v>
      </c>
      <c r="F342" s="76">
        <f t="shared" si="6"/>
        <v>0.45132743362831851</v>
      </c>
      <c r="G342" s="74"/>
    </row>
    <row r="343" spans="1:7" x14ac:dyDescent="0.25">
      <c r="A343" s="22">
        <v>41024</v>
      </c>
      <c r="B343" s="15" t="s">
        <v>51</v>
      </c>
      <c r="C343" s="23" t="s">
        <v>48</v>
      </c>
      <c r="D343" s="74">
        <v>1.23E-2</v>
      </c>
      <c r="E343" s="74">
        <v>6.1999999999999998E-3</v>
      </c>
      <c r="F343" s="76">
        <f t="shared" si="6"/>
        <v>0.50406504065040647</v>
      </c>
      <c r="G343" s="74">
        <f>AVERAGE(F340:F343)</f>
        <v>0.50305896315746601</v>
      </c>
    </row>
    <row r="344" spans="1:7" x14ac:dyDescent="0.25">
      <c r="A344" s="22">
        <v>41025</v>
      </c>
      <c r="B344" s="15" t="s">
        <v>44</v>
      </c>
      <c r="C344" s="23" t="s">
        <v>45</v>
      </c>
      <c r="D344" s="74">
        <v>1.66E-2</v>
      </c>
      <c r="E344" s="74">
        <v>4.2000000000000006E-3</v>
      </c>
      <c r="F344" s="76">
        <f>E344/D344</f>
        <v>0.25301204819277112</v>
      </c>
      <c r="G344" s="74"/>
    </row>
    <row r="345" spans="1:7" x14ac:dyDescent="0.25">
      <c r="A345" s="22">
        <v>41025</v>
      </c>
      <c r="B345" s="15" t="s">
        <v>44</v>
      </c>
      <c r="C345" s="23" t="s">
        <v>46</v>
      </c>
      <c r="D345" s="74">
        <v>1.7299999999999999E-2</v>
      </c>
      <c r="E345" s="74">
        <v>5.7999999999999996E-3</v>
      </c>
      <c r="F345" s="76">
        <f t="shared" ref="F345:F359" si="7">E345/D345</f>
        <v>0.33526011560693642</v>
      </c>
      <c r="G345" s="74"/>
    </row>
    <row r="346" spans="1:7" x14ac:dyDescent="0.25">
      <c r="A346" s="22">
        <v>41025</v>
      </c>
      <c r="B346" s="15" t="s">
        <v>44</v>
      </c>
      <c r="C346" s="23" t="s">
        <v>47</v>
      </c>
      <c r="D346" s="74">
        <v>1.1300000000000001E-2</v>
      </c>
      <c r="E346" s="74">
        <v>3.5000000000000001E-3</v>
      </c>
      <c r="F346" s="76">
        <f t="shared" si="7"/>
        <v>0.30973451327433627</v>
      </c>
      <c r="G346" s="74"/>
    </row>
    <row r="347" spans="1:7" x14ac:dyDescent="0.25">
      <c r="A347" s="22">
        <v>41025</v>
      </c>
      <c r="B347" s="15" t="s">
        <v>44</v>
      </c>
      <c r="C347" s="23" t="s">
        <v>48</v>
      </c>
      <c r="D347" s="74">
        <v>1.4800000000000001E-2</v>
      </c>
      <c r="E347" s="74">
        <v>5.4999999999999997E-3</v>
      </c>
      <c r="F347" s="76">
        <f t="shared" si="7"/>
        <v>0.3716216216216216</v>
      </c>
      <c r="G347" s="74">
        <f>AVERAGE(F344:F347)</f>
        <v>0.31740707467391638</v>
      </c>
    </row>
    <row r="348" spans="1:7" x14ac:dyDescent="0.25">
      <c r="A348" s="22">
        <v>41025</v>
      </c>
      <c r="B348" s="15" t="s">
        <v>49</v>
      </c>
      <c r="C348" s="23" t="s">
        <v>45</v>
      </c>
      <c r="D348" s="74">
        <v>9.5999999999999992E-3</v>
      </c>
      <c r="E348" s="74">
        <v>6.3E-3</v>
      </c>
      <c r="F348" s="76">
        <f t="shared" si="7"/>
        <v>0.65625000000000011</v>
      </c>
      <c r="G348" s="74"/>
    </row>
    <row r="349" spans="1:7" x14ac:dyDescent="0.25">
      <c r="A349" s="22">
        <v>41025</v>
      </c>
      <c r="B349" s="15" t="s">
        <v>49</v>
      </c>
      <c r="C349" s="23" t="s">
        <v>46</v>
      </c>
      <c r="D349" s="74">
        <v>1.23E-2</v>
      </c>
      <c r="E349" s="74">
        <v>7.0000000000000001E-3</v>
      </c>
      <c r="F349" s="76">
        <f t="shared" si="7"/>
        <v>0.56910569105691056</v>
      </c>
      <c r="G349" s="74"/>
    </row>
    <row r="350" spans="1:7" x14ac:dyDescent="0.25">
      <c r="A350" s="22">
        <v>41025</v>
      </c>
      <c r="B350" s="15" t="s">
        <v>49</v>
      </c>
      <c r="C350" s="23" t="s">
        <v>47</v>
      </c>
      <c r="D350" s="74">
        <v>1.0199999999999999E-2</v>
      </c>
      <c r="E350" s="74">
        <v>5.9000000000000007E-3</v>
      </c>
      <c r="F350" s="76">
        <f t="shared" si="7"/>
        <v>0.57843137254901977</v>
      </c>
      <c r="G350" s="74"/>
    </row>
    <row r="351" spans="1:7" x14ac:dyDescent="0.25">
      <c r="A351" s="22">
        <v>41025</v>
      </c>
      <c r="B351" s="15" t="s">
        <v>49</v>
      </c>
      <c r="C351" s="23" t="s">
        <v>48</v>
      </c>
      <c r="D351" s="74">
        <v>1.26E-2</v>
      </c>
      <c r="E351" s="74">
        <v>7.7999999999999996E-3</v>
      </c>
      <c r="F351" s="76">
        <f t="shared" si="7"/>
        <v>0.61904761904761907</v>
      </c>
      <c r="G351" s="74">
        <f>AVERAGE(F348:F351)</f>
        <v>0.60570867066338741</v>
      </c>
    </row>
    <row r="352" spans="1:7" x14ac:dyDescent="0.25">
      <c r="A352" s="22">
        <v>41025</v>
      </c>
      <c r="B352" s="15" t="s">
        <v>50</v>
      </c>
      <c r="C352" s="23" t="s">
        <v>45</v>
      </c>
      <c r="D352" s="74">
        <v>1.04E-2</v>
      </c>
      <c r="E352" s="74">
        <v>3.5000000000000001E-3</v>
      </c>
      <c r="F352" s="76">
        <f t="shared" si="7"/>
        <v>0.33653846153846156</v>
      </c>
      <c r="G352" s="74"/>
    </row>
    <row r="353" spans="1:7" x14ac:dyDescent="0.25">
      <c r="A353" s="22">
        <v>41025</v>
      </c>
      <c r="B353" s="15" t="s">
        <v>50</v>
      </c>
      <c r="C353" s="23" t="s">
        <v>46</v>
      </c>
      <c r="D353" s="74">
        <v>9.6999999999999986E-3</v>
      </c>
      <c r="E353" s="74">
        <v>3.8E-3</v>
      </c>
      <c r="F353" s="76">
        <f t="shared" si="7"/>
        <v>0.39175257731958768</v>
      </c>
      <c r="G353" s="74"/>
    </row>
    <row r="354" spans="1:7" x14ac:dyDescent="0.25">
      <c r="A354" s="22">
        <v>41025</v>
      </c>
      <c r="B354" s="15" t="s">
        <v>50</v>
      </c>
      <c r="C354" s="23" t="s">
        <v>47</v>
      </c>
      <c r="D354" s="74">
        <v>8.0999999999999996E-3</v>
      </c>
      <c r="E354" s="74">
        <v>3.0000000000000001E-3</v>
      </c>
      <c r="F354" s="76">
        <f t="shared" si="7"/>
        <v>0.37037037037037041</v>
      </c>
      <c r="G354" s="74"/>
    </row>
    <row r="355" spans="1:7" x14ac:dyDescent="0.25">
      <c r="A355" s="22">
        <v>41025</v>
      </c>
      <c r="B355" s="15" t="s">
        <v>50</v>
      </c>
      <c r="C355" s="23" t="s">
        <v>48</v>
      </c>
      <c r="D355" s="74">
        <v>1.1800000000000001E-2</v>
      </c>
      <c r="E355" s="74">
        <v>5.0999999999999995E-3</v>
      </c>
      <c r="F355" s="76">
        <f t="shared" si="7"/>
        <v>0.43220338983050838</v>
      </c>
      <c r="G355" s="74">
        <f>AVERAGE(F352:F355)</f>
        <v>0.38271619976473203</v>
      </c>
    </row>
    <row r="356" spans="1:7" x14ac:dyDescent="0.25">
      <c r="A356" s="22">
        <v>41025</v>
      </c>
      <c r="B356" s="15" t="s">
        <v>51</v>
      </c>
      <c r="C356" s="23" t="s">
        <v>45</v>
      </c>
      <c r="D356" s="74">
        <v>1.3699999999999999E-2</v>
      </c>
      <c r="E356" s="74">
        <v>7.4999999999999997E-3</v>
      </c>
      <c r="F356" s="76">
        <f t="shared" si="7"/>
        <v>0.54744525547445255</v>
      </c>
      <c r="G356" s="74"/>
    </row>
    <row r="357" spans="1:7" x14ac:dyDescent="0.25">
      <c r="A357" s="22">
        <v>41025</v>
      </c>
      <c r="B357" s="15" t="s">
        <v>51</v>
      </c>
      <c r="C357" s="23" t="s">
        <v>46</v>
      </c>
      <c r="D357" s="75">
        <v>1.23E-2</v>
      </c>
      <c r="E357" s="75">
        <v>6.9000000000000008E-3</v>
      </c>
      <c r="F357" s="76">
        <f t="shared" si="7"/>
        <v>0.56097560975609762</v>
      </c>
      <c r="G357" s="74"/>
    </row>
    <row r="358" spans="1:7" x14ac:dyDescent="0.25">
      <c r="A358" s="22">
        <v>41025</v>
      </c>
      <c r="B358" s="15" t="s">
        <v>51</v>
      </c>
      <c r="C358" s="23" t="s">
        <v>47</v>
      </c>
      <c r="D358" s="75">
        <v>1.2699999999999999E-2</v>
      </c>
      <c r="E358" s="75">
        <v>7.4000000000000003E-3</v>
      </c>
      <c r="F358" s="76">
        <f t="shared" si="7"/>
        <v>0.58267716535433078</v>
      </c>
      <c r="G358" s="74"/>
    </row>
    <row r="359" spans="1:7" x14ac:dyDescent="0.25">
      <c r="A359" s="22">
        <v>41025</v>
      </c>
      <c r="B359" s="15" t="s">
        <v>51</v>
      </c>
      <c r="C359" s="23" t="s">
        <v>48</v>
      </c>
      <c r="D359" s="75">
        <v>1.0199999999999999E-2</v>
      </c>
      <c r="E359" s="75">
        <v>6.6E-3</v>
      </c>
      <c r="F359" s="76">
        <f t="shared" si="7"/>
        <v>0.6470588235294118</v>
      </c>
      <c r="G359" s="74">
        <f>AVERAGE(F356:F359)</f>
        <v>0.58453921352857319</v>
      </c>
    </row>
    <row r="360" spans="1:7" x14ac:dyDescent="0.25">
      <c r="A360" s="26">
        <v>41114</v>
      </c>
      <c r="B360" s="27" t="s">
        <v>44</v>
      </c>
      <c r="C360" s="28" t="s">
        <v>45</v>
      </c>
      <c r="D360" s="78">
        <v>0.37663999999999997</v>
      </c>
      <c r="E360" s="78">
        <v>8.8480000000000003E-2</v>
      </c>
      <c r="F360" s="77">
        <f>E360/D360</f>
        <v>0.2349192863211555</v>
      </c>
      <c r="G360" s="78">
        <f>AVERAGE(F360:F363)</f>
        <v>0.25186647045640165</v>
      </c>
    </row>
    <row r="361" spans="1:7" x14ac:dyDescent="0.25">
      <c r="A361" s="22">
        <v>41114</v>
      </c>
      <c r="B361" s="15" t="s">
        <v>44</v>
      </c>
      <c r="C361" s="23" t="s">
        <v>46</v>
      </c>
      <c r="D361" s="74">
        <v>0.34160000000000001</v>
      </c>
      <c r="E361" s="74">
        <v>9.2319999999999999E-2</v>
      </c>
      <c r="F361" s="76">
        <f>E361/D361</f>
        <v>0.27025761124121778</v>
      </c>
      <c r="G361" s="74"/>
    </row>
    <row r="362" spans="1:7" x14ac:dyDescent="0.25">
      <c r="A362" s="22">
        <v>41114</v>
      </c>
      <c r="B362" s="15" t="s">
        <v>44</v>
      </c>
      <c r="C362" s="23" t="s">
        <v>47</v>
      </c>
      <c r="D362" s="74">
        <v>0.3528</v>
      </c>
      <c r="E362" s="74">
        <v>9.4079999999999997E-2</v>
      </c>
      <c r="F362" s="76">
        <f>E362/D362</f>
        <v>0.26666666666666666</v>
      </c>
      <c r="G362" s="74"/>
    </row>
    <row r="363" spans="1:7" x14ac:dyDescent="0.25">
      <c r="A363" s="22">
        <v>41114</v>
      </c>
      <c r="B363" s="15" t="s">
        <v>44</v>
      </c>
      <c r="C363" s="23" t="s">
        <v>48</v>
      </c>
      <c r="D363" s="74">
        <v>0.37280000000000002</v>
      </c>
      <c r="E363" s="74">
        <v>8.7840000000000001E-2</v>
      </c>
      <c r="F363" s="76">
        <f>E363/D363</f>
        <v>0.23562231759656652</v>
      </c>
      <c r="G363" s="74"/>
    </row>
    <row r="364" spans="1:7" x14ac:dyDescent="0.25">
      <c r="A364" s="22">
        <v>41114</v>
      </c>
      <c r="B364" s="15" t="s">
        <v>49</v>
      </c>
      <c r="C364" s="23" t="s">
        <v>45</v>
      </c>
      <c r="D364" s="74">
        <v>0.11</v>
      </c>
      <c r="E364" s="74">
        <v>4.4899999999999995E-2</v>
      </c>
      <c r="F364" s="76">
        <f t="shared" ref="F364:F391" si="8">E364/D364</f>
        <v>0.40818181818181815</v>
      </c>
      <c r="G364" s="74">
        <f>AVERAGE(F364:F367)</f>
        <v>0.46116772532258105</v>
      </c>
    </row>
    <row r="365" spans="1:7" x14ac:dyDescent="0.25">
      <c r="A365" s="22">
        <v>41114</v>
      </c>
      <c r="B365" s="15" t="s">
        <v>49</v>
      </c>
      <c r="C365" s="23" t="s">
        <v>46</v>
      </c>
      <c r="D365" s="74">
        <v>6.0100000000000001E-2</v>
      </c>
      <c r="E365" s="74">
        <v>3.3399999999999999E-2</v>
      </c>
      <c r="F365" s="76">
        <f t="shared" si="8"/>
        <v>0.55574043261231276</v>
      </c>
      <c r="G365" s="74"/>
    </row>
    <row r="366" spans="1:7" x14ac:dyDescent="0.25">
      <c r="A366" s="22">
        <v>41114</v>
      </c>
      <c r="B366" s="15" t="s">
        <v>49</v>
      </c>
      <c r="C366" s="23" t="s">
        <v>47</v>
      </c>
      <c r="D366" s="74">
        <v>5.3700000000000005E-2</v>
      </c>
      <c r="E366" s="74">
        <v>1.9199999999999998E-2</v>
      </c>
      <c r="F366" s="76">
        <f t="shared" si="8"/>
        <v>0.35754189944134074</v>
      </c>
      <c r="G366" s="74"/>
    </row>
    <row r="367" spans="1:7" x14ac:dyDescent="0.25">
      <c r="A367" s="22">
        <v>41114</v>
      </c>
      <c r="B367" s="15" t="s">
        <v>49</v>
      </c>
      <c r="C367" s="23" t="s">
        <v>48</v>
      </c>
      <c r="D367" s="74">
        <v>2.3699999999999999E-2</v>
      </c>
      <c r="E367" s="74">
        <v>1.24E-2</v>
      </c>
      <c r="F367" s="76">
        <f t="shared" si="8"/>
        <v>0.52320675105485237</v>
      </c>
      <c r="G367" s="74"/>
    </row>
    <row r="368" spans="1:7" x14ac:dyDescent="0.25">
      <c r="A368" s="22">
        <v>41114</v>
      </c>
      <c r="B368" s="15" t="s">
        <v>50</v>
      </c>
      <c r="C368" s="23" t="s">
        <v>45</v>
      </c>
      <c r="D368" s="74">
        <v>0.12940000000000002</v>
      </c>
      <c r="E368" s="74">
        <v>4.7200000000000006E-2</v>
      </c>
      <c r="F368" s="76">
        <f t="shared" si="8"/>
        <v>0.36476043276661513</v>
      </c>
      <c r="G368" s="74">
        <f>AVERAGE(F368:F371)</f>
        <v>0.38285522906724845</v>
      </c>
    </row>
    <row r="369" spans="1:7" x14ac:dyDescent="0.25">
      <c r="A369" s="22">
        <v>41114</v>
      </c>
      <c r="B369" s="15" t="s">
        <v>50</v>
      </c>
      <c r="C369" s="23" t="s">
        <v>46</v>
      </c>
      <c r="D369" s="74">
        <v>8.7900000000000006E-2</v>
      </c>
      <c r="E369" s="74">
        <v>3.3500000000000002E-2</v>
      </c>
      <c r="F369" s="76">
        <f t="shared" si="8"/>
        <v>0.38111490329920361</v>
      </c>
      <c r="G369" s="74"/>
    </row>
    <row r="370" spans="1:7" x14ac:dyDescent="0.25">
      <c r="A370" s="22">
        <v>41114</v>
      </c>
      <c r="B370" s="15" t="s">
        <v>50</v>
      </c>
      <c r="C370" s="23" t="s">
        <v>47</v>
      </c>
      <c r="D370" s="74">
        <v>4.2099999999999999E-2</v>
      </c>
      <c r="E370" s="74">
        <v>1.44E-2</v>
      </c>
      <c r="F370" s="76">
        <f t="shared" si="8"/>
        <v>0.34204275534441808</v>
      </c>
      <c r="G370" s="74"/>
    </row>
    <row r="371" spans="1:7" x14ac:dyDescent="0.25">
      <c r="A371" s="22">
        <v>41114</v>
      </c>
      <c r="B371" s="15" t="s">
        <v>50</v>
      </c>
      <c r="C371" s="23" t="s">
        <v>48</v>
      </c>
      <c r="D371" s="74">
        <v>3.5400000000000001E-2</v>
      </c>
      <c r="E371" s="74">
        <v>1.5699999999999999E-2</v>
      </c>
      <c r="F371" s="76">
        <f t="shared" si="8"/>
        <v>0.44350282485875703</v>
      </c>
      <c r="G371" s="74"/>
    </row>
    <row r="372" spans="1:7" x14ac:dyDescent="0.25">
      <c r="A372" s="22">
        <v>41114</v>
      </c>
      <c r="B372" s="15" t="s">
        <v>51</v>
      </c>
      <c r="C372" s="23" t="s">
        <v>45</v>
      </c>
      <c r="D372" s="74">
        <v>5.5299999999999995E-2</v>
      </c>
      <c r="E372" s="74">
        <v>1.0199999999999999E-2</v>
      </c>
      <c r="F372" s="76">
        <f t="shared" si="8"/>
        <v>0.18444846292947559</v>
      </c>
      <c r="G372" s="74">
        <f>AVERAGE(F372:F375)</f>
        <v>0.63975297237723172</v>
      </c>
    </row>
    <row r="373" spans="1:7" x14ac:dyDescent="0.25">
      <c r="A373" s="22">
        <v>41114</v>
      </c>
      <c r="B373" s="15" t="s">
        <v>51</v>
      </c>
      <c r="C373" s="23" t="s">
        <v>46</v>
      </c>
      <c r="D373" s="74">
        <v>2.1899999999999999E-2</v>
      </c>
      <c r="E373" s="74">
        <v>1.8699999999999998E-2</v>
      </c>
      <c r="F373" s="76">
        <f t="shared" si="8"/>
        <v>0.85388127853881268</v>
      </c>
      <c r="G373" s="74"/>
    </row>
    <row r="374" spans="1:7" x14ac:dyDescent="0.25">
      <c r="A374" s="22">
        <v>41114</v>
      </c>
      <c r="B374" s="15" t="s">
        <v>51</v>
      </c>
      <c r="C374" s="23" t="s">
        <v>47</v>
      </c>
      <c r="D374" s="74">
        <v>4.24E-2</v>
      </c>
      <c r="E374" s="74">
        <v>1.2699999999999999E-2</v>
      </c>
      <c r="F374" s="76">
        <f t="shared" si="8"/>
        <v>0.29952830188679241</v>
      </c>
      <c r="G374" s="74"/>
    </row>
    <row r="375" spans="1:7" x14ac:dyDescent="0.25">
      <c r="A375" s="22">
        <v>41114</v>
      </c>
      <c r="B375" s="15" t="s">
        <v>51</v>
      </c>
      <c r="C375" s="23" t="s">
        <v>48</v>
      </c>
      <c r="D375" s="74">
        <v>2.0799999999999999E-2</v>
      </c>
      <c r="E375" s="74">
        <v>2.5399999999999999E-2</v>
      </c>
      <c r="F375" s="76">
        <f t="shared" si="8"/>
        <v>1.2211538461538463</v>
      </c>
      <c r="G375" s="74"/>
    </row>
    <row r="376" spans="1:7" x14ac:dyDescent="0.25">
      <c r="A376" s="22">
        <v>41115</v>
      </c>
      <c r="B376" s="15" t="s">
        <v>44</v>
      </c>
      <c r="C376" s="23" t="s">
        <v>45</v>
      </c>
      <c r="D376" s="74">
        <v>0.35339999999999999</v>
      </c>
      <c r="E376" s="74">
        <v>0.10340000000000001</v>
      </c>
      <c r="F376" s="76">
        <f t="shared" si="8"/>
        <v>0.2925863044708546</v>
      </c>
      <c r="G376" s="74">
        <f>AVERAGE(F376:F379)</f>
        <v>0.28816846175124916</v>
      </c>
    </row>
    <row r="377" spans="1:7" x14ac:dyDescent="0.25">
      <c r="A377" s="22">
        <v>41115</v>
      </c>
      <c r="B377" s="15" t="s">
        <v>44</v>
      </c>
      <c r="C377" s="23" t="s">
        <v>46</v>
      </c>
      <c r="D377" s="74">
        <v>0.37160000000000004</v>
      </c>
      <c r="E377" s="74">
        <v>0.1206</v>
      </c>
      <c r="F377" s="76">
        <f t="shared" si="8"/>
        <v>0.3245425188374596</v>
      </c>
      <c r="G377" s="74"/>
    </row>
    <row r="378" spans="1:7" x14ac:dyDescent="0.25">
      <c r="A378" s="22">
        <v>41115</v>
      </c>
      <c r="B378" s="15" t="s">
        <v>44</v>
      </c>
      <c r="C378" s="23" t="s">
        <v>47</v>
      </c>
      <c r="D378" s="74">
        <v>0.16880000000000001</v>
      </c>
      <c r="E378" s="74">
        <v>4.82E-2</v>
      </c>
      <c r="F378" s="76">
        <f t="shared" si="8"/>
        <v>0.28554502369668244</v>
      </c>
      <c r="G378" s="74"/>
    </row>
    <row r="379" spans="1:7" x14ac:dyDescent="0.25">
      <c r="A379" s="22">
        <v>41115</v>
      </c>
      <c r="B379" s="15" t="s">
        <v>44</v>
      </c>
      <c r="C379" s="23" t="s">
        <v>48</v>
      </c>
      <c r="D379" s="74">
        <v>0.16800000000000001</v>
      </c>
      <c r="E379" s="74">
        <v>4.2000000000000003E-2</v>
      </c>
      <c r="F379" s="76">
        <f t="shared" si="8"/>
        <v>0.25</v>
      </c>
      <c r="G379" s="74"/>
    </row>
    <row r="380" spans="1:7" x14ac:dyDescent="0.25">
      <c r="A380" s="22">
        <v>41115</v>
      </c>
      <c r="B380" s="15" t="s">
        <v>49</v>
      </c>
      <c r="C380" s="23" t="s">
        <v>45</v>
      </c>
      <c r="D380" s="74">
        <v>0.16797999999999999</v>
      </c>
      <c r="E380" s="74">
        <v>9.6200000000000008E-2</v>
      </c>
      <c r="F380" s="76">
        <f t="shared" si="8"/>
        <v>0.57268722466960365</v>
      </c>
      <c r="G380" s="74">
        <f>AVERAGE(F380:F383)</f>
        <v>0.50271147626741586</v>
      </c>
    </row>
    <row r="381" spans="1:7" x14ac:dyDescent="0.25">
      <c r="A381" s="22">
        <v>41115</v>
      </c>
      <c r="B381" s="15" t="s">
        <v>49</v>
      </c>
      <c r="C381" s="23" t="s">
        <v>46</v>
      </c>
      <c r="D381" s="74">
        <v>0.187775</v>
      </c>
      <c r="E381" s="74">
        <v>0.10119499999999999</v>
      </c>
      <c r="F381" s="76">
        <f t="shared" si="8"/>
        <v>0.53891625615763539</v>
      </c>
      <c r="G381" s="74"/>
    </row>
    <row r="382" spans="1:7" x14ac:dyDescent="0.25">
      <c r="A382" s="22">
        <v>41115</v>
      </c>
      <c r="B382" s="15" t="s">
        <v>49</v>
      </c>
      <c r="C382" s="23" t="s">
        <v>47</v>
      </c>
      <c r="D382" s="74">
        <v>0.18925500000000001</v>
      </c>
      <c r="E382" s="74">
        <v>8.6025000000000004E-2</v>
      </c>
      <c r="F382" s="76">
        <f t="shared" si="8"/>
        <v>0.45454545454545453</v>
      </c>
      <c r="G382" s="74"/>
    </row>
    <row r="383" spans="1:7" x14ac:dyDescent="0.25">
      <c r="A383" s="22">
        <v>41115</v>
      </c>
      <c r="B383" s="15" t="s">
        <v>49</v>
      </c>
      <c r="C383" s="23" t="s">
        <v>48</v>
      </c>
      <c r="D383" s="74">
        <v>0.2442</v>
      </c>
      <c r="E383" s="74">
        <v>0.108595</v>
      </c>
      <c r="F383" s="76">
        <f t="shared" si="8"/>
        <v>0.4446969696969697</v>
      </c>
      <c r="G383" s="74"/>
    </row>
    <row r="384" spans="1:7" x14ac:dyDescent="0.25">
      <c r="A384" s="22">
        <v>41115</v>
      </c>
      <c r="B384" s="15" t="s">
        <v>50</v>
      </c>
      <c r="C384" s="23" t="s">
        <v>45</v>
      </c>
      <c r="D384" s="74">
        <v>0.30432500000000001</v>
      </c>
      <c r="E384" s="74">
        <v>0.12040000000000001</v>
      </c>
      <c r="F384" s="76">
        <f t="shared" si="8"/>
        <v>0.3956296722254169</v>
      </c>
      <c r="G384" s="74">
        <f>AVERAGE(F384:F387)</f>
        <v>0.38461561805723943</v>
      </c>
    </row>
    <row r="385" spans="1:7" x14ac:dyDescent="0.25">
      <c r="A385" s="22">
        <v>41115</v>
      </c>
      <c r="B385" s="15" t="s">
        <v>50</v>
      </c>
      <c r="C385" s="23" t="s">
        <v>46</v>
      </c>
      <c r="D385" s="74">
        <v>0.22259999999999999</v>
      </c>
      <c r="E385" s="74">
        <v>8.6099999999999996E-2</v>
      </c>
      <c r="F385" s="76">
        <f t="shared" si="8"/>
        <v>0.38679245283018865</v>
      </c>
      <c r="G385" s="74"/>
    </row>
    <row r="386" spans="1:7" x14ac:dyDescent="0.25">
      <c r="A386" s="22">
        <v>41115</v>
      </c>
      <c r="B386" s="15" t="s">
        <v>50</v>
      </c>
      <c r="C386" s="23" t="s">
        <v>47</v>
      </c>
      <c r="D386" s="74">
        <v>0.1421</v>
      </c>
      <c r="E386" s="74">
        <v>5.04E-2</v>
      </c>
      <c r="F386" s="76">
        <f t="shared" si="8"/>
        <v>0.35467980295566504</v>
      </c>
      <c r="G386" s="74"/>
    </row>
    <row r="387" spans="1:7" x14ac:dyDescent="0.25">
      <c r="A387" s="22">
        <v>41115</v>
      </c>
      <c r="B387" s="15" t="s">
        <v>50</v>
      </c>
      <c r="C387" s="23" t="s">
        <v>48</v>
      </c>
      <c r="D387" s="74">
        <v>7.7174999999999994E-2</v>
      </c>
      <c r="E387" s="74">
        <v>3.0975000000000003E-2</v>
      </c>
      <c r="F387" s="76">
        <f t="shared" si="8"/>
        <v>0.40136054421768713</v>
      </c>
      <c r="G387" s="74"/>
    </row>
    <row r="388" spans="1:7" x14ac:dyDescent="0.25">
      <c r="A388" s="22">
        <v>41115</v>
      </c>
      <c r="B388" s="15" t="s">
        <v>51</v>
      </c>
      <c r="C388" s="23" t="s">
        <v>45</v>
      </c>
      <c r="D388" s="74">
        <v>0.136155</v>
      </c>
      <c r="E388" s="74">
        <v>6.2640000000000001E-2</v>
      </c>
      <c r="F388" s="76">
        <f t="shared" si="8"/>
        <v>0.46006389776357831</v>
      </c>
      <c r="G388" s="74">
        <f>AVERAGE(F388:F391)</f>
        <v>0.48733596351932185</v>
      </c>
    </row>
    <row r="389" spans="1:7" x14ac:dyDescent="0.25">
      <c r="A389" s="22">
        <v>41115</v>
      </c>
      <c r="B389" s="15" t="s">
        <v>51</v>
      </c>
      <c r="C389" s="23" t="s">
        <v>46</v>
      </c>
      <c r="D389" s="74">
        <v>0.10672</v>
      </c>
      <c r="E389" s="74">
        <v>5.2344999999999996E-2</v>
      </c>
      <c r="F389" s="76">
        <f t="shared" si="8"/>
        <v>0.49048913043478259</v>
      </c>
      <c r="G389" s="74"/>
    </row>
    <row r="390" spans="1:7" x14ac:dyDescent="0.25">
      <c r="A390" s="22">
        <v>41115</v>
      </c>
      <c r="B390" s="15" t="s">
        <v>51</v>
      </c>
      <c r="C390" s="23" t="s">
        <v>47</v>
      </c>
      <c r="D390" s="74">
        <v>5.3359999999999998E-2</v>
      </c>
      <c r="E390" s="74">
        <v>2.8274999999999998E-2</v>
      </c>
      <c r="F390" s="76">
        <f t="shared" si="8"/>
        <v>0.52989130434782605</v>
      </c>
      <c r="G390" s="74"/>
    </row>
    <row r="391" spans="1:7" x14ac:dyDescent="0.25">
      <c r="A391" s="22">
        <v>41115</v>
      </c>
      <c r="B391" s="15" t="s">
        <v>51</v>
      </c>
      <c r="C391" s="23" t="s">
        <v>48</v>
      </c>
      <c r="D391" s="74">
        <v>9.091500000000001E-2</v>
      </c>
      <c r="E391" s="74">
        <v>4.2630000000000001E-2</v>
      </c>
      <c r="F391" s="76">
        <f t="shared" si="8"/>
        <v>0.46889952153110043</v>
      </c>
      <c r="G391" s="74"/>
    </row>
    <row r="392" spans="1:7" x14ac:dyDescent="0.25">
      <c r="A392" s="22">
        <v>41219</v>
      </c>
      <c r="B392" s="15" t="s">
        <v>44</v>
      </c>
      <c r="C392" s="23" t="s">
        <v>45</v>
      </c>
      <c r="D392" s="74">
        <v>0.1484</v>
      </c>
      <c r="E392" s="74">
        <v>3.32E-2</v>
      </c>
      <c r="F392" s="76">
        <f>E392/D392</f>
        <v>0.22371967654986522</v>
      </c>
      <c r="G392" s="74">
        <f>AVERAGE(F392:F395)</f>
        <v>0.20966047212140193</v>
      </c>
    </row>
    <row r="393" spans="1:7" x14ac:dyDescent="0.25">
      <c r="A393" s="22">
        <v>41219</v>
      </c>
      <c r="B393" s="15" t="s">
        <v>44</v>
      </c>
      <c r="C393" s="23" t="s">
        <v>46</v>
      </c>
      <c r="D393" s="74">
        <v>8.9700000000000002E-2</v>
      </c>
      <c r="E393" s="74">
        <v>1.7999999999999999E-2</v>
      </c>
      <c r="F393" s="76">
        <f>E393/D393</f>
        <v>0.20066889632107021</v>
      </c>
      <c r="G393" s="74"/>
    </row>
    <row r="394" spans="1:7" x14ac:dyDescent="0.25">
      <c r="A394" s="22">
        <v>41219</v>
      </c>
      <c r="B394" s="15" t="s">
        <v>44</v>
      </c>
      <c r="C394" s="23" t="s">
        <v>47</v>
      </c>
      <c r="D394" s="74">
        <v>7.1099999999999997E-2</v>
      </c>
      <c r="E394" s="74">
        <v>1.4800000000000001E-2</v>
      </c>
      <c r="F394" s="76">
        <f>E394/D394</f>
        <v>0.20815752461322085</v>
      </c>
      <c r="G394" s="74"/>
    </row>
    <row r="395" spans="1:7" x14ac:dyDescent="0.25">
      <c r="A395" s="22">
        <v>41219</v>
      </c>
      <c r="B395" s="15" t="s">
        <v>44</v>
      </c>
      <c r="C395" s="23" t="s">
        <v>48</v>
      </c>
      <c r="D395" s="74">
        <v>6.8900000000000003E-2</v>
      </c>
      <c r="E395" s="74">
        <v>1.4199999999999999E-2</v>
      </c>
      <c r="F395" s="76">
        <f>E395/D395</f>
        <v>0.20609579100145137</v>
      </c>
      <c r="G395" s="74"/>
    </row>
    <row r="396" spans="1:7" x14ac:dyDescent="0.25">
      <c r="A396" s="22">
        <v>41219</v>
      </c>
      <c r="B396" s="15" t="s">
        <v>49</v>
      </c>
      <c r="C396" s="23" t="s">
        <v>45</v>
      </c>
      <c r="D396" s="74">
        <v>1.2199999999999999E-2</v>
      </c>
      <c r="E396" s="74">
        <v>6.0999999999999995E-3</v>
      </c>
      <c r="F396" s="76">
        <f t="shared" ref="F396:F439" si="9">E396/D396</f>
        <v>0.5</v>
      </c>
      <c r="G396" s="74">
        <f>F396</f>
        <v>0.5</v>
      </c>
    </row>
    <row r="397" spans="1:7" x14ac:dyDescent="0.25">
      <c r="A397" s="22">
        <v>41219</v>
      </c>
      <c r="B397" s="15" t="s">
        <v>49</v>
      </c>
      <c r="C397" s="23" t="s">
        <v>46</v>
      </c>
      <c r="D397" s="74" t="s">
        <v>18</v>
      </c>
      <c r="E397" s="74" t="s">
        <v>18</v>
      </c>
      <c r="F397" s="74" t="s">
        <v>18</v>
      </c>
      <c r="G397" s="74"/>
    </row>
    <row r="398" spans="1:7" x14ac:dyDescent="0.25">
      <c r="A398" s="22">
        <v>41219</v>
      </c>
      <c r="B398" s="15" t="s">
        <v>49</v>
      </c>
      <c r="C398" s="23" t="s">
        <v>47</v>
      </c>
      <c r="D398" s="74" t="s">
        <v>18</v>
      </c>
      <c r="E398" s="74" t="s">
        <v>18</v>
      </c>
      <c r="F398" s="74" t="s">
        <v>18</v>
      </c>
      <c r="G398" s="74"/>
    </row>
    <row r="399" spans="1:7" x14ac:dyDescent="0.25">
      <c r="A399" s="22">
        <v>41219</v>
      </c>
      <c r="B399" s="15" t="s">
        <v>49</v>
      </c>
      <c r="C399" s="23" t="s">
        <v>48</v>
      </c>
      <c r="D399" s="74" t="s">
        <v>18</v>
      </c>
      <c r="E399" s="74" t="s">
        <v>18</v>
      </c>
      <c r="F399" s="74" t="s">
        <v>18</v>
      </c>
      <c r="G399" s="74"/>
    </row>
    <row r="400" spans="1:7" x14ac:dyDescent="0.25">
      <c r="A400" s="22">
        <v>41219</v>
      </c>
      <c r="B400" s="15" t="s">
        <v>50</v>
      </c>
      <c r="C400" s="23" t="s">
        <v>45</v>
      </c>
      <c r="D400" s="74">
        <v>9.0900000000000009E-2</v>
      </c>
      <c r="E400" s="74">
        <v>2.47E-2</v>
      </c>
      <c r="F400" s="76">
        <f t="shared" si="9"/>
        <v>0.2717271727172717</v>
      </c>
      <c r="G400" s="74">
        <f>F400</f>
        <v>0.2717271727172717</v>
      </c>
    </row>
    <row r="401" spans="1:7" x14ac:dyDescent="0.25">
      <c r="A401" s="22">
        <v>41219</v>
      </c>
      <c r="B401" s="15" t="s">
        <v>50</v>
      </c>
      <c r="C401" s="23" t="s">
        <v>46</v>
      </c>
      <c r="D401" s="74" t="s">
        <v>18</v>
      </c>
      <c r="E401" s="74" t="s">
        <v>18</v>
      </c>
      <c r="F401" s="74" t="s">
        <v>18</v>
      </c>
      <c r="G401" s="74"/>
    </row>
    <row r="402" spans="1:7" x14ac:dyDescent="0.25">
      <c r="A402" s="22">
        <v>41219</v>
      </c>
      <c r="B402" s="15" t="s">
        <v>50</v>
      </c>
      <c r="C402" s="23" t="s">
        <v>47</v>
      </c>
      <c r="D402" s="74" t="s">
        <v>18</v>
      </c>
      <c r="E402" s="74" t="s">
        <v>18</v>
      </c>
      <c r="F402" s="74" t="s">
        <v>18</v>
      </c>
      <c r="G402" s="74"/>
    </row>
    <row r="403" spans="1:7" x14ac:dyDescent="0.25">
      <c r="A403" s="22">
        <v>41219</v>
      </c>
      <c r="B403" s="15" t="s">
        <v>50</v>
      </c>
      <c r="C403" s="23" t="s">
        <v>48</v>
      </c>
      <c r="D403" s="74" t="s">
        <v>18</v>
      </c>
      <c r="E403" s="74" t="s">
        <v>18</v>
      </c>
      <c r="F403" s="74" t="s">
        <v>18</v>
      </c>
      <c r="G403" s="74"/>
    </row>
    <row r="404" spans="1:7" x14ac:dyDescent="0.25">
      <c r="A404" s="22">
        <v>41219</v>
      </c>
      <c r="B404" s="15" t="s">
        <v>51</v>
      </c>
      <c r="C404" s="23" t="s">
        <v>45</v>
      </c>
      <c r="D404" s="74">
        <v>1.41E-2</v>
      </c>
      <c r="E404" s="74">
        <v>6.6E-3</v>
      </c>
      <c r="F404" s="76">
        <f t="shared" si="9"/>
        <v>0.46808510638297873</v>
      </c>
      <c r="G404" s="74">
        <f>F404</f>
        <v>0.46808510638297873</v>
      </c>
    </row>
    <row r="405" spans="1:7" x14ac:dyDescent="0.25">
      <c r="A405" s="22">
        <v>41219</v>
      </c>
      <c r="B405" s="15" t="s">
        <v>51</v>
      </c>
      <c r="C405" s="23" t="s">
        <v>46</v>
      </c>
      <c r="D405" s="74" t="s">
        <v>18</v>
      </c>
      <c r="E405" s="74" t="s">
        <v>18</v>
      </c>
      <c r="F405" s="74" t="s">
        <v>18</v>
      </c>
      <c r="G405" s="74"/>
    </row>
    <row r="406" spans="1:7" x14ac:dyDescent="0.25">
      <c r="A406" s="22">
        <v>41219</v>
      </c>
      <c r="B406" s="15" t="s">
        <v>51</v>
      </c>
      <c r="C406" s="23" t="s">
        <v>47</v>
      </c>
      <c r="D406" s="74" t="s">
        <v>18</v>
      </c>
      <c r="E406" s="74" t="s">
        <v>18</v>
      </c>
      <c r="F406" s="74" t="s">
        <v>18</v>
      </c>
      <c r="G406" s="74"/>
    </row>
    <row r="407" spans="1:7" x14ac:dyDescent="0.25">
      <c r="A407" s="22">
        <v>41219</v>
      </c>
      <c r="B407" s="15" t="s">
        <v>51</v>
      </c>
      <c r="C407" s="23" t="s">
        <v>48</v>
      </c>
      <c r="D407" s="74" t="s">
        <v>18</v>
      </c>
      <c r="E407" s="74" t="s">
        <v>18</v>
      </c>
      <c r="F407" s="74" t="s">
        <v>18</v>
      </c>
      <c r="G407" s="74"/>
    </row>
    <row r="408" spans="1:7" x14ac:dyDescent="0.25">
      <c r="A408" s="22">
        <v>41220</v>
      </c>
      <c r="B408" s="15" t="s">
        <v>44</v>
      </c>
      <c r="C408" s="23" t="s">
        <v>45</v>
      </c>
      <c r="D408" s="74">
        <v>0.31380000000000002</v>
      </c>
      <c r="E408" s="74">
        <v>6.1600000000000002E-2</v>
      </c>
      <c r="F408" s="76">
        <f t="shared" ref="F408:F415" si="10">E408/D408</f>
        <v>0.19630337794773742</v>
      </c>
      <c r="G408" s="74">
        <f>AVERAGE(F408:F411)</f>
        <v>0.20694396516540339</v>
      </c>
    </row>
    <row r="409" spans="1:7" x14ac:dyDescent="0.25">
      <c r="A409" s="22">
        <v>41220</v>
      </c>
      <c r="B409" s="15" t="s">
        <v>44</v>
      </c>
      <c r="C409" s="23" t="s">
        <v>46</v>
      </c>
      <c r="D409" s="74">
        <v>0.25259999999999999</v>
      </c>
      <c r="E409" s="74">
        <v>5.0599999999999999E-2</v>
      </c>
      <c r="F409" s="76">
        <f t="shared" si="10"/>
        <v>0.20031670625494855</v>
      </c>
      <c r="G409" s="74"/>
    </row>
    <row r="410" spans="1:7" x14ac:dyDescent="0.25">
      <c r="A410" s="22">
        <v>41220</v>
      </c>
      <c r="B410" s="15" t="s">
        <v>44</v>
      </c>
      <c r="C410" s="23" t="s">
        <v>47</v>
      </c>
      <c r="D410" s="74">
        <v>0.17319999999999999</v>
      </c>
      <c r="E410" s="74">
        <v>3.9600000000000003E-2</v>
      </c>
      <c r="F410" s="76">
        <f t="shared" si="10"/>
        <v>0.22863741339491919</v>
      </c>
      <c r="G410" s="74"/>
    </row>
    <row r="411" spans="1:7" x14ac:dyDescent="0.25">
      <c r="A411" s="22">
        <v>41220</v>
      </c>
      <c r="B411" s="15" t="s">
        <v>44</v>
      </c>
      <c r="C411" s="23" t="s">
        <v>48</v>
      </c>
      <c r="D411" s="74">
        <v>0.19059999999999999</v>
      </c>
      <c r="E411" s="74">
        <v>3.8600000000000002E-2</v>
      </c>
      <c r="F411" s="76">
        <f t="shared" si="10"/>
        <v>0.20251836306400842</v>
      </c>
      <c r="G411" s="74"/>
    </row>
    <row r="412" spans="1:7" x14ac:dyDescent="0.25">
      <c r="A412" s="22">
        <v>41220</v>
      </c>
      <c r="B412" s="15" t="s">
        <v>49</v>
      </c>
      <c r="C412" s="23" t="s">
        <v>45</v>
      </c>
      <c r="D412" s="74">
        <v>0.13139999999999999</v>
      </c>
      <c r="E412" s="74">
        <v>4.1279999999999997E-2</v>
      </c>
      <c r="F412" s="76">
        <f t="shared" si="10"/>
        <v>0.31415525114155252</v>
      </c>
      <c r="G412" s="74">
        <f>AVERAGE(F412:F415)</f>
        <v>0.32630793401095837</v>
      </c>
    </row>
    <row r="413" spans="1:7" x14ac:dyDescent="0.25">
      <c r="A413" s="22">
        <v>41220</v>
      </c>
      <c r="B413" s="15" t="s">
        <v>49</v>
      </c>
      <c r="C413" s="23" t="s">
        <v>46</v>
      </c>
      <c r="D413" s="74">
        <v>0.12564</v>
      </c>
      <c r="E413" s="74">
        <v>4.0079999999999998E-2</v>
      </c>
      <c r="F413" s="76">
        <f t="shared" si="10"/>
        <v>0.31900668576886337</v>
      </c>
      <c r="G413" s="74"/>
    </row>
    <row r="414" spans="1:7" x14ac:dyDescent="0.25">
      <c r="A414" s="22">
        <v>41220</v>
      </c>
      <c r="B414" s="15" t="s">
        <v>49</v>
      </c>
      <c r="C414" s="23" t="s">
        <v>47</v>
      </c>
      <c r="D414" s="74">
        <v>6.7559999999999995E-2</v>
      </c>
      <c r="E414" s="74">
        <v>1.668E-2</v>
      </c>
      <c r="F414" s="76">
        <f t="shared" si="10"/>
        <v>0.24689165186500892</v>
      </c>
      <c r="G414" s="74"/>
    </row>
    <row r="415" spans="1:7" x14ac:dyDescent="0.25">
      <c r="A415" s="22">
        <v>41220</v>
      </c>
      <c r="B415" s="15" t="s">
        <v>49</v>
      </c>
      <c r="C415" s="23" t="s">
        <v>48</v>
      </c>
      <c r="D415" s="74">
        <v>5.0519999999999995E-2</v>
      </c>
      <c r="E415" s="74">
        <v>2.1479999999999999E-2</v>
      </c>
      <c r="F415" s="76">
        <f t="shared" si="10"/>
        <v>0.42517814726840858</v>
      </c>
      <c r="G415" s="74"/>
    </row>
    <row r="416" spans="1:7" x14ac:dyDescent="0.25">
      <c r="A416" s="22">
        <v>41220</v>
      </c>
      <c r="B416" s="15" t="s">
        <v>50</v>
      </c>
      <c r="C416" s="23" t="s">
        <v>45</v>
      </c>
      <c r="D416" s="74">
        <v>0.1469</v>
      </c>
      <c r="E416" s="74">
        <v>3.7440000000000001E-2</v>
      </c>
      <c r="F416" s="76">
        <f t="shared" si="9"/>
        <v>0.25486725663716814</v>
      </c>
      <c r="G416" s="74">
        <f>AVERAGE(F416:F419)</f>
        <v>0.27277627990773284</v>
      </c>
    </row>
    <row r="417" spans="1:7" x14ac:dyDescent="0.25">
      <c r="A417" s="22">
        <v>41220</v>
      </c>
      <c r="B417" s="15" t="s">
        <v>50</v>
      </c>
      <c r="C417" s="23" t="s">
        <v>46</v>
      </c>
      <c r="D417" s="74">
        <v>9.5420000000000019E-2</v>
      </c>
      <c r="E417" s="74">
        <v>2.5740000000000002E-2</v>
      </c>
      <c r="F417" s="76">
        <f t="shared" si="9"/>
        <v>0.26975476839237056</v>
      </c>
      <c r="G417" s="74"/>
    </row>
    <row r="418" spans="1:7" x14ac:dyDescent="0.25">
      <c r="A418" s="22">
        <v>41220</v>
      </c>
      <c r="B418" s="15" t="s">
        <v>50</v>
      </c>
      <c r="C418" s="23" t="s">
        <v>47</v>
      </c>
      <c r="D418" s="74">
        <v>5.4860000000000006E-2</v>
      </c>
      <c r="E418" s="74">
        <v>1.5600000000000001E-2</v>
      </c>
      <c r="F418" s="76">
        <f t="shared" si="9"/>
        <v>0.28436018957345971</v>
      </c>
      <c r="G418" s="74"/>
    </row>
    <row r="419" spans="1:7" x14ac:dyDescent="0.25">
      <c r="A419" s="22">
        <v>41220</v>
      </c>
      <c r="B419" s="15" t="s">
        <v>50</v>
      </c>
      <c r="C419" s="23" t="s">
        <v>48</v>
      </c>
      <c r="D419" s="74">
        <v>4.6539999999999998E-2</v>
      </c>
      <c r="E419" s="74">
        <v>1.3129999999999999E-2</v>
      </c>
      <c r="F419" s="76">
        <f t="shared" si="9"/>
        <v>0.28212290502793297</v>
      </c>
      <c r="G419" s="74"/>
    </row>
    <row r="420" spans="1:7" x14ac:dyDescent="0.25">
      <c r="A420" s="22">
        <v>41220</v>
      </c>
      <c r="B420" s="15" t="s">
        <v>51</v>
      </c>
      <c r="C420" s="23" t="s">
        <v>45</v>
      </c>
      <c r="D420" s="74">
        <v>4.48E-2</v>
      </c>
      <c r="E420" s="74">
        <v>9.6999999999999986E-3</v>
      </c>
      <c r="F420" s="76">
        <f t="shared" si="9"/>
        <v>0.21651785714285712</v>
      </c>
      <c r="G420" s="74">
        <f>F420</f>
        <v>0.21651785714285712</v>
      </c>
    </row>
    <row r="421" spans="1:7" x14ac:dyDescent="0.25">
      <c r="A421" s="22">
        <v>41220</v>
      </c>
      <c r="B421" s="15" t="s">
        <v>51</v>
      </c>
      <c r="C421" s="23" t="s">
        <v>46</v>
      </c>
      <c r="D421" s="74" t="s">
        <v>18</v>
      </c>
      <c r="E421" s="74" t="s">
        <v>18</v>
      </c>
      <c r="F421" s="74" t="s">
        <v>18</v>
      </c>
      <c r="G421" s="74"/>
    </row>
    <row r="422" spans="1:7" x14ac:dyDescent="0.25">
      <c r="A422" s="22">
        <v>41220</v>
      </c>
      <c r="B422" s="15" t="s">
        <v>51</v>
      </c>
      <c r="C422" s="23" t="s">
        <v>47</v>
      </c>
      <c r="D422" s="74" t="s">
        <v>18</v>
      </c>
      <c r="E422" s="74" t="s">
        <v>18</v>
      </c>
      <c r="F422" s="74" t="s">
        <v>18</v>
      </c>
      <c r="G422" s="74"/>
    </row>
    <row r="423" spans="1:7" x14ac:dyDescent="0.25">
      <c r="A423" s="22">
        <v>41220</v>
      </c>
      <c r="B423" s="15" t="s">
        <v>51</v>
      </c>
      <c r="C423" s="23" t="s">
        <v>48</v>
      </c>
      <c r="D423" s="74" t="s">
        <v>18</v>
      </c>
      <c r="E423" s="74" t="s">
        <v>18</v>
      </c>
      <c r="F423" s="74" t="s">
        <v>18</v>
      </c>
      <c r="G423" s="74"/>
    </row>
    <row r="424" spans="1:7" x14ac:dyDescent="0.25">
      <c r="A424" s="22">
        <v>41221</v>
      </c>
      <c r="B424" s="15" t="s">
        <v>44</v>
      </c>
      <c r="C424" s="23" t="s">
        <v>45</v>
      </c>
      <c r="D424" s="74">
        <v>0.15680000000000002</v>
      </c>
      <c r="E424" s="74">
        <v>4.4400000000000002E-2</v>
      </c>
      <c r="F424" s="76">
        <f t="shared" si="9"/>
        <v>0.2831632653061224</v>
      </c>
      <c r="G424" s="74">
        <f>AVERAGE(F424:F427)</f>
        <v>0.26827830956017862</v>
      </c>
    </row>
    <row r="425" spans="1:7" x14ac:dyDescent="0.25">
      <c r="A425" s="22">
        <v>41221</v>
      </c>
      <c r="B425" s="15" t="s">
        <v>44</v>
      </c>
      <c r="C425" s="23" t="s">
        <v>46</v>
      </c>
      <c r="D425" s="74">
        <v>0.2054</v>
      </c>
      <c r="E425" s="74">
        <v>5.3800000000000001E-2</v>
      </c>
      <c r="F425" s="76">
        <f t="shared" si="9"/>
        <v>0.26192794547224929</v>
      </c>
      <c r="G425" s="74"/>
    </row>
    <row r="426" spans="1:7" x14ac:dyDescent="0.25">
      <c r="A426" s="22">
        <v>41221</v>
      </c>
      <c r="B426" s="15" t="s">
        <v>44</v>
      </c>
      <c r="C426" s="23" t="s">
        <v>47</v>
      </c>
      <c r="D426" s="74">
        <v>0.25340000000000001</v>
      </c>
      <c r="E426" s="74">
        <v>7.1400000000000005E-2</v>
      </c>
      <c r="F426" s="76">
        <f t="shared" si="9"/>
        <v>0.28176795580110497</v>
      </c>
      <c r="G426" s="74"/>
    </row>
    <row r="427" spans="1:7" x14ac:dyDescent="0.25">
      <c r="A427" s="22">
        <v>41221</v>
      </c>
      <c r="B427" s="15" t="s">
        <v>44</v>
      </c>
      <c r="C427" s="23" t="s">
        <v>48</v>
      </c>
      <c r="D427" s="74">
        <v>0.307</v>
      </c>
      <c r="E427" s="74">
        <v>7.5600000000000001E-2</v>
      </c>
      <c r="F427" s="76">
        <f t="shared" si="9"/>
        <v>0.24625407166123778</v>
      </c>
      <c r="G427" s="74"/>
    </row>
    <row r="428" spans="1:7" x14ac:dyDescent="0.25">
      <c r="A428" s="22">
        <v>41221</v>
      </c>
      <c r="B428" s="15" t="s">
        <v>49</v>
      </c>
      <c r="C428" s="23" t="s">
        <v>45</v>
      </c>
      <c r="D428" s="74">
        <v>0.2898</v>
      </c>
      <c r="E428" s="74">
        <v>8.7999999999999995E-2</v>
      </c>
      <c r="F428" s="76">
        <f t="shared" si="9"/>
        <v>0.30365769496204276</v>
      </c>
      <c r="G428" s="74">
        <f>AVERAGE(F428:F431)</f>
        <v>0.31258729672835989</v>
      </c>
    </row>
    <row r="429" spans="1:7" x14ac:dyDescent="0.25">
      <c r="A429" s="22">
        <v>41221</v>
      </c>
      <c r="B429" s="15" t="s">
        <v>49</v>
      </c>
      <c r="C429" s="23" t="s">
        <v>46</v>
      </c>
      <c r="D429" s="74">
        <v>0.23400000000000001</v>
      </c>
      <c r="E429" s="74">
        <v>8.3400000000000002E-2</v>
      </c>
      <c r="F429" s="76">
        <f t="shared" si="9"/>
        <v>0.35641025641025642</v>
      </c>
      <c r="G429" s="74"/>
    </row>
    <row r="430" spans="1:7" x14ac:dyDescent="0.25">
      <c r="A430" s="22">
        <v>41221</v>
      </c>
      <c r="B430" s="15" t="s">
        <v>49</v>
      </c>
      <c r="C430" s="23" t="s">
        <v>47</v>
      </c>
      <c r="D430" s="74">
        <v>0.23419999999999999</v>
      </c>
      <c r="E430" s="74">
        <v>5.5600000000000004E-2</v>
      </c>
      <c r="F430" s="76">
        <f t="shared" si="9"/>
        <v>0.23740392826643897</v>
      </c>
      <c r="G430" s="74"/>
    </row>
    <row r="431" spans="1:7" x14ac:dyDescent="0.25">
      <c r="A431" s="22">
        <v>41221</v>
      </c>
      <c r="B431" s="15" t="s">
        <v>49</v>
      </c>
      <c r="C431" s="23" t="s">
        <v>48</v>
      </c>
      <c r="D431" s="74">
        <v>0.18419999999999997</v>
      </c>
      <c r="E431" s="74">
        <v>6.5000000000000002E-2</v>
      </c>
      <c r="F431" s="76">
        <f t="shared" si="9"/>
        <v>0.35287730727470146</v>
      </c>
      <c r="G431" s="74"/>
    </row>
    <row r="432" spans="1:7" x14ac:dyDescent="0.25">
      <c r="A432" s="22">
        <v>41221</v>
      </c>
      <c r="B432" s="15" t="s">
        <v>50</v>
      </c>
      <c r="C432" s="23" t="s">
        <v>45</v>
      </c>
      <c r="D432" s="74">
        <v>0.25829999999999997</v>
      </c>
      <c r="E432" s="74">
        <v>6.7349999999999993E-2</v>
      </c>
      <c r="F432" s="76">
        <f t="shared" si="9"/>
        <v>0.2607433217189315</v>
      </c>
      <c r="G432" s="74">
        <f>AVERAGE(F432:F435)</f>
        <v>0.29790655281918987</v>
      </c>
    </row>
    <row r="433" spans="1:7" x14ac:dyDescent="0.25">
      <c r="A433" s="22">
        <v>41221</v>
      </c>
      <c r="B433" s="15" t="s">
        <v>50</v>
      </c>
      <c r="C433" s="23" t="s">
        <v>46</v>
      </c>
      <c r="D433" s="74">
        <v>0.1734</v>
      </c>
      <c r="E433" s="74">
        <v>5.2499999999999998E-2</v>
      </c>
      <c r="F433" s="76">
        <f t="shared" si="9"/>
        <v>0.30276816608996537</v>
      </c>
      <c r="G433" s="74"/>
    </row>
    <row r="434" spans="1:7" x14ac:dyDescent="0.25">
      <c r="A434" s="22">
        <v>41221</v>
      </c>
      <c r="B434" s="15" t="s">
        <v>50</v>
      </c>
      <c r="C434" s="23" t="s">
        <v>47</v>
      </c>
      <c r="D434" s="74">
        <v>0.12</v>
      </c>
      <c r="E434" s="74">
        <v>3.6450000000000003E-2</v>
      </c>
      <c r="F434" s="76">
        <f t="shared" si="9"/>
        <v>0.30375000000000002</v>
      </c>
      <c r="G434" s="74"/>
    </row>
    <row r="435" spans="1:7" x14ac:dyDescent="0.25">
      <c r="A435" s="22">
        <v>41221</v>
      </c>
      <c r="B435" s="15" t="s">
        <v>50</v>
      </c>
      <c r="C435" s="23" t="s">
        <v>48</v>
      </c>
      <c r="D435" s="74">
        <v>0.10034999999999999</v>
      </c>
      <c r="E435" s="74">
        <v>3.2550000000000003E-2</v>
      </c>
      <c r="F435" s="76">
        <f t="shared" si="9"/>
        <v>0.32436472346786255</v>
      </c>
      <c r="G435" s="74"/>
    </row>
    <row r="436" spans="1:7" x14ac:dyDescent="0.25">
      <c r="A436" s="22">
        <v>41221</v>
      </c>
      <c r="B436" s="15" t="s">
        <v>51</v>
      </c>
      <c r="C436" s="23" t="s">
        <v>45</v>
      </c>
      <c r="D436" s="74">
        <v>0.10185</v>
      </c>
      <c r="E436" s="74">
        <v>3.4799999999999998E-2</v>
      </c>
      <c r="F436" s="76">
        <f t="shared" si="9"/>
        <v>0.34167893961708395</v>
      </c>
      <c r="G436" s="74">
        <f>AVERAGE(F436:F439)</f>
        <v>0.42035732016250338</v>
      </c>
    </row>
    <row r="437" spans="1:7" x14ac:dyDescent="0.25">
      <c r="A437" s="22">
        <v>41221</v>
      </c>
      <c r="B437" s="15" t="s">
        <v>51</v>
      </c>
      <c r="C437" s="23" t="s">
        <v>46</v>
      </c>
      <c r="D437" s="75">
        <v>8.2500000000000004E-2</v>
      </c>
      <c r="E437" s="75">
        <v>3.6000000000000004E-2</v>
      </c>
      <c r="F437" s="76">
        <f t="shared" si="9"/>
        <v>0.4363636363636364</v>
      </c>
      <c r="G437" s="74"/>
    </row>
    <row r="438" spans="1:7" x14ac:dyDescent="0.25">
      <c r="A438" s="22">
        <v>41221</v>
      </c>
      <c r="B438" s="15" t="s">
        <v>51</v>
      </c>
      <c r="C438" s="23" t="s">
        <v>47</v>
      </c>
      <c r="D438" s="75">
        <v>6.7949999999999997E-2</v>
      </c>
      <c r="E438" s="75">
        <v>2.6550000000000001E-2</v>
      </c>
      <c r="F438" s="76">
        <f t="shared" si="9"/>
        <v>0.39072847682119211</v>
      </c>
      <c r="G438" s="74"/>
    </row>
    <row r="439" spans="1:7" x14ac:dyDescent="0.25">
      <c r="A439" s="22">
        <v>41221</v>
      </c>
      <c r="B439" s="15" t="s">
        <v>51</v>
      </c>
      <c r="C439" s="23" t="s">
        <v>48</v>
      </c>
      <c r="D439" s="75">
        <v>4.7400000000000005E-2</v>
      </c>
      <c r="E439" s="75">
        <v>2.4299999999999999E-2</v>
      </c>
      <c r="F439" s="76">
        <f t="shared" si="9"/>
        <v>0.51265822784810122</v>
      </c>
      <c r="G439" s="74"/>
    </row>
    <row r="440" spans="1:7" x14ac:dyDescent="0.25">
      <c r="A440" s="22">
        <v>41304</v>
      </c>
      <c r="B440" s="15" t="s">
        <v>44</v>
      </c>
      <c r="C440" s="23" t="s">
        <v>45</v>
      </c>
      <c r="D440" s="74">
        <v>0.18863999999999997</v>
      </c>
      <c r="E440" s="74">
        <v>7.6499999999999999E-2</v>
      </c>
      <c r="F440" s="76">
        <f>E440/D440</f>
        <v>0.40553435114503822</v>
      </c>
      <c r="G440" s="74">
        <f>AVERAGE(F440:F443)</f>
        <v>0.33717724891821499</v>
      </c>
    </row>
    <row r="441" spans="1:7" x14ac:dyDescent="0.25">
      <c r="A441" s="22">
        <v>41304</v>
      </c>
      <c r="B441" s="15" t="s">
        <v>44</v>
      </c>
      <c r="C441" s="23" t="s">
        <v>46</v>
      </c>
      <c r="D441" s="74">
        <v>0.1489</v>
      </c>
      <c r="E441" s="74">
        <v>3.9899999999999998E-2</v>
      </c>
      <c r="F441" s="76">
        <f>E441/D441</f>
        <v>0.2679650772330423</v>
      </c>
      <c r="G441" s="74"/>
    </row>
    <row r="442" spans="1:7" x14ac:dyDescent="0.25">
      <c r="A442" s="22">
        <v>41304</v>
      </c>
      <c r="B442" s="15" t="s">
        <v>44</v>
      </c>
      <c r="C442" s="23" t="s">
        <v>47</v>
      </c>
      <c r="D442" s="74">
        <v>0.1298</v>
      </c>
      <c r="E442" s="74">
        <v>4.1200000000000001E-2</v>
      </c>
      <c r="F442" s="76">
        <f>E442/D442</f>
        <v>0.3174114021571649</v>
      </c>
      <c r="G442" s="74"/>
    </row>
    <row r="443" spans="1:7" x14ac:dyDescent="0.25">
      <c r="A443" s="22">
        <v>41304</v>
      </c>
      <c r="B443" s="15" t="s">
        <v>44</v>
      </c>
      <c r="C443" s="23" t="s">
        <v>48</v>
      </c>
      <c r="D443" s="74">
        <v>8.72E-2</v>
      </c>
      <c r="E443" s="74">
        <v>3.1199999999999999E-2</v>
      </c>
      <c r="F443" s="76">
        <f>E443/D443</f>
        <v>0.35779816513761464</v>
      </c>
      <c r="G443" s="74"/>
    </row>
    <row r="444" spans="1:7" x14ac:dyDescent="0.25">
      <c r="A444" s="22">
        <v>41304</v>
      </c>
      <c r="B444" s="15" t="s">
        <v>49</v>
      </c>
      <c r="C444" s="23" t="s">
        <v>45</v>
      </c>
      <c r="D444" s="74">
        <v>5.4399999999999997E-2</v>
      </c>
      <c r="E444" s="74">
        <v>2.3399999999999997E-2</v>
      </c>
      <c r="F444" s="76">
        <f t="shared" ref="F444:F471" si="11">E444/D444</f>
        <v>0.43014705882352938</v>
      </c>
      <c r="G444" s="74">
        <f>AVERAGE(F444:F447)</f>
        <v>0.40492510467346732</v>
      </c>
    </row>
    <row r="445" spans="1:7" x14ac:dyDescent="0.25">
      <c r="A445" s="22">
        <v>41304</v>
      </c>
      <c r="B445" s="15" t="s">
        <v>49</v>
      </c>
      <c r="C445" s="23" t="s">
        <v>46</v>
      </c>
      <c r="D445" s="74">
        <v>4.7299999999999995E-2</v>
      </c>
      <c r="E445" s="74">
        <v>1.9300000000000001E-2</v>
      </c>
      <c r="F445" s="76">
        <f>E445/D445</f>
        <v>0.40803382663847787</v>
      </c>
      <c r="G445" s="74"/>
    </row>
    <row r="446" spans="1:7" x14ac:dyDescent="0.25">
      <c r="A446" s="22">
        <v>41304</v>
      </c>
      <c r="B446" s="15" t="s">
        <v>49</v>
      </c>
      <c r="C446" s="23" t="s">
        <v>47</v>
      </c>
      <c r="D446" s="74">
        <v>2.1600000000000001E-2</v>
      </c>
      <c r="E446" s="74">
        <v>8.3000000000000001E-3</v>
      </c>
      <c r="F446" s="76">
        <f>E446/D446</f>
        <v>0.38425925925925924</v>
      </c>
      <c r="G446" s="74"/>
    </row>
    <row r="447" spans="1:7" x14ac:dyDescent="0.25">
      <c r="A447" s="22">
        <v>41304</v>
      </c>
      <c r="B447" s="15" t="s">
        <v>49</v>
      </c>
      <c r="C447" s="23" t="s">
        <v>48</v>
      </c>
      <c r="D447" s="74">
        <v>3.6499999999999998E-2</v>
      </c>
      <c r="E447" s="74">
        <v>1.4500000000000001E-2</v>
      </c>
      <c r="F447" s="76">
        <f t="shared" si="11"/>
        <v>0.39726027397260277</v>
      </c>
      <c r="G447" s="74"/>
    </row>
    <row r="448" spans="1:7" x14ac:dyDescent="0.25">
      <c r="A448" s="22">
        <v>41304</v>
      </c>
      <c r="B448" s="15" t="s">
        <v>50</v>
      </c>
      <c r="C448" s="23" t="s">
        <v>45</v>
      </c>
      <c r="D448" s="74">
        <v>4.36E-2</v>
      </c>
      <c r="E448" s="74">
        <v>2.4E-2</v>
      </c>
      <c r="F448" s="76">
        <f t="shared" si="11"/>
        <v>0.55045871559633031</v>
      </c>
      <c r="G448" s="74">
        <f>AVERAGE(F448:F451)</f>
        <v>0.47375762561744428</v>
      </c>
    </row>
    <row r="449" spans="1:7" x14ac:dyDescent="0.25">
      <c r="A449" s="22">
        <v>41304</v>
      </c>
      <c r="B449" s="15" t="s">
        <v>50</v>
      </c>
      <c r="C449" s="23" t="s">
        <v>46</v>
      </c>
      <c r="D449" s="74">
        <v>4.9399999999999999E-2</v>
      </c>
      <c r="E449" s="74">
        <v>1.8800000000000001E-2</v>
      </c>
      <c r="F449" s="76">
        <f t="shared" si="11"/>
        <v>0.38056680161943324</v>
      </c>
      <c r="G449" s="74"/>
    </row>
    <row r="450" spans="1:7" x14ac:dyDescent="0.25">
      <c r="A450" s="22">
        <v>41304</v>
      </c>
      <c r="B450" s="15" t="s">
        <v>50</v>
      </c>
      <c r="C450" s="23" t="s">
        <v>47</v>
      </c>
      <c r="D450" s="74">
        <v>2.2699999999999998E-2</v>
      </c>
      <c r="E450" s="74">
        <v>1.1900000000000001E-2</v>
      </c>
      <c r="F450" s="76">
        <f t="shared" si="11"/>
        <v>0.52422907488986792</v>
      </c>
      <c r="G450" s="74"/>
    </row>
    <row r="451" spans="1:7" x14ac:dyDescent="0.25">
      <c r="A451" s="22">
        <v>41304</v>
      </c>
      <c r="B451" s="15" t="s">
        <v>50</v>
      </c>
      <c r="C451" s="23" t="s">
        <v>48</v>
      </c>
      <c r="D451" s="74">
        <v>3.5700000000000003E-2</v>
      </c>
      <c r="E451" s="74">
        <v>1.5699999999999999E-2</v>
      </c>
      <c r="F451" s="76">
        <f t="shared" si="11"/>
        <v>0.43977591036414559</v>
      </c>
      <c r="G451" s="74"/>
    </row>
    <row r="452" spans="1:7" x14ac:dyDescent="0.25">
      <c r="A452" s="22">
        <v>41304</v>
      </c>
      <c r="B452" s="15" t="s">
        <v>51</v>
      </c>
      <c r="C452" s="23" t="s">
        <v>45</v>
      </c>
      <c r="D452" s="74">
        <v>9.1799999999999993E-2</v>
      </c>
      <c r="E452" s="74">
        <v>3.9399999999999998E-2</v>
      </c>
      <c r="F452" s="76">
        <f t="shared" si="11"/>
        <v>0.42919389978213507</v>
      </c>
      <c r="G452" s="74">
        <f>AVERAGE(F452:F455)</f>
        <v>0.43733826298750345</v>
      </c>
    </row>
    <row r="453" spans="1:7" x14ac:dyDescent="0.25">
      <c r="A453" s="22">
        <v>41304</v>
      </c>
      <c r="B453" s="15" t="s">
        <v>51</v>
      </c>
      <c r="C453" s="23" t="s">
        <v>46</v>
      </c>
      <c r="D453" s="74">
        <v>6.8199999999999997E-2</v>
      </c>
      <c r="E453" s="74">
        <v>3.0699999999999998E-2</v>
      </c>
      <c r="F453" s="76">
        <f t="shared" si="11"/>
        <v>0.45014662756598239</v>
      </c>
      <c r="G453" s="74"/>
    </row>
    <row r="454" spans="1:7" x14ac:dyDescent="0.25">
      <c r="A454" s="22">
        <v>41304</v>
      </c>
      <c r="B454" s="15" t="s">
        <v>51</v>
      </c>
      <c r="C454" s="23" t="s">
        <v>47</v>
      </c>
      <c r="D454" s="74">
        <v>6.2100000000000002E-2</v>
      </c>
      <c r="E454" s="74">
        <v>2.63E-2</v>
      </c>
      <c r="F454" s="76">
        <f t="shared" si="11"/>
        <v>0.42351046698872785</v>
      </c>
      <c r="G454" s="74"/>
    </row>
    <row r="455" spans="1:7" x14ac:dyDescent="0.25">
      <c r="A455" s="22">
        <v>41304</v>
      </c>
      <c r="B455" s="15" t="s">
        <v>51</v>
      </c>
      <c r="C455" s="23" t="s">
        <v>48</v>
      </c>
      <c r="D455" s="74">
        <v>4.8600000000000004E-2</v>
      </c>
      <c r="E455" s="74">
        <v>2.1700000000000001E-2</v>
      </c>
      <c r="F455" s="76">
        <f t="shared" si="11"/>
        <v>0.44650205761316869</v>
      </c>
      <c r="G455" s="74"/>
    </row>
    <row r="456" spans="1:7" x14ac:dyDescent="0.25">
      <c r="A456" s="22">
        <v>41305</v>
      </c>
      <c r="B456" s="15" t="s">
        <v>44</v>
      </c>
      <c r="C456" s="23" t="s">
        <v>45</v>
      </c>
      <c r="D456" s="74">
        <v>0.17780000000000001</v>
      </c>
      <c r="E456" s="74">
        <v>7.5400000000000009E-2</v>
      </c>
      <c r="F456" s="76">
        <f t="shared" si="11"/>
        <v>0.42407199100112486</v>
      </c>
      <c r="G456" s="74">
        <f>AVERAGE(F456:F459)</f>
        <v>0.41104625693306918</v>
      </c>
    </row>
    <row r="457" spans="1:7" x14ac:dyDescent="0.25">
      <c r="A457" s="22">
        <v>41305</v>
      </c>
      <c r="B457" s="15" t="s">
        <v>44</v>
      </c>
      <c r="C457" s="23" t="s">
        <v>46</v>
      </c>
      <c r="D457" s="74">
        <v>0.20180000000000001</v>
      </c>
      <c r="E457" s="74">
        <v>8.4000000000000005E-2</v>
      </c>
      <c r="F457" s="76">
        <f t="shared" si="11"/>
        <v>0.41625371655104065</v>
      </c>
      <c r="G457" s="74"/>
    </row>
    <row r="458" spans="1:7" x14ac:dyDescent="0.25">
      <c r="A458" s="22">
        <v>41305</v>
      </c>
      <c r="B458" s="15" t="s">
        <v>44</v>
      </c>
      <c r="C458" s="23" t="s">
        <v>47</v>
      </c>
      <c r="D458" s="74">
        <v>0.14880000000000002</v>
      </c>
      <c r="E458" s="74">
        <v>6.3200000000000006E-2</v>
      </c>
      <c r="F458" s="76">
        <f t="shared" si="11"/>
        <v>0.42473118279569894</v>
      </c>
      <c r="G458" s="74"/>
    </row>
    <row r="459" spans="1:7" x14ac:dyDescent="0.25">
      <c r="A459" s="22">
        <v>41305</v>
      </c>
      <c r="B459" s="15" t="s">
        <v>44</v>
      </c>
      <c r="C459" s="23" t="s">
        <v>48</v>
      </c>
      <c r="D459" s="74">
        <v>0.15140000000000001</v>
      </c>
      <c r="E459" s="74">
        <v>5.74E-2</v>
      </c>
      <c r="F459" s="76">
        <f t="shared" si="11"/>
        <v>0.37912813738441214</v>
      </c>
      <c r="G459" s="74"/>
    </row>
    <row r="460" spans="1:7" x14ac:dyDescent="0.25">
      <c r="A460" s="22">
        <v>41305</v>
      </c>
      <c r="B460" s="15" t="s">
        <v>49</v>
      </c>
      <c r="C460" s="23" t="s">
        <v>45</v>
      </c>
      <c r="D460" s="74">
        <v>0.15359999999999999</v>
      </c>
      <c r="E460" s="74">
        <v>9.9199999999999997E-2</v>
      </c>
      <c r="F460" s="76">
        <f t="shared" si="11"/>
        <v>0.64583333333333337</v>
      </c>
      <c r="G460" s="74">
        <f>AVERAGE(F460:F463)</f>
        <v>0.51531402989928066</v>
      </c>
    </row>
    <row r="461" spans="1:7" x14ac:dyDescent="0.25">
      <c r="A461" s="22">
        <v>41305</v>
      </c>
      <c r="B461" s="15" t="s">
        <v>49</v>
      </c>
      <c r="C461" s="23" t="s">
        <v>46</v>
      </c>
      <c r="D461" s="74">
        <v>0.16340000000000002</v>
      </c>
      <c r="E461" s="74">
        <v>7.4999999999999997E-2</v>
      </c>
      <c r="F461" s="76">
        <f t="shared" si="11"/>
        <v>0.45899632802937568</v>
      </c>
      <c r="G461" s="74"/>
    </row>
    <row r="462" spans="1:7" x14ac:dyDescent="0.25">
      <c r="A462" s="22">
        <v>41305</v>
      </c>
      <c r="B462" s="15" t="s">
        <v>49</v>
      </c>
      <c r="C462" s="23" t="s">
        <v>47</v>
      </c>
      <c r="D462" s="74">
        <v>0.15719999999999998</v>
      </c>
      <c r="E462" s="74">
        <v>8.0399999999999999E-2</v>
      </c>
      <c r="F462" s="76">
        <f t="shared" si="11"/>
        <v>0.51145038167938939</v>
      </c>
      <c r="G462" s="74"/>
    </row>
    <row r="463" spans="1:7" x14ac:dyDescent="0.25">
      <c r="A463" s="22">
        <v>41305</v>
      </c>
      <c r="B463" s="15" t="s">
        <v>49</v>
      </c>
      <c r="C463" s="23" t="s">
        <v>48</v>
      </c>
      <c r="D463" s="74">
        <v>0.16719999999999999</v>
      </c>
      <c r="E463" s="74">
        <v>7.4400000000000008E-2</v>
      </c>
      <c r="F463" s="76">
        <f t="shared" si="11"/>
        <v>0.44497607655502402</v>
      </c>
      <c r="G463" s="74"/>
    </row>
    <row r="464" spans="1:7" x14ac:dyDescent="0.25">
      <c r="A464" s="22">
        <v>41305</v>
      </c>
      <c r="B464" s="15" t="s">
        <v>50</v>
      </c>
      <c r="C464" s="23" t="s">
        <v>45</v>
      </c>
      <c r="D464" s="74">
        <v>6.4700000000000008E-2</v>
      </c>
      <c r="E464" s="74">
        <v>2.4399999999999998E-2</v>
      </c>
      <c r="F464" s="76">
        <f t="shared" si="11"/>
        <v>0.3771251931993817</v>
      </c>
      <c r="G464" s="74">
        <f>AVERAGE(F464:F467)</f>
        <v>0.45655065493797897</v>
      </c>
    </row>
    <row r="465" spans="1:7" x14ac:dyDescent="0.25">
      <c r="A465" s="22">
        <v>41305</v>
      </c>
      <c r="B465" s="15" t="s">
        <v>50</v>
      </c>
      <c r="C465" s="23" t="s">
        <v>46</v>
      </c>
      <c r="D465" s="74">
        <v>5.3499999999999999E-2</v>
      </c>
      <c r="E465" s="74">
        <v>2.8199999999999999E-2</v>
      </c>
      <c r="F465" s="76">
        <f t="shared" si="11"/>
        <v>0.52710280373831775</v>
      </c>
      <c r="G465" s="74"/>
    </row>
    <row r="466" spans="1:7" x14ac:dyDescent="0.25">
      <c r="A466" s="22">
        <v>41305</v>
      </c>
      <c r="B466" s="15" t="s">
        <v>50</v>
      </c>
      <c r="C466" s="23" t="s">
        <v>47</v>
      </c>
      <c r="D466" s="74">
        <v>4.3400000000000001E-2</v>
      </c>
      <c r="E466" s="74">
        <v>1.9800000000000002E-2</v>
      </c>
      <c r="F466" s="76">
        <f t="shared" si="11"/>
        <v>0.45622119815668205</v>
      </c>
      <c r="G466" s="74"/>
    </row>
    <row r="467" spans="1:7" x14ac:dyDescent="0.25">
      <c r="A467" s="22">
        <v>41305</v>
      </c>
      <c r="B467" s="15" t="s">
        <v>50</v>
      </c>
      <c r="C467" s="23" t="s">
        <v>48</v>
      </c>
      <c r="D467" s="74">
        <v>4.3799999999999999E-2</v>
      </c>
      <c r="E467" s="74">
        <v>2.0399999999999998E-2</v>
      </c>
      <c r="F467" s="76">
        <f t="shared" si="11"/>
        <v>0.46575342465753422</v>
      </c>
      <c r="G467" s="74"/>
    </row>
    <row r="468" spans="1:7" x14ac:dyDescent="0.25">
      <c r="A468" s="22">
        <v>41305</v>
      </c>
      <c r="B468" s="15" t="s">
        <v>51</v>
      </c>
      <c r="C468" s="23" t="s">
        <v>45</v>
      </c>
      <c r="D468" s="74">
        <v>0.19475000000000001</v>
      </c>
      <c r="E468" s="74">
        <v>7.4480000000000005E-2</v>
      </c>
      <c r="F468" s="76">
        <f t="shared" si="11"/>
        <v>0.38243902439024391</v>
      </c>
      <c r="G468" s="74">
        <f>AVERAGE(F468:F471)</f>
        <v>0.44083679548741694</v>
      </c>
    </row>
    <row r="469" spans="1:7" x14ac:dyDescent="0.25">
      <c r="A469" s="22">
        <v>41305</v>
      </c>
      <c r="B469" s="15" t="s">
        <v>51</v>
      </c>
      <c r="C469" s="23" t="s">
        <v>46</v>
      </c>
      <c r="D469" s="74">
        <v>0.11627999999999999</v>
      </c>
      <c r="E469" s="74">
        <v>5.339E-2</v>
      </c>
      <c r="F469" s="76">
        <f t="shared" si="11"/>
        <v>0.45915032679738566</v>
      </c>
      <c r="G469" s="74"/>
    </row>
    <row r="470" spans="1:7" x14ac:dyDescent="0.25">
      <c r="A470" s="22">
        <v>41305</v>
      </c>
      <c r="B470" s="15" t="s">
        <v>51</v>
      </c>
      <c r="C470" s="23" t="s">
        <v>47</v>
      </c>
      <c r="D470" s="74">
        <v>0.13547000000000001</v>
      </c>
      <c r="E470" s="74">
        <v>6.7069999999999991E-2</v>
      </c>
      <c r="F470" s="76">
        <f t="shared" si="11"/>
        <v>0.49509116409537157</v>
      </c>
      <c r="G470" s="74"/>
    </row>
    <row r="471" spans="1:7" x14ac:dyDescent="0.25">
      <c r="A471" s="22">
        <v>41305</v>
      </c>
      <c r="B471" s="15" t="s">
        <v>51</v>
      </c>
      <c r="C471" s="23" t="s">
        <v>48</v>
      </c>
      <c r="D471" s="74">
        <v>0.18525</v>
      </c>
      <c r="E471" s="74">
        <v>7.9040000000000013E-2</v>
      </c>
      <c r="F471" s="76">
        <f t="shared" si="11"/>
        <v>0.42666666666666675</v>
      </c>
      <c r="G471" s="74"/>
    </row>
    <row r="472" spans="1:7" x14ac:dyDescent="0.25">
      <c r="A472" s="22">
        <v>41403</v>
      </c>
      <c r="B472" s="15" t="s">
        <v>44</v>
      </c>
      <c r="C472" s="23" t="s">
        <v>45</v>
      </c>
      <c r="D472" s="74">
        <v>0.26519999999999999</v>
      </c>
      <c r="E472" s="74">
        <v>8.7040000000000006E-2</v>
      </c>
      <c r="F472" s="76">
        <f>E472/D472</f>
        <v>0.32820512820512826</v>
      </c>
      <c r="G472" s="74">
        <f>AVERAGE(F472:F475)</f>
        <v>0.32319108403635183</v>
      </c>
    </row>
    <row r="473" spans="1:7" x14ac:dyDescent="0.25">
      <c r="A473" s="22">
        <v>41403</v>
      </c>
      <c r="B473" s="15" t="s">
        <v>44</v>
      </c>
      <c r="C473" s="23" t="s">
        <v>46</v>
      </c>
      <c r="D473" s="74">
        <v>0.26894000000000001</v>
      </c>
      <c r="E473" s="74">
        <v>8.9079999999999993E-2</v>
      </c>
      <c r="F473" s="76">
        <f>E473/D473</f>
        <v>0.33122629582806568</v>
      </c>
      <c r="G473" s="74"/>
    </row>
    <row r="474" spans="1:7" x14ac:dyDescent="0.25">
      <c r="A474" s="22">
        <v>41403</v>
      </c>
      <c r="B474" s="15" t="s">
        <v>44</v>
      </c>
      <c r="C474" s="23" t="s">
        <v>47</v>
      </c>
      <c r="D474" s="74">
        <v>0.31654000000000004</v>
      </c>
      <c r="E474" s="74">
        <v>0.10812000000000001</v>
      </c>
      <c r="F474" s="76">
        <f>E474/D474</f>
        <v>0.34156820622986034</v>
      </c>
      <c r="G474" s="74"/>
    </row>
    <row r="475" spans="1:7" x14ac:dyDescent="0.25">
      <c r="A475" s="22">
        <v>41403</v>
      </c>
      <c r="B475" s="15" t="s">
        <v>44</v>
      </c>
      <c r="C475" s="23" t="s">
        <v>48</v>
      </c>
      <c r="D475" s="74">
        <v>0.28899999999999998</v>
      </c>
      <c r="E475" s="74">
        <v>8.4319999999999992E-2</v>
      </c>
      <c r="F475" s="76">
        <f>E475/D475</f>
        <v>0.29176470588235293</v>
      </c>
      <c r="G475" s="74"/>
    </row>
    <row r="476" spans="1:7" x14ac:dyDescent="0.25">
      <c r="A476" s="22">
        <v>41403</v>
      </c>
      <c r="B476" s="15" t="s">
        <v>49</v>
      </c>
      <c r="C476" s="23" t="s">
        <v>45</v>
      </c>
      <c r="D476" s="74">
        <v>0.21924000000000002</v>
      </c>
      <c r="E476" s="74">
        <v>6.966E-2</v>
      </c>
      <c r="F476" s="76">
        <f t="shared" ref="F476:F503" si="12">E476/D476</f>
        <v>0.3177339901477832</v>
      </c>
      <c r="G476" s="74">
        <f>AVERAGE(F476:F479)</f>
        <v>0.41045954971926624</v>
      </c>
    </row>
    <row r="477" spans="1:7" x14ac:dyDescent="0.25">
      <c r="A477" s="22">
        <v>41403</v>
      </c>
      <c r="B477" s="15" t="s">
        <v>49</v>
      </c>
      <c r="C477" s="23" t="s">
        <v>46</v>
      </c>
      <c r="D477" s="74">
        <v>0.144315</v>
      </c>
      <c r="E477" s="74">
        <v>5.1840000000000004E-2</v>
      </c>
      <c r="F477" s="76">
        <f>E477/D477</f>
        <v>0.35921421889616467</v>
      </c>
      <c r="G477" s="74"/>
    </row>
    <row r="478" spans="1:7" x14ac:dyDescent="0.25">
      <c r="A478" s="22">
        <v>41403</v>
      </c>
      <c r="B478" s="15" t="s">
        <v>49</v>
      </c>
      <c r="C478" s="23" t="s">
        <v>47</v>
      </c>
      <c r="D478" s="74">
        <v>0.17685000000000001</v>
      </c>
      <c r="E478" s="74">
        <v>9.1260000000000008E-2</v>
      </c>
      <c r="F478" s="76">
        <f>E478/D478</f>
        <v>0.5160305343511451</v>
      </c>
      <c r="G478" s="74"/>
    </row>
    <row r="479" spans="1:7" x14ac:dyDescent="0.25">
      <c r="A479" s="22">
        <v>41403</v>
      </c>
      <c r="B479" s="15" t="s">
        <v>49</v>
      </c>
      <c r="C479" s="23" t="s">
        <v>48</v>
      </c>
      <c r="D479" s="74">
        <v>0.18346500000000002</v>
      </c>
      <c r="E479" s="74">
        <v>8.2349999999999993E-2</v>
      </c>
      <c r="F479" s="76">
        <f t="shared" si="12"/>
        <v>0.44885945548197198</v>
      </c>
      <c r="G479" s="74"/>
    </row>
    <row r="480" spans="1:7" x14ac:dyDescent="0.25">
      <c r="A480" s="22">
        <v>41403</v>
      </c>
      <c r="B480" s="15" t="s">
        <v>50</v>
      </c>
      <c r="C480" s="23" t="s">
        <v>45</v>
      </c>
      <c r="D480" s="74">
        <v>9.5299999999999996E-2</v>
      </c>
      <c r="E480" s="74">
        <v>3.78E-2</v>
      </c>
      <c r="F480" s="76">
        <f t="shared" si="12"/>
        <v>0.39664218258132217</v>
      </c>
      <c r="G480" s="74">
        <f>AVERAGE(F480:F483)</f>
        <v>0.39209151931816372</v>
      </c>
    </row>
    <row r="481" spans="1:7" x14ac:dyDescent="0.25">
      <c r="A481" s="22">
        <v>41403</v>
      </c>
      <c r="B481" s="15" t="s">
        <v>50</v>
      </c>
      <c r="C481" s="23" t="s">
        <v>46</v>
      </c>
      <c r="D481" s="74">
        <v>0.1028</v>
      </c>
      <c r="E481" s="74">
        <v>4.1700000000000001E-2</v>
      </c>
      <c r="F481" s="76">
        <f t="shared" si="12"/>
        <v>0.4056420233463035</v>
      </c>
      <c r="G481" s="74"/>
    </row>
    <row r="482" spans="1:7" x14ac:dyDescent="0.25">
      <c r="A482" s="22">
        <v>41403</v>
      </c>
      <c r="B482" s="15" t="s">
        <v>50</v>
      </c>
      <c r="C482" s="23" t="s">
        <v>47</v>
      </c>
      <c r="D482" s="74">
        <v>0.1368</v>
      </c>
      <c r="E482" s="74">
        <v>5.3499999999999999E-2</v>
      </c>
      <c r="F482" s="76">
        <f t="shared" si="12"/>
        <v>0.3910818713450292</v>
      </c>
      <c r="G482" s="74"/>
    </row>
    <row r="483" spans="1:7" x14ac:dyDescent="0.25">
      <c r="A483" s="22">
        <v>41403</v>
      </c>
      <c r="B483" s="15" t="s">
        <v>50</v>
      </c>
      <c r="C483" s="23" t="s">
        <v>48</v>
      </c>
      <c r="D483" s="74">
        <v>0.12</v>
      </c>
      <c r="E483" s="74">
        <v>4.4999999999999998E-2</v>
      </c>
      <c r="F483" s="76">
        <f t="shared" si="12"/>
        <v>0.375</v>
      </c>
      <c r="G483" s="74"/>
    </row>
    <row r="484" spans="1:7" x14ac:dyDescent="0.25">
      <c r="A484" s="22">
        <v>41403</v>
      </c>
      <c r="B484" s="15" t="s">
        <v>51</v>
      </c>
      <c r="C484" s="23" t="s">
        <v>45</v>
      </c>
      <c r="D484" s="74">
        <v>7.2300000000000003E-2</v>
      </c>
      <c r="E484" s="74">
        <v>3.6400000000000002E-2</v>
      </c>
      <c r="F484" s="76">
        <f t="shared" si="12"/>
        <v>0.50345781466113415</v>
      </c>
      <c r="G484" s="74">
        <f>AVERAGE(F484:F487)</f>
        <v>0.51328273224130538</v>
      </c>
    </row>
    <row r="485" spans="1:7" x14ac:dyDescent="0.25">
      <c r="A485" s="22">
        <v>41403</v>
      </c>
      <c r="B485" s="15" t="s">
        <v>51</v>
      </c>
      <c r="C485" s="23" t="s">
        <v>46</v>
      </c>
      <c r="D485" s="74">
        <v>8.2900000000000001E-2</v>
      </c>
      <c r="E485" s="74">
        <v>4.4400000000000002E-2</v>
      </c>
      <c r="F485" s="76">
        <f t="shared" si="12"/>
        <v>0.53558504221954162</v>
      </c>
      <c r="G485" s="74"/>
    </row>
    <row r="486" spans="1:7" x14ac:dyDescent="0.25">
      <c r="A486" s="22">
        <v>41403</v>
      </c>
      <c r="B486" s="15" t="s">
        <v>51</v>
      </c>
      <c r="C486" s="23" t="s">
        <v>47</v>
      </c>
      <c r="D486" s="74">
        <v>9.5799999999999996E-2</v>
      </c>
      <c r="E486" s="74">
        <v>4.9200000000000001E-2</v>
      </c>
      <c r="F486" s="76">
        <f t="shared" si="12"/>
        <v>0.51356993736951984</v>
      </c>
      <c r="G486" s="74"/>
    </row>
    <row r="487" spans="1:7" x14ac:dyDescent="0.25">
      <c r="A487" s="22">
        <v>41403</v>
      </c>
      <c r="B487" s="15" t="s">
        <v>51</v>
      </c>
      <c r="C487" s="23" t="s">
        <v>48</v>
      </c>
      <c r="D487" s="74">
        <v>9.6500000000000002E-2</v>
      </c>
      <c r="E487" s="74">
        <v>4.8299999999999996E-2</v>
      </c>
      <c r="F487" s="76">
        <f t="shared" si="12"/>
        <v>0.50051813471502582</v>
      </c>
      <c r="G487" s="74"/>
    </row>
    <row r="488" spans="1:7" x14ac:dyDescent="0.25">
      <c r="A488" s="22">
        <v>41402</v>
      </c>
      <c r="B488" s="15" t="s">
        <v>44</v>
      </c>
      <c r="C488" s="23" t="s">
        <v>45</v>
      </c>
      <c r="D488" s="74">
        <v>0.35239999999999999</v>
      </c>
      <c r="E488" s="74">
        <v>7.7799999999999994E-2</v>
      </c>
      <c r="F488" s="76">
        <f t="shared" si="12"/>
        <v>0.22077185017026105</v>
      </c>
      <c r="G488" s="74">
        <f>AVERAGE(F488:F491)</f>
        <v>0.23815968120392925</v>
      </c>
    </row>
    <row r="489" spans="1:7" x14ac:dyDescent="0.25">
      <c r="A489" s="22">
        <v>41402</v>
      </c>
      <c r="B489" s="15" t="s">
        <v>44</v>
      </c>
      <c r="C489" s="23" t="s">
        <v>46</v>
      </c>
      <c r="D489" s="74">
        <v>0.39860000000000001</v>
      </c>
      <c r="E489" s="74">
        <v>9.6000000000000002E-2</v>
      </c>
      <c r="F489" s="76">
        <f t="shared" si="12"/>
        <v>0.2408429503261415</v>
      </c>
      <c r="G489" s="74"/>
    </row>
    <row r="490" spans="1:7" x14ac:dyDescent="0.25">
      <c r="A490" s="22">
        <v>41402</v>
      </c>
      <c r="B490" s="15" t="s">
        <v>44</v>
      </c>
      <c r="C490" s="23" t="s">
        <v>47</v>
      </c>
      <c r="D490" s="74">
        <v>0.42460000000000003</v>
      </c>
      <c r="E490" s="74">
        <v>0.1124</v>
      </c>
      <c r="F490" s="76">
        <f t="shared" si="12"/>
        <v>0.26471973622232686</v>
      </c>
      <c r="G490" s="74"/>
    </row>
    <row r="491" spans="1:7" x14ac:dyDescent="0.25">
      <c r="A491" s="22">
        <v>41402</v>
      </c>
      <c r="B491" s="15" t="s">
        <v>44</v>
      </c>
      <c r="C491" s="23" t="s">
        <v>48</v>
      </c>
      <c r="D491" s="74">
        <v>0.2722</v>
      </c>
      <c r="E491" s="74">
        <v>6.1600000000000002E-2</v>
      </c>
      <c r="F491" s="76">
        <f t="shared" si="12"/>
        <v>0.22630418809698752</v>
      </c>
      <c r="G491" s="74"/>
    </row>
    <row r="492" spans="1:7" x14ac:dyDescent="0.25">
      <c r="A492" s="22">
        <v>41402</v>
      </c>
      <c r="B492" s="15" t="s">
        <v>49</v>
      </c>
      <c r="C492" s="23" t="s">
        <v>45</v>
      </c>
      <c r="D492" s="74">
        <v>3.8200000000000005E-2</v>
      </c>
      <c r="E492" s="74">
        <v>1.8200000000000001E-2</v>
      </c>
      <c r="F492" s="76">
        <f t="shared" si="12"/>
        <v>0.47643979057591618</v>
      </c>
      <c r="G492" s="74">
        <f>AVERAGE(F492:F495)</f>
        <v>0.49172126258713256</v>
      </c>
    </row>
    <row r="493" spans="1:7" x14ac:dyDescent="0.25">
      <c r="A493" s="22">
        <v>41402</v>
      </c>
      <c r="B493" s="15" t="s">
        <v>49</v>
      </c>
      <c r="C493" s="23" t="s">
        <v>46</v>
      </c>
      <c r="D493" s="74">
        <v>1.44E-2</v>
      </c>
      <c r="E493" s="74">
        <v>6.4000000000000003E-3</v>
      </c>
      <c r="F493" s="76">
        <f t="shared" si="12"/>
        <v>0.44444444444444448</v>
      </c>
      <c r="G493" s="74"/>
    </row>
    <row r="494" spans="1:7" x14ac:dyDescent="0.25">
      <c r="A494" s="22">
        <v>41402</v>
      </c>
      <c r="B494" s="15" t="s">
        <v>49</v>
      </c>
      <c r="C494" s="23" t="s">
        <v>47</v>
      </c>
      <c r="D494" s="74">
        <v>2.23E-2</v>
      </c>
      <c r="E494" s="74">
        <v>1.0999999999999999E-2</v>
      </c>
      <c r="F494" s="76">
        <f t="shared" si="12"/>
        <v>0.49327354260089684</v>
      </c>
      <c r="G494" s="74"/>
    </row>
    <row r="495" spans="1:7" x14ac:dyDescent="0.25">
      <c r="A495" s="22">
        <v>41402</v>
      </c>
      <c r="B495" s="15" t="s">
        <v>49</v>
      </c>
      <c r="C495" s="23" t="s">
        <v>48</v>
      </c>
      <c r="D495" s="74">
        <v>2.75E-2</v>
      </c>
      <c r="E495" s="74">
        <v>1.52E-2</v>
      </c>
      <c r="F495" s="76">
        <f t="shared" si="12"/>
        <v>0.55272727272727273</v>
      </c>
      <c r="G495" s="74"/>
    </row>
    <row r="496" spans="1:7" x14ac:dyDescent="0.25">
      <c r="A496" s="22">
        <v>41402</v>
      </c>
      <c r="B496" s="15" t="s">
        <v>50</v>
      </c>
      <c r="C496" s="23" t="s">
        <v>45</v>
      </c>
      <c r="D496" s="74">
        <v>3.2600000000000004E-2</v>
      </c>
      <c r="E496" s="74">
        <v>1.0999999999999999E-2</v>
      </c>
      <c r="F496" s="76">
        <f t="shared" si="12"/>
        <v>0.33742331288343552</v>
      </c>
      <c r="G496" s="74">
        <f>AVERAGE(F496:F499)</f>
        <v>0.3296061542240839</v>
      </c>
    </row>
    <row r="497" spans="1:7" x14ac:dyDescent="0.25">
      <c r="A497" s="22">
        <v>41402</v>
      </c>
      <c r="B497" s="15" t="s">
        <v>50</v>
      </c>
      <c r="C497" s="23" t="s">
        <v>46</v>
      </c>
      <c r="D497" s="74">
        <v>2.58E-2</v>
      </c>
      <c r="E497" s="74">
        <v>8.8999999999999999E-3</v>
      </c>
      <c r="F497" s="76">
        <f t="shared" si="12"/>
        <v>0.34496124031007752</v>
      </c>
      <c r="G497" s="74"/>
    </row>
    <row r="498" spans="1:7" x14ac:dyDescent="0.25">
      <c r="A498" s="22">
        <v>41402</v>
      </c>
      <c r="B498" s="15" t="s">
        <v>50</v>
      </c>
      <c r="C498" s="23" t="s">
        <v>47</v>
      </c>
      <c r="D498" s="74">
        <v>4.9399999999999999E-2</v>
      </c>
      <c r="E498" s="74">
        <v>1.55E-2</v>
      </c>
      <c r="F498" s="76">
        <f t="shared" si="12"/>
        <v>0.31376518218623484</v>
      </c>
      <c r="G498" s="74"/>
    </row>
    <row r="499" spans="1:7" x14ac:dyDescent="0.25">
      <c r="A499" s="22">
        <v>41402</v>
      </c>
      <c r="B499" s="15" t="s">
        <v>50</v>
      </c>
      <c r="C499" s="23" t="s">
        <v>48</v>
      </c>
      <c r="D499" s="74">
        <v>4.2200000000000001E-2</v>
      </c>
      <c r="E499" s="74">
        <v>1.3599999999999999E-2</v>
      </c>
      <c r="F499" s="76">
        <f t="shared" si="12"/>
        <v>0.32227488151658767</v>
      </c>
      <c r="G499" s="74"/>
    </row>
    <row r="500" spans="1:7" x14ac:dyDescent="0.25">
      <c r="A500" s="22">
        <v>41402</v>
      </c>
      <c r="B500" s="15" t="s">
        <v>51</v>
      </c>
      <c r="C500" s="23" t="s">
        <v>45</v>
      </c>
      <c r="D500" s="74">
        <v>3.0800000000000001E-2</v>
      </c>
      <c r="E500" s="74">
        <v>1.6399999999999998E-2</v>
      </c>
      <c r="F500" s="76">
        <f t="shared" si="12"/>
        <v>0.53246753246753242</v>
      </c>
      <c r="G500" s="74">
        <f>AVERAGE(F500:F503)</f>
        <v>0.51434135842023176</v>
      </c>
    </row>
    <row r="501" spans="1:7" x14ac:dyDescent="0.25">
      <c r="A501" s="22">
        <v>41402</v>
      </c>
      <c r="B501" s="15" t="s">
        <v>51</v>
      </c>
      <c r="C501" s="23" t="s">
        <v>46</v>
      </c>
      <c r="D501" s="74">
        <v>3.2000000000000001E-2</v>
      </c>
      <c r="E501" s="74">
        <v>1.54E-2</v>
      </c>
      <c r="F501" s="76">
        <f t="shared" si="12"/>
        <v>0.48125000000000001</v>
      </c>
      <c r="G501" s="74"/>
    </row>
    <row r="502" spans="1:7" x14ac:dyDescent="0.25">
      <c r="A502" s="22">
        <v>41402</v>
      </c>
      <c r="B502" s="15" t="s">
        <v>51</v>
      </c>
      <c r="C502" s="23" t="s">
        <v>47</v>
      </c>
      <c r="D502" s="74">
        <v>4.1500000000000002E-2</v>
      </c>
      <c r="E502" s="74">
        <v>1.8499999999999999E-2</v>
      </c>
      <c r="F502" s="76">
        <f t="shared" si="12"/>
        <v>0.44578313253012042</v>
      </c>
      <c r="G502" s="74"/>
    </row>
    <row r="503" spans="1:7" x14ac:dyDescent="0.25">
      <c r="A503" s="22">
        <v>41402</v>
      </c>
      <c r="B503" s="15" t="s">
        <v>51</v>
      </c>
      <c r="C503" s="23" t="s">
        <v>48</v>
      </c>
      <c r="D503" s="74">
        <v>2.81E-2</v>
      </c>
      <c r="E503" s="74">
        <v>1.6800000000000002E-2</v>
      </c>
      <c r="F503" s="76">
        <f t="shared" si="12"/>
        <v>0.59786476868327409</v>
      </c>
      <c r="G503" s="74"/>
    </row>
    <row r="504" spans="1:7" x14ac:dyDescent="0.25">
      <c r="A504" s="22">
        <v>41489</v>
      </c>
      <c r="B504" s="15" t="s">
        <v>44</v>
      </c>
      <c r="C504" s="23" t="s">
        <v>45</v>
      </c>
      <c r="D504" s="75">
        <v>0.20526</v>
      </c>
      <c r="E504" s="75">
        <v>5.6496000000000005E-2</v>
      </c>
      <c r="F504" s="76">
        <f>E504/D504</f>
        <v>0.2752411575562701</v>
      </c>
      <c r="G504" s="75">
        <f>AVERAGE(F504:F507)</f>
        <v>0.23291938997277897</v>
      </c>
    </row>
    <row r="505" spans="1:7" x14ac:dyDescent="0.25">
      <c r="A505" s="22">
        <v>41489</v>
      </c>
      <c r="B505" s="15" t="s">
        <v>44</v>
      </c>
      <c r="C505" s="23" t="s">
        <v>46</v>
      </c>
      <c r="D505" s="75">
        <v>0.21212400000000001</v>
      </c>
      <c r="E505" s="75">
        <v>4.6859999999999999E-2</v>
      </c>
      <c r="F505" s="76">
        <f>E505/D505</f>
        <v>0.22090852520224019</v>
      </c>
      <c r="G505" s="75"/>
    </row>
    <row r="506" spans="1:7" x14ac:dyDescent="0.25">
      <c r="A506" s="22">
        <v>41489</v>
      </c>
      <c r="B506" s="15" t="s">
        <v>44</v>
      </c>
      <c r="C506" s="23" t="s">
        <v>47</v>
      </c>
      <c r="D506" s="75">
        <v>0.19760399999999997</v>
      </c>
      <c r="E506" s="75">
        <v>3.8676000000000002E-2</v>
      </c>
      <c r="F506" s="76">
        <f>E506/D506</f>
        <v>0.19572478289913164</v>
      </c>
      <c r="G506" s="75"/>
    </row>
    <row r="507" spans="1:7" x14ac:dyDescent="0.25">
      <c r="A507" s="22">
        <v>41489</v>
      </c>
      <c r="B507" s="15" t="s">
        <v>44</v>
      </c>
      <c r="C507" s="23" t="s">
        <v>48</v>
      </c>
      <c r="D507" s="75">
        <v>0.18770400000000001</v>
      </c>
      <c r="E507" s="75">
        <v>4.5012000000000003E-2</v>
      </c>
      <c r="F507" s="76">
        <f>E507/D507</f>
        <v>0.23980309423347398</v>
      </c>
      <c r="G507" s="75"/>
    </row>
    <row r="508" spans="1:7" x14ac:dyDescent="0.25">
      <c r="A508" s="22">
        <v>41489</v>
      </c>
      <c r="B508" s="15" t="s">
        <v>49</v>
      </c>
      <c r="C508" s="23" t="s">
        <v>45</v>
      </c>
      <c r="D508" s="75">
        <v>6.4999999999999997E-3</v>
      </c>
      <c r="E508" s="75">
        <v>3.8999999999999998E-3</v>
      </c>
      <c r="F508" s="76">
        <f t="shared" ref="F508:F535" si="13">E508/D508</f>
        <v>0.6</v>
      </c>
      <c r="G508" s="75">
        <f>AVERAGE(F508:F511)</f>
        <v>0.54598532494758911</v>
      </c>
    </row>
    <row r="509" spans="1:7" x14ac:dyDescent="0.25">
      <c r="A509" s="22">
        <v>41489</v>
      </c>
      <c r="B509" s="15" t="s">
        <v>49</v>
      </c>
      <c r="C509" s="23" t="s">
        <v>46</v>
      </c>
      <c r="D509" s="75">
        <v>5.0000000000000001E-3</v>
      </c>
      <c r="E509" s="75">
        <v>2.5999999999999999E-3</v>
      </c>
      <c r="F509" s="76">
        <f>E509/D509</f>
        <v>0.52</v>
      </c>
      <c r="G509" s="75"/>
    </row>
    <row r="510" spans="1:7" x14ac:dyDescent="0.25">
      <c r="A510" s="22">
        <v>41489</v>
      </c>
      <c r="B510" s="15" t="s">
        <v>49</v>
      </c>
      <c r="C510" s="23" t="s">
        <v>47</v>
      </c>
      <c r="D510" s="75">
        <v>5.4000000000000003E-3</v>
      </c>
      <c r="E510" s="75">
        <v>3.3E-3</v>
      </c>
      <c r="F510" s="76">
        <f>E510/D510</f>
        <v>0.61111111111111105</v>
      </c>
      <c r="G510" s="75"/>
    </row>
    <row r="511" spans="1:7" x14ac:dyDescent="0.25">
      <c r="A511" s="22">
        <v>41489</v>
      </c>
      <c r="B511" s="15" t="s">
        <v>49</v>
      </c>
      <c r="C511" s="23" t="s">
        <v>48</v>
      </c>
      <c r="D511" s="75">
        <v>5.3E-3</v>
      </c>
      <c r="E511" s="75">
        <v>2.3999999999999998E-3</v>
      </c>
      <c r="F511" s="76">
        <f t="shared" si="13"/>
        <v>0.45283018867924524</v>
      </c>
      <c r="G511" s="75"/>
    </row>
    <row r="512" spans="1:7" x14ac:dyDescent="0.25">
      <c r="A512" s="22">
        <v>41489</v>
      </c>
      <c r="B512" s="15" t="s">
        <v>50</v>
      </c>
      <c r="C512" s="23" t="s">
        <v>45</v>
      </c>
      <c r="D512" s="75">
        <v>1.78E-2</v>
      </c>
      <c r="E512" s="75">
        <v>7.4000000000000003E-3</v>
      </c>
      <c r="F512" s="76">
        <f t="shared" si="13"/>
        <v>0.4157303370786517</v>
      </c>
      <c r="G512" s="75">
        <f>AVERAGE(F512:F515)</f>
        <v>0.37089613338136401</v>
      </c>
    </row>
    <row r="513" spans="1:7" x14ac:dyDescent="0.25">
      <c r="A513" s="22">
        <v>41489</v>
      </c>
      <c r="B513" s="15" t="s">
        <v>50</v>
      </c>
      <c r="C513" s="23" t="s">
        <v>46</v>
      </c>
      <c r="D513" s="75">
        <v>2.5000000000000001E-2</v>
      </c>
      <c r="E513" s="75">
        <v>1.14E-2</v>
      </c>
      <c r="F513" s="76">
        <f t="shared" si="13"/>
        <v>0.45600000000000002</v>
      </c>
      <c r="G513" s="75"/>
    </row>
    <row r="514" spans="1:7" x14ac:dyDescent="0.25">
      <c r="A514" s="22">
        <v>41489</v>
      </c>
      <c r="B514" s="15" t="s">
        <v>50</v>
      </c>
      <c r="C514" s="23" t="s">
        <v>47</v>
      </c>
      <c r="D514" s="75">
        <v>1.66E-2</v>
      </c>
      <c r="E514" s="75">
        <v>4.5999999999999999E-3</v>
      </c>
      <c r="F514" s="76">
        <f t="shared" si="13"/>
        <v>0.27710843373493976</v>
      </c>
      <c r="G514" s="75"/>
    </row>
    <row r="515" spans="1:7" x14ac:dyDescent="0.25">
      <c r="A515" s="22">
        <v>41489</v>
      </c>
      <c r="B515" s="15" t="s">
        <v>50</v>
      </c>
      <c r="C515" s="23" t="s">
        <v>48</v>
      </c>
      <c r="D515" s="75">
        <v>2.3600000000000003E-2</v>
      </c>
      <c r="E515" s="75">
        <v>7.9000000000000008E-3</v>
      </c>
      <c r="F515" s="76">
        <f t="shared" si="13"/>
        <v>0.3347457627118644</v>
      </c>
      <c r="G515" s="75"/>
    </row>
    <row r="516" spans="1:7" x14ac:dyDescent="0.25">
      <c r="A516" s="22">
        <v>41489</v>
      </c>
      <c r="B516" s="15" t="s">
        <v>51</v>
      </c>
      <c r="C516" s="23" t="s">
        <v>45</v>
      </c>
      <c r="D516" s="75">
        <v>4.9000000000000007E-3</v>
      </c>
      <c r="E516" s="75">
        <v>3.2000000000000002E-3</v>
      </c>
      <c r="F516" s="76">
        <f t="shared" si="13"/>
        <v>0.65306122448979587</v>
      </c>
      <c r="G516" s="75">
        <f>AVERAGE(F516:F519)</f>
        <v>0.65524964418391474</v>
      </c>
    </row>
    <row r="517" spans="1:7" x14ac:dyDescent="0.25">
      <c r="A517" s="22">
        <v>41489</v>
      </c>
      <c r="B517" s="15" t="s">
        <v>51</v>
      </c>
      <c r="C517" s="23" t="s">
        <v>46</v>
      </c>
      <c r="D517" s="75">
        <v>4.7999999999999996E-3</v>
      </c>
      <c r="E517" s="75">
        <v>3.0999999999999999E-3</v>
      </c>
      <c r="F517" s="76">
        <f t="shared" si="13"/>
        <v>0.64583333333333337</v>
      </c>
      <c r="G517" s="75"/>
    </row>
    <row r="518" spans="1:7" x14ac:dyDescent="0.25">
      <c r="A518" s="22">
        <v>41489</v>
      </c>
      <c r="B518" s="15" t="s">
        <v>51</v>
      </c>
      <c r="C518" s="23" t="s">
        <v>47</v>
      </c>
      <c r="D518" s="75">
        <v>3.5999999999999999E-3</v>
      </c>
      <c r="E518" s="75">
        <v>2.5000000000000001E-3</v>
      </c>
      <c r="F518" s="76">
        <f t="shared" si="13"/>
        <v>0.69444444444444453</v>
      </c>
      <c r="G518" s="75"/>
    </row>
    <row r="519" spans="1:7" x14ac:dyDescent="0.25">
      <c r="A519" s="22">
        <v>41489</v>
      </c>
      <c r="B519" s="15" t="s">
        <v>51</v>
      </c>
      <c r="C519" s="23" t="s">
        <v>48</v>
      </c>
      <c r="D519" s="75">
        <v>9.4000000000000004E-3</v>
      </c>
      <c r="E519" s="75">
        <v>5.9000000000000007E-3</v>
      </c>
      <c r="F519" s="76">
        <f t="shared" si="13"/>
        <v>0.62765957446808518</v>
      </c>
      <c r="G519" s="75"/>
    </row>
    <row r="520" spans="1:7" x14ac:dyDescent="0.25">
      <c r="A520" s="22">
        <v>41490</v>
      </c>
      <c r="B520" s="15" t="s">
        <v>44</v>
      </c>
      <c r="C520" s="23" t="s">
        <v>45</v>
      </c>
      <c r="D520" s="75">
        <v>0.22069200000000003</v>
      </c>
      <c r="E520" s="75">
        <v>6.2646000000000007E-2</v>
      </c>
      <c r="F520" s="76">
        <f t="shared" si="13"/>
        <v>0.28386167146974062</v>
      </c>
      <c r="G520" s="75">
        <f>AVERAGE(F520:F523)</f>
        <v>0.29929094375347509</v>
      </c>
    </row>
    <row r="521" spans="1:7" x14ac:dyDescent="0.25">
      <c r="A521" s="22">
        <v>41490</v>
      </c>
      <c r="B521" s="15" t="s">
        <v>44</v>
      </c>
      <c r="C521" s="23" t="s">
        <v>46</v>
      </c>
      <c r="D521" s="75">
        <v>0.24056700000000003</v>
      </c>
      <c r="E521" s="75">
        <v>6.9641999999999996E-2</v>
      </c>
      <c r="F521" s="76">
        <f t="shared" si="13"/>
        <v>0.28949107732980828</v>
      </c>
      <c r="G521" s="75"/>
    </row>
    <row r="522" spans="1:7" x14ac:dyDescent="0.25">
      <c r="A522" s="22">
        <v>41490</v>
      </c>
      <c r="B522" s="15" t="s">
        <v>44</v>
      </c>
      <c r="C522" s="23" t="s">
        <v>47</v>
      </c>
      <c r="D522" s="75">
        <v>0.215445</v>
      </c>
      <c r="E522" s="75">
        <v>6.4076999999999995E-2</v>
      </c>
      <c r="F522" s="76">
        <f t="shared" si="13"/>
        <v>0.29741697416974167</v>
      </c>
      <c r="G522" s="75"/>
    </row>
    <row r="523" spans="1:7" x14ac:dyDescent="0.25">
      <c r="A523" s="22">
        <v>41490</v>
      </c>
      <c r="B523" s="15" t="s">
        <v>44</v>
      </c>
      <c r="C523" s="23" t="s">
        <v>48</v>
      </c>
      <c r="D523" s="75">
        <v>0.21385499999999999</v>
      </c>
      <c r="E523" s="75">
        <v>6.9801000000000002E-2</v>
      </c>
      <c r="F523" s="76">
        <f t="shared" si="13"/>
        <v>0.32639405204460969</v>
      </c>
      <c r="G523" s="75"/>
    </row>
    <row r="524" spans="1:7" x14ac:dyDescent="0.25">
      <c r="A524" s="22">
        <v>41490</v>
      </c>
      <c r="B524" s="15" t="s">
        <v>49</v>
      </c>
      <c r="C524" s="23" t="s">
        <v>45</v>
      </c>
      <c r="D524" s="75">
        <v>7.4700000000000003E-2</v>
      </c>
      <c r="E524" s="75">
        <v>4.1100000000000005E-2</v>
      </c>
      <c r="F524" s="76">
        <f t="shared" si="13"/>
        <v>0.55020080321285147</v>
      </c>
      <c r="G524" s="75">
        <f>AVERAGE(F524:F527)</f>
        <v>0.49114402324796036</v>
      </c>
    </row>
    <row r="525" spans="1:7" x14ac:dyDescent="0.25">
      <c r="A525" s="22">
        <v>41490</v>
      </c>
      <c r="B525" s="15" t="s">
        <v>49</v>
      </c>
      <c r="C525" s="23" t="s">
        <v>46</v>
      </c>
      <c r="D525" s="75">
        <v>7.8E-2</v>
      </c>
      <c r="E525" s="75">
        <v>3.5400000000000001E-2</v>
      </c>
      <c r="F525" s="76">
        <f t="shared" si="13"/>
        <v>0.45384615384615384</v>
      </c>
      <c r="G525" s="75"/>
    </row>
    <row r="526" spans="1:7" x14ac:dyDescent="0.25">
      <c r="A526" s="22">
        <v>41490</v>
      </c>
      <c r="B526" s="15" t="s">
        <v>49</v>
      </c>
      <c r="C526" s="23" t="s">
        <v>47</v>
      </c>
      <c r="D526" s="75">
        <v>8.2099999999999992E-2</v>
      </c>
      <c r="E526" s="75">
        <v>3.6400000000000002E-2</v>
      </c>
      <c r="F526" s="76">
        <f t="shared" si="13"/>
        <v>0.44336175395858718</v>
      </c>
      <c r="G526" s="75"/>
    </row>
    <row r="527" spans="1:7" x14ac:dyDescent="0.25">
      <c r="A527" s="22">
        <v>41490</v>
      </c>
      <c r="B527" s="15" t="s">
        <v>49</v>
      </c>
      <c r="C527" s="23" t="s">
        <v>48</v>
      </c>
      <c r="D527" s="75">
        <v>9.3200000000000005E-2</v>
      </c>
      <c r="E527" s="75">
        <v>4.82E-2</v>
      </c>
      <c r="F527" s="76">
        <f t="shared" si="13"/>
        <v>0.51716738197424894</v>
      </c>
      <c r="G527" s="75"/>
    </row>
    <row r="528" spans="1:7" x14ac:dyDescent="0.25">
      <c r="A528" s="22">
        <v>41490</v>
      </c>
      <c r="B528" s="15" t="s">
        <v>50</v>
      </c>
      <c r="C528" s="23" t="s">
        <v>45</v>
      </c>
      <c r="D528" s="75">
        <v>3.9E-2</v>
      </c>
      <c r="E528" s="75">
        <v>1.7000000000000001E-2</v>
      </c>
      <c r="F528" s="76">
        <f t="shared" si="13"/>
        <v>0.4358974358974359</v>
      </c>
      <c r="G528" s="75">
        <f>AVERAGE(F528:F531)</f>
        <v>0.42811064271178501</v>
      </c>
    </row>
    <row r="529" spans="1:7" x14ac:dyDescent="0.25">
      <c r="A529" s="22">
        <v>41490</v>
      </c>
      <c r="B529" s="15" t="s">
        <v>50</v>
      </c>
      <c r="C529" s="23" t="s">
        <v>46</v>
      </c>
      <c r="D529" s="75">
        <v>3.1300000000000001E-2</v>
      </c>
      <c r="E529" s="75">
        <v>1.1900000000000001E-2</v>
      </c>
      <c r="F529" s="76">
        <f t="shared" si="13"/>
        <v>0.38019169329073482</v>
      </c>
      <c r="G529" s="75"/>
    </row>
    <row r="530" spans="1:7" x14ac:dyDescent="0.25">
      <c r="A530" s="22">
        <v>41490</v>
      </c>
      <c r="B530" s="15" t="s">
        <v>50</v>
      </c>
      <c r="C530" s="23" t="s">
        <v>47</v>
      </c>
      <c r="D530" s="75">
        <v>2.7800000000000002E-2</v>
      </c>
      <c r="E530" s="75">
        <v>1.2199999999999999E-2</v>
      </c>
      <c r="F530" s="76">
        <f t="shared" si="13"/>
        <v>0.43884892086330929</v>
      </c>
      <c r="G530" s="75"/>
    </row>
    <row r="531" spans="1:7" x14ac:dyDescent="0.25">
      <c r="A531" s="22">
        <v>41490</v>
      </c>
      <c r="B531" s="15" t="s">
        <v>50</v>
      </c>
      <c r="C531" s="23" t="s">
        <v>48</v>
      </c>
      <c r="D531" s="75">
        <v>5.5299999999999995E-2</v>
      </c>
      <c r="E531" s="75">
        <v>2.53E-2</v>
      </c>
      <c r="F531" s="76">
        <f t="shared" si="13"/>
        <v>0.45750452079566006</v>
      </c>
      <c r="G531" s="75"/>
    </row>
    <row r="532" spans="1:7" x14ac:dyDescent="0.25">
      <c r="A532" s="22">
        <v>41490</v>
      </c>
      <c r="B532" s="15" t="s">
        <v>51</v>
      </c>
      <c r="C532" s="23" t="s">
        <v>45</v>
      </c>
      <c r="D532" s="75">
        <v>6.2600000000000003E-2</v>
      </c>
      <c r="E532" s="75">
        <v>3.3799999999999997E-2</v>
      </c>
      <c r="F532" s="76">
        <f t="shared" si="13"/>
        <v>0.53993610223642163</v>
      </c>
      <c r="G532" s="75">
        <f>AVERAGE(F532:F535)</f>
        <v>0.49714946501679591</v>
      </c>
    </row>
    <row r="533" spans="1:7" x14ac:dyDescent="0.25">
      <c r="A533" s="22">
        <v>41490</v>
      </c>
      <c r="B533" s="15" t="s">
        <v>51</v>
      </c>
      <c r="C533" s="23" t="s">
        <v>46</v>
      </c>
      <c r="D533" s="75">
        <v>7.3599999999999999E-2</v>
      </c>
      <c r="E533" s="75">
        <v>3.5400000000000001E-2</v>
      </c>
      <c r="F533" s="76">
        <f t="shared" si="13"/>
        <v>0.48097826086956524</v>
      </c>
      <c r="G533" s="75"/>
    </row>
    <row r="534" spans="1:7" x14ac:dyDescent="0.25">
      <c r="A534" s="22">
        <v>41490</v>
      </c>
      <c r="B534" s="15" t="s">
        <v>51</v>
      </c>
      <c r="C534" s="23" t="s">
        <v>47</v>
      </c>
      <c r="D534" s="75">
        <v>8.2799999999999999E-2</v>
      </c>
      <c r="E534" s="75">
        <v>3.7499999999999999E-2</v>
      </c>
      <c r="F534" s="76">
        <f t="shared" si="13"/>
        <v>0.45289855072463769</v>
      </c>
      <c r="G534" s="75"/>
    </row>
    <row r="535" spans="1:7" x14ac:dyDescent="0.25">
      <c r="A535" s="22">
        <v>41490</v>
      </c>
      <c r="B535" s="15" t="s">
        <v>51</v>
      </c>
      <c r="C535" s="23" t="s">
        <v>48</v>
      </c>
      <c r="D535" s="75">
        <v>7.4400000000000008E-2</v>
      </c>
      <c r="E535" s="75">
        <v>3.8299999999999994E-2</v>
      </c>
      <c r="F535" s="76">
        <f t="shared" si="13"/>
        <v>0.51478494623655902</v>
      </c>
      <c r="G535" s="75"/>
    </row>
    <row r="536" spans="1:7" x14ac:dyDescent="0.25">
      <c r="A536" s="22">
        <v>41589</v>
      </c>
      <c r="B536" s="15" t="s">
        <v>44</v>
      </c>
      <c r="C536" s="23" t="s">
        <v>45</v>
      </c>
      <c r="D536" s="75">
        <v>0.44339999999999996</v>
      </c>
      <c r="E536" s="75">
        <v>0.1158</v>
      </c>
      <c r="F536" s="76">
        <f>E536/D536</f>
        <v>0.26116373477672533</v>
      </c>
      <c r="G536" s="75">
        <f>AVERAGE(F536:F539)</f>
        <v>0.25062700224799078</v>
      </c>
    </row>
    <row r="537" spans="1:7" x14ac:dyDescent="0.25">
      <c r="A537" s="22">
        <v>41589</v>
      </c>
      <c r="B537" s="15" t="s">
        <v>44</v>
      </c>
      <c r="C537" s="23" t="s">
        <v>46</v>
      </c>
      <c r="D537" s="75">
        <v>0.4284</v>
      </c>
      <c r="E537" s="75">
        <v>0.108</v>
      </c>
      <c r="F537" s="76">
        <f>E537/D537</f>
        <v>0.25210084033613445</v>
      </c>
      <c r="G537" s="75"/>
    </row>
    <row r="538" spans="1:7" x14ac:dyDescent="0.25">
      <c r="A538" s="22">
        <v>41589</v>
      </c>
      <c r="B538" s="15" t="s">
        <v>44</v>
      </c>
      <c r="C538" s="23" t="s">
        <v>47</v>
      </c>
      <c r="D538" s="75">
        <v>0.4516</v>
      </c>
      <c r="E538" s="75">
        <v>0.11359999999999999</v>
      </c>
      <c r="F538" s="76">
        <f>E538/D538</f>
        <v>0.25155004428697963</v>
      </c>
      <c r="G538" s="75"/>
    </row>
    <row r="539" spans="1:7" x14ac:dyDescent="0.25">
      <c r="A539" s="22">
        <v>41589</v>
      </c>
      <c r="B539" s="15" t="s">
        <v>44</v>
      </c>
      <c r="C539" s="23" t="s">
        <v>48</v>
      </c>
      <c r="D539" s="75">
        <v>0.42660000000000003</v>
      </c>
      <c r="E539" s="75">
        <v>0.1014</v>
      </c>
      <c r="F539" s="76">
        <f>E539/D539</f>
        <v>0.23769338959212377</v>
      </c>
      <c r="G539" s="75"/>
    </row>
    <row r="540" spans="1:7" x14ac:dyDescent="0.25">
      <c r="A540" s="22">
        <v>41589</v>
      </c>
      <c r="B540" s="15" t="s">
        <v>49</v>
      </c>
      <c r="C540" s="23" t="s">
        <v>45</v>
      </c>
      <c r="D540" s="75">
        <v>0.27860000000000001</v>
      </c>
      <c r="E540" s="75">
        <v>0.111</v>
      </c>
      <c r="F540" s="76">
        <f t="shared" ref="F540:F567" si="14">E540/D540</f>
        <v>0.39842067480258436</v>
      </c>
      <c r="G540" s="75">
        <f>AVERAGE(F540:F543)</f>
        <v>0.34579776442532556</v>
      </c>
    </row>
    <row r="541" spans="1:7" x14ac:dyDescent="0.25">
      <c r="A541" s="22">
        <v>41589</v>
      </c>
      <c r="B541" s="15" t="s">
        <v>49</v>
      </c>
      <c r="C541" s="23" t="s">
        <v>46</v>
      </c>
      <c r="D541" s="75">
        <v>0.40079999999999999</v>
      </c>
      <c r="E541" s="75">
        <v>0.1416</v>
      </c>
      <c r="F541" s="76">
        <f>E541/D541</f>
        <v>0.3532934131736527</v>
      </c>
      <c r="G541" s="75"/>
    </row>
    <row r="542" spans="1:7" x14ac:dyDescent="0.25">
      <c r="A542" s="22">
        <v>41589</v>
      </c>
      <c r="B542" s="15" t="s">
        <v>49</v>
      </c>
      <c r="C542" s="23" t="s">
        <v>47</v>
      </c>
      <c r="D542" s="75">
        <v>0.31739999999999996</v>
      </c>
      <c r="E542" s="75">
        <v>0.104</v>
      </c>
      <c r="F542" s="76">
        <f>E542/D542</f>
        <v>0.32766225582860747</v>
      </c>
      <c r="G542" s="75"/>
    </row>
    <row r="543" spans="1:7" x14ac:dyDescent="0.25">
      <c r="A543" s="22">
        <v>41589</v>
      </c>
      <c r="B543" s="15" t="s">
        <v>49</v>
      </c>
      <c r="C543" s="23" t="s">
        <v>48</v>
      </c>
      <c r="D543" s="75">
        <v>0.29360000000000003</v>
      </c>
      <c r="E543" s="75">
        <v>8.9200000000000002E-2</v>
      </c>
      <c r="F543" s="76">
        <f t="shared" si="14"/>
        <v>0.30381471389645776</v>
      </c>
      <c r="G543" s="75"/>
    </row>
    <row r="544" spans="1:7" x14ac:dyDescent="0.25">
      <c r="A544" s="22">
        <v>41589</v>
      </c>
      <c r="B544" s="15" t="s">
        <v>50</v>
      </c>
      <c r="C544" s="23" t="s">
        <v>45</v>
      </c>
      <c r="D544" s="75">
        <v>0.1951</v>
      </c>
      <c r="E544" s="75">
        <v>6.9500000000000006E-2</v>
      </c>
      <c r="F544" s="76">
        <f t="shared" si="14"/>
        <v>0.35622757560225532</v>
      </c>
      <c r="G544" s="75">
        <f>AVERAGE(F544:F547)</f>
        <v>0.34729981094471429</v>
      </c>
    </row>
    <row r="545" spans="1:7" x14ac:dyDescent="0.25">
      <c r="A545" s="22">
        <v>41589</v>
      </c>
      <c r="B545" s="15" t="s">
        <v>50</v>
      </c>
      <c r="C545" s="23" t="s">
        <v>46</v>
      </c>
      <c r="D545" s="75">
        <v>0.16950000000000001</v>
      </c>
      <c r="E545" s="75">
        <v>5.4899999999999997E-2</v>
      </c>
      <c r="F545" s="76">
        <f t="shared" si="14"/>
        <v>0.32389380530973449</v>
      </c>
      <c r="G545" s="75"/>
    </row>
    <row r="546" spans="1:7" x14ac:dyDescent="0.25">
      <c r="A546" s="22">
        <v>41589</v>
      </c>
      <c r="B546" s="15" t="s">
        <v>50</v>
      </c>
      <c r="C546" s="23" t="s">
        <v>47</v>
      </c>
      <c r="D546" s="75">
        <v>7.0199999999999999E-2</v>
      </c>
      <c r="E546" s="75">
        <v>2.3699999999999999E-2</v>
      </c>
      <c r="F546" s="76">
        <f t="shared" si="14"/>
        <v>0.33760683760683757</v>
      </c>
      <c r="G546" s="75"/>
    </row>
    <row r="547" spans="1:7" x14ac:dyDescent="0.25">
      <c r="A547" s="22">
        <v>41589</v>
      </c>
      <c r="B547" s="15" t="s">
        <v>50</v>
      </c>
      <c r="C547" s="23" t="s">
        <v>48</v>
      </c>
      <c r="D547" s="75">
        <v>6.7299999999999999E-2</v>
      </c>
      <c r="E547" s="75">
        <v>2.5000000000000001E-2</v>
      </c>
      <c r="F547" s="76">
        <f t="shared" si="14"/>
        <v>0.37147102526002973</v>
      </c>
      <c r="G547" s="75"/>
    </row>
    <row r="548" spans="1:7" x14ac:dyDescent="0.25">
      <c r="A548" s="22">
        <v>41589</v>
      </c>
      <c r="B548" s="15" t="s">
        <v>51</v>
      </c>
      <c r="C548" s="23" t="s">
        <v>45</v>
      </c>
      <c r="D548" s="75">
        <v>0.16240000000000002</v>
      </c>
      <c r="E548" s="75">
        <v>5.8000000000000003E-2</v>
      </c>
      <c r="F548" s="76">
        <f>E548/D548</f>
        <v>0.35714285714285715</v>
      </c>
      <c r="G548" s="75">
        <f>AVERAGE(F548:F551)</f>
        <v>0.37288968185341048</v>
      </c>
    </row>
    <row r="549" spans="1:7" x14ac:dyDescent="0.25">
      <c r="A549" s="22">
        <v>41589</v>
      </c>
      <c r="B549" s="15" t="s">
        <v>51</v>
      </c>
      <c r="C549" s="23" t="s">
        <v>46</v>
      </c>
      <c r="D549" s="75">
        <v>0.1114</v>
      </c>
      <c r="E549" s="75">
        <v>4.3900000000000002E-2</v>
      </c>
      <c r="F549" s="76">
        <f t="shared" si="14"/>
        <v>0.39407540394973073</v>
      </c>
      <c r="G549" s="75"/>
    </row>
    <row r="550" spans="1:7" x14ac:dyDescent="0.25">
      <c r="A550" s="22">
        <v>41589</v>
      </c>
      <c r="B550" s="15" t="s">
        <v>51</v>
      </c>
      <c r="C550" s="23" t="s">
        <v>47</v>
      </c>
      <c r="D550" s="75">
        <v>0.12340000000000001</v>
      </c>
      <c r="E550" s="75">
        <v>4.4700000000000004E-2</v>
      </c>
      <c r="F550" s="76">
        <f t="shared" si="14"/>
        <v>0.36223662884927066</v>
      </c>
      <c r="G550" s="75"/>
    </row>
    <row r="551" spans="1:7" x14ac:dyDescent="0.25">
      <c r="A551" s="22">
        <v>41589</v>
      </c>
      <c r="B551" s="15" t="s">
        <v>51</v>
      </c>
      <c r="C551" s="23" t="s">
        <v>48</v>
      </c>
      <c r="D551" s="75">
        <v>8.8599999999999998E-2</v>
      </c>
      <c r="E551" s="75">
        <v>3.3500000000000002E-2</v>
      </c>
      <c r="F551" s="76">
        <f t="shared" si="14"/>
        <v>0.37810383747178333</v>
      </c>
      <c r="G551" s="75"/>
    </row>
    <row r="552" spans="1:7" x14ac:dyDescent="0.25">
      <c r="A552" s="22">
        <v>41590</v>
      </c>
      <c r="B552" s="15" t="s">
        <v>44</v>
      </c>
      <c r="C552" s="23" t="s">
        <v>45</v>
      </c>
      <c r="D552" s="75">
        <v>0.27339999999999998</v>
      </c>
      <c r="E552" s="75">
        <v>6.1399999999999996E-2</v>
      </c>
      <c r="F552" s="76">
        <f t="shared" si="14"/>
        <v>0.22457937088514998</v>
      </c>
      <c r="G552" s="75">
        <f>AVERAGE(F552:F555)</f>
        <v>0.23390250742047594</v>
      </c>
    </row>
    <row r="553" spans="1:7" x14ac:dyDescent="0.25">
      <c r="A553" s="22">
        <v>41590</v>
      </c>
      <c r="B553" s="15" t="s">
        <v>44</v>
      </c>
      <c r="C553" s="23" t="s">
        <v>46</v>
      </c>
      <c r="D553" s="75">
        <v>0.27650000000000002</v>
      </c>
      <c r="E553" s="75">
        <v>5.7700000000000001E-2</v>
      </c>
      <c r="F553" s="76">
        <f t="shared" si="14"/>
        <v>0.20867992766726942</v>
      </c>
      <c r="G553" s="75"/>
    </row>
    <row r="554" spans="1:7" x14ac:dyDescent="0.25">
      <c r="A554" s="22">
        <v>41590</v>
      </c>
      <c r="B554" s="15" t="s">
        <v>44</v>
      </c>
      <c r="C554" s="23" t="s">
        <v>47</v>
      </c>
      <c r="D554" s="75">
        <v>0.2135</v>
      </c>
      <c r="E554" s="75">
        <v>5.4100000000000002E-2</v>
      </c>
      <c r="F554" s="76">
        <f t="shared" si="14"/>
        <v>0.25339578454332556</v>
      </c>
      <c r="G554" s="75"/>
    </row>
    <row r="555" spans="1:7" x14ac:dyDescent="0.25">
      <c r="A555" s="22">
        <v>41590</v>
      </c>
      <c r="B555" s="15" t="s">
        <v>44</v>
      </c>
      <c r="C555" s="23" t="s">
        <v>48</v>
      </c>
      <c r="D555" s="75">
        <v>0.21530000000000002</v>
      </c>
      <c r="E555" s="75">
        <v>5.3600000000000002E-2</v>
      </c>
      <c r="F555" s="76">
        <f t="shared" si="14"/>
        <v>0.24895494658615883</v>
      </c>
      <c r="G555" s="75"/>
    </row>
    <row r="556" spans="1:7" x14ac:dyDescent="0.25">
      <c r="A556" s="22">
        <v>41590</v>
      </c>
      <c r="B556" s="15" t="s">
        <v>49</v>
      </c>
      <c r="C556" s="23" t="s">
        <v>45</v>
      </c>
      <c r="D556" s="75">
        <v>0.13019999999999998</v>
      </c>
      <c r="E556" s="75">
        <v>4.6200000000000005E-2</v>
      </c>
      <c r="F556" s="76">
        <f t="shared" si="14"/>
        <v>0.35483870967741943</v>
      </c>
      <c r="G556" s="75">
        <f>AVERAGE(F556:F559)</f>
        <v>0.32831585602228497</v>
      </c>
    </row>
    <row r="557" spans="1:7" x14ac:dyDescent="0.25">
      <c r="A557" s="22">
        <v>41590</v>
      </c>
      <c r="B557" s="15" t="s">
        <v>49</v>
      </c>
      <c r="C557" s="23" t="s">
        <v>46</v>
      </c>
      <c r="D557" s="75">
        <v>0.16250000000000001</v>
      </c>
      <c r="E557" s="75">
        <v>5.5200000000000006E-2</v>
      </c>
      <c r="F557" s="76">
        <f t="shared" si="14"/>
        <v>0.33969230769230774</v>
      </c>
      <c r="G557" s="75"/>
    </row>
    <row r="558" spans="1:7" x14ac:dyDescent="0.25">
      <c r="A558" s="22">
        <v>41590</v>
      </c>
      <c r="B558" s="15" t="s">
        <v>49</v>
      </c>
      <c r="C558" s="23" t="s">
        <v>47</v>
      </c>
      <c r="D558" s="75">
        <v>9.8900000000000002E-2</v>
      </c>
      <c r="E558" s="75">
        <v>3.0600000000000002E-2</v>
      </c>
      <c r="F558" s="76">
        <f t="shared" si="14"/>
        <v>0.30940343781597573</v>
      </c>
      <c r="G558" s="75"/>
    </row>
    <row r="559" spans="1:7" x14ac:dyDescent="0.25">
      <c r="A559" s="22">
        <v>41590</v>
      </c>
      <c r="B559" s="15" t="s">
        <v>49</v>
      </c>
      <c r="C559" s="23" t="s">
        <v>48</v>
      </c>
      <c r="D559" s="75">
        <v>6.1100000000000002E-2</v>
      </c>
      <c r="E559" s="75">
        <v>1.89E-2</v>
      </c>
      <c r="F559" s="76">
        <f t="shared" si="14"/>
        <v>0.30932896890343697</v>
      </c>
      <c r="G559" s="75"/>
    </row>
    <row r="560" spans="1:7" x14ac:dyDescent="0.25">
      <c r="A560" s="22">
        <v>41590</v>
      </c>
      <c r="B560" s="15" t="s">
        <v>50</v>
      </c>
      <c r="C560" s="23" t="s">
        <v>45</v>
      </c>
      <c r="D560" s="75">
        <v>2.7300000000000001E-2</v>
      </c>
      <c r="E560" s="75">
        <v>9.4999999999999998E-3</v>
      </c>
      <c r="F560" s="76">
        <f t="shared" si="14"/>
        <v>0.34798534798534797</v>
      </c>
      <c r="G560" s="75">
        <f>AVERAGE(F560:F563)</f>
        <v>0.3259209307633148</v>
      </c>
    </row>
    <row r="561" spans="1:7" x14ac:dyDescent="0.25">
      <c r="A561" s="22">
        <v>41590</v>
      </c>
      <c r="B561" s="15" t="s">
        <v>50</v>
      </c>
      <c r="C561" s="23" t="s">
        <v>46</v>
      </c>
      <c r="D561" s="75">
        <v>3.9700000000000006E-2</v>
      </c>
      <c r="E561" s="75">
        <v>1.2E-2</v>
      </c>
      <c r="F561" s="76">
        <f t="shared" si="14"/>
        <v>0.30226700251889166</v>
      </c>
      <c r="G561" s="75"/>
    </row>
    <row r="562" spans="1:7" x14ac:dyDescent="0.25">
      <c r="A562" s="22">
        <v>41590</v>
      </c>
      <c r="B562" s="15" t="s">
        <v>50</v>
      </c>
      <c r="C562" s="23" t="s">
        <v>47</v>
      </c>
      <c r="D562" s="75">
        <v>5.91E-2</v>
      </c>
      <c r="E562" s="75">
        <v>1.9699999999999999E-2</v>
      </c>
      <c r="F562" s="76">
        <f t="shared" si="14"/>
        <v>0.33333333333333331</v>
      </c>
      <c r="G562" s="75"/>
    </row>
    <row r="563" spans="1:7" x14ac:dyDescent="0.25">
      <c r="A563" s="22">
        <v>41590</v>
      </c>
      <c r="B563" s="15" t="s">
        <v>50</v>
      </c>
      <c r="C563" s="23" t="s">
        <v>48</v>
      </c>
      <c r="D563" s="75">
        <v>8.1599999999999992E-2</v>
      </c>
      <c r="E563" s="75">
        <v>2.6120000000000001E-2</v>
      </c>
      <c r="F563" s="76">
        <f t="shared" si="14"/>
        <v>0.3200980392156863</v>
      </c>
      <c r="G563" s="75"/>
    </row>
    <row r="564" spans="1:7" x14ac:dyDescent="0.25">
      <c r="A564" s="22">
        <v>41590</v>
      </c>
      <c r="B564" s="15" t="s">
        <v>51</v>
      </c>
      <c r="C564" s="23" t="s">
        <v>45</v>
      </c>
      <c r="D564" s="75">
        <v>3.3E-3</v>
      </c>
      <c r="E564" s="75">
        <v>1.1999999999999999E-3</v>
      </c>
      <c r="F564" s="76">
        <f t="shared" si="14"/>
        <v>0.36363636363636359</v>
      </c>
      <c r="G564" s="75">
        <f>AVERAGE(F564:F567)</f>
        <v>0.37504578754578749</v>
      </c>
    </row>
    <row r="565" spans="1:7" x14ac:dyDescent="0.25">
      <c r="A565" s="22">
        <v>41590</v>
      </c>
      <c r="B565" s="15" t="s">
        <v>51</v>
      </c>
      <c r="C565" s="23" t="s">
        <v>46</v>
      </c>
      <c r="D565" s="75">
        <v>6.4999999999999997E-3</v>
      </c>
      <c r="E565" s="75">
        <v>2.3999999999999998E-3</v>
      </c>
      <c r="F565" s="76">
        <f t="shared" si="14"/>
        <v>0.3692307692307692</v>
      </c>
      <c r="G565" s="75"/>
    </row>
    <row r="566" spans="1:7" x14ac:dyDescent="0.25">
      <c r="A566" s="22">
        <v>41590</v>
      </c>
      <c r="B566" s="15" t="s">
        <v>51</v>
      </c>
      <c r="C566" s="23" t="s">
        <v>47</v>
      </c>
      <c r="D566" s="75">
        <v>6.3E-3</v>
      </c>
      <c r="E566" s="75">
        <v>2.3999999999999998E-3</v>
      </c>
      <c r="F566" s="76">
        <f t="shared" si="14"/>
        <v>0.38095238095238093</v>
      </c>
      <c r="G566" s="75"/>
    </row>
    <row r="567" spans="1:7" x14ac:dyDescent="0.25">
      <c r="A567" s="22">
        <v>41590</v>
      </c>
      <c r="B567" s="15" t="s">
        <v>51</v>
      </c>
      <c r="C567" s="23" t="s">
        <v>48</v>
      </c>
      <c r="D567" s="75">
        <v>4.4000000000000003E-3</v>
      </c>
      <c r="E567" s="75">
        <v>1.6999999999999999E-3</v>
      </c>
      <c r="F567" s="76">
        <f t="shared" si="14"/>
        <v>0.3863636363636363</v>
      </c>
      <c r="G567" s="75"/>
    </row>
    <row r="568" spans="1:7" x14ac:dyDescent="0.25">
      <c r="A568" s="22">
        <v>41674</v>
      </c>
      <c r="B568" s="15" t="s">
        <v>44</v>
      </c>
      <c r="C568" s="23" t="s">
        <v>45</v>
      </c>
      <c r="D568" s="75">
        <v>0.30524999999999997</v>
      </c>
      <c r="E568" s="75">
        <v>0.11910000000000001</v>
      </c>
      <c r="F568" s="76">
        <f>E568/D568</f>
        <v>0.39017199017199028</v>
      </c>
      <c r="G568" s="75">
        <f>AVERAGE(F568:F571)</f>
        <v>0.34329887194181163</v>
      </c>
    </row>
    <row r="569" spans="1:7" x14ac:dyDescent="0.25">
      <c r="A569" s="22">
        <v>41674</v>
      </c>
      <c r="B569" s="15" t="s">
        <v>44</v>
      </c>
      <c r="C569" s="23" t="s">
        <v>46</v>
      </c>
      <c r="D569" s="75">
        <v>0.28694999999999998</v>
      </c>
      <c r="E569" s="75">
        <v>0.1047</v>
      </c>
      <c r="F569" s="76">
        <f>E569/D569</f>
        <v>0.36487192890747522</v>
      </c>
      <c r="G569" s="75"/>
    </row>
    <row r="570" spans="1:7" x14ac:dyDescent="0.25">
      <c r="A570" s="22">
        <v>41674</v>
      </c>
      <c r="B570" s="15" t="s">
        <v>44</v>
      </c>
      <c r="C570" s="23" t="s">
        <v>47</v>
      </c>
      <c r="D570" s="75">
        <v>0.25440000000000002</v>
      </c>
      <c r="E570" s="75">
        <v>8.7000000000000008E-2</v>
      </c>
      <c r="F570" s="76">
        <f>E570/D570</f>
        <v>0.34198113207547171</v>
      </c>
      <c r="G570" s="75"/>
    </row>
    <row r="571" spans="1:7" x14ac:dyDescent="0.25">
      <c r="A571" s="22">
        <v>41674</v>
      </c>
      <c r="B571" s="15" t="s">
        <v>44</v>
      </c>
      <c r="C571" s="23" t="s">
        <v>48</v>
      </c>
      <c r="D571" s="75">
        <v>0.28515000000000001</v>
      </c>
      <c r="E571" s="75">
        <v>7.8750000000000001E-2</v>
      </c>
      <c r="F571" s="76">
        <f>E571/D571</f>
        <v>0.27617043661230928</v>
      </c>
      <c r="G571" s="75"/>
    </row>
    <row r="572" spans="1:7" x14ac:dyDescent="0.25">
      <c r="A572" s="22">
        <v>41674</v>
      </c>
      <c r="B572" s="15" t="s">
        <v>49</v>
      </c>
      <c r="C572" s="23" t="s">
        <v>45</v>
      </c>
      <c r="D572" s="75">
        <v>0.15228</v>
      </c>
      <c r="E572" s="75">
        <v>9.3840000000000007E-2</v>
      </c>
      <c r="F572" s="76">
        <f t="shared" ref="F572:F605" si="15">E572/D572</f>
        <v>0.61623325453112687</v>
      </c>
      <c r="G572" s="75">
        <f>AVERAGE(F572:F575)</f>
        <v>0.61718789212816516</v>
      </c>
    </row>
    <row r="573" spans="1:7" x14ac:dyDescent="0.25">
      <c r="A573" s="22">
        <v>41674</v>
      </c>
      <c r="B573" s="15" t="s">
        <v>49</v>
      </c>
      <c r="C573" s="23" t="s">
        <v>46</v>
      </c>
      <c r="D573" s="75">
        <v>0.20699999999999999</v>
      </c>
      <c r="E573" s="75">
        <v>8.9520000000000002E-2</v>
      </c>
      <c r="F573" s="76">
        <f>E573/D573</f>
        <v>0.43246376811594206</v>
      </c>
      <c r="G573" s="75"/>
    </row>
    <row r="574" spans="1:7" x14ac:dyDescent="0.25">
      <c r="A574" s="22">
        <v>41674</v>
      </c>
      <c r="B574" s="15" t="s">
        <v>49</v>
      </c>
      <c r="C574" s="23" t="s">
        <v>47</v>
      </c>
      <c r="D574" s="75">
        <v>0.11748</v>
      </c>
      <c r="E574" s="75">
        <v>6.6839999999999997E-2</v>
      </c>
      <c r="F574" s="76">
        <f>E574/D574</f>
        <v>0.56894790602655765</v>
      </c>
      <c r="G574" s="75"/>
    </row>
    <row r="575" spans="1:7" x14ac:dyDescent="0.25">
      <c r="A575" s="22">
        <v>41674</v>
      </c>
      <c r="B575" s="15" t="s">
        <v>49</v>
      </c>
      <c r="C575" s="23" t="s">
        <v>48</v>
      </c>
      <c r="D575" s="75">
        <v>5.9639999999999999E-2</v>
      </c>
      <c r="E575" s="75">
        <v>5.0759999999999993E-2</v>
      </c>
      <c r="F575" s="76">
        <f t="shared" si="15"/>
        <v>0.85110663983903412</v>
      </c>
      <c r="G575" s="75"/>
    </row>
    <row r="576" spans="1:7" x14ac:dyDescent="0.25">
      <c r="A576" s="22">
        <v>41674</v>
      </c>
      <c r="B576" s="15" t="s">
        <v>50</v>
      </c>
      <c r="C576" s="23" t="s">
        <v>45</v>
      </c>
      <c r="D576" s="75">
        <v>8.9200000000000002E-2</v>
      </c>
      <c r="E576" s="75">
        <v>3.2000000000000001E-2</v>
      </c>
      <c r="F576" s="76">
        <f t="shared" si="15"/>
        <v>0.35874439461883406</v>
      </c>
      <c r="G576" s="75">
        <f>AVERAGE(F576:F579)</f>
        <v>0.39037736560962299</v>
      </c>
    </row>
    <row r="577" spans="1:7" x14ac:dyDescent="0.25">
      <c r="A577" s="22">
        <v>41674</v>
      </c>
      <c r="B577" s="15" t="s">
        <v>50</v>
      </c>
      <c r="C577" s="23" t="s">
        <v>46</v>
      </c>
      <c r="D577" s="75">
        <v>5.3499999999999999E-2</v>
      </c>
      <c r="E577" s="75">
        <v>1.9E-2</v>
      </c>
      <c r="F577" s="76">
        <f t="shared" si="15"/>
        <v>0.35514018691588783</v>
      </c>
      <c r="G577" s="75"/>
    </row>
    <row r="578" spans="1:7" x14ac:dyDescent="0.25">
      <c r="A578" s="22">
        <v>41674</v>
      </c>
      <c r="B578" s="15" t="s">
        <v>50</v>
      </c>
      <c r="C578" s="23" t="s">
        <v>47</v>
      </c>
      <c r="D578" s="75">
        <v>4.7399999999999998E-2</v>
      </c>
      <c r="E578" s="75">
        <v>2.0300000000000002E-2</v>
      </c>
      <c r="F578" s="76">
        <f t="shared" si="15"/>
        <v>0.42827004219409287</v>
      </c>
      <c r="G578" s="75"/>
    </row>
    <row r="579" spans="1:7" x14ac:dyDescent="0.25">
      <c r="A579" s="22">
        <v>41674</v>
      </c>
      <c r="B579" s="15" t="s">
        <v>50</v>
      </c>
      <c r="C579" s="23" t="s">
        <v>48</v>
      </c>
      <c r="D579" s="75">
        <v>1.55E-2</v>
      </c>
      <c r="E579" s="75">
        <v>6.4999999999999997E-3</v>
      </c>
      <c r="F579" s="76">
        <f t="shared" si="15"/>
        <v>0.41935483870967738</v>
      </c>
      <c r="G579" s="75"/>
    </row>
    <row r="580" spans="1:7" x14ac:dyDescent="0.25">
      <c r="A580" s="22">
        <v>41674</v>
      </c>
      <c r="B580" s="15" t="s">
        <v>51</v>
      </c>
      <c r="C580" s="23" t="s">
        <v>45</v>
      </c>
      <c r="D580" s="75">
        <v>4.1100000000000005E-2</v>
      </c>
      <c r="E580" s="75">
        <v>2.1399999999999999E-2</v>
      </c>
      <c r="F580" s="76">
        <f>E580/D580</f>
        <v>0.52068126520681257</v>
      </c>
      <c r="G580" s="75">
        <f>AVERAGE(F580:F581)</f>
        <v>0.50187562131672458</v>
      </c>
    </row>
    <row r="581" spans="1:7" x14ac:dyDescent="0.25">
      <c r="A581" s="22">
        <v>41674</v>
      </c>
      <c r="B581" s="15" t="s">
        <v>51</v>
      </c>
      <c r="C581" s="23" t="s">
        <v>46</v>
      </c>
      <c r="D581" s="75">
        <v>4.4299999999999999E-2</v>
      </c>
      <c r="E581" s="75">
        <v>2.1399999999999999E-2</v>
      </c>
      <c r="F581" s="76">
        <f t="shared" si="15"/>
        <v>0.48306997742663654</v>
      </c>
      <c r="G581" s="75"/>
    </row>
    <row r="582" spans="1:7" x14ac:dyDescent="0.25">
      <c r="A582" s="22">
        <v>41674</v>
      </c>
      <c r="B582" s="15" t="s">
        <v>51</v>
      </c>
      <c r="C582" s="23" t="s">
        <v>47</v>
      </c>
      <c r="D582" s="75" t="s">
        <v>18</v>
      </c>
      <c r="E582" s="75" t="s">
        <v>18</v>
      </c>
      <c r="F582" s="75" t="s">
        <v>18</v>
      </c>
      <c r="G582" s="75"/>
    </row>
    <row r="583" spans="1:7" x14ac:dyDescent="0.25">
      <c r="A583" s="22">
        <v>41674</v>
      </c>
      <c r="B583" s="15" t="s">
        <v>51</v>
      </c>
      <c r="C583" s="23" t="s">
        <v>48</v>
      </c>
      <c r="D583" s="75" t="s">
        <v>18</v>
      </c>
      <c r="E583" s="75" t="s">
        <v>18</v>
      </c>
      <c r="F583" s="75" t="s">
        <v>18</v>
      </c>
      <c r="G583" s="75"/>
    </row>
    <row r="584" spans="1:7" x14ac:dyDescent="0.25">
      <c r="A584" s="22">
        <v>41675</v>
      </c>
      <c r="B584" s="15" t="s">
        <v>44</v>
      </c>
      <c r="C584" s="23" t="s">
        <v>45</v>
      </c>
      <c r="D584" s="75">
        <v>0.1721</v>
      </c>
      <c r="E584" s="75">
        <v>7.7900000000000011E-2</v>
      </c>
      <c r="F584" s="76">
        <f t="shared" ref="F584:F591" si="16">E584/D584</f>
        <v>0.45264381173736207</v>
      </c>
      <c r="G584" s="75">
        <f>AVERAGE(F584:F587)</f>
        <v>0.36772292958888375</v>
      </c>
    </row>
    <row r="585" spans="1:7" x14ac:dyDescent="0.25">
      <c r="A585" s="22">
        <v>41675</v>
      </c>
      <c r="B585" s="15" t="s">
        <v>44</v>
      </c>
      <c r="C585" s="23" t="s">
        <v>46</v>
      </c>
      <c r="D585" s="75">
        <v>0.26750000000000002</v>
      </c>
      <c r="E585" s="75">
        <v>8.8099999999999998E-2</v>
      </c>
      <c r="F585" s="76">
        <f t="shared" si="16"/>
        <v>0.32934579439252332</v>
      </c>
      <c r="G585" s="75"/>
    </row>
    <row r="586" spans="1:7" x14ac:dyDescent="0.25">
      <c r="A586" s="22">
        <v>41675</v>
      </c>
      <c r="B586" s="15" t="s">
        <v>44</v>
      </c>
      <c r="C586" s="23" t="s">
        <v>47</v>
      </c>
      <c r="D586" s="75">
        <v>0.2364</v>
      </c>
      <c r="E586" s="75">
        <v>8.1700000000000009E-2</v>
      </c>
      <c r="F586" s="76">
        <f t="shared" si="16"/>
        <v>0.34560067681895096</v>
      </c>
      <c r="G586" s="75"/>
    </row>
    <row r="587" spans="1:7" x14ac:dyDescent="0.25">
      <c r="A587" s="22">
        <v>41675</v>
      </c>
      <c r="B587" s="15" t="s">
        <v>44</v>
      </c>
      <c r="C587" s="23" t="s">
        <v>48</v>
      </c>
      <c r="D587" s="75">
        <v>0.16719999999999999</v>
      </c>
      <c r="E587" s="75">
        <v>5.74E-2</v>
      </c>
      <c r="F587" s="76">
        <f t="shared" si="16"/>
        <v>0.34330143540669861</v>
      </c>
      <c r="G587" s="75"/>
    </row>
    <row r="588" spans="1:7" x14ac:dyDescent="0.25">
      <c r="A588" s="22">
        <v>41675</v>
      </c>
      <c r="B588" s="15" t="s">
        <v>49</v>
      </c>
      <c r="C588" s="23" t="s">
        <v>45</v>
      </c>
      <c r="D588" s="75">
        <v>0.19425000000000001</v>
      </c>
      <c r="E588" s="75">
        <v>9.4800000000000009E-2</v>
      </c>
      <c r="F588" s="76">
        <f t="shared" si="16"/>
        <v>0.48803088803088807</v>
      </c>
      <c r="G588" s="75">
        <f>AVERAGE(F588:F591)</f>
        <v>0.47450299027280707</v>
      </c>
    </row>
    <row r="589" spans="1:7" x14ac:dyDescent="0.25">
      <c r="A589" s="22">
        <v>41675</v>
      </c>
      <c r="B589" s="15" t="s">
        <v>49</v>
      </c>
      <c r="C589" s="23" t="s">
        <v>46</v>
      </c>
      <c r="D589" s="75">
        <v>0.21299999999999997</v>
      </c>
      <c r="E589" s="75">
        <v>0.10815</v>
      </c>
      <c r="F589" s="76">
        <f t="shared" si="16"/>
        <v>0.50774647887323954</v>
      </c>
      <c r="G589" s="75"/>
    </row>
    <row r="590" spans="1:7" x14ac:dyDescent="0.25">
      <c r="A590" s="22">
        <v>41675</v>
      </c>
      <c r="B590" s="15" t="s">
        <v>49</v>
      </c>
      <c r="C590" s="23" t="s">
        <v>47</v>
      </c>
      <c r="D590" s="75">
        <v>0.22739999999999999</v>
      </c>
      <c r="E590" s="75">
        <v>0.10815</v>
      </c>
      <c r="F590" s="76">
        <f t="shared" si="16"/>
        <v>0.47559366754617416</v>
      </c>
      <c r="G590" s="75"/>
    </row>
    <row r="591" spans="1:7" x14ac:dyDescent="0.25">
      <c r="A591" s="22">
        <v>41675</v>
      </c>
      <c r="B591" s="15" t="s">
        <v>49</v>
      </c>
      <c r="C591" s="23" t="s">
        <v>48</v>
      </c>
      <c r="D591" s="75">
        <v>0.23310000000000003</v>
      </c>
      <c r="E591" s="75">
        <v>9.9449999999999997E-2</v>
      </c>
      <c r="F591" s="76">
        <f t="shared" si="16"/>
        <v>0.42664092664092657</v>
      </c>
      <c r="G591" s="75"/>
    </row>
    <row r="592" spans="1:7" x14ac:dyDescent="0.25">
      <c r="A592" s="22">
        <v>41675</v>
      </c>
      <c r="B592" s="15" t="s">
        <v>50</v>
      </c>
      <c r="C592" s="23" t="s">
        <v>45</v>
      </c>
      <c r="D592" s="75">
        <v>0.10809999999999999</v>
      </c>
      <c r="E592" s="75">
        <v>4.7899999999999998E-2</v>
      </c>
      <c r="F592" s="76">
        <f t="shared" si="15"/>
        <v>0.44310823311748382</v>
      </c>
      <c r="G592" s="75">
        <f>AVERAGE(F592:F595)</f>
        <v>0.41332674582437323</v>
      </c>
    </row>
    <row r="593" spans="1:7" x14ac:dyDescent="0.25">
      <c r="A593" s="22">
        <v>41675</v>
      </c>
      <c r="B593" s="15" t="s">
        <v>50</v>
      </c>
      <c r="C593" s="23" t="s">
        <v>46</v>
      </c>
      <c r="D593" s="75">
        <v>4.1799999999999997E-2</v>
      </c>
      <c r="E593" s="75">
        <v>1.6399999999999998E-2</v>
      </c>
      <c r="F593" s="76">
        <f t="shared" si="15"/>
        <v>0.3923444976076555</v>
      </c>
      <c r="G593" s="75"/>
    </row>
    <row r="594" spans="1:7" x14ac:dyDescent="0.25">
      <c r="A594" s="22">
        <v>41675</v>
      </c>
      <c r="B594" s="15" t="s">
        <v>50</v>
      </c>
      <c r="C594" s="23" t="s">
        <v>47</v>
      </c>
      <c r="D594" s="75">
        <v>3.3700000000000001E-2</v>
      </c>
      <c r="E594" s="75">
        <v>1.29E-2</v>
      </c>
      <c r="F594" s="76">
        <f t="shared" si="15"/>
        <v>0.3827893175074184</v>
      </c>
      <c r="G594" s="75"/>
    </row>
    <row r="595" spans="1:7" x14ac:dyDescent="0.25">
      <c r="A595" s="22">
        <v>41675</v>
      </c>
      <c r="B595" s="15" t="s">
        <v>50</v>
      </c>
      <c r="C595" s="23" t="s">
        <v>48</v>
      </c>
      <c r="D595" s="75">
        <v>1.54E-2</v>
      </c>
      <c r="E595" s="75">
        <v>6.7000000000000002E-3</v>
      </c>
      <c r="F595" s="76">
        <f t="shared" si="15"/>
        <v>0.43506493506493504</v>
      </c>
      <c r="G595" s="75"/>
    </row>
    <row r="596" spans="1:7" x14ac:dyDescent="0.25">
      <c r="A596" s="22">
        <v>41675</v>
      </c>
      <c r="B596" s="15" t="s">
        <v>51</v>
      </c>
      <c r="C596" s="23" t="s">
        <v>45</v>
      </c>
      <c r="D596" s="75">
        <v>0.12869999999999998</v>
      </c>
      <c r="E596" s="75">
        <v>5.6299999999999996E-2</v>
      </c>
      <c r="F596" s="76">
        <f t="shared" si="15"/>
        <v>0.4374514374514375</v>
      </c>
      <c r="G596" s="75">
        <f>AVERAGE(F596:F599)</f>
        <v>0.46992755096085181</v>
      </c>
    </row>
    <row r="597" spans="1:7" x14ac:dyDescent="0.25">
      <c r="A597" s="22">
        <v>41675</v>
      </c>
      <c r="B597" s="15" t="s">
        <v>51</v>
      </c>
      <c r="C597" s="23" t="s">
        <v>46</v>
      </c>
      <c r="D597" s="75">
        <v>0.1066</v>
      </c>
      <c r="E597" s="75">
        <v>4.8299999999999996E-2</v>
      </c>
      <c r="F597" s="76">
        <f t="shared" si="15"/>
        <v>0.45309568480300183</v>
      </c>
      <c r="G597" s="75"/>
    </row>
    <row r="598" spans="1:7" x14ac:dyDescent="0.25">
      <c r="A598" s="22">
        <v>41675</v>
      </c>
      <c r="B598" s="15" t="s">
        <v>51</v>
      </c>
      <c r="C598" s="23" t="s">
        <v>47</v>
      </c>
      <c r="D598" s="75">
        <v>0.1018</v>
      </c>
      <c r="E598" s="75">
        <v>5.62E-2</v>
      </c>
      <c r="F598" s="76">
        <f t="shared" si="15"/>
        <v>0.5520628683693517</v>
      </c>
      <c r="G598" s="75"/>
    </row>
    <row r="599" spans="1:7" x14ac:dyDescent="0.25">
      <c r="A599" s="22">
        <v>41675</v>
      </c>
      <c r="B599" s="15" t="s">
        <v>51</v>
      </c>
      <c r="C599" s="23" t="s">
        <v>48</v>
      </c>
      <c r="D599" s="75">
        <v>9.3799999999999994E-2</v>
      </c>
      <c r="E599" s="75">
        <v>4.1000000000000002E-2</v>
      </c>
      <c r="F599" s="76">
        <f t="shared" si="15"/>
        <v>0.43710021321961623</v>
      </c>
      <c r="G599" s="75"/>
    </row>
    <row r="600" spans="1:7" x14ac:dyDescent="0.25">
      <c r="A600" s="22">
        <v>41771</v>
      </c>
      <c r="B600" s="15" t="s">
        <v>44</v>
      </c>
      <c r="C600" s="23" t="s">
        <v>45</v>
      </c>
      <c r="D600" s="75">
        <v>0.38887980376124281</v>
      </c>
      <c r="E600" s="75">
        <v>0.1025347506132461</v>
      </c>
      <c r="F600" s="76">
        <f t="shared" si="15"/>
        <v>0.26366694701429771</v>
      </c>
      <c r="G600" s="75">
        <f>AVERAGE(F600:F603)</f>
        <v>0.2392294174571592</v>
      </c>
    </row>
    <row r="601" spans="1:7" x14ac:dyDescent="0.25">
      <c r="A601" s="22">
        <v>41771</v>
      </c>
      <c r="B601" s="15" t="s">
        <v>44</v>
      </c>
      <c r="C601" s="23" t="s">
        <v>46</v>
      </c>
      <c r="D601" s="75">
        <v>0.33524121013900238</v>
      </c>
      <c r="E601" s="75">
        <v>8.1275551921504485E-2</v>
      </c>
      <c r="F601" s="76">
        <f t="shared" si="15"/>
        <v>0.24243902439024392</v>
      </c>
      <c r="G601" s="75"/>
    </row>
    <row r="602" spans="1:7" x14ac:dyDescent="0.25">
      <c r="A602" s="22">
        <v>41771</v>
      </c>
      <c r="B602" s="15" t="s">
        <v>44</v>
      </c>
      <c r="C602" s="23" t="s">
        <v>47</v>
      </c>
      <c r="D602" s="75">
        <v>0.3404742436631234</v>
      </c>
      <c r="E602" s="75">
        <v>8.1112019623875695E-2</v>
      </c>
      <c r="F602" s="76">
        <f t="shared" si="15"/>
        <v>0.23823246878001919</v>
      </c>
      <c r="G602" s="75"/>
    </row>
    <row r="603" spans="1:7" x14ac:dyDescent="0.25">
      <c r="A603" s="22">
        <v>41771</v>
      </c>
      <c r="B603" s="15" t="s">
        <v>44</v>
      </c>
      <c r="C603" s="23" t="s">
        <v>48</v>
      </c>
      <c r="D603" s="75">
        <v>0.33540474243663115</v>
      </c>
      <c r="E603" s="75">
        <v>7.1300081766148798E-2</v>
      </c>
      <c r="F603" s="76">
        <f t="shared" si="15"/>
        <v>0.21257922964407605</v>
      </c>
      <c r="G603" s="75"/>
    </row>
    <row r="604" spans="1:7" x14ac:dyDescent="0.25">
      <c r="A604" s="22">
        <v>41771</v>
      </c>
      <c r="B604" s="15" t="s">
        <v>49</v>
      </c>
      <c r="C604" s="23" t="s">
        <v>45</v>
      </c>
      <c r="D604" s="75">
        <v>5.4100000000000002E-2</v>
      </c>
      <c r="E604" s="75">
        <v>2.3600000000000003E-2</v>
      </c>
      <c r="F604" s="76">
        <f t="shared" si="15"/>
        <v>0.43622920517560076</v>
      </c>
      <c r="G604" s="75">
        <f>AVERAGE(F604:F607)</f>
        <v>0.42300756894865665</v>
      </c>
    </row>
    <row r="605" spans="1:7" x14ac:dyDescent="0.25">
      <c r="A605" s="22">
        <v>41771</v>
      </c>
      <c r="B605" s="15" t="s">
        <v>49</v>
      </c>
      <c r="C605" s="23" t="s">
        <v>46</v>
      </c>
      <c r="D605" s="75">
        <v>6.54E-2</v>
      </c>
      <c r="E605" s="75">
        <v>2.6800000000000001E-2</v>
      </c>
      <c r="F605" s="76">
        <f t="shared" si="15"/>
        <v>0.40978593272171254</v>
      </c>
      <c r="G605" s="75"/>
    </row>
    <row r="606" spans="1:7" x14ac:dyDescent="0.25">
      <c r="A606" s="22">
        <v>41771</v>
      </c>
      <c r="B606" s="15" t="s">
        <v>49</v>
      </c>
      <c r="C606" s="23" t="s">
        <v>47</v>
      </c>
      <c r="D606" s="75" t="s">
        <v>18</v>
      </c>
      <c r="E606" s="75" t="s">
        <v>18</v>
      </c>
      <c r="F606" s="75" t="s">
        <v>18</v>
      </c>
      <c r="G606" s="75"/>
    </row>
    <row r="607" spans="1:7" x14ac:dyDescent="0.25">
      <c r="A607" s="22">
        <v>41771</v>
      </c>
      <c r="B607" s="15" t="s">
        <v>49</v>
      </c>
      <c r="C607" s="23" t="s">
        <v>48</v>
      </c>
      <c r="D607" s="75" t="s">
        <v>18</v>
      </c>
      <c r="E607" s="75" t="s">
        <v>18</v>
      </c>
      <c r="F607" s="75" t="s">
        <v>18</v>
      </c>
      <c r="G607" s="75"/>
    </row>
    <row r="608" spans="1:7" x14ac:dyDescent="0.25">
      <c r="A608" s="22">
        <v>41771</v>
      </c>
      <c r="B608" s="15" t="s">
        <v>50</v>
      </c>
      <c r="C608" s="23" t="s">
        <v>45</v>
      </c>
      <c r="D608" s="75">
        <v>9.1499999999999998E-2</v>
      </c>
      <c r="E608" s="75">
        <v>3.9799999999999995E-2</v>
      </c>
      <c r="F608" s="76">
        <f>E608/D608</f>
        <v>0.43497267759562835</v>
      </c>
      <c r="G608" s="75">
        <f>AVERAGE(F608:F611)</f>
        <v>0.41096902718885286</v>
      </c>
    </row>
    <row r="609" spans="1:7" x14ac:dyDescent="0.25">
      <c r="A609" s="22">
        <v>41771</v>
      </c>
      <c r="B609" s="15" t="s">
        <v>50</v>
      </c>
      <c r="C609" s="23" t="s">
        <v>46</v>
      </c>
      <c r="D609" s="75">
        <v>9.820000000000001E-2</v>
      </c>
      <c r="E609" s="75">
        <v>3.7999999999999999E-2</v>
      </c>
      <c r="F609" s="76">
        <f>E609/D609</f>
        <v>0.38696537678207732</v>
      </c>
      <c r="G609" s="75"/>
    </row>
    <row r="610" spans="1:7" x14ac:dyDescent="0.25">
      <c r="A610" s="22">
        <v>41771</v>
      </c>
      <c r="B610" s="15" t="s">
        <v>50</v>
      </c>
      <c r="C610" s="23" t="s">
        <v>47</v>
      </c>
      <c r="D610" s="75" t="s">
        <v>18</v>
      </c>
      <c r="E610" s="75" t="s">
        <v>18</v>
      </c>
      <c r="F610" s="75" t="s">
        <v>18</v>
      </c>
      <c r="G610" s="75"/>
    </row>
    <row r="611" spans="1:7" x14ac:dyDescent="0.25">
      <c r="A611" s="22">
        <v>41771</v>
      </c>
      <c r="B611" s="15" t="s">
        <v>50</v>
      </c>
      <c r="C611" s="23" t="s">
        <v>48</v>
      </c>
      <c r="D611" s="75" t="s">
        <v>18</v>
      </c>
      <c r="E611" s="75" t="s">
        <v>18</v>
      </c>
      <c r="F611" s="75" t="s">
        <v>18</v>
      </c>
      <c r="G611" s="75"/>
    </row>
    <row r="612" spans="1:7" x14ac:dyDescent="0.25">
      <c r="A612" s="22">
        <v>41771</v>
      </c>
      <c r="B612" s="15" t="s">
        <v>51</v>
      </c>
      <c r="C612" s="23" t="s">
        <v>45</v>
      </c>
      <c r="D612" s="75">
        <v>1.4E-3</v>
      </c>
      <c r="E612" s="75">
        <v>5.0000000000000001E-4</v>
      </c>
      <c r="F612" s="76">
        <f>E612/D612</f>
        <v>0.35714285714285715</v>
      </c>
      <c r="G612" s="75">
        <f>AVERAGE(F612:F615)</f>
        <v>0.35714285714285715</v>
      </c>
    </row>
    <row r="613" spans="1:7" x14ac:dyDescent="0.25">
      <c r="A613" s="22">
        <v>41771</v>
      </c>
      <c r="B613" s="15" t="s">
        <v>51</v>
      </c>
      <c r="C613" s="23" t="s">
        <v>46</v>
      </c>
      <c r="D613" s="75" t="s">
        <v>18</v>
      </c>
      <c r="E613" s="75" t="s">
        <v>18</v>
      </c>
      <c r="F613" s="75" t="s">
        <v>18</v>
      </c>
      <c r="G613" s="75"/>
    </row>
    <row r="614" spans="1:7" x14ac:dyDescent="0.25">
      <c r="A614" s="22">
        <v>41771</v>
      </c>
      <c r="B614" s="15" t="s">
        <v>51</v>
      </c>
      <c r="C614" s="23" t="s">
        <v>47</v>
      </c>
      <c r="D614" s="75" t="s">
        <v>18</v>
      </c>
      <c r="E614" s="75" t="s">
        <v>18</v>
      </c>
      <c r="F614" s="75" t="s">
        <v>18</v>
      </c>
      <c r="G614" s="75"/>
    </row>
    <row r="615" spans="1:7" x14ac:dyDescent="0.25">
      <c r="A615" s="22">
        <v>41771</v>
      </c>
      <c r="B615" s="15" t="s">
        <v>51</v>
      </c>
      <c r="C615" s="23" t="s">
        <v>48</v>
      </c>
      <c r="D615" s="75" t="s">
        <v>18</v>
      </c>
      <c r="E615" s="75" t="s">
        <v>18</v>
      </c>
      <c r="F615" s="75" t="s">
        <v>18</v>
      </c>
      <c r="G615" s="75"/>
    </row>
    <row r="616" spans="1:7" x14ac:dyDescent="0.25">
      <c r="A616" s="22">
        <v>41772</v>
      </c>
      <c r="B616" s="15" t="s">
        <v>44</v>
      </c>
      <c r="C616" s="23" t="s">
        <v>45</v>
      </c>
      <c r="D616" s="75">
        <v>0.35492070633224609</v>
      </c>
      <c r="E616" s="75">
        <v>0.10014621527387246</v>
      </c>
      <c r="F616" s="76">
        <f t="shared" ref="F616:F636" si="17">E616/D616</f>
        <v>0.28216503992901509</v>
      </c>
      <c r="G616" s="75">
        <f>AVERAGE(F616:F619)</f>
        <v>0.31260734586538813</v>
      </c>
    </row>
    <row r="617" spans="1:7" x14ac:dyDescent="0.25">
      <c r="A617" s="22">
        <v>41772</v>
      </c>
      <c r="B617" s="15" t="s">
        <v>44</v>
      </c>
      <c r="C617" s="23" t="s">
        <v>46</v>
      </c>
      <c r="D617" s="75">
        <v>0.34972444044539419</v>
      </c>
      <c r="E617" s="75">
        <v>0.10896412102125745</v>
      </c>
      <c r="F617" s="76">
        <f t="shared" si="17"/>
        <v>0.31157136425033771</v>
      </c>
      <c r="G617" s="75"/>
    </row>
    <row r="618" spans="1:7" x14ac:dyDescent="0.25">
      <c r="A618" s="22">
        <v>41772</v>
      </c>
      <c r="B618" s="15" t="s">
        <v>44</v>
      </c>
      <c r="C618" s="23" t="s">
        <v>47</v>
      </c>
      <c r="D618" s="75">
        <v>0.3486222022269711</v>
      </c>
      <c r="E618" s="75">
        <v>0.11510516252390057</v>
      </c>
      <c r="F618" s="76">
        <f t="shared" si="17"/>
        <v>0.33017163504968383</v>
      </c>
      <c r="G618" s="75"/>
    </row>
    <row r="619" spans="1:7" x14ac:dyDescent="0.25">
      <c r="A619" s="22">
        <v>41772</v>
      </c>
      <c r="B619" s="15" t="s">
        <v>44</v>
      </c>
      <c r="C619" s="23" t="s">
        <v>48</v>
      </c>
      <c r="D619" s="75">
        <v>0.34673265099538858</v>
      </c>
      <c r="E619" s="75">
        <v>0.11321561129231808</v>
      </c>
      <c r="F619" s="76">
        <f t="shared" si="17"/>
        <v>0.32652134423251594</v>
      </c>
      <c r="G619" s="75"/>
    </row>
    <row r="620" spans="1:7" x14ac:dyDescent="0.25">
      <c r="A620" s="22">
        <v>41772</v>
      </c>
      <c r="B620" s="15" t="s">
        <v>49</v>
      </c>
      <c r="C620" s="23" t="s">
        <v>45</v>
      </c>
      <c r="D620" s="75">
        <v>0.1226</v>
      </c>
      <c r="E620" s="75">
        <v>5.5899999999999998E-2</v>
      </c>
      <c r="F620" s="76">
        <f t="shared" si="17"/>
        <v>0.4559543230016313</v>
      </c>
      <c r="G620" s="75">
        <f>AVERAGE(F620:F623)</f>
        <v>0.42597906457180695</v>
      </c>
    </row>
    <row r="621" spans="1:7" x14ac:dyDescent="0.25">
      <c r="A621" s="22">
        <v>41772</v>
      </c>
      <c r="B621" s="15" t="s">
        <v>49</v>
      </c>
      <c r="C621" s="23" t="s">
        <v>46</v>
      </c>
      <c r="D621" s="75">
        <v>0.15259999999999999</v>
      </c>
      <c r="E621" s="75">
        <v>5.6899999999999999E-2</v>
      </c>
      <c r="F621" s="76">
        <f t="shared" si="17"/>
        <v>0.37287024901703802</v>
      </c>
      <c r="G621" s="75"/>
    </row>
    <row r="622" spans="1:7" x14ac:dyDescent="0.25">
      <c r="A622" s="22">
        <v>41772</v>
      </c>
      <c r="B622" s="15" t="s">
        <v>49</v>
      </c>
      <c r="C622" s="23" t="s">
        <v>47</v>
      </c>
      <c r="D622" s="75">
        <v>0.1656</v>
      </c>
      <c r="E622" s="75">
        <v>7.959999999999999E-2</v>
      </c>
      <c r="F622" s="76">
        <f t="shared" si="17"/>
        <v>0.48067632850241543</v>
      </c>
      <c r="G622" s="75"/>
    </row>
    <row r="623" spans="1:7" x14ac:dyDescent="0.25">
      <c r="A623" s="22">
        <v>41772</v>
      </c>
      <c r="B623" s="15" t="s">
        <v>49</v>
      </c>
      <c r="C623" s="23" t="s">
        <v>48</v>
      </c>
      <c r="D623" s="75">
        <v>0.1719</v>
      </c>
      <c r="E623" s="75">
        <v>6.7799999999999999E-2</v>
      </c>
      <c r="F623" s="76">
        <f t="shared" si="17"/>
        <v>0.39441535776614312</v>
      </c>
      <c r="G623" s="75"/>
    </row>
    <row r="624" spans="1:7" x14ac:dyDescent="0.25">
      <c r="A624" s="22">
        <v>41772</v>
      </c>
      <c r="B624" s="15" t="s">
        <v>50</v>
      </c>
      <c r="C624" s="23" t="s">
        <v>45</v>
      </c>
      <c r="D624" s="75">
        <v>0.1716</v>
      </c>
      <c r="E624" s="75">
        <v>6.3600000000000004E-2</v>
      </c>
      <c r="F624" s="76">
        <f t="shared" si="17"/>
        <v>0.37062937062937062</v>
      </c>
      <c r="G624" s="75">
        <f>AVERAGE(F624:F627)</f>
        <v>0.39075697370754969</v>
      </c>
    </row>
    <row r="625" spans="1:7" x14ac:dyDescent="0.25">
      <c r="A625" s="22">
        <v>41772</v>
      </c>
      <c r="B625" s="15" t="s">
        <v>50</v>
      </c>
      <c r="C625" s="23" t="s">
        <v>46</v>
      </c>
      <c r="D625" s="75">
        <v>0.19</v>
      </c>
      <c r="E625" s="75">
        <v>7.9200000000000007E-2</v>
      </c>
      <c r="F625" s="76">
        <f t="shared" si="17"/>
        <v>0.4168421052631579</v>
      </c>
      <c r="G625" s="75"/>
    </row>
    <row r="626" spans="1:7" x14ac:dyDescent="0.25">
      <c r="A626" s="22">
        <v>41772</v>
      </c>
      <c r="B626" s="15" t="s">
        <v>50</v>
      </c>
      <c r="C626" s="23" t="s">
        <v>47</v>
      </c>
      <c r="D626" s="75">
        <v>8.5999999999999993E-2</v>
      </c>
      <c r="E626" s="75">
        <v>3.1600000000000003E-2</v>
      </c>
      <c r="F626" s="76">
        <f t="shared" si="17"/>
        <v>0.36744186046511634</v>
      </c>
      <c r="G626" s="75"/>
    </row>
    <row r="627" spans="1:7" x14ac:dyDescent="0.25">
      <c r="A627" s="22">
        <v>41772</v>
      </c>
      <c r="B627" s="15" t="s">
        <v>50</v>
      </c>
      <c r="C627" s="23" t="s">
        <v>48</v>
      </c>
      <c r="D627" s="75">
        <v>8.3799999999999999E-2</v>
      </c>
      <c r="E627" s="75">
        <v>3.4200000000000001E-2</v>
      </c>
      <c r="F627" s="76">
        <f t="shared" si="17"/>
        <v>0.40811455847255373</v>
      </c>
      <c r="G627" s="75"/>
    </row>
    <row r="628" spans="1:7" x14ac:dyDescent="0.25">
      <c r="A628" s="22">
        <v>41772</v>
      </c>
      <c r="B628" s="15" t="s">
        <v>51</v>
      </c>
      <c r="C628" s="23" t="s">
        <v>45</v>
      </c>
      <c r="D628" s="75">
        <v>7.3999999999999996E-2</v>
      </c>
      <c r="E628" s="75">
        <v>3.2399999999999998E-2</v>
      </c>
      <c r="F628" s="76">
        <f t="shared" si="17"/>
        <v>0.43783783783783786</v>
      </c>
      <c r="G628" s="75">
        <f>AVERAGE(F628:F631)</f>
        <v>0.44401467667681971</v>
      </c>
    </row>
    <row r="629" spans="1:7" x14ac:dyDescent="0.25">
      <c r="A629" s="22">
        <v>41772</v>
      </c>
      <c r="B629" s="15" t="s">
        <v>51</v>
      </c>
      <c r="C629" s="23" t="s">
        <v>46</v>
      </c>
      <c r="D629" s="75">
        <v>6.5200000000000008E-2</v>
      </c>
      <c r="E629" s="75">
        <v>3.1600000000000003E-2</v>
      </c>
      <c r="F629" s="76">
        <f t="shared" si="17"/>
        <v>0.48466257668711654</v>
      </c>
      <c r="G629" s="75"/>
    </row>
    <row r="630" spans="1:7" x14ac:dyDescent="0.25">
      <c r="A630" s="22">
        <v>41772</v>
      </c>
      <c r="B630" s="15" t="s">
        <v>51</v>
      </c>
      <c r="C630" s="23" t="s">
        <v>47</v>
      </c>
      <c r="D630" s="75">
        <v>5.6399999999999999E-2</v>
      </c>
      <c r="E630" s="75">
        <v>2.3899999999999998E-2</v>
      </c>
      <c r="F630" s="76">
        <f t="shared" si="17"/>
        <v>0.42375886524822692</v>
      </c>
      <c r="G630" s="75"/>
    </row>
    <row r="631" spans="1:7" x14ac:dyDescent="0.25">
      <c r="A631" s="22">
        <v>41772</v>
      </c>
      <c r="B631" s="15" t="s">
        <v>51</v>
      </c>
      <c r="C631" s="23" t="s">
        <v>48</v>
      </c>
      <c r="D631" s="75">
        <v>3.49E-2</v>
      </c>
      <c r="E631" s="75">
        <v>1.4999999999999999E-2</v>
      </c>
      <c r="F631" s="76">
        <f t="shared" si="17"/>
        <v>0.42979942693409739</v>
      </c>
      <c r="G631" s="75"/>
    </row>
    <row r="632" spans="1:7" x14ac:dyDescent="0.25">
      <c r="A632" s="22">
        <v>41841</v>
      </c>
      <c r="B632" s="15" t="s">
        <v>44</v>
      </c>
      <c r="C632" s="23" t="s">
        <v>45</v>
      </c>
      <c r="D632" s="75">
        <v>0.2034</v>
      </c>
      <c r="E632" s="75">
        <v>5.2399999999999995E-2</v>
      </c>
      <c r="F632" s="76">
        <f t="shared" si="17"/>
        <v>0.25762045231071778</v>
      </c>
      <c r="G632" s="75">
        <f>AVERAGE(F632:F635)</f>
        <v>0.25800114016571252</v>
      </c>
    </row>
    <row r="633" spans="1:7" x14ac:dyDescent="0.25">
      <c r="A633" s="22">
        <v>41841</v>
      </c>
      <c r="B633" s="15" t="s">
        <v>44</v>
      </c>
      <c r="C633" s="23" t="s">
        <v>46</v>
      </c>
      <c r="D633" s="75">
        <v>0.19209999999999999</v>
      </c>
      <c r="E633" s="75">
        <v>4.4999999999999998E-2</v>
      </c>
      <c r="F633" s="76">
        <f t="shared" si="17"/>
        <v>0.2342529932326913</v>
      </c>
      <c r="G633" s="75"/>
    </row>
    <row r="634" spans="1:7" x14ac:dyDescent="0.25">
      <c r="A634" s="22">
        <v>41841</v>
      </c>
      <c r="B634" s="15" t="s">
        <v>44</v>
      </c>
      <c r="C634" s="23" t="s">
        <v>47</v>
      </c>
      <c r="D634" s="75">
        <v>0.21990000000000001</v>
      </c>
      <c r="E634" s="75">
        <v>5.3100000000000001E-2</v>
      </c>
      <c r="F634" s="76">
        <f t="shared" si="17"/>
        <v>0.24147339699863574</v>
      </c>
      <c r="G634" s="75"/>
    </row>
    <row r="635" spans="1:7" x14ac:dyDescent="0.25">
      <c r="A635" s="22">
        <v>41841</v>
      </c>
      <c r="B635" s="15" t="s">
        <v>44</v>
      </c>
      <c r="C635" s="23" t="s">
        <v>48</v>
      </c>
      <c r="D635" s="75">
        <v>0.17880000000000001</v>
      </c>
      <c r="E635" s="75">
        <v>5.3399999999999996E-2</v>
      </c>
      <c r="F635" s="76">
        <f t="shared" si="17"/>
        <v>0.29865771812080533</v>
      </c>
      <c r="G635" s="75"/>
    </row>
    <row r="636" spans="1:7" x14ac:dyDescent="0.25">
      <c r="A636" s="22">
        <v>41841</v>
      </c>
      <c r="B636" s="15" t="s">
        <v>49</v>
      </c>
      <c r="C636" s="23" t="s">
        <v>45</v>
      </c>
      <c r="D636" s="75">
        <v>4.2000000000000003E-2</v>
      </c>
      <c r="E636" s="75">
        <v>1.9699999999999999E-2</v>
      </c>
      <c r="F636" s="76">
        <f t="shared" si="17"/>
        <v>0.46904761904761899</v>
      </c>
      <c r="G636" s="75">
        <f>F636</f>
        <v>0.46904761904761899</v>
      </c>
    </row>
    <row r="637" spans="1:7" x14ac:dyDescent="0.25">
      <c r="A637" s="22">
        <v>41841</v>
      </c>
      <c r="B637" s="15" t="s">
        <v>49</v>
      </c>
      <c r="C637" s="23" t="s">
        <v>46</v>
      </c>
      <c r="D637" s="75" t="s">
        <v>18</v>
      </c>
      <c r="E637" s="75" t="s">
        <v>18</v>
      </c>
      <c r="F637" s="75" t="s">
        <v>18</v>
      </c>
      <c r="G637" s="75"/>
    </row>
    <row r="638" spans="1:7" x14ac:dyDescent="0.25">
      <c r="A638" s="22">
        <v>41841</v>
      </c>
      <c r="B638" s="15" t="s">
        <v>49</v>
      </c>
      <c r="C638" s="23" t="s">
        <v>47</v>
      </c>
      <c r="D638" s="75" t="s">
        <v>18</v>
      </c>
      <c r="E638" s="75" t="s">
        <v>18</v>
      </c>
      <c r="F638" s="75" t="s">
        <v>18</v>
      </c>
      <c r="G638" s="75"/>
    </row>
    <row r="639" spans="1:7" x14ac:dyDescent="0.25">
      <c r="A639" s="22">
        <v>41841</v>
      </c>
      <c r="B639" s="15" t="s">
        <v>49</v>
      </c>
      <c r="C639" s="23" t="s">
        <v>48</v>
      </c>
      <c r="D639" s="75" t="s">
        <v>18</v>
      </c>
      <c r="E639" s="75" t="s">
        <v>18</v>
      </c>
      <c r="F639" s="75" t="s">
        <v>18</v>
      </c>
      <c r="G639" s="75"/>
    </row>
    <row r="640" spans="1:7" x14ac:dyDescent="0.25">
      <c r="A640" s="22">
        <v>41841</v>
      </c>
      <c r="B640" s="15" t="s">
        <v>50</v>
      </c>
      <c r="C640" s="23" t="s">
        <v>45</v>
      </c>
      <c r="D640" s="75">
        <v>0.1399</v>
      </c>
      <c r="E640" s="75">
        <v>5.5100000000000003E-2</v>
      </c>
      <c r="F640" s="76">
        <f>E640/D640</f>
        <v>0.39385275196568981</v>
      </c>
      <c r="G640" s="75">
        <f>AVERAGE(F640:F641)</f>
        <v>0.41858025492572637</v>
      </c>
    </row>
    <row r="641" spans="1:7" x14ac:dyDescent="0.25">
      <c r="A641" s="22">
        <v>41841</v>
      </c>
      <c r="B641" s="15" t="s">
        <v>50</v>
      </c>
      <c r="C641" s="23" t="s">
        <v>46</v>
      </c>
      <c r="D641" s="75">
        <v>0.1173</v>
      </c>
      <c r="E641" s="75">
        <v>5.1999999999999998E-2</v>
      </c>
      <c r="F641" s="76">
        <f>E641/D641</f>
        <v>0.44330775788576299</v>
      </c>
      <c r="G641" s="75"/>
    </row>
    <row r="642" spans="1:7" x14ac:dyDescent="0.25">
      <c r="A642" s="22">
        <v>41841</v>
      </c>
      <c r="B642" s="15" t="s">
        <v>50</v>
      </c>
      <c r="C642" s="23" t="s">
        <v>47</v>
      </c>
      <c r="D642" s="75" t="s">
        <v>18</v>
      </c>
      <c r="E642" s="75" t="s">
        <v>18</v>
      </c>
      <c r="F642" s="75" t="s">
        <v>18</v>
      </c>
      <c r="G642" s="75"/>
    </row>
    <row r="643" spans="1:7" x14ac:dyDescent="0.25">
      <c r="A643" s="22">
        <v>41841</v>
      </c>
      <c r="B643" s="15" t="s">
        <v>50</v>
      </c>
      <c r="C643" s="23" t="s">
        <v>48</v>
      </c>
      <c r="D643" s="75" t="s">
        <v>18</v>
      </c>
      <c r="E643" s="75" t="s">
        <v>18</v>
      </c>
      <c r="F643" s="75" t="s">
        <v>18</v>
      </c>
      <c r="G643" s="75"/>
    </row>
    <row r="644" spans="1:7" x14ac:dyDescent="0.25">
      <c r="A644" s="22">
        <v>41841</v>
      </c>
      <c r="B644" s="15" t="s">
        <v>51</v>
      </c>
      <c r="C644" s="23" t="s">
        <v>45</v>
      </c>
      <c r="D644" s="75">
        <v>1.67E-2</v>
      </c>
      <c r="E644" s="75">
        <v>8.199999999999999E-3</v>
      </c>
      <c r="F644" s="76">
        <f>E644/D644</f>
        <v>0.49101796407185622</v>
      </c>
      <c r="G644" s="75">
        <f>F644</f>
        <v>0.49101796407185622</v>
      </c>
    </row>
    <row r="645" spans="1:7" x14ac:dyDescent="0.25">
      <c r="A645" s="22">
        <v>41841</v>
      </c>
      <c r="B645" s="15" t="s">
        <v>51</v>
      </c>
      <c r="C645" s="23" t="s">
        <v>46</v>
      </c>
      <c r="D645" s="75" t="s">
        <v>18</v>
      </c>
      <c r="E645" s="75" t="s">
        <v>18</v>
      </c>
      <c r="F645" s="75" t="s">
        <v>18</v>
      </c>
      <c r="G645" s="75"/>
    </row>
    <row r="646" spans="1:7" x14ac:dyDescent="0.25">
      <c r="A646" s="22">
        <v>41841</v>
      </c>
      <c r="B646" s="15" t="s">
        <v>51</v>
      </c>
      <c r="C646" s="23" t="s">
        <v>47</v>
      </c>
      <c r="D646" s="75" t="s">
        <v>18</v>
      </c>
      <c r="E646" s="75" t="s">
        <v>18</v>
      </c>
      <c r="F646" s="75" t="s">
        <v>18</v>
      </c>
      <c r="G646" s="75"/>
    </row>
    <row r="647" spans="1:7" x14ac:dyDescent="0.25">
      <c r="A647" s="22">
        <v>41841</v>
      </c>
      <c r="B647" s="15" t="s">
        <v>51</v>
      </c>
      <c r="C647" s="23" t="s">
        <v>48</v>
      </c>
      <c r="D647" s="75" t="s">
        <v>18</v>
      </c>
      <c r="E647" s="75" t="s">
        <v>18</v>
      </c>
      <c r="F647" s="75" t="s">
        <v>18</v>
      </c>
      <c r="G647" s="75"/>
    </row>
    <row r="648" spans="1:7" x14ac:dyDescent="0.25">
      <c r="A648" s="22">
        <v>41842</v>
      </c>
      <c r="B648" s="15" t="s">
        <v>44</v>
      </c>
      <c r="C648" s="23" t="s">
        <v>45</v>
      </c>
      <c r="D648" s="75">
        <v>0.22109999999999999</v>
      </c>
      <c r="E648" s="75">
        <v>5.7799999999999997E-2</v>
      </c>
      <c r="F648" s="76">
        <f t="shared" ref="F648:F662" si="18">E648/D648</f>
        <v>0.26142017186793304</v>
      </c>
      <c r="G648" s="75">
        <f>AVERAGE(F648:F651)</f>
        <v>0.29156898272461923</v>
      </c>
    </row>
    <row r="649" spans="1:7" x14ac:dyDescent="0.25">
      <c r="A649" s="22">
        <v>41842</v>
      </c>
      <c r="B649" s="15" t="s">
        <v>44</v>
      </c>
      <c r="C649" s="23" t="s">
        <v>46</v>
      </c>
      <c r="D649" s="75">
        <v>0.22159999999999999</v>
      </c>
      <c r="E649" s="75">
        <v>5.5299999999999995E-2</v>
      </c>
      <c r="F649" s="76">
        <f t="shared" si="18"/>
        <v>0.24954873646209386</v>
      </c>
      <c r="G649" s="75"/>
    </row>
    <row r="650" spans="1:7" x14ac:dyDescent="0.25">
      <c r="A650" s="22">
        <v>41842</v>
      </c>
      <c r="B650" s="15" t="s">
        <v>44</v>
      </c>
      <c r="C650" s="23" t="s">
        <v>47</v>
      </c>
      <c r="D650" s="75">
        <v>0.15049999999999999</v>
      </c>
      <c r="E650" s="75">
        <v>4.53E-2</v>
      </c>
      <c r="F650" s="76">
        <f t="shared" si="18"/>
        <v>0.30099667774086381</v>
      </c>
      <c r="G650" s="75"/>
    </row>
    <row r="651" spans="1:7" x14ac:dyDescent="0.25">
      <c r="A651" s="22">
        <v>41842</v>
      </c>
      <c r="B651" s="15" t="s">
        <v>44</v>
      </c>
      <c r="C651" s="23" t="s">
        <v>48</v>
      </c>
      <c r="D651" s="75">
        <v>0.11600000000000001</v>
      </c>
      <c r="E651" s="75">
        <v>4.1100000000000005E-2</v>
      </c>
      <c r="F651" s="76">
        <f t="shared" si="18"/>
        <v>0.35431034482758622</v>
      </c>
      <c r="G651" s="75"/>
    </row>
    <row r="652" spans="1:7" x14ac:dyDescent="0.25">
      <c r="A652" s="22">
        <v>41842</v>
      </c>
      <c r="B652" s="15" t="s">
        <v>49</v>
      </c>
      <c r="C652" s="23" t="s">
        <v>45</v>
      </c>
      <c r="D652" s="75">
        <v>0.10909999999999999</v>
      </c>
      <c r="E652" s="75">
        <v>4.99E-2</v>
      </c>
      <c r="F652" s="76">
        <f t="shared" si="18"/>
        <v>0.4573785517873511</v>
      </c>
      <c r="G652" s="75">
        <f>AVERAGE(F652:F655)</f>
        <v>0.47448385147486394</v>
      </c>
    </row>
    <row r="653" spans="1:7" x14ac:dyDescent="0.25">
      <c r="A653" s="22">
        <v>41842</v>
      </c>
      <c r="B653" s="15" t="s">
        <v>49</v>
      </c>
      <c r="C653" s="23" t="s">
        <v>46</v>
      </c>
      <c r="D653" s="75">
        <v>0.11159999999999999</v>
      </c>
      <c r="E653" s="75">
        <v>5.2299999999999999E-2</v>
      </c>
      <c r="F653" s="76">
        <f t="shared" si="18"/>
        <v>0.46863799283154123</v>
      </c>
      <c r="G653" s="75"/>
    </row>
    <row r="654" spans="1:7" x14ac:dyDescent="0.25">
      <c r="A654" s="22">
        <v>41842</v>
      </c>
      <c r="B654" s="15" t="s">
        <v>49</v>
      </c>
      <c r="C654" s="23" t="s">
        <v>47</v>
      </c>
      <c r="D654" s="75">
        <v>7.1499999999999994E-2</v>
      </c>
      <c r="E654" s="75">
        <v>3.4299999999999997E-2</v>
      </c>
      <c r="F654" s="76">
        <f t="shared" si="18"/>
        <v>0.4797202797202797</v>
      </c>
      <c r="G654" s="75"/>
    </row>
    <row r="655" spans="1:7" x14ac:dyDescent="0.25">
      <c r="A655" s="22">
        <v>41842</v>
      </c>
      <c r="B655" s="15" t="s">
        <v>49</v>
      </c>
      <c r="C655" s="23" t="s">
        <v>48</v>
      </c>
      <c r="D655" s="75">
        <v>7.0499999999999993E-2</v>
      </c>
      <c r="E655" s="75">
        <v>3.4700000000000002E-2</v>
      </c>
      <c r="F655" s="76">
        <f t="shared" si="18"/>
        <v>0.49219858156028373</v>
      </c>
      <c r="G655" s="75"/>
    </row>
    <row r="656" spans="1:7" x14ac:dyDescent="0.25">
      <c r="A656" s="22">
        <v>41842</v>
      </c>
      <c r="B656" s="15" t="s">
        <v>50</v>
      </c>
      <c r="C656" s="23" t="s">
        <v>45</v>
      </c>
      <c r="D656" s="75">
        <v>0.10970000000000001</v>
      </c>
      <c r="E656" s="75">
        <v>3.9200000000000006E-2</v>
      </c>
      <c r="F656" s="76">
        <f t="shared" si="18"/>
        <v>0.3573381950774841</v>
      </c>
      <c r="G656" s="75">
        <f>AVERAGE(F656:F658)</f>
        <v>0.36938035346244291</v>
      </c>
    </row>
    <row r="657" spans="1:7" x14ac:dyDescent="0.25">
      <c r="A657" s="22">
        <v>41842</v>
      </c>
      <c r="B657" s="15" t="s">
        <v>50</v>
      </c>
      <c r="C657" s="23" t="s">
        <v>46</v>
      </c>
      <c r="D657" s="75">
        <v>5.4100000000000002E-2</v>
      </c>
      <c r="E657" s="75">
        <v>2.06E-2</v>
      </c>
      <c r="F657" s="76">
        <f t="shared" si="18"/>
        <v>0.38077634011090572</v>
      </c>
      <c r="G657" s="75"/>
    </row>
    <row r="658" spans="1:7" x14ac:dyDescent="0.25">
      <c r="A658" s="22">
        <v>41842</v>
      </c>
      <c r="B658" s="15" t="s">
        <v>50</v>
      </c>
      <c r="C658" s="23" t="s">
        <v>47</v>
      </c>
      <c r="D658" s="75">
        <v>7.5400000000000009E-2</v>
      </c>
      <c r="E658" s="75">
        <v>2.7899999999999998E-2</v>
      </c>
      <c r="F658" s="76">
        <f t="shared" si="18"/>
        <v>0.37002652519893892</v>
      </c>
      <c r="G658" s="75"/>
    </row>
    <row r="659" spans="1:7" x14ac:dyDescent="0.25">
      <c r="A659" s="22">
        <v>41842</v>
      </c>
      <c r="B659" s="15" t="s">
        <v>50</v>
      </c>
      <c r="C659" s="23" t="s">
        <v>48</v>
      </c>
      <c r="D659" s="75" t="s">
        <v>18</v>
      </c>
      <c r="E659" s="75" t="s">
        <v>18</v>
      </c>
      <c r="F659" s="75" t="s">
        <v>18</v>
      </c>
      <c r="G659" s="75"/>
    </row>
    <row r="660" spans="1:7" x14ac:dyDescent="0.25">
      <c r="A660" s="22">
        <v>41842</v>
      </c>
      <c r="B660" s="15" t="s">
        <v>51</v>
      </c>
      <c r="C660" s="23" t="s">
        <v>45</v>
      </c>
      <c r="D660" s="75">
        <v>6.4500000000000002E-2</v>
      </c>
      <c r="E660" s="75">
        <v>3.3399999999999999E-2</v>
      </c>
      <c r="F660" s="76">
        <f t="shared" si="18"/>
        <v>0.51782945736434105</v>
      </c>
      <c r="G660" s="75">
        <f>AVERAGE(F660:F662)</f>
        <v>0.49275512434137908</v>
      </c>
    </row>
    <row r="661" spans="1:7" x14ac:dyDescent="0.25">
      <c r="A661" s="22">
        <v>41842</v>
      </c>
      <c r="B661" s="15" t="s">
        <v>51</v>
      </c>
      <c r="C661" s="23" t="s">
        <v>46</v>
      </c>
      <c r="D661" s="75">
        <v>4.1399999999999999E-2</v>
      </c>
      <c r="E661" s="75">
        <v>1.84E-2</v>
      </c>
      <c r="F661" s="76">
        <f t="shared" si="18"/>
        <v>0.44444444444444442</v>
      </c>
      <c r="G661" s="75"/>
    </row>
    <row r="662" spans="1:7" x14ac:dyDescent="0.25">
      <c r="A662" s="22">
        <v>41842</v>
      </c>
      <c r="B662" s="15" t="s">
        <v>51</v>
      </c>
      <c r="C662" s="23" t="s">
        <v>47</v>
      </c>
      <c r="D662" s="75">
        <v>4.6899999999999997E-2</v>
      </c>
      <c r="E662" s="75">
        <v>2.4199999999999999E-2</v>
      </c>
      <c r="F662" s="76">
        <f t="shared" si="18"/>
        <v>0.51599147121535183</v>
      </c>
      <c r="G662" s="75"/>
    </row>
    <row r="663" spans="1:7" x14ac:dyDescent="0.25">
      <c r="A663" s="22">
        <v>41842</v>
      </c>
      <c r="B663" s="15" t="s">
        <v>51</v>
      </c>
      <c r="C663" s="23" t="s">
        <v>48</v>
      </c>
      <c r="D663" s="75" t="s">
        <v>18</v>
      </c>
      <c r="E663" s="75" t="s">
        <v>18</v>
      </c>
      <c r="F663" s="75" t="s">
        <v>18</v>
      </c>
      <c r="G663" s="75"/>
    </row>
    <row r="664" spans="1:7" x14ac:dyDescent="0.25">
      <c r="A664" s="22">
        <v>41955</v>
      </c>
      <c r="B664" s="15" t="s">
        <v>44</v>
      </c>
      <c r="C664" s="23" t="s">
        <v>45</v>
      </c>
      <c r="D664" s="75">
        <v>0.41139999999999999</v>
      </c>
      <c r="E664" s="75">
        <v>0.1986</v>
      </c>
      <c r="F664" s="76">
        <f t="shared" ref="F664:F679" si="19">E664/D664</f>
        <v>0.48274185707340789</v>
      </c>
      <c r="G664" s="75">
        <f>AVERAGE(F664:F667)</f>
        <v>0.38613228546573358</v>
      </c>
    </row>
    <row r="665" spans="1:7" x14ac:dyDescent="0.25">
      <c r="A665" s="22">
        <v>41955</v>
      </c>
      <c r="B665" s="15" t="s">
        <v>44</v>
      </c>
      <c r="C665" s="23" t="s">
        <v>46</v>
      </c>
      <c r="D665" s="75">
        <v>0.38800000000000001</v>
      </c>
      <c r="E665" s="75">
        <v>0.13639999999999999</v>
      </c>
      <c r="F665" s="76">
        <f t="shared" si="19"/>
        <v>0.35154639175257729</v>
      </c>
      <c r="G665" s="75"/>
    </row>
    <row r="666" spans="1:7" x14ac:dyDescent="0.25">
      <c r="A666" s="22">
        <v>41955</v>
      </c>
      <c r="B666" s="15" t="s">
        <v>44</v>
      </c>
      <c r="C666" s="23" t="s">
        <v>47</v>
      </c>
      <c r="D666" s="75">
        <v>0.43719999999999998</v>
      </c>
      <c r="E666" s="75">
        <v>0.15419999999999998</v>
      </c>
      <c r="F666" s="76">
        <f t="shared" si="19"/>
        <v>0.35269899359560836</v>
      </c>
      <c r="G666" s="75"/>
    </row>
    <row r="667" spans="1:7" x14ac:dyDescent="0.25">
      <c r="A667" s="22">
        <v>41955</v>
      </c>
      <c r="B667" s="15" t="s">
        <v>44</v>
      </c>
      <c r="C667" s="23" t="s">
        <v>48</v>
      </c>
      <c r="D667" s="75">
        <v>0.39380000000000004</v>
      </c>
      <c r="E667" s="75">
        <v>0.14080000000000001</v>
      </c>
      <c r="F667" s="76">
        <f t="shared" si="19"/>
        <v>0.35754189944134079</v>
      </c>
      <c r="G667" s="75"/>
    </row>
    <row r="668" spans="1:7" x14ac:dyDescent="0.25">
      <c r="A668" s="22">
        <v>41955</v>
      </c>
      <c r="B668" s="15" t="s">
        <v>49</v>
      </c>
      <c r="C668" s="23" t="s">
        <v>45</v>
      </c>
      <c r="D668" s="75">
        <v>0.10959999999999999</v>
      </c>
      <c r="E668" s="75">
        <v>4.4600000000000001E-2</v>
      </c>
      <c r="F668" s="76">
        <f t="shared" si="19"/>
        <v>0.4069343065693431</v>
      </c>
      <c r="G668" s="75">
        <f>AVERAGE(F668:F671)</f>
        <v>0.44947164590531791</v>
      </c>
    </row>
    <row r="669" spans="1:7" x14ac:dyDescent="0.25">
      <c r="A669" s="22">
        <v>41955</v>
      </c>
      <c r="B669" s="15" t="s">
        <v>49</v>
      </c>
      <c r="C669" s="23" t="s">
        <v>46</v>
      </c>
      <c r="D669" s="75">
        <v>3.5799999999999998E-2</v>
      </c>
      <c r="E669" s="75">
        <v>1.8100000000000002E-2</v>
      </c>
      <c r="F669" s="76">
        <f t="shared" si="19"/>
        <v>0.505586592178771</v>
      </c>
      <c r="G669" s="75"/>
    </row>
    <row r="670" spans="1:7" x14ac:dyDescent="0.25">
      <c r="A670" s="22">
        <v>41955</v>
      </c>
      <c r="B670" s="15" t="s">
        <v>49</v>
      </c>
      <c r="C670" s="23" t="s">
        <v>47</v>
      </c>
      <c r="D670" s="75">
        <v>6.1899999999999997E-2</v>
      </c>
      <c r="E670" s="75">
        <v>2.7100000000000003E-2</v>
      </c>
      <c r="F670" s="76">
        <f t="shared" si="19"/>
        <v>0.43780290791599358</v>
      </c>
      <c r="G670" s="75"/>
    </row>
    <row r="671" spans="1:7" x14ac:dyDescent="0.25">
      <c r="A671" s="22">
        <v>41955</v>
      </c>
      <c r="B671" s="15" t="s">
        <v>49</v>
      </c>
      <c r="C671" s="23" t="s">
        <v>48</v>
      </c>
      <c r="D671" s="75">
        <v>6.7699999999999996E-2</v>
      </c>
      <c r="E671" s="75">
        <v>3.0300000000000001E-2</v>
      </c>
      <c r="F671" s="76">
        <f t="shared" si="19"/>
        <v>0.44756277695716401</v>
      </c>
      <c r="G671" s="75"/>
    </row>
    <row r="672" spans="1:7" x14ac:dyDescent="0.25">
      <c r="A672" s="22">
        <v>41955</v>
      </c>
      <c r="B672" s="15" t="s">
        <v>50</v>
      </c>
      <c r="C672" s="23" t="s">
        <v>45</v>
      </c>
      <c r="D672" s="75">
        <v>6.9900000000000004E-2</v>
      </c>
      <c r="E672" s="75">
        <v>3.0699999999999998E-2</v>
      </c>
      <c r="F672" s="76">
        <f t="shared" si="19"/>
        <v>0.43919885550786836</v>
      </c>
      <c r="G672" s="75">
        <f>AVERAGE(F672:F675)</f>
        <v>0.4532595392904204</v>
      </c>
    </row>
    <row r="673" spans="1:7" x14ac:dyDescent="0.25">
      <c r="A673" s="22">
        <v>41955</v>
      </c>
      <c r="B673" s="15" t="s">
        <v>50</v>
      </c>
      <c r="C673" s="23" t="s">
        <v>46</v>
      </c>
      <c r="D673" s="75">
        <v>6.9699999999999998E-2</v>
      </c>
      <c r="E673" s="75">
        <v>2.7199999999999998E-2</v>
      </c>
      <c r="F673" s="76">
        <f t="shared" si="19"/>
        <v>0.3902439024390244</v>
      </c>
      <c r="G673" s="75"/>
    </row>
    <row r="674" spans="1:7" x14ac:dyDescent="0.25">
      <c r="A674" s="22">
        <v>41955</v>
      </c>
      <c r="B674" s="15" t="s">
        <v>50</v>
      </c>
      <c r="C674" s="23" t="s">
        <v>47</v>
      </c>
      <c r="D674" s="75">
        <v>5.57E-2</v>
      </c>
      <c r="E674" s="75">
        <v>2.5100000000000001E-2</v>
      </c>
      <c r="F674" s="76">
        <f t="shared" si="19"/>
        <v>0.45062836624775587</v>
      </c>
      <c r="G674" s="75"/>
    </row>
    <row r="675" spans="1:7" x14ac:dyDescent="0.25">
      <c r="A675" s="22">
        <v>41955</v>
      </c>
      <c r="B675" s="15" t="s">
        <v>50</v>
      </c>
      <c r="C675" s="23" t="s">
        <v>48</v>
      </c>
      <c r="D675" s="75">
        <v>5.4600000000000003E-2</v>
      </c>
      <c r="E675" s="75">
        <v>2.9100000000000001E-2</v>
      </c>
      <c r="F675" s="76">
        <f t="shared" si="19"/>
        <v>0.53296703296703296</v>
      </c>
      <c r="G675" s="75"/>
    </row>
    <row r="676" spans="1:7" x14ac:dyDescent="0.25">
      <c r="A676" s="22">
        <v>41955</v>
      </c>
      <c r="B676" s="15" t="s">
        <v>51</v>
      </c>
      <c r="C676" s="23" t="s">
        <v>45</v>
      </c>
      <c r="D676" s="75">
        <v>5.8413793103448276E-2</v>
      </c>
      <c r="E676" s="75">
        <v>4.0206896551724138E-2</v>
      </c>
      <c r="F676" s="76">
        <f t="shared" si="19"/>
        <v>0.68831168831168832</v>
      </c>
      <c r="G676" s="75">
        <f>AVERAGE(F676:F679)</f>
        <v>0.51810955833202033</v>
      </c>
    </row>
    <row r="677" spans="1:7" x14ac:dyDescent="0.25">
      <c r="A677" s="22">
        <v>41955</v>
      </c>
      <c r="B677" s="15" t="s">
        <v>51</v>
      </c>
      <c r="C677" s="23" t="s">
        <v>46</v>
      </c>
      <c r="D677" s="75">
        <v>6.9862068965517249E-2</v>
      </c>
      <c r="E677" s="75">
        <v>2.9517241379310343E-2</v>
      </c>
      <c r="F677" s="76">
        <f t="shared" si="19"/>
        <v>0.42250740375123391</v>
      </c>
      <c r="G677" s="75"/>
    </row>
    <row r="678" spans="1:7" x14ac:dyDescent="0.25">
      <c r="A678" s="22">
        <v>41955</v>
      </c>
      <c r="B678" s="15" t="s">
        <v>51</v>
      </c>
      <c r="C678" s="23" t="s">
        <v>47</v>
      </c>
      <c r="D678" s="75">
        <v>5.5862068965517243E-2</v>
      </c>
      <c r="E678" s="75">
        <v>2.7517241379310345E-2</v>
      </c>
      <c r="F678" s="76">
        <f t="shared" si="19"/>
        <v>0.49259259259259258</v>
      </c>
      <c r="G678" s="75"/>
    </row>
    <row r="679" spans="1:7" x14ac:dyDescent="0.25">
      <c r="A679" s="22">
        <v>41955</v>
      </c>
      <c r="B679" s="15" t="s">
        <v>51</v>
      </c>
      <c r="C679" s="23" t="s">
        <v>48</v>
      </c>
      <c r="D679" s="75">
        <v>6.2344827586206901E-2</v>
      </c>
      <c r="E679" s="75">
        <v>2.9241379310344828E-2</v>
      </c>
      <c r="F679" s="76">
        <f t="shared" si="19"/>
        <v>0.46902654867256632</v>
      </c>
      <c r="G679" s="75"/>
    </row>
    <row r="680" spans="1:7" x14ac:dyDescent="0.25">
      <c r="A680" s="22">
        <v>41956</v>
      </c>
      <c r="B680" s="15" t="s">
        <v>44</v>
      </c>
      <c r="C680" s="23" t="s">
        <v>45</v>
      </c>
      <c r="D680" s="75">
        <v>0.32336799999999999</v>
      </c>
      <c r="E680" s="75">
        <v>0.10092799999999999</v>
      </c>
      <c r="F680" s="76">
        <f>E680/D680</f>
        <v>0.31211498973305951</v>
      </c>
      <c r="G680" s="75">
        <f>AVERAGE(F680:F683)</f>
        <v>0.31842248311602295</v>
      </c>
    </row>
    <row r="681" spans="1:7" x14ac:dyDescent="0.25">
      <c r="A681" s="22">
        <v>41956</v>
      </c>
      <c r="B681" s="15" t="s">
        <v>44</v>
      </c>
      <c r="C681" s="23" t="s">
        <v>46</v>
      </c>
      <c r="D681" s="75">
        <v>0.33349399999999996</v>
      </c>
      <c r="E681" s="75">
        <v>0.119852</v>
      </c>
      <c r="F681" s="76">
        <f>E681/D681</f>
        <v>0.35938277750124442</v>
      </c>
      <c r="G681" s="75"/>
    </row>
    <row r="682" spans="1:7" x14ac:dyDescent="0.25">
      <c r="A682" s="22">
        <v>41956</v>
      </c>
      <c r="B682" s="15" t="s">
        <v>44</v>
      </c>
      <c r="C682" s="23" t="s">
        <v>47</v>
      </c>
      <c r="D682" s="75">
        <v>0.30477599999999994</v>
      </c>
      <c r="E682" s="75">
        <v>9.2296000000000003E-2</v>
      </c>
      <c r="F682" s="76">
        <f>E682/D682</f>
        <v>0.30283224400871467</v>
      </c>
      <c r="G682" s="75"/>
    </row>
    <row r="683" spans="1:7" x14ac:dyDescent="0.25">
      <c r="A683" s="22">
        <v>41956</v>
      </c>
      <c r="B683" s="15" t="s">
        <v>44</v>
      </c>
      <c r="C683" s="23" t="s">
        <v>48</v>
      </c>
      <c r="D683" s="75">
        <v>0.337146</v>
      </c>
      <c r="E683" s="75">
        <v>0.10092799999999999</v>
      </c>
      <c r="F683" s="76">
        <f>E683/D683</f>
        <v>0.29935992122107336</v>
      </c>
      <c r="G683" s="75"/>
    </row>
    <row r="684" spans="1:7" x14ac:dyDescent="0.25">
      <c r="A684" s="22">
        <v>41956</v>
      </c>
      <c r="B684" s="15" t="s">
        <v>49</v>
      </c>
      <c r="C684" s="23" t="s">
        <v>45</v>
      </c>
      <c r="D684" s="75">
        <v>0.03</v>
      </c>
      <c r="E684" s="75">
        <v>1.5900000000000001E-2</v>
      </c>
      <c r="F684" s="76">
        <f>E684/D684</f>
        <v>0.53</v>
      </c>
      <c r="G684" s="75">
        <f>F684</f>
        <v>0.53</v>
      </c>
    </row>
    <row r="685" spans="1:7" x14ac:dyDescent="0.25">
      <c r="A685" s="22">
        <v>41956</v>
      </c>
      <c r="B685" s="15" t="s">
        <v>49</v>
      </c>
      <c r="C685" s="23" t="s">
        <v>46</v>
      </c>
      <c r="D685" s="75" t="s">
        <v>18</v>
      </c>
      <c r="E685" s="75" t="s">
        <v>18</v>
      </c>
      <c r="F685" s="75" t="s">
        <v>18</v>
      </c>
      <c r="G685" s="75"/>
    </row>
    <row r="686" spans="1:7" x14ac:dyDescent="0.25">
      <c r="A686" s="22">
        <v>41956</v>
      </c>
      <c r="B686" s="15" t="s">
        <v>49</v>
      </c>
      <c r="C686" s="23" t="s">
        <v>47</v>
      </c>
      <c r="D686" s="75" t="s">
        <v>18</v>
      </c>
      <c r="E686" s="75" t="s">
        <v>18</v>
      </c>
      <c r="F686" s="75" t="s">
        <v>18</v>
      </c>
      <c r="G686" s="75"/>
    </row>
    <row r="687" spans="1:7" x14ac:dyDescent="0.25">
      <c r="A687" s="22">
        <v>41956</v>
      </c>
      <c r="B687" s="15" t="s">
        <v>49</v>
      </c>
      <c r="C687" s="23" t="s">
        <v>48</v>
      </c>
      <c r="D687" s="75" t="s">
        <v>18</v>
      </c>
      <c r="E687" s="75" t="s">
        <v>18</v>
      </c>
      <c r="F687" s="75" t="s">
        <v>18</v>
      </c>
      <c r="G687" s="75"/>
    </row>
    <row r="688" spans="1:7" x14ac:dyDescent="0.25">
      <c r="A688" s="22">
        <v>41956</v>
      </c>
      <c r="B688" s="15" t="s">
        <v>50</v>
      </c>
      <c r="C688" s="23" t="s">
        <v>45</v>
      </c>
      <c r="D688" s="75">
        <v>7.6499999999999999E-2</v>
      </c>
      <c r="E688" s="75">
        <v>2.9499999999999998E-2</v>
      </c>
      <c r="F688" s="76">
        <f t="shared" ref="F688:F712" si="20">E688/D688</f>
        <v>0.3856209150326797</v>
      </c>
      <c r="G688" s="75">
        <f>AVERAGE(F688:F689)</f>
        <v>0.4036883201117597</v>
      </c>
    </row>
    <row r="689" spans="1:7" x14ac:dyDescent="0.25">
      <c r="A689" s="22">
        <v>41956</v>
      </c>
      <c r="B689" s="15" t="s">
        <v>50</v>
      </c>
      <c r="C689" s="23" t="s">
        <v>46</v>
      </c>
      <c r="D689" s="75">
        <v>5.2399999999999995E-2</v>
      </c>
      <c r="E689" s="75">
        <v>2.2100000000000002E-2</v>
      </c>
      <c r="F689" s="76">
        <f t="shared" si="20"/>
        <v>0.42175572519083976</v>
      </c>
      <c r="G689" s="75"/>
    </row>
    <row r="690" spans="1:7" x14ac:dyDescent="0.25">
      <c r="A690" s="22">
        <v>41956</v>
      </c>
      <c r="B690" s="15" t="s">
        <v>50</v>
      </c>
      <c r="C690" s="23" t="s">
        <v>47</v>
      </c>
      <c r="D690" s="75" t="s">
        <v>18</v>
      </c>
      <c r="E690" s="75" t="s">
        <v>18</v>
      </c>
      <c r="F690" s="75" t="s">
        <v>18</v>
      </c>
      <c r="G690" s="75"/>
    </row>
    <row r="691" spans="1:7" x14ac:dyDescent="0.25">
      <c r="A691" s="22">
        <v>41956</v>
      </c>
      <c r="B691" s="15" t="s">
        <v>50</v>
      </c>
      <c r="C691" s="23" t="s">
        <v>48</v>
      </c>
      <c r="D691" s="75" t="s">
        <v>18</v>
      </c>
      <c r="E691" s="75" t="s">
        <v>18</v>
      </c>
      <c r="F691" s="75" t="s">
        <v>18</v>
      </c>
      <c r="G691" s="75"/>
    </row>
    <row r="692" spans="1:7" x14ac:dyDescent="0.25">
      <c r="A692" s="22">
        <v>41956</v>
      </c>
      <c r="B692" s="15" t="s">
        <v>51</v>
      </c>
      <c r="C692" s="23" t="s">
        <v>45</v>
      </c>
      <c r="D692" s="75">
        <v>7.2999999999999995E-2</v>
      </c>
      <c r="E692" s="75">
        <v>2.41E-2</v>
      </c>
      <c r="F692" s="76">
        <f t="shared" si="20"/>
        <v>0.33013698630136989</v>
      </c>
      <c r="G692" s="75">
        <f>AVERAGE(F692:F695)</f>
        <v>0.31416569405766093</v>
      </c>
    </row>
    <row r="693" spans="1:7" x14ac:dyDescent="0.25">
      <c r="A693" s="22">
        <v>41956</v>
      </c>
      <c r="B693" s="15" t="s">
        <v>51</v>
      </c>
      <c r="C693" s="23" t="s">
        <v>46</v>
      </c>
      <c r="D693" s="75">
        <v>6.0200000000000004E-2</v>
      </c>
      <c r="E693" s="75">
        <v>1.8699999999999998E-2</v>
      </c>
      <c r="F693" s="76">
        <f t="shared" si="20"/>
        <v>0.31063122923588032</v>
      </c>
      <c r="G693" s="75"/>
    </row>
    <row r="694" spans="1:7" x14ac:dyDescent="0.25">
      <c r="A694" s="22">
        <v>41956</v>
      </c>
      <c r="B694" s="15" t="s">
        <v>51</v>
      </c>
      <c r="C694" s="23" t="s">
        <v>47</v>
      </c>
      <c r="D694" s="75">
        <v>5.0299999999999997E-2</v>
      </c>
      <c r="E694" s="75">
        <v>1.5599999999999999E-2</v>
      </c>
      <c r="F694" s="76">
        <f t="shared" si="20"/>
        <v>0.31013916500994038</v>
      </c>
      <c r="G694" s="75"/>
    </row>
    <row r="695" spans="1:7" x14ac:dyDescent="0.25">
      <c r="A695" s="22">
        <v>41956</v>
      </c>
      <c r="B695" s="15" t="s">
        <v>51</v>
      </c>
      <c r="C695" s="23" t="s">
        <v>48</v>
      </c>
      <c r="D695" s="75">
        <v>5.5600000000000004E-2</v>
      </c>
      <c r="E695" s="75">
        <v>1.7000000000000001E-2</v>
      </c>
      <c r="F695" s="76">
        <f t="shared" si="20"/>
        <v>0.30575539568345322</v>
      </c>
      <c r="G695" s="75"/>
    </row>
    <row r="696" spans="1:7" x14ac:dyDescent="0.25">
      <c r="A696" s="22">
        <v>42037</v>
      </c>
      <c r="B696" s="15" t="s">
        <v>44</v>
      </c>
      <c r="C696" s="23" t="s">
        <v>45</v>
      </c>
      <c r="D696" s="75">
        <v>0.27134800000000003</v>
      </c>
      <c r="E696" s="75">
        <v>0.107338</v>
      </c>
      <c r="F696" s="76">
        <f t="shared" si="20"/>
        <v>0.39557321225879677</v>
      </c>
      <c r="G696" s="75">
        <f>AVERAGE(F696:F699)</f>
        <v>0.42762595958517713</v>
      </c>
    </row>
    <row r="697" spans="1:7" x14ac:dyDescent="0.25">
      <c r="A697" s="22">
        <v>42037</v>
      </c>
      <c r="B697" s="15" t="s">
        <v>44</v>
      </c>
      <c r="C697" s="23" t="s">
        <v>46</v>
      </c>
      <c r="D697" s="75">
        <v>0.25687199999999999</v>
      </c>
      <c r="E697" s="75">
        <v>0.11734800000000001</v>
      </c>
      <c r="F697" s="76">
        <f t="shared" si="20"/>
        <v>0.45683453237410077</v>
      </c>
      <c r="G697" s="75"/>
    </row>
    <row r="698" spans="1:7" x14ac:dyDescent="0.25">
      <c r="A698" s="22">
        <v>42037</v>
      </c>
      <c r="B698" s="15" t="s">
        <v>44</v>
      </c>
      <c r="C698" s="23" t="s">
        <v>47</v>
      </c>
      <c r="D698" s="75">
        <v>0.27026999999999995</v>
      </c>
      <c r="E698" s="75">
        <v>0.116886</v>
      </c>
      <c r="F698" s="76">
        <f t="shared" si="20"/>
        <v>0.43247863247863255</v>
      </c>
      <c r="G698" s="75"/>
    </row>
    <row r="699" spans="1:7" x14ac:dyDescent="0.25">
      <c r="A699" s="22">
        <v>42037</v>
      </c>
      <c r="B699" s="15" t="s">
        <v>44</v>
      </c>
      <c r="C699" s="23" t="s">
        <v>48</v>
      </c>
      <c r="D699" s="75">
        <v>0.26811399999999996</v>
      </c>
      <c r="E699" s="75">
        <v>0.11411399999999999</v>
      </c>
      <c r="F699" s="76">
        <f t="shared" si="20"/>
        <v>0.42561746122917865</v>
      </c>
      <c r="G699" s="75"/>
    </row>
    <row r="700" spans="1:7" x14ac:dyDescent="0.25">
      <c r="A700" s="22">
        <v>42037</v>
      </c>
      <c r="B700" s="15" t="s">
        <v>49</v>
      </c>
      <c r="C700" s="23" t="s">
        <v>45</v>
      </c>
      <c r="D700" s="75">
        <v>0.25573999999999997</v>
      </c>
      <c r="E700" s="75">
        <v>0.11589999999999999</v>
      </c>
      <c r="F700" s="76">
        <f t="shared" si="20"/>
        <v>0.45319465081723626</v>
      </c>
      <c r="G700" s="75">
        <f>AVERAGE(F700:F703)</f>
        <v>0.46314336219145791</v>
      </c>
    </row>
    <row r="701" spans="1:7" x14ac:dyDescent="0.25">
      <c r="A701" s="22">
        <v>42037</v>
      </c>
      <c r="B701" s="15" t="s">
        <v>49</v>
      </c>
      <c r="C701" s="23" t="s">
        <v>46</v>
      </c>
      <c r="D701" s="75">
        <v>0.23882999999999999</v>
      </c>
      <c r="E701" s="75">
        <v>0.10241</v>
      </c>
      <c r="F701" s="76">
        <f t="shared" si="20"/>
        <v>0.42879872712808276</v>
      </c>
      <c r="G701" s="75"/>
    </row>
    <row r="702" spans="1:7" x14ac:dyDescent="0.25">
      <c r="A702" s="22">
        <v>42037</v>
      </c>
      <c r="B702" s="15" t="s">
        <v>49</v>
      </c>
      <c r="C702" s="23" t="s">
        <v>47</v>
      </c>
      <c r="D702" s="75">
        <v>0.21906999999999999</v>
      </c>
      <c r="E702" s="75">
        <v>0.12558999999999998</v>
      </c>
      <c r="F702" s="76">
        <f t="shared" si="20"/>
        <v>0.57328707718993921</v>
      </c>
      <c r="G702" s="75"/>
    </row>
    <row r="703" spans="1:7" x14ac:dyDescent="0.25">
      <c r="A703" s="22">
        <v>42037</v>
      </c>
      <c r="B703" s="15" t="s">
        <v>49</v>
      </c>
      <c r="C703" s="23" t="s">
        <v>48</v>
      </c>
      <c r="D703" s="75">
        <v>0.23863999999999999</v>
      </c>
      <c r="E703" s="75">
        <v>9.4809999999999992E-2</v>
      </c>
      <c r="F703" s="76">
        <f t="shared" si="20"/>
        <v>0.39729299363057324</v>
      </c>
      <c r="G703" s="75"/>
    </row>
    <row r="704" spans="1:7" x14ac:dyDescent="0.25">
      <c r="A704" s="22">
        <v>42037</v>
      </c>
      <c r="B704" s="15" t="s">
        <v>50</v>
      </c>
      <c r="C704" s="23" t="s">
        <v>45</v>
      </c>
      <c r="D704" s="75">
        <v>7.9299999999999995E-2</v>
      </c>
      <c r="E704" s="75">
        <v>3.6799999999999999E-2</v>
      </c>
      <c r="F704" s="76">
        <f t="shared" si="20"/>
        <v>0.46406052963430017</v>
      </c>
      <c r="G704" s="75">
        <f>AVERAGE(F704:F707)</f>
        <v>0.48228950079742022</v>
      </c>
    </row>
    <row r="705" spans="1:7" x14ac:dyDescent="0.25">
      <c r="A705" s="22">
        <v>42037</v>
      </c>
      <c r="B705" s="15" t="s">
        <v>50</v>
      </c>
      <c r="C705" s="23" t="s">
        <v>46</v>
      </c>
      <c r="D705" s="75">
        <v>3.7200000000000004E-2</v>
      </c>
      <c r="E705" s="75">
        <v>1.7100000000000001E-2</v>
      </c>
      <c r="F705" s="76">
        <f t="shared" si="20"/>
        <v>0.45967741935483869</v>
      </c>
      <c r="G705" s="75"/>
    </row>
    <row r="706" spans="1:7" x14ac:dyDescent="0.25">
      <c r="A706" s="22">
        <v>42037</v>
      </c>
      <c r="B706" s="15" t="s">
        <v>50</v>
      </c>
      <c r="C706" s="23" t="s">
        <v>47</v>
      </c>
      <c r="D706" s="75">
        <v>2.46E-2</v>
      </c>
      <c r="E706" s="75">
        <v>1.2199999999999999E-2</v>
      </c>
      <c r="F706" s="76">
        <f t="shared" si="20"/>
        <v>0.49593495934959347</v>
      </c>
      <c r="G706" s="75"/>
    </row>
    <row r="707" spans="1:7" x14ac:dyDescent="0.25">
      <c r="A707" s="22">
        <v>42037</v>
      </c>
      <c r="B707" s="15" t="s">
        <v>50</v>
      </c>
      <c r="C707" s="23" t="s">
        <v>48</v>
      </c>
      <c r="D707" s="75">
        <v>3.6899999999999995E-2</v>
      </c>
      <c r="E707" s="75">
        <v>1.8800000000000001E-2</v>
      </c>
      <c r="F707" s="76">
        <f t="shared" si="20"/>
        <v>0.50948509485094862</v>
      </c>
      <c r="G707" s="75"/>
    </row>
    <row r="708" spans="1:7" x14ac:dyDescent="0.25">
      <c r="A708" s="22">
        <v>42037</v>
      </c>
      <c r="B708" s="15" t="s">
        <v>51</v>
      </c>
      <c r="C708" s="23" t="s">
        <v>45</v>
      </c>
      <c r="D708" s="75">
        <v>0.2671</v>
      </c>
      <c r="E708" s="75">
        <v>0.1226</v>
      </c>
      <c r="F708" s="76">
        <f t="shared" si="20"/>
        <v>0.4590041183077499</v>
      </c>
      <c r="G708" s="75">
        <f>AVERAGE(F708:F711)</f>
        <v>0.47759830042819607</v>
      </c>
    </row>
    <row r="709" spans="1:7" x14ac:dyDescent="0.25">
      <c r="A709" s="22">
        <v>42037</v>
      </c>
      <c r="B709" s="15" t="s">
        <v>51</v>
      </c>
      <c r="C709" s="23" t="s">
        <v>46</v>
      </c>
      <c r="D709" s="75">
        <v>5.9200000000000003E-2</v>
      </c>
      <c r="E709" s="75">
        <v>2.5700000000000001E-2</v>
      </c>
      <c r="F709" s="76">
        <f t="shared" si="20"/>
        <v>0.4341216216216216</v>
      </c>
      <c r="G709" s="75"/>
    </row>
    <row r="710" spans="1:7" x14ac:dyDescent="0.25">
      <c r="A710" s="22">
        <v>42037</v>
      </c>
      <c r="B710" s="15" t="s">
        <v>51</v>
      </c>
      <c r="C710" s="23" t="s">
        <v>47</v>
      </c>
      <c r="D710" s="75">
        <v>8.0299999999999996E-2</v>
      </c>
      <c r="E710" s="75">
        <v>3.4799999999999998E-2</v>
      </c>
      <c r="F710" s="76">
        <f t="shared" si="20"/>
        <v>0.43337484433374845</v>
      </c>
      <c r="G710" s="75"/>
    </row>
    <row r="711" spans="1:7" x14ac:dyDescent="0.25">
      <c r="A711" s="22">
        <v>42037</v>
      </c>
      <c r="B711" s="15" t="s">
        <v>51</v>
      </c>
      <c r="C711" s="23" t="s">
        <v>48</v>
      </c>
      <c r="D711" s="75">
        <v>2.98E-2</v>
      </c>
      <c r="E711" s="75">
        <v>1.7399999999999999E-2</v>
      </c>
      <c r="F711" s="76">
        <f t="shared" si="20"/>
        <v>0.58389261744966436</v>
      </c>
      <c r="G711" s="75"/>
    </row>
    <row r="712" spans="1:7" x14ac:dyDescent="0.25">
      <c r="A712" s="22">
        <v>42038</v>
      </c>
      <c r="B712" s="15" t="s">
        <v>44</v>
      </c>
      <c r="C712" s="23" t="s">
        <v>45</v>
      </c>
      <c r="D712" s="75">
        <v>4.48E-2</v>
      </c>
      <c r="E712" s="75">
        <v>1.7399999999999999E-2</v>
      </c>
      <c r="F712" s="76">
        <f t="shared" si="20"/>
        <v>0.3883928571428571</v>
      </c>
      <c r="G712" s="75">
        <f>F712</f>
        <v>0.3883928571428571</v>
      </c>
    </row>
    <row r="713" spans="1:7" x14ac:dyDescent="0.25">
      <c r="A713" s="22">
        <v>42038</v>
      </c>
      <c r="B713" s="15" t="s">
        <v>44</v>
      </c>
      <c r="C713" s="23" t="s">
        <v>46</v>
      </c>
      <c r="D713" s="75" t="s">
        <v>18</v>
      </c>
      <c r="E713" s="75"/>
      <c r="F713" s="75" t="s">
        <v>18</v>
      </c>
      <c r="G713" s="75"/>
    </row>
    <row r="714" spans="1:7" x14ac:dyDescent="0.25">
      <c r="A714" s="22">
        <v>42038</v>
      </c>
      <c r="B714" s="15" t="s">
        <v>44</v>
      </c>
      <c r="C714" s="23" t="s">
        <v>47</v>
      </c>
      <c r="D714" s="75" t="s">
        <v>18</v>
      </c>
      <c r="E714" s="75"/>
      <c r="F714" s="75" t="s">
        <v>18</v>
      </c>
      <c r="G714" s="75"/>
    </row>
    <row r="715" spans="1:7" x14ac:dyDescent="0.25">
      <c r="A715" s="22">
        <v>42038</v>
      </c>
      <c r="B715" s="15" t="s">
        <v>44</v>
      </c>
      <c r="C715" s="23" t="s">
        <v>48</v>
      </c>
      <c r="D715" s="75" t="s">
        <v>18</v>
      </c>
      <c r="E715" s="75"/>
      <c r="F715" s="75" t="s">
        <v>18</v>
      </c>
      <c r="G715" s="75"/>
    </row>
    <row r="716" spans="1:7" x14ac:dyDescent="0.25">
      <c r="A716" s="22">
        <v>42038</v>
      </c>
      <c r="B716" s="15" t="s">
        <v>49</v>
      </c>
      <c r="C716" s="23" t="s">
        <v>45</v>
      </c>
      <c r="D716" s="75" t="s">
        <v>18</v>
      </c>
      <c r="E716" s="75"/>
      <c r="F716" s="75" t="s">
        <v>18</v>
      </c>
      <c r="G716" s="75" t="str">
        <f>F716</f>
        <v>NA</v>
      </c>
    </row>
    <row r="717" spans="1:7" x14ac:dyDescent="0.25">
      <c r="A717" s="22">
        <v>42038</v>
      </c>
      <c r="B717" s="15" t="s">
        <v>49</v>
      </c>
      <c r="C717" s="23" t="s">
        <v>46</v>
      </c>
      <c r="D717" s="75" t="s">
        <v>18</v>
      </c>
      <c r="E717" s="75"/>
      <c r="F717" s="75" t="s">
        <v>18</v>
      </c>
      <c r="G717" s="75"/>
    </row>
    <row r="718" spans="1:7" x14ac:dyDescent="0.25">
      <c r="A718" s="22">
        <v>42038</v>
      </c>
      <c r="B718" s="15" t="s">
        <v>49</v>
      </c>
      <c r="C718" s="23" t="s">
        <v>47</v>
      </c>
      <c r="D718" s="75" t="s">
        <v>18</v>
      </c>
      <c r="E718" s="75"/>
      <c r="F718" s="75" t="s">
        <v>18</v>
      </c>
      <c r="G718" s="75"/>
    </row>
    <row r="719" spans="1:7" x14ac:dyDescent="0.25">
      <c r="A719" s="22">
        <v>42038</v>
      </c>
      <c r="B719" s="15" t="s">
        <v>49</v>
      </c>
      <c r="C719" s="23" t="s">
        <v>48</v>
      </c>
      <c r="D719" s="75" t="s">
        <v>18</v>
      </c>
      <c r="E719" s="75"/>
      <c r="F719" s="75" t="s">
        <v>18</v>
      </c>
      <c r="G719" s="75"/>
    </row>
    <row r="720" spans="1:7" x14ac:dyDescent="0.25">
      <c r="A720" s="22">
        <v>42038</v>
      </c>
      <c r="B720" s="15" t="s">
        <v>50</v>
      </c>
      <c r="C720" s="23" t="s">
        <v>45</v>
      </c>
      <c r="D720" s="75">
        <v>8.0999999999999996E-3</v>
      </c>
      <c r="E720" s="75">
        <v>3.0999999999999999E-3</v>
      </c>
      <c r="F720" s="76">
        <f>E724/D724</f>
        <v>0.57943925233644866</v>
      </c>
      <c r="G720" s="75">
        <f>F720</f>
        <v>0.57943925233644866</v>
      </c>
    </row>
    <row r="721" spans="1:7" x14ac:dyDescent="0.25">
      <c r="A721" s="22">
        <v>42038</v>
      </c>
      <c r="B721" s="15" t="s">
        <v>50</v>
      </c>
      <c r="C721" s="23" t="s">
        <v>46</v>
      </c>
      <c r="D721" s="75" t="s">
        <v>18</v>
      </c>
      <c r="E721" s="75"/>
      <c r="F721" s="75" t="s">
        <v>18</v>
      </c>
      <c r="G721" s="75"/>
    </row>
    <row r="722" spans="1:7" x14ac:dyDescent="0.25">
      <c r="A722" s="22">
        <v>42038</v>
      </c>
      <c r="B722" s="15" t="s">
        <v>50</v>
      </c>
      <c r="C722" s="23" t="s">
        <v>47</v>
      </c>
      <c r="D722" s="75" t="s">
        <v>18</v>
      </c>
      <c r="E722" s="75"/>
      <c r="F722" s="75" t="s">
        <v>18</v>
      </c>
      <c r="G722" s="75"/>
    </row>
    <row r="723" spans="1:7" x14ac:dyDescent="0.25">
      <c r="A723" s="22">
        <v>42038</v>
      </c>
      <c r="B723" s="15" t="s">
        <v>50</v>
      </c>
      <c r="C723" s="23" t="s">
        <v>48</v>
      </c>
      <c r="D723" s="75" t="s">
        <v>18</v>
      </c>
      <c r="E723" s="75"/>
      <c r="F723" s="75" t="s">
        <v>18</v>
      </c>
      <c r="G723" s="75"/>
    </row>
    <row r="724" spans="1:7" x14ac:dyDescent="0.25">
      <c r="A724" s="22">
        <v>42038</v>
      </c>
      <c r="B724" s="15" t="s">
        <v>51</v>
      </c>
      <c r="C724" s="23" t="s">
        <v>45</v>
      </c>
      <c r="D724" s="75">
        <v>2.1399999999999999E-2</v>
      </c>
      <c r="E724" s="75">
        <v>1.24E-2</v>
      </c>
      <c r="F724" s="76">
        <f>E720/D720</f>
        <v>0.38271604938271608</v>
      </c>
      <c r="G724" s="75">
        <f>F724</f>
        <v>0.38271604938271608</v>
      </c>
    </row>
    <row r="725" spans="1:7" x14ac:dyDescent="0.25">
      <c r="A725" s="22">
        <v>42038</v>
      </c>
      <c r="B725" s="15" t="s">
        <v>51</v>
      </c>
      <c r="C725" s="23" t="s">
        <v>46</v>
      </c>
      <c r="D725" s="75" t="s">
        <v>18</v>
      </c>
      <c r="E725" s="75"/>
      <c r="F725" s="75" t="s">
        <v>18</v>
      </c>
      <c r="G725" s="75"/>
    </row>
    <row r="726" spans="1:7" x14ac:dyDescent="0.25">
      <c r="A726" s="22">
        <v>42038</v>
      </c>
      <c r="B726" s="15" t="s">
        <v>51</v>
      </c>
      <c r="C726" s="23" t="s">
        <v>47</v>
      </c>
      <c r="D726" s="75" t="s">
        <v>18</v>
      </c>
      <c r="E726" s="75"/>
      <c r="F726" s="75" t="s">
        <v>18</v>
      </c>
      <c r="G726" s="75"/>
    </row>
    <row r="727" spans="1:7" x14ac:dyDescent="0.25">
      <c r="A727" s="22">
        <v>42038</v>
      </c>
      <c r="B727" s="15" t="s">
        <v>51</v>
      </c>
      <c r="C727" s="23" t="s">
        <v>48</v>
      </c>
      <c r="D727" s="75" t="s">
        <v>18</v>
      </c>
      <c r="E727" s="75"/>
      <c r="F727" s="75" t="s">
        <v>18</v>
      </c>
      <c r="G727" s="75"/>
    </row>
    <row r="728" spans="1:7" x14ac:dyDescent="0.25">
      <c r="A728" s="22">
        <v>42113</v>
      </c>
      <c r="B728" s="15" t="s">
        <v>44</v>
      </c>
      <c r="C728" s="23" t="s">
        <v>45</v>
      </c>
      <c r="D728" s="75">
        <v>0.19831499999999999</v>
      </c>
      <c r="E728" s="75">
        <v>5.6394E-2</v>
      </c>
      <c r="F728" s="76">
        <f>E728/D728</f>
        <v>0.28436578171091448</v>
      </c>
      <c r="G728" s="75">
        <f>AVERAGE(F728:F731)</f>
        <v>0.26139128042666815</v>
      </c>
    </row>
    <row r="729" spans="1:7" x14ac:dyDescent="0.25">
      <c r="A729" s="22">
        <v>42113</v>
      </c>
      <c r="B729" s="15" t="s">
        <v>44</v>
      </c>
      <c r="C729" s="23" t="s">
        <v>46</v>
      </c>
      <c r="D729" s="75">
        <v>0.27237599999999995</v>
      </c>
      <c r="E729" s="74">
        <v>7.3124999999999996E-2</v>
      </c>
      <c r="F729" s="76">
        <f>E729/D729</f>
        <v>0.26847079037800692</v>
      </c>
      <c r="G729" s="75"/>
    </row>
    <row r="730" spans="1:7" x14ac:dyDescent="0.25">
      <c r="A730" s="22">
        <v>42113</v>
      </c>
      <c r="B730" s="15" t="s">
        <v>44</v>
      </c>
      <c r="C730" s="23" t="s">
        <v>47</v>
      </c>
      <c r="D730" s="75">
        <v>0.23470199999999997</v>
      </c>
      <c r="E730" s="74">
        <v>5.5925999999999997E-2</v>
      </c>
      <c r="F730" s="76">
        <f>E730/D730</f>
        <v>0.23828514456630112</v>
      </c>
      <c r="G730" s="75"/>
    </row>
    <row r="731" spans="1:7" x14ac:dyDescent="0.25">
      <c r="A731" s="22">
        <v>42113</v>
      </c>
      <c r="B731" s="15" t="s">
        <v>44</v>
      </c>
      <c r="C731" s="23" t="s">
        <v>48</v>
      </c>
      <c r="D731" s="75">
        <v>0.25014599999999998</v>
      </c>
      <c r="E731" s="74">
        <v>6.3647999999999996E-2</v>
      </c>
      <c r="F731" s="76">
        <f>E731/D731</f>
        <v>0.25444340505144997</v>
      </c>
      <c r="G731" s="75"/>
    </row>
    <row r="732" spans="1:7" x14ac:dyDescent="0.25">
      <c r="A732" s="22">
        <v>42113</v>
      </c>
      <c r="B732" s="15" t="s">
        <v>49</v>
      </c>
      <c r="C732" s="23" t="s">
        <v>45</v>
      </c>
      <c r="D732" s="75">
        <v>4.5999999999999999E-2</v>
      </c>
      <c r="E732" s="75">
        <v>2.1499999999999998E-2</v>
      </c>
      <c r="F732" s="76">
        <f>E732/D732</f>
        <v>0.46739130434782605</v>
      </c>
      <c r="G732" s="75">
        <f>F732</f>
        <v>0.46739130434782605</v>
      </c>
    </row>
    <row r="733" spans="1:7" x14ac:dyDescent="0.25">
      <c r="A733" s="22">
        <v>42113</v>
      </c>
      <c r="B733" s="15" t="s">
        <v>49</v>
      </c>
      <c r="C733" s="23" t="s">
        <v>46</v>
      </c>
      <c r="D733" s="75" t="s">
        <v>18</v>
      </c>
      <c r="E733" s="75"/>
      <c r="F733" s="75" t="s">
        <v>18</v>
      </c>
      <c r="G733" s="75"/>
    </row>
    <row r="734" spans="1:7" x14ac:dyDescent="0.25">
      <c r="A734" s="22">
        <v>42113</v>
      </c>
      <c r="B734" s="15" t="s">
        <v>49</v>
      </c>
      <c r="C734" s="23" t="s">
        <v>47</v>
      </c>
      <c r="D734" s="75" t="s">
        <v>18</v>
      </c>
      <c r="E734" s="75"/>
      <c r="F734" s="75" t="s">
        <v>18</v>
      </c>
      <c r="G734" s="75"/>
    </row>
    <row r="735" spans="1:7" x14ac:dyDescent="0.25">
      <c r="A735" s="22">
        <v>42113</v>
      </c>
      <c r="B735" s="15" t="s">
        <v>49</v>
      </c>
      <c r="C735" s="23" t="s">
        <v>48</v>
      </c>
      <c r="D735" s="75" t="s">
        <v>18</v>
      </c>
      <c r="E735" s="75"/>
      <c r="F735" s="75" t="s">
        <v>18</v>
      </c>
      <c r="G735" s="75"/>
    </row>
    <row r="736" spans="1:7" x14ac:dyDescent="0.25">
      <c r="A736" s="22">
        <v>42113</v>
      </c>
      <c r="B736" s="15" t="s">
        <v>50</v>
      </c>
      <c r="C736" s="23" t="s">
        <v>45</v>
      </c>
      <c r="D736" s="75">
        <v>7.6299999999999993E-2</v>
      </c>
      <c r="E736" s="75">
        <v>3.0699999999999998E-2</v>
      </c>
      <c r="F736" s="76">
        <f t="shared" ref="F736:F759" si="21">E736/D736</f>
        <v>0.40235910878112713</v>
      </c>
      <c r="G736" s="75">
        <f>AVERAGE(F736:F737)</f>
        <v>0.41405084151927646</v>
      </c>
    </row>
    <row r="737" spans="1:7" x14ac:dyDescent="0.25">
      <c r="A737" s="22">
        <v>42113</v>
      </c>
      <c r="B737" s="15" t="s">
        <v>50</v>
      </c>
      <c r="C737" s="23" t="s">
        <v>46</v>
      </c>
      <c r="D737" s="75">
        <v>7.0699999999999999E-2</v>
      </c>
      <c r="E737" s="75">
        <v>3.0100000000000002E-2</v>
      </c>
      <c r="F737" s="76">
        <f t="shared" si="21"/>
        <v>0.42574257425742579</v>
      </c>
      <c r="G737" s="75"/>
    </row>
    <row r="738" spans="1:7" x14ac:dyDescent="0.25">
      <c r="A738" s="22">
        <v>42113</v>
      </c>
      <c r="B738" s="15" t="s">
        <v>50</v>
      </c>
      <c r="C738" s="23" t="s">
        <v>47</v>
      </c>
      <c r="D738" s="75" t="s">
        <v>18</v>
      </c>
      <c r="E738" s="75"/>
      <c r="F738" s="75" t="s">
        <v>18</v>
      </c>
      <c r="G738" s="75"/>
    </row>
    <row r="739" spans="1:7" x14ac:dyDescent="0.25">
      <c r="A739" s="22">
        <v>42113</v>
      </c>
      <c r="B739" s="15" t="s">
        <v>50</v>
      </c>
      <c r="C739" s="23" t="s">
        <v>48</v>
      </c>
      <c r="D739" s="75" t="s">
        <v>18</v>
      </c>
      <c r="E739" s="75"/>
      <c r="F739" s="75" t="s">
        <v>18</v>
      </c>
      <c r="G739" s="75"/>
    </row>
    <row r="740" spans="1:7" x14ac:dyDescent="0.25">
      <c r="A740" s="22">
        <v>42113</v>
      </c>
      <c r="B740" s="15" t="s">
        <v>51</v>
      </c>
      <c r="C740" s="23" t="s">
        <v>45</v>
      </c>
      <c r="D740" s="75" t="s">
        <v>18</v>
      </c>
      <c r="E740" s="75"/>
      <c r="F740" s="75" t="s">
        <v>18</v>
      </c>
      <c r="G740" s="75" t="s">
        <v>18</v>
      </c>
    </row>
    <row r="741" spans="1:7" x14ac:dyDescent="0.25">
      <c r="A741" s="22">
        <v>42113</v>
      </c>
      <c r="B741" s="15" t="s">
        <v>51</v>
      </c>
      <c r="C741" s="23" t="s">
        <v>46</v>
      </c>
      <c r="D741" s="75" t="s">
        <v>18</v>
      </c>
      <c r="E741" s="75"/>
      <c r="F741" s="75" t="s">
        <v>18</v>
      </c>
      <c r="G741" s="75"/>
    </row>
    <row r="742" spans="1:7" x14ac:dyDescent="0.25">
      <c r="A742" s="22">
        <v>42113</v>
      </c>
      <c r="B742" s="15" t="s">
        <v>51</v>
      </c>
      <c r="C742" s="23" t="s">
        <v>47</v>
      </c>
      <c r="D742" s="75" t="s">
        <v>18</v>
      </c>
      <c r="E742" s="75"/>
      <c r="F742" s="75" t="s">
        <v>18</v>
      </c>
      <c r="G742" s="75"/>
    </row>
    <row r="743" spans="1:7" x14ac:dyDescent="0.25">
      <c r="A743" s="22">
        <v>42113</v>
      </c>
      <c r="B743" s="15" t="s">
        <v>51</v>
      </c>
      <c r="C743" s="23" t="s">
        <v>48</v>
      </c>
      <c r="D743" s="75" t="s">
        <v>18</v>
      </c>
      <c r="E743" s="75"/>
      <c r="F743" s="75" t="s">
        <v>18</v>
      </c>
      <c r="G743" s="75"/>
    </row>
    <row r="744" spans="1:7" x14ac:dyDescent="0.25">
      <c r="A744" s="22">
        <v>42114</v>
      </c>
      <c r="B744" s="15" t="s">
        <v>44</v>
      </c>
      <c r="C744" s="23" t="s">
        <v>45</v>
      </c>
      <c r="D744" s="75">
        <v>0.28431000000000001</v>
      </c>
      <c r="E744" s="74">
        <v>8.3699999999999997E-2</v>
      </c>
      <c r="F744" s="76">
        <f t="shared" si="21"/>
        <v>0.29439696106362773</v>
      </c>
      <c r="G744" s="75">
        <f>AVERAGE(F744:F747)</f>
        <v>0.28939724752271545</v>
      </c>
    </row>
    <row r="745" spans="1:7" x14ac:dyDescent="0.25">
      <c r="A745" s="22">
        <v>42114</v>
      </c>
      <c r="B745" s="15" t="s">
        <v>44</v>
      </c>
      <c r="C745" s="23" t="s">
        <v>46</v>
      </c>
      <c r="D745" s="75">
        <v>0.27418500000000001</v>
      </c>
      <c r="E745" s="75">
        <v>7.2495000000000004E-2</v>
      </c>
      <c r="F745" s="76">
        <f t="shared" si="21"/>
        <v>0.26440177252584934</v>
      </c>
      <c r="G745" s="75"/>
    </row>
    <row r="746" spans="1:7" x14ac:dyDescent="0.25">
      <c r="A746" s="22">
        <v>42114</v>
      </c>
      <c r="B746" s="15" t="s">
        <v>44</v>
      </c>
      <c r="C746" s="23" t="s">
        <v>47</v>
      </c>
      <c r="D746" s="75">
        <v>0.28201500000000002</v>
      </c>
      <c r="E746" s="75">
        <v>8.5589999999999999E-2</v>
      </c>
      <c r="F746" s="76">
        <f t="shared" si="21"/>
        <v>0.30349449497367159</v>
      </c>
      <c r="G746" s="75"/>
    </row>
    <row r="747" spans="1:7" x14ac:dyDescent="0.25">
      <c r="A747" s="22">
        <v>42114</v>
      </c>
      <c r="B747" s="15" t="s">
        <v>44</v>
      </c>
      <c r="C747" s="23" t="s">
        <v>48</v>
      </c>
      <c r="D747" s="75">
        <v>0.28984500000000002</v>
      </c>
      <c r="E747" s="75">
        <v>8.5589999999999999E-2</v>
      </c>
      <c r="F747" s="76">
        <f t="shared" si="21"/>
        <v>0.29529576152771309</v>
      </c>
      <c r="G747" s="75"/>
    </row>
    <row r="748" spans="1:7" x14ac:dyDescent="0.25">
      <c r="A748" s="22">
        <v>42114</v>
      </c>
      <c r="B748" s="15" t="s">
        <v>49</v>
      </c>
      <c r="C748" s="23" t="s">
        <v>45</v>
      </c>
      <c r="D748" s="75">
        <v>0.13384900000000002</v>
      </c>
      <c r="E748" s="75">
        <v>5.6855000000000003E-2</v>
      </c>
      <c r="F748" s="76">
        <f t="shared" si="21"/>
        <v>0.42476970317297846</v>
      </c>
      <c r="G748" s="75">
        <f>AVERAGE(F748:F751)</f>
        <v>0.42163055391714954</v>
      </c>
    </row>
    <row r="749" spans="1:7" x14ac:dyDescent="0.25">
      <c r="A749" s="22">
        <v>42114</v>
      </c>
      <c r="B749" s="15" t="s">
        <v>49</v>
      </c>
      <c r="C749" s="23" t="s">
        <v>46</v>
      </c>
      <c r="D749" s="75">
        <v>0.14124700000000001</v>
      </c>
      <c r="E749" s="75">
        <v>6.6855999999999999E-2</v>
      </c>
      <c r="F749" s="76">
        <f t="shared" si="21"/>
        <v>0.47332686711930161</v>
      </c>
      <c r="G749" s="75"/>
    </row>
    <row r="750" spans="1:7" x14ac:dyDescent="0.25">
      <c r="A750" s="22">
        <v>42114</v>
      </c>
      <c r="B750" s="15" t="s">
        <v>49</v>
      </c>
      <c r="C750" s="23" t="s">
        <v>47</v>
      </c>
      <c r="D750" s="75">
        <v>0.15207000000000001</v>
      </c>
      <c r="E750" s="75">
        <v>6.3705000000000012E-2</v>
      </c>
      <c r="F750" s="76">
        <f t="shared" si="21"/>
        <v>0.41891891891891897</v>
      </c>
      <c r="G750" s="75"/>
    </row>
    <row r="751" spans="1:7" x14ac:dyDescent="0.25">
      <c r="A751" s="22">
        <v>42114</v>
      </c>
      <c r="B751" s="15" t="s">
        <v>49</v>
      </c>
      <c r="C751" s="23" t="s">
        <v>48</v>
      </c>
      <c r="D751" s="75">
        <v>0.15275500000000003</v>
      </c>
      <c r="E751" s="75">
        <v>5.6444000000000008E-2</v>
      </c>
      <c r="F751" s="76">
        <f t="shared" si="21"/>
        <v>0.36950672645739907</v>
      </c>
      <c r="G751" s="75"/>
    </row>
    <row r="752" spans="1:7" x14ac:dyDescent="0.25">
      <c r="A752" s="22">
        <v>42114</v>
      </c>
      <c r="B752" s="15" t="s">
        <v>50</v>
      </c>
      <c r="C752" s="23" t="s">
        <v>45</v>
      </c>
      <c r="D752" s="75">
        <v>0.1047</v>
      </c>
      <c r="E752" s="75">
        <v>4.36E-2</v>
      </c>
      <c r="F752" s="76">
        <f t="shared" si="21"/>
        <v>0.41642788920725882</v>
      </c>
      <c r="G752" s="75">
        <f>AVERAGE(F752:F755)</f>
        <v>0.41792290095094242</v>
      </c>
    </row>
    <row r="753" spans="1:7" x14ac:dyDescent="0.25">
      <c r="A753" s="22">
        <v>42114</v>
      </c>
      <c r="B753" s="15" t="s">
        <v>50</v>
      </c>
      <c r="C753" s="23" t="s">
        <v>46</v>
      </c>
      <c r="D753" s="75">
        <v>9.0999999999999998E-2</v>
      </c>
      <c r="E753" s="75">
        <v>3.8200000000000005E-2</v>
      </c>
      <c r="F753" s="76">
        <f t="shared" si="21"/>
        <v>0.41978021978021984</v>
      </c>
      <c r="G753" s="75"/>
    </row>
    <row r="754" spans="1:7" x14ac:dyDescent="0.25">
      <c r="A754" s="22">
        <v>42114</v>
      </c>
      <c r="B754" s="15" t="s">
        <v>50</v>
      </c>
      <c r="C754" s="23" t="s">
        <v>47</v>
      </c>
      <c r="D754" s="75">
        <v>8.0799999999999997E-2</v>
      </c>
      <c r="E754" s="75">
        <v>3.1E-2</v>
      </c>
      <c r="F754" s="76">
        <f t="shared" si="21"/>
        <v>0.38366336633663367</v>
      </c>
      <c r="G754" s="75"/>
    </row>
    <row r="755" spans="1:7" x14ac:dyDescent="0.25">
      <c r="A755" s="22">
        <v>42114</v>
      </c>
      <c r="B755" s="15" t="s">
        <v>50</v>
      </c>
      <c r="C755" s="23" t="s">
        <v>48</v>
      </c>
      <c r="D755" s="75">
        <v>4.6700000000000005E-2</v>
      </c>
      <c r="E755" s="75">
        <v>2.1100000000000001E-2</v>
      </c>
      <c r="F755" s="76">
        <f t="shared" si="21"/>
        <v>0.45182012847965736</v>
      </c>
      <c r="G755" s="75"/>
    </row>
    <row r="756" spans="1:7" x14ac:dyDescent="0.25">
      <c r="A756" s="22">
        <v>42114</v>
      </c>
      <c r="B756" s="15" t="s">
        <v>51</v>
      </c>
      <c r="C756" s="23" t="s">
        <v>45</v>
      </c>
      <c r="D756" s="75">
        <v>6.2799999999999995E-2</v>
      </c>
      <c r="E756" s="75">
        <v>2.7300000000000001E-2</v>
      </c>
      <c r="F756" s="76">
        <f t="shared" si="21"/>
        <v>0.43471337579617841</v>
      </c>
      <c r="G756" s="75">
        <f>AVERAGE(F756:F759)</f>
        <v>0.4421775063818365</v>
      </c>
    </row>
    <row r="757" spans="1:7" x14ac:dyDescent="0.25">
      <c r="A757" s="22">
        <v>42114</v>
      </c>
      <c r="B757" s="15" t="s">
        <v>51</v>
      </c>
      <c r="C757" s="23" t="s">
        <v>46</v>
      </c>
      <c r="D757" s="75">
        <v>4.3900000000000002E-2</v>
      </c>
      <c r="E757" s="75">
        <v>1.9399999999999997E-2</v>
      </c>
      <c r="F757" s="76">
        <f t="shared" si="21"/>
        <v>0.4419134396355352</v>
      </c>
      <c r="G757" s="75"/>
    </row>
    <row r="758" spans="1:7" x14ac:dyDescent="0.25">
      <c r="A758" s="22">
        <v>42114</v>
      </c>
      <c r="B758" s="15" t="s">
        <v>51</v>
      </c>
      <c r="C758" s="23" t="s">
        <v>47</v>
      </c>
      <c r="D758" s="75">
        <v>3.4500000000000003E-2</v>
      </c>
      <c r="E758" s="75">
        <v>1.5599999999999999E-2</v>
      </c>
      <c r="F758" s="76">
        <f t="shared" si="21"/>
        <v>0.4521739130434782</v>
      </c>
      <c r="G758" s="75"/>
    </row>
    <row r="759" spans="1:7" x14ac:dyDescent="0.25">
      <c r="A759" s="22">
        <v>42114</v>
      </c>
      <c r="B759" s="15" t="s">
        <v>51</v>
      </c>
      <c r="C759" s="23" t="s">
        <v>48</v>
      </c>
      <c r="D759" s="75">
        <v>4.41E-2</v>
      </c>
      <c r="E759" s="75">
        <v>1.9399999999999997E-2</v>
      </c>
      <c r="F759" s="76">
        <f t="shared" si="21"/>
        <v>0.43990929705215415</v>
      </c>
      <c r="G759" s="75"/>
    </row>
    <row r="760" spans="1:7" x14ac:dyDescent="0.25">
      <c r="A760" s="22">
        <v>42205</v>
      </c>
      <c r="B760" s="15" t="s">
        <v>44</v>
      </c>
      <c r="C760" s="23" t="s">
        <v>45</v>
      </c>
      <c r="D760" s="75">
        <v>289.5</v>
      </c>
      <c r="E760" s="75">
        <v>98.828808446455511</v>
      </c>
      <c r="F760" s="76">
        <f>E760/D760</f>
        <v>0.34137757667169433</v>
      </c>
      <c r="G760" s="75">
        <f>AVERAGE(F760:F763)</f>
        <v>0.333524215359988</v>
      </c>
    </row>
    <row r="761" spans="1:7" x14ac:dyDescent="0.25">
      <c r="A761" s="22">
        <v>42205</v>
      </c>
      <c r="B761" s="15" t="s">
        <v>44</v>
      </c>
      <c r="C761" s="23" t="s">
        <v>46</v>
      </c>
      <c r="D761" s="75">
        <v>213.1</v>
      </c>
      <c r="E761" s="74">
        <v>73.3</v>
      </c>
      <c r="F761" s="76">
        <f>E761/D761</f>
        <v>0.34396996715157202</v>
      </c>
      <c r="G761" s="75"/>
    </row>
    <row r="762" spans="1:7" x14ac:dyDescent="0.25">
      <c r="A762" s="22">
        <v>42205</v>
      </c>
      <c r="B762" s="15" t="s">
        <v>44</v>
      </c>
      <c r="C762" s="23" t="s">
        <v>47</v>
      </c>
      <c r="D762" s="75">
        <v>217.7</v>
      </c>
      <c r="E762" s="74">
        <v>68.599999999999994</v>
      </c>
      <c r="F762" s="76">
        <f>E762/D762</f>
        <v>0.31511254019292606</v>
      </c>
      <c r="G762" s="75"/>
    </row>
    <row r="763" spans="1:7" x14ac:dyDescent="0.25">
      <c r="A763" s="22">
        <v>42205</v>
      </c>
      <c r="B763" s="15" t="s">
        <v>44</v>
      </c>
      <c r="C763" s="23" t="s">
        <v>48</v>
      </c>
      <c r="D763" s="75">
        <v>219.7</v>
      </c>
      <c r="E763" s="74">
        <v>73.3</v>
      </c>
      <c r="F763" s="76">
        <f t="shared" ref="F763:F784" si="22">E763/D763</f>
        <v>0.33363677742375969</v>
      </c>
      <c r="G763" s="75"/>
    </row>
    <row r="764" spans="1:7" x14ac:dyDescent="0.25">
      <c r="A764" s="22">
        <v>42205</v>
      </c>
      <c r="B764" s="15" t="s">
        <v>49</v>
      </c>
      <c r="C764" s="23" t="s">
        <v>45</v>
      </c>
      <c r="D764" s="75">
        <v>58.3</v>
      </c>
      <c r="E764" s="75">
        <v>27.5</v>
      </c>
      <c r="F764" s="76">
        <f t="shared" si="22"/>
        <v>0.47169811320754718</v>
      </c>
      <c r="G764" s="75">
        <f>AVERAGE(F764:F767)</f>
        <v>0.55428097263378084</v>
      </c>
    </row>
    <row r="765" spans="1:7" x14ac:dyDescent="0.25">
      <c r="A765" s="22">
        <v>42205</v>
      </c>
      <c r="B765" s="15" t="s">
        <v>49</v>
      </c>
      <c r="C765" s="23" t="s">
        <v>46</v>
      </c>
      <c r="D765" s="75">
        <v>57.7</v>
      </c>
      <c r="E765" s="75">
        <v>28.9</v>
      </c>
      <c r="F765" s="76">
        <f t="shared" si="22"/>
        <v>0.50086655112651646</v>
      </c>
      <c r="G765" s="75"/>
    </row>
    <row r="766" spans="1:7" x14ac:dyDescent="0.25">
      <c r="A766" s="22">
        <v>42205</v>
      </c>
      <c r="B766" s="15" t="s">
        <v>49</v>
      </c>
      <c r="C766" s="23" t="s">
        <v>47</v>
      </c>
      <c r="D766" s="75">
        <v>24.4</v>
      </c>
      <c r="E766" s="75">
        <v>16.5</v>
      </c>
      <c r="F766" s="76">
        <f t="shared" si="22"/>
        <v>0.67622950819672134</v>
      </c>
      <c r="G766" s="75"/>
    </row>
    <row r="767" spans="1:7" x14ac:dyDescent="0.25">
      <c r="A767" s="22">
        <v>42205</v>
      </c>
      <c r="B767" s="15" t="s">
        <v>49</v>
      </c>
      <c r="C767" s="23" t="s">
        <v>48</v>
      </c>
      <c r="D767" s="75">
        <v>46.1</v>
      </c>
      <c r="E767" s="75">
        <v>26.2</v>
      </c>
      <c r="F767" s="76">
        <f t="shared" si="22"/>
        <v>0.5683297180043384</v>
      </c>
      <c r="G767" s="75"/>
    </row>
    <row r="768" spans="1:7" x14ac:dyDescent="0.25">
      <c r="A768" s="22">
        <v>42205</v>
      </c>
      <c r="B768" s="15" t="s">
        <v>50</v>
      </c>
      <c r="C768" s="23" t="s">
        <v>45</v>
      </c>
      <c r="D768" s="75">
        <v>92.6</v>
      </c>
      <c r="E768" s="75">
        <v>43.3</v>
      </c>
      <c r="F768" s="76">
        <f t="shared" si="22"/>
        <v>0.46760259179265656</v>
      </c>
      <c r="G768" s="75">
        <f>AVERAGE(F768:F770)</f>
        <v>0.45556652651297469</v>
      </c>
    </row>
    <row r="769" spans="1:7" x14ac:dyDescent="0.25">
      <c r="A769" s="22">
        <v>42205</v>
      </c>
      <c r="B769" s="15" t="s">
        <v>50</v>
      </c>
      <c r="C769" s="23" t="s">
        <v>46</v>
      </c>
      <c r="D769" s="75">
        <v>91.1</v>
      </c>
      <c r="E769" s="75">
        <v>38.6</v>
      </c>
      <c r="F769" s="76">
        <f t="shared" si="22"/>
        <v>0.4237102085620198</v>
      </c>
      <c r="G769" s="75"/>
    </row>
    <row r="770" spans="1:7" x14ac:dyDescent="0.25">
      <c r="A770" s="22">
        <v>42205</v>
      </c>
      <c r="B770" s="15" t="s">
        <v>50</v>
      </c>
      <c r="C770" s="23" t="s">
        <v>47</v>
      </c>
      <c r="D770" s="75">
        <v>71.099999999999994</v>
      </c>
      <c r="E770" s="75">
        <v>33.799999999999997</v>
      </c>
      <c r="F770" s="76">
        <f t="shared" si="22"/>
        <v>0.47538677918424754</v>
      </c>
      <c r="G770" s="75"/>
    </row>
    <row r="771" spans="1:7" x14ac:dyDescent="0.25">
      <c r="A771" s="22">
        <v>42205</v>
      </c>
      <c r="B771" s="15" t="s">
        <v>50</v>
      </c>
      <c r="C771" s="23" t="s">
        <v>48</v>
      </c>
      <c r="D771" s="75" t="s">
        <v>117</v>
      </c>
      <c r="E771" s="75" t="s">
        <v>117</v>
      </c>
      <c r="F771" s="75" t="s">
        <v>117</v>
      </c>
      <c r="G771" s="75"/>
    </row>
    <row r="772" spans="1:7" x14ac:dyDescent="0.25">
      <c r="A772" s="22">
        <v>42205</v>
      </c>
      <c r="B772" s="15" t="s">
        <v>51</v>
      </c>
      <c r="C772" s="23" t="s">
        <v>45</v>
      </c>
      <c r="D772" s="75">
        <v>52.5</v>
      </c>
      <c r="E772" s="75">
        <v>31.1</v>
      </c>
      <c r="F772" s="76">
        <f t="shared" si="22"/>
        <v>0.59238095238095245</v>
      </c>
      <c r="G772" s="75">
        <f>AVERAGE(F772:F774)</f>
        <v>0.58676920753004036</v>
      </c>
    </row>
    <row r="773" spans="1:7" x14ac:dyDescent="0.25">
      <c r="A773" s="22">
        <v>42205</v>
      </c>
      <c r="B773" s="15" t="s">
        <v>51</v>
      </c>
      <c r="C773" s="23" t="s">
        <v>46</v>
      </c>
      <c r="D773" s="75">
        <v>32.6</v>
      </c>
      <c r="E773" s="75">
        <v>19.399999999999999</v>
      </c>
      <c r="F773" s="76">
        <f t="shared" si="22"/>
        <v>0.5950920245398772</v>
      </c>
      <c r="G773" s="75"/>
    </row>
    <row r="774" spans="1:7" x14ac:dyDescent="0.25">
      <c r="A774" s="22">
        <v>42205</v>
      </c>
      <c r="B774" s="15" t="s">
        <v>51</v>
      </c>
      <c r="C774" s="23" t="s">
        <v>47</v>
      </c>
      <c r="D774" s="75">
        <v>50.8</v>
      </c>
      <c r="E774" s="75">
        <v>29.1</v>
      </c>
      <c r="F774" s="76">
        <f t="shared" si="22"/>
        <v>0.57283464566929143</v>
      </c>
      <c r="G774" s="75"/>
    </row>
    <row r="775" spans="1:7" x14ac:dyDescent="0.25">
      <c r="A775" s="22">
        <v>42205</v>
      </c>
      <c r="B775" s="15" t="s">
        <v>51</v>
      </c>
      <c r="C775" s="23" t="s">
        <v>48</v>
      </c>
      <c r="D775" s="75" t="s">
        <v>117</v>
      </c>
      <c r="E775" s="75" t="s">
        <v>117</v>
      </c>
      <c r="F775" s="75" t="s">
        <v>117</v>
      </c>
      <c r="G775" s="75"/>
    </row>
    <row r="776" spans="1:7" x14ac:dyDescent="0.25">
      <c r="A776" s="22">
        <v>42206</v>
      </c>
      <c r="B776" s="15" t="s">
        <v>44</v>
      </c>
      <c r="C776" s="23" t="s">
        <v>45</v>
      </c>
      <c r="D776" s="75">
        <v>50.5</v>
      </c>
      <c r="E776" s="75">
        <v>15.5</v>
      </c>
      <c r="F776" s="76">
        <f t="shared" si="22"/>
        <v>0.30693069306930693</v>
      </c>
      <c r="G776" s="75">
        <f>F776</f>
        <v>0.30693069306930693</v>
      </c>
    </row>
    <row r="777" spans="1:7" x14ac:dyDescent="0.25">
      <c r="A777" s="22">
        <v>42206</v>
      </c>
      <c r="B777" s="15" t="s">
        <v>44</v>
      </c>
      <c r="C777" s="23" t="s">
        <v>46</v>
      </c>
      <c r="D777" s="75" t="s">
        <v>117</v>
      </c>
      <c r="E777" s="75" t="s">
        <v>117</v>
      </c>
      <c r="F777" s="75" t="s">
        <v>117</v>
      </c>
      <c r="G777" s="75"/>
    </row>
    <row r="778" spans="1:7" x14ac:dyDescent="0.25">
      <c r="A778" s="22">
        <v>42206</v>
      </c>
      <c r="B778" s="15" t="s">
        <v>44</v>
      </c>
      <c r="C778" s="23" t="s">
        <v>47</v>
      </c>
      <c r="D778" s="75" t="s">
        <v>117</v>
      </c>
      <c r="E778" s="75" t="s">
        <v>117</v>
      </c>
      <c r="F778" s="75" t="s">
        <v>117</v>
      </c>
      <c r="G778" s="75"/>
    </row>
    <row r="779" spans="1:7" x14ac:dyDescent="0.25">
      <c r="A779" s="22">
        <v>42206</v>
      </c>
      <c r="B779" s="15" t="s">
        <v>44</v>
      </c>
      <c r="C779" s="23" t="s">
        <v>48</v>
      </c>
      <c r="D779" s="75" t="s">
        <v>117</v>
      </c>
      <c r="E779" s="75" t="s">
        <v>117</v>
      </c>
      <c r="F779" s="75" t="s">
        <v>117</v>
      </c>
      <c r="G779" s="75"/>
    </row>
    <row r="780" spans="1:7" x14ac:dyDescent="0.25">
      <c r="A780" s="22">
        <v>42206</v>
      </c>
      <c r="B780" s="15" t="s">
        <v>49</v>
      </c>
      <c r="C780" s="23" t="s">
        <v>45</v>
      </c>
      <c r="D780" s="75" t="s">
        <v>117</v>
      </c>
      <c r="E780" s="75" t="s">
        <v>117</v>
      </c>
      <c r="F780" s="75" t="s">
        <v>117</v>
      </c>
      <c r="G780" s="75" t="s">
        <v>18</v>
      </c>
    </row>
    <row r="781" spans="1:7" x14ac:dyDescent="0.25">
      <c r="A781" s="22">
        <v>42206</v>
      </c>
      <c r="B781" s="15" t="s">
        <v>49</v>
      </c>
      <c r="C781" s="23" t="s">
        <v>46</v>
      </c>
      <c r="D781" s="75" t="s">
        <v>117</v>
      </c>
      <c r="E781" s="75" t="s">
        <v>117</v>
      </c>
      <c r="F781" s="75" t="s">
        <v>117</v>
      </c>
      <c r="G781" s="75"/>
    </row>
    <row r="782" spans="1:7" x14ac:dyDescent="0.25">
      <c r="A782" s="22">
        <v>42206</v>
      </c>
      <c r="B782" s="15" t="s">
        <v>49</v>
      </c>
      <c r="C782" s="23" t="s">
        <v>47</v>
      </c>
      <c r="D782" s="75" t="s">
        <v>117</v>
      </c>
      <c r="E782" s="75" t="s">
        <v>117</v>
      </c>
      <c r="F782" s="75" t="s">
        <v>117</v>
      </c>
      <c r="G782" s="75"/>
    </row>
    <row r="783" spans="1:7" x14ac:dyDescent="0.25">
      <c r="A783" s="22">
        <v>42206</v>
      </c>
      <c r="B783" s="15" t="s">
        <v>49</v>
      </c>
      <c r="C783" s="23" t="s">
        <v>48</v>
      </c>
      <c r="D783" s="75" t="s">
        <v>117</v>
      </c>
      <c r="E783" s="75" t="s">
        <v>117</v>
      </c>
      <c r="F783" s="75" t="s">
        <v>117</v>
      </c>
      <c r="G783" s="75"/>
    </row>
    <row r="784" spans="1:7" x14ac:dyDescent="0.25">
      <c r="A784" s="22">
        <v>42206</v>
      </c>
      <c r="B784" s="15" t="s">
        <v>50</v>
      </c>
      <c r="C784" s="23" t="s">
        <v>45</v>
      </c>
      <c r="D784" s="75">
        <v>8.6</v>
      </c>
      <c r="E784" s="75">
        <v>2.7</v>
      </c>
      <c r="F784" s="76">
        <f t="shared" si="22"/>
        <v>0.31395348837209308</v>
      </c>
      <c r="G784" s="75">
        <f>F784</f>
        <v>0.31395348837209308</v>
      </c>
    </row>
    <row r="785" spans="1:7" x14ac:dyDescent="0.25">
      <c r="A785" s="22">
        <v>42206</v>
      </c>
      <c r="B785" s="15" t="s">
        <v>50</v>
      </c>
      <c r="C785" s="23" t="s">
        <v>46</v>
      </c>
      <c r="D785" s="75" t="s">
        <v>117</v>
      </c>
      <c r="E785" s="75" t="s">
        <v>117</v>
      </c>
      <c r="F785" s="75" t="s">
        <v>117</v>
      </c>
      <c r="G785" s="75"/>
    </row>
    <row r="786" spans="1:7" x14ac:dyDescent="0.25">
      <c r="A786" s="22">
        <v>42206</v>
      </c>
      <c r="B786" s="15" t="s">
        <v>50</v>
      </c>
      <c r="C786" s="23" t="s">
        <v>47</v>
      </c>
      <c r="D786" s="75" t="s">
        <v>117</v>
      </c>
      <c r="E786" s="75" t="s">
        <v>117</v>
      </c>
      <c r="F786" s="75" t="s">
        <v>117</v>
      </c>
      <c r="G786" s="75"/>
    </row>
    <row r="787" spans="1:7" x14ac:dyDescent="0.25">
      <c r="A787" s="22">
        <v>42206</v>
      </c>
      <c r="B787" s="15" t="s">
        <v>50</v>
      </c>
      <c r="C787" s="23" t="s">
        <v>48</v>
      </c>
      <c r="D787" s="75" t="s">
        <v>117</v>
      </c>
      <c r="E787" s="75" t="s">
        <v>117</v>
      </c>
      <c r="F787" s="75" t="s">
        <v>117</v>
      </c>
      <c r="G787" s="75"/>
    </row>
    <row r="788" spans="1:7" x14ac:dyDescent="0.25">
      <c r="A788" s="22">
        <v>42206</v>
      </c>
      <c r="B788" s="15" t="s">
        <v>51</v>
      </c>
      <c r="C788" s="23" t="s">
        <v>45</v>
      </c>
      <c r="D788" s="75" t="s">
        <v>117</v>
      </c>
      <c r="E788" s="75" t="s">
        <v>117</v>
      </c>
      <c r="F788" s="75" t="s">
        <v>117</v>
      </c>
      <c r="G788" s="75" t="s">
        <v>18</v>
      </c>
    </row>
    <row r="789" spans="1:7" x14ac:dyDescent="0.25">
      <c r="A789" s="22">
        <v>42206</v>
      </c>
      <c r="B789" s="15" t="s">
        <v>51</v>
      </c>
      <c r="C789" s="23" t="s">
        <v>46</v>
      </c>
      <c r="D789" s="75" t="s">
        <v>117</v>
      </c>
      <c r="E789" s="75" t="s">
        <v>117</v>
      </c>
      <c r="F789" s="75" t="s">
        <v>117</v>
      </c>
      <c r="G789" s="75"/>
    </row>
    <row r="790" spans="1:7" x14ac:dyDescent="0.25">
      <c r="A790" s="22">
        <v>42206</v>
      </c>
      <c r="B790" s="15" t="s">
        <v>51</v>
      </c>
      <c r="C790" s="23" t="s">
        <v>47</v>
      </c>
      <c r="D790" s="75" t="s">
        <v>117</v>
      </c>
      <c r="E790" s="75" t="s">
        <v>117</v>
      </c>
      <c r="F790" s="75" t="s">
        <v>117</v>
      </c>
      <c r="G790" s="75"/>
    </row>
    <row r="791" spans="1:7" x14ac:dyDescent="0.25">
      <c r="A791" s="22">
        <v>42206</v>
      </c>
      <c r="B791" s="15" t="s">
        <v>51</v>
      </c>
      <c r="C791" s="23" t="s">
        <v>48</v>
      </c>
      <c r="D791" s="75" t="s">
        <v>117</v>
      </c>
      <c r="E791" s="75" t="s">
        <v>117</v>
      </c>
      <c r="F791" s="75" t="s">
        <v>117</v>
      </c>
      <c r="G791" s="75"/>
    </row>
    <row r="792" spans="1:7" x14ac:dyDescent="0.25">
      <c r="A792" s="22">
        <v>42302</v>
      </c>
      <c r="B792" s="15" t="s">
        <v>44</v>
      </c>
      <c r="C792" s="23" t="s">
        <v>45</v>
      </c>
      <c r="D792" s="75">
        <v>0.28224243964421852</v>
      </c>
      <c r="E792" s="75">
        <v>8.9002587501443908E-2</v>
      </c>
      <c r="F792" s="76">
        <f>E792/D792</f>
        <v>0.31534090909090906</v>
      </c>
      <c r="G792" s="75">
        <f>AVERAGE(F792:F795)</f>
        <v>0.34118868953915565</v>
      </c>
    </row>
    <row r="793" spans="1:7" x14ac:dyDescent="0.25">
      <c r="A793" s="22">
        <v>42302</v>
      </c>
      <c r="B793" s="15" t="s">
        <v>44</v>
      </c>
      <c r="C793" s="23" t="s">
        <v>46</v>
      </c>
      <c r="D793" s="75">
        <v>0.26767595009818645</v>
      </c>
      <c r="E793" s="74">
        <v>0.10036177659697355</v>
      </c>
      <c r="F793" s="76">
        <f>E793/D793</f>
        <v>0.37493759360958562</v>
      </c>
      <c r="G793" s="75"/>
    </row>
    <row r="794" spans="1:7" x14ac:dyDescent="0.25">
      <c r="A794" s="22">
        <v>42302</v>
      </c>
      <c r="B794" s="15" t="s">
        <v>44</v>
      </c>
      <c r="C794" s="23" t="s">
        <v>47</v>
      </c>
      <c r="D794" s="75">
        <v>0.28825612798891065</v>
      </c>
      <c r="E794" s="74">
        <v>9.4348088252281387E-2</v>
      </c>
      <c r="F794" s="76">
        <f>E794/D794</f>
        <v>0.32730644413537324</v>
      </c>
      <c r="G794" s="75"/>
    </row>
    <row r="795" spans="1:7" x14ac:dyDescent="0.25">
      <c r="A795" s="22">
        <v>42302</v>
      </c>
      <c r="B795" s="15" t="s">
        <v>44</v>
      </c>
      <c r="C795" s="23" t="s">
        <v>48</v>
      </c>
      <c r="D795" s="75">
        <v>0.3187254822686843</v>
      </c>
      <c r="E795" s="74">
        <v>0.11065186554233568</v>
      </c>
      <c r="F795" s="76">
        <f t="shared" ref="F795:F816" si="23">E795/D795</f>
        <v>0.3471698113207547</v>
      </c>
      <c r="G795" s="75"/>
    </row>
    <row r="796" spans="1:7" x14ac:dyDescent="0.25">
      <c r="A796" s="22">
        <v>42302</v>
      </c>
      <c r="B796" s="15" t="s">
        <v>49</v>
      </c>
      <c r="C796" s="23" t="s">
        <v>45</v>
      </c>
      <c r="D796" s="75">
        <v>0.11650000000000001</v>
      </c>
      <c r="E796" s="75">
        <v>4.0799999999999996E-2</v>
      </c>
      <c r="F796" s="76">
        <f t="shared" si="23"/>
        <v>0.35021459227467805</v>
      </c>
      <c r="G796" s="75">
        <f>AVERAGE(F796:F799)</f>
        <v>0.34546661918304988</v>
      </c>
    </row>
    <row r="797" spans="1:7" x14ac:dyDescent="0.25">
      <c r="A797" s="22">
        <v>42302</v>
      </c>
      <c r="B797" s="15" t="s">
        <v>49</v>
      </c>
      <c r="C797" s="23" t="s">
        <v>46</v>
      </c>
      <c r="D797" s="75">
        <v>9.3299999999999994E-2</v>
      </c>
      <c r="E797" s="75">
        <v>2.4300000000000002E-2</v>
      </c>
      <c r="F797" s="76">
        <f t="shared" si="23"/>
        <v>0.26045016077170424</v>
      </c>
      <c r="G797" s="75"/>
    </row>
    <row r="798" spans="1:7" x14ac:dyDescent="0.25">
      <c r="A798" s="22">
        <v>42302</v>
      </c>
      <c r="B798" s="15" t="s">
        <v>49</v>
      </c>
      <c r="C798" s="23" t="s">
        <v>47</v>
      </c>
      <c r="D798" s="75">
        <v>9.1299999999999992E-2</v>
      </c>
      <c r="E798" s="75">
        <v>4.8000000000000001E-2</v>
      </c>
      <c r="F798" s="76">
        <f t="shared" si="23"/>
        <v>0.52573932092004383</v>
      </c>
      <c r="G798" s="75"/>
    </row>
    <row r="799" spans="1:7" x14ac:dyDescent="0.25">
      <c r="A799" s="22">
        <v>42302</v>
      </c>
      <c r="B799" s="15" t="s">
        <v>49</v>
      </c>
      <c r="C799" s="23" t="s">
        <v>48</v>
      </c>
      <c r="D799" s="75">
        <v>0.1157</v>
      </c>
      <c r="E799" s="75">
        <v>2.8399999999999998E-2</v>
      </c>
      <c r="F799" s="76">
        <f t="shared" si="23"/>
        <v>0.24546240276577355</v>
      </c>
      <c r="G799" s="75"/>
    </row>
    <row r="800" spans="1:7" x14ac:dyDescent="0.25">
      <c r="A800" s="22">
        <v>42302</v>
      </c>
      <c r="B800" s="15" t="s">
        <v>50</v>
      </c>
      <c r="C800" s="23" t="s">
        <v>45</v>
      </c>
      <c r="D800" s="75">
        <v>0.11849999999999999</v>
      </c>
      <c r="E800" s="75">
        <v>4.5100000000000001E-2</v>
      </c>
      <c r="F800" s="76">
        <f t="shared" si="23"/>
        <v>0.38059071729957811</v>
      </c>
      <c r="G800" s="75">
        <f>AVERAGE(F800:F803)</f>
        <v>0.40242863777134774</v>
      </c>
    </row>
    <row r="801" spans="1:7" x14ac:dyDescent="0.25">
      <c r="A801" s="22">
        <v>42302</v>
      </c>
      <c r="B801" s="15" t="s">
        <v>50</v>
      </c>
      <c r="C801" s="23" t="s">
        <v>46</v>
      </c>
      <c r="D801" s="75">
        <v>7.7200000000000005E-2</v>
      </c>
      <c r="E801" s="75">
        <v>3.2199999999999999E-2</v>
      </c>
      <c r="F801" s="76">
        <f t="shared" si="23"/>
        <v>0.41709844559585491</v>
      </c>
      <c r="G801" s="75"/>
    </row>
    <row r="802" spans="1:7" x14ac:dyDescent="0.25">
      <c r="A802" s="22">
        <v>42302</v>
      </c>
      <c r="B802" s="15" t="s">
        <v>50</v>
      </c>
      <c r="C802" s="23" t="s">
        <v>47</v>
      </c>
      <c r="D802" s="75">
        <v>6.8000000000000005E-2</v>
      </c>
      <c r="E802" s="75">
        <v>2.5999999999999999E-2</v>
      </c>
      <c r="F802" s="76">
        <f t="shared" si="23"/>
        <v>0.38235294117647056</v>
      </c>
      <c r="G802" s="75"/>
    </row>
    <row r="803" spans="1:7" x14ac:dyDescent="0.25">
      <c r="A803" s="22">
        <v>42302</v>
      </c>
      <c r="B803" s="15" t="s">
        <v>50</v>
      </c>
      <c r="C803" s="23" t="s">
        <v>48</v>
      </c>
      <c r="D803" s="75">
        <v>5.1900000000000002E-2</v>
      </c>
      <c r="E803" s="75">
        <v>2.23E-2</v>
      </c>
      <c r="F803" s="76">
        <f t="shared" si="23"/>
        <v>0.42967244701348745</v>
      </c>
      <c r="G803" s="75"/>
    </row>
    <row r="804" spans="1:7" x14ac:dyDescent="0.25">
      <c r="A804" s="22">
        <v>42302</v>
      </c>
      <c r="B804" s="15" t="s">
        <v>51</v>
      </c>
      <c r="C804" s="23" t="s">
        <v>45</v>
      </c>
      <c r="D804" s="75">
        <v>6.0700000000000004E-2</v>
      </c>
      <c r="E804" s="75">
        <v>2.5399999999999999E-2</v>
      </c>
      <c r="F804" s="76">
        <f t="shared" si="23"/>
        <v>0.41845140032948924</v>
      </c>
      <c r="G804" s="75">
        <f>AVERAGE(F804:F807)</f>
        <v>0.29328598921699334</v>
      </c>
    </row>
    <row r="805" spans="1:7" x14ac:dyDescent="0.25">
      <c r="A805" s="22">
        <v>42302</v>
      </c>
      <c r="B805" s="15" t="s">
        <v>51</v>
      </c>
      <c r="C805" s="23" t="s">
        <v>46</v>
      </c>
      <c r="D805" s="75">
        <v>6.2200000000000005E-2</v>
      </c>
      <c r="E805" s="75">
        <v>1.9E-2</v>
      </c>
      <c r="F805" s="76">
        <f t="shared" si="23"/>
        <v>0.30546623794212213</v>
      </c>
      <c r="G805" s="75"/>
    </row>
    <row r="806" spans="1:7" x14ac:dyDescent="0.25">
      <c r="A806" s="22">
        <v>42302</v>
      </c>
      <c r="B806" s="15" t="s">
        <v>51</v>
      </c>
      <c r="C806" s="23" t="s">
        <v>47</v>
      </c>
      <c r="D806" s="75">
        <v>5.33E-2</v>
      </c>
      <c r="E806" s="75">
        <v>1.1300000000000001E-2</v>
      </c>
      <c r="F806" s="76">
        <f t="shared" si="23"/>
        <v>0.21200750469043153</v>
      </c>
      <c r="G806" s="75"/>
    </row>
    <row r="807" spans="1:7" x14ac:dyDescent="0.25">
      <c r="A807" s="22">
        <v>42302</v>
      </c>
      <c r="B807" s="15" t="s">
        <v>51</v>
      </c>
      <c r="C807" s="23" t="s">
        <v>48</v>
      </c>
      <c r="D807" s="75">
        <v>4.8899999999999999E-2</v>
      </c>
      <c r="E807" s="75">
        <v>1.1599999999999999E-2</v>
      </c>
      <c r="F807" s="76">
        <f t="shared" si="23"/>
        <v>0.23721881390593047</v>
      </c>
      <c r="G807" s="75"/>
    </row>
    <row r="808" spans="1:7" x14ac:dyDescent="0.25">
      <c r="A808" s="22">
        <v>42303</v>
      </c>
      <c r="B808" s="15" t="s">
        <v>44</v>
      </c>
      <c r="C808" s="23" t="s">
        <v>45</v>
      </c>
      <c r="D808" s="75">
        <v>8.1500000000000003E-2</v>
      </c>
      <c r="E808" s="75">
        <v>2.2499999999999999E-2</v>
      </c>
      <c r="F808" s="76">
        <f t="shared" si="23"/>
        <v>0.2760736196319018</v>
      </c>
      <c r="G808" s="75">
        <f>F808</f>
        <v>0.2760736196319018</v>
      </c>
    </row>
    <row r="809" spans="1:7" x14ac:dyDescent="0.25">
      <c r="A809" s="22">
        <v>42303</v>
      </c>
      <c r="B809" s="15" t="s">
        <v>44</v>
      </c>
      <c r="C809" s="23" t="s">
        <v>46</v>
      </c>
      <c r="D809" s="75" t="s">
        <v>18</v>
      </c>
      <c r="E809" s="75" t="s">
        <v>18</v>
      </c>
      <c r="F809" s="75" t="s">
        <v>18</v>
      </c>
      <c r="G809" s="75"/>
    </row>
    <row r="810" spans="1:7" x14ac:dyDescent="0.25">
      <c r="A810" s="22">
        <v>42303</v>
      </c>
      <c r="B810" s="15" t="s">
        <v>44</v>
      </c>
      <c r="C810" s="23" t="s">
        <v>47</v>
      </c>
      <c r="D810" s="75" t="s">
        <v>18</v>
      </c>
      <c r="E810" s="75" t="s">
        <v>18</v>
      </c>
      <c r="F810" s="75" t="s">
        <v>18</v>
      </c>
      <c r="G810" s="75"/>
    </row>
    <row r="811" spans="1:7" x14ac:dyDescent="0.25">
      <c r="A811" s="22">
        <v>42303</v>
      </c>
      <c r="B811" s="15" t="s">
        <v>44</v>
      </c>
      <c r="C811" s="23" t="s">
        <v>48</v>
      </c>
      <c r="D811" s="75" t="s">
        <v>18</v>
      </c>
      <c r="E811" s="75" t="s">
        <v>18</v>
      </c>
      <c r="F811" s="75" t="s">
        <v>18</v>
      </c>
      <c r="G811" s="75"/>
    </row>
    <row r="812" spans="1:7" x14ac:dyDescent="0.25">
      <c r="A812" s="22">
        <v>42303</v>
      </c>
      <c r="B812" s="15" t="s">
        <v>49</v>
      </c>
      <c r="C812" s="23" t="s">
        <v>45</v>
      </c>
      <c r="D812" s="75" t="s">
        <v>18</v>
      </c>
      <c r="E812" s="75" t="s">
        <v>18</v>
      </c>
      <c r="F812" s="75" t="s">
        <v>18</v>
      </c>
      <c r="G812" s="75" t="s">
        <v>18</v>
      </c>
    </row>
    <row r="813" spans="1:7" x14ac:dyDescent="0.25">
      <c r="A813" s="22">
        <v>42303</v>
      </c>
      <c r="B813" s="15" t="s">
        <v>49</v>
      </c>
      <c r="C813" s="23" t="s">
        <v>46</v>
      </c>
      <c r="D813" s="75" t="s">
        <v>18</v>
      </c>
      <c r="E813" s="75" t="s">
        <v>18</v>
      </c>
      <c r="F813" s="75" t="s">
        <v>18</v>
      </c>
      <c r="G813" s="75"/>
    </row>
    <row r="814" spans="1:7" x14ac:dyDescent="0.25">
      <c r="A814" s="22">
        <v>42303</v>
      </c>
      <c r="B814" s="15" t="s">
        <v>49</v>
      </c>
      <c r="C814" s="23" t="s">
        <v>47</v>
      </c>
      <c r="D814" s="75" t="s">
        <v>18</v>
      </c>
      <c r="E814" s="75" t="s">
        <v>18</v>
      </c>
      <c r="F814" s="75" t="s">
        <v>18</v>
      </c>
      <c r="G814" s="75"/>
    </row>
    <row r="815" spans="1:7" x14ac:dyDescent="0.25">
      <c r="A815" s="22">
        <v>42303</v>
      </c>
      <c r="B815" s="15" t="s">
        <v>49</v>
      </c>
      <c r="C815" s="23" t="s">
        <v>48</v>
      </c>
      <c r="D815" s="75" t="s">
        <v>18</v>
      </c>
      <c r="E815" s="75" t="s">
        <v>18</v>
      </c>
      <c r="F815" s="75" t="s">
        <v>18</v>
      </c>
      <c r="G815" s="75"/>
    </row>
    <row r="816" spans="1:7" x14ac:dyDescent="0.25">
      <c r="A816" s="22">
        <v>42303</v>
      </c>
      <c r="B816" s="15" t="s">
        <v>50</v>
      </c>
      <c r="C816" s="23" t="s">
        <v>45</v>
      </c>
      <c r="D816" s="75">
        <v>3.1600000000000003E-2</v>
      </c>
      <c r="E816" s="75">
        <v>1.2500000000000001E-2</v>
      </c>
      <c r="F816" s="76">
        <f t="shared" si="23"/>
        <v>0.39556962025316456</v>
      </c>
      <c r="G816" s="75">
        <f>F816</f>
        <v>0.39556962025316456</v>
      </c>
    </row>
    <row r="817" spans="1:7" x14ac:dyDescent="0.25">
      <c r="A817" s="22">
        <v>42303</v>
      </c>
      <c r="B817" s="15" t="s">
        <v>50</v>
      </c>
      <c r="C817" s="23" t="s">
        <v>46</v>
      </c>
      <c r="D817" s="75" t="s">
        <v>18</v>
      </c>
      <c r="E817" s="75" t="s">
        <v>18</v>
      </c>
      <c r="F817" s="75" t="s">
        <v>18</v>
      </c>
      <c r="G817" s="75"/>
    </row>
    <row r="818" spans="1:7" x14ac:dyDescent="0.25">
      <c r="A818" s="22">
        <v>42303</v>
      </c>
      <c r="B818" s="15" t="s">
        <v>50</v>
      </c>
      <c r="C818" s="23" t="s">
        <v>47</v>
      </c>
      <c r="D818" s="75" t="s">
        <v>18</v>
      </c>
      <c r="E818" s="75" t="s">
        <v>18</v>
      </c>
      <c r="F818" s="75" t="s">
        <v>18</v>
      </c>
      <c r="G818" s="75"/>
    </row>
    <row r="819" spans="1:7" x14ac:dyDescent="0.25">
      <c r="A819" s="22">
        <v>42303</v>
      </c>
      <c r="B819" s="15" t="s">
        <v>50</v>
      </c>
      <c r="C819" s="23" t="s">
        <v>48</v>
      </c>
      <c r="D819" s="75" t="s">
        <v>18</v>
      </c>
      <c r="E819" s="75" t="s">
        <v>18</v>
      </c>
      <c r="F819" s="75" t="s">
        <v>18</v>
      </c>
      <c r="G819" s="75"/>
    </row>
    <row r="820" spans="1:7" x14ac:dyDescent="0.25">
      <c r="A820" s="22">
        <v>42303</v>
      </c>
      <c r="B820" s="15" t="s">
        <v>51</v>
      </c>
      <c r="C820" s="23" t="s">
        <v>45</v>
      </c>
      <c r="D820" s="75" t="s">
        <v>18</v>
      </c>
      <c r="E820" s="75" t="s">
        <v>18</v>
      </c>
      <c r="F820" s="75" t="s">
        <v>18</v>
      </c>
      <c r="G820" s="75" t="s">
        <v>18</v>
      </c>
    </row>
    <row r="821" spans="1:7" x14ac:dyDescent="0.25">
      <c r="A821" s="22">
        <v>42303</v>
      </c>
      <c r="B821" s="15" t="s">
        <v>51</v>
      </c>
      <c r="C821" s="23" t="s">
        <v>46</v>
      </c>
      <c r="D821" s="75" t="s">
        <v>18</v>
      </c>
      <c r="E821" s="75" t="s">
        <v>18</v>
      </c>
      <c r="F821" s="75" t="s">
        <v>18</v>
      </c>
      <c r="G821" s="75"/>
    </row>
    <row r="822" spans="1:7" x14ac:dyDescent="0.25">
      <c r="A822" s="22">
        <v>42303</v>
      </c>
      <c r="B822" s="15" t="s">
        <v>51</v>
      </c>
      <c r="C822" s="23" t="s">
        <v>47</v>
      </c>
      <c r="D822" s="75" t="s">
        <v>18</v>
      </c>
      <c r="E822" s="75" t="s">
        <v>18</v>
      </c>
      <c r="F822" s="75" t="s">
        <v>18</v>
      </c>
      <c r="G822" s="75"/>
    </row>
    <row r="823" spans="1:7" x14ac:dyDescent="0.25">
      <c r="A823" s="22">
        <v>42303</v>
      </c>
      <c r="B823" s="15" t="s">
        <v>51</v>
      </c>
      <c r="C823" s="23" t="s">
        <v>48</v>
      </c>
      <c r="D823" s="75" t="s">
        <v>18</v>
      </c>
      <c r="E823" s="75" t="s">
        <v>18</v>
      </c>
      <c r="F823" s="75" t="s">
        <v>18</v>
      </c>
      <c r="G823" s="75"/>
    </row>
    <row r="824" spans="1:7" x14ac:dyDescent="0.25">
      <c r="A824" s="22">
        <v>42401</v>
      </c>
      <c r="B824" s="15" t="s">
        <v>44</v>
      </c>
      <c r="C824" s="23" t="s">
        <v>45</v>
      </c>
      <c r="D824" s="75">
        <v>0.14949999999999999</v>
      </c>
      <c r="E824" s="75">
        <v>3.4799999999999998E-2</v>
      </c>
      <c r="F824" s="76">
        <f>E824/D824</f>
        <v>0.23277591973244147</v>
      </c>
      <c r="G824" s="75">
        <f>AVERAGE(F824:F827)</f>
        <v>0.22544361287608364</v>
      </c>
    </row>
    <row r="825" spans="1:7" x14ac:dyDescent="0.25">
      <c r="A825" s="22">
        <v>42401</v>
      </c>
      <c r="B825" s="15" t="s">
        <v>44</v>
      </c>
      <c r="C825" s="23" t="s">
        <v>46</v>
      </c>
      <c r="D825" s="75">
        <v>0.11600000000000001</v>
      </c>
      <c r="E825" s="74">
        <v>2.07E-2</v>
      </c>
      <c r="F825" s="76">
        <f>E825/D825</f>
        <v>0.17844827586206896</v>
      </c>
      <c r="G825" s="75"/>
    </row>
    <row r="826" spans="1:7" x14ac:dyDescent="0.25">
      <c r="A826" s="22">
        <v>42401</v>
      </c>
      <c r="B826" s="15" t="s">
        <v>44</v>
      </c>
      <c r="C826" s="23" t="s">
        <v>47</v>
      </c>
      <c r="D826" s="75">
        <v>8.9400000000000007E-2</v>
      </c>
      <c r="E826" s="74">
        <v>2.2499999999999999E-2</v>
      </c>
      <c r="F826" s="76">
        <f>E826/D826</f>
        <v>0.25167785234899326</v>
      </c>
      <c r="G826" s="75"/>
    </row>
    <row r="827" spans="1:7" x14ac:dyDescent="0.25">
      <c r="A827" s="22">
        <v>42401</v>
      </c>
      <c r="B827" s="15" t="s">
        <v>44</v>
      </c>
      <c r="C827" s="23" t="s">
        <v>48</v>
      </c>
      <c r="D827" s="75">
        <v>6.7400000000000002E-2</v>
      </c>
      <c r="E827" s="74">
        <v>1.61E-2</v>
      </c>
      <c r="F827" s="76">
        <f t="shared" ref="F827:F849" si="24">E827/D827</f>
        <v>0.23887240356083084</v>
      </c>
      <c r="G827" s="75"/>
    </row>
    <row r="828" spans="1:7" x14ac:dyDescent="0.25">
      <c r="A828" s="22">
        <v>42401</v>
      </c>
      <c r="B828" s="15" t="s">
        <v>49</v>
      </c>
      <c r="C828" s="23" t="s">
        <v>45</v>
      </c>
      <c r="D828" s="75">
        <v>2.07E-2</v>
      </c>
      <c r="E828" s="75">
        <v>7.1999999999999998E-3</v>
      </c>
      <c r="F828" s="76">
        <f t="shared" si="24"/>
        <v>0.34782608695652173</v>
      </c>
      <c r="G828" s="75">
        <f>AVERAGE(F828:F829)</f>
        <v>0.26641304347826089</v>
      </c>
    </row>
    <row r="829" spans="1:7" x14ac:dyDescent="0.25">
      <c r="A829" s="22">
        <v>42401</v>
      </c>
      <c r="B829" s="15" t="s">
        <v>49</v>
      </c>
      <c r="C829" s="23" t="s">
        <v>46</v>
      </c>
      <c r="D829" s="75">
        <v>0.06</v>
      </c>
      <c r="E829" s="75">
        <v>1.11E-2</v>
      </c>
      <c r="F829" s="76">
        <f t="shared" si="24"/>
        <v>0.18500000000000003</v>
      </c>
      <c r="G829" s="75"/>
    </row>
    <row r="830" spans="1:7" x14ac:dyDescent="0.25">
      <c r="A830" s="22">
        <v>42401</v>
      </c>
      <c r="B830" s="15" t="s">
        <v>49</v>
      </c>
      <c r="C830" s="23" t="s">
        <v>47</v>
      </c>
      <c r="D830" s="75" t="s">
        <v>18</v>
      </c>
      <c r="E830" s="75" t="s">
        <v>18</v>
      </c>
      <c r="F830" s="75" t="s">
        <v>18</v>
      </c>
      <c r="G830" s="75"/>
    </row>
    <row r="831" spans="1:7" x14ac:dyDescent="0.25">
      <c r="A831" s="22">
        <v>42401</v>
      </c>
      <c r="B831" s="15" t="s">
        <v>49</v>
      </c>
      <c r="C831" s="23" t="s">
        <v>48</v>
      </c>
      <c r="D831" s="75" t="s">
        <v>18</v>
      </c>
      <c r="E831" s="75" t="s">
        <v>18</v>
      </c>
      <c r="F831" s="75" t="s">
        <v>18</v>
      </c>
      <c r="G831" s="75"/>
    </row>
    <row r="832" spans="1:7" x14ac:dyDescent="0.25">
      <c r="A832" s="22">
        <v>42401</v>
      </c>
      <c r="B832" s="15" t="s">
        <v>50</v>
      </c>
      <c r="C832" s="23" t="s">
        <v>45</v>
      </c>
      <c r="D832" s="75">
        <v>0.1174</v>
      </c>
      <c r="E832" s="75">
        <v>3.61E-2</v>
      </c>
      <c r="F832" s="76">
        <f t="shared" si="24"/>
        <v>0.30749574105621807</v>
      </c>
      <c r="G832" s="75">
        <f>F832</f>
        <v>0.30749574105621807</v>
      </c>
    </row>
    <row r="833" spans="1:7" x14ac:dyDescent="0.25">
      <c r="A833" s="22">
        <v>42401</v>
      </c>
      <c r="B833" s="15" t="s">
        <v>50</v>
      </c>
      <c r="C833" s="23" t="s">
        <v>46</v>
      </c>
      <c r="D833" s="75" t="s">
        <v>18</v>
      </c>
      <c r="E833" s="75" t="s">
        <v>18</v>
      </c>
      <c r="F833" s="75" t="s">
        <v>18</v>
      </c>
      <c r="G833" s="75"/>
    </row>
    <row r="834" spans="1:7" x14ac:dyDescent="0.25">
      <c r="A834" s="22">
        <v>42401</v>
      </c>
      <c r="B834" s="15" t="s">
        <v>50</v>
      </c>
      <c r="C834" s="23" t="s">
        <v>47</v>
      </c>
      <c r="D834" s="75" t="s">
        <v>18</v>
      </c>
      <c r="E834" s="75" t="s">
        <v>18</v>
      </c>
      <c r="F834" s="75" t="s">
        <v>18</v>
      </c>
      <c r="G834" s="75"/>
    </row>
    <row r="835" spans="1:7" x14ac:dyDescent="0.25">
      <c r="A835" s="22">
        <v>42401</v>
      </c>
      <c r="B835" s="15" t="s">
        <v>50</v>
      </c>
      <c r="C835" s="23" t="s">
        <v>48</v>
      </c>
      <c r="D835" s="75" t="s">
        <v>18</v>
      </c>
      <c r="E835" s="75" t="s">
        <v>18</v>
      </c>
      <c r="F835" s="75" t="s">
        <v>18</v>
      </c>
      <c r="G835" s="75"/>
    </row>
    <row r="836" spans="1:7" x14ac:dyDescent="0.25">
      <c r="A836" s="22">
        <v>42401</v>
      </c>
      <c r="B836" s="15" t="s">
        <v>51</v>
      </c>
      <c r="C836" s="23" t="s">
        <v>45</v>
      </c>
      <c r="D836" s="75">
        <v>3.6799999999999999E-2</v>
      </c>
      <c r="E836" s="75">
        <v>1.46E-2</v>
      </c>
      <c r="F836" s="76">
        <f t="shared" si="24"/>
        <v>0.39673913043478259</v>
      </c>
      <c r="G836" s="75">
        <f>AVERAGE(F836:F837)</f>
        <v>0.42778132992327367</v>
      </c>
    </row>
    <row r="837" spans="1:7" x14ac:dyDescent="0.25">
      <c r="A837" s="22">
        <v>42401</v>
      </c>
      <c r="B837" s="15" t="s">
        <v>51</v>
      </c>
      <c r="C837" s="23" t="s">
        <v>46</v>
      </c>
      <c r="D837" s="75">
        <v>2.5499999999999998E-2</v>
      </c>
      <c r="E837" s="75">
        <v>1.1699999999999999E-2</v>
      </c>
      <c r="F837" s="76">
        <f t="shared" si="24"/>
        <v>0.45882352941176469</v>
      </c>
      <c r="G837" s="75"/>
    </row>
    <row r="838" spans="1:7" x14ac:dyDescent="0.25">
      <c r="A838" s="22">
        <v>42401</v>
      </c>
      <c r="B838" s="15" t="s">
        <v>51</v>
      </c>
      <c r="C838" s="23" t="s">
        <v>47</v>
      </c>
      <c r="D838" s="75" t="s">
        <v>18</v>
      </c>
      <c r="E838" s="75" t="s">
        <v>18</v>
      </c>
      <c r="F838" s="75" t="s">
        <v>18</v>
      </c>
      <c r="G838" s="75"/>
    </row>
    <row r="839" spans="1:7" x14ac:dyDescent="0.25">
      <c r="A839" s="22">
        <v>42401</v>
      </c>
      <c r="B839" s="15" t="s">
        <v>51</v>
      </c>
      <c r="C839" s="23" t="s">
        <v>48</v>
      </c>
      <c r="D839" s="75" t="s">
        <v>18</v>
      </c>
      <c r="E839" s="75" t="s">
        <v>18</v>
      </c>
      <c r="F839" s="75" t="s">
        <v>18</v>
      </c>
      <c r="G839" s="75"/>
    </row>
    <row r="840" spans="1:7" x14ac:dyDescent="0.25">
      <c r="A840" s="22">
        <v>42402</v>
      </c>
      <c r="B840" s="15" t="s">
        <v>44</v>
      </c>
      <c r="C840" s="23" t="s">
        <v>45</v>
      </c>
      <c r="D840" s="75">
        <v>0.20530000000000001</v>
      </c>
      <c r="E840" s="75">
        <v>6.54E-2</v>
      </c>
      <c r="F840" s="76">
        <f t="shared" si="24"/>
        <v>0.31855820750121772</v>
      </c>
      <c r="G840" s="75">
        <f>AVERAGE(F840:F843)</f>
        <v>0.32254821765101271</v>
      </c>
    </row>
    <row r="841" spans="1:7" x14ac:dyDescent="0.25">
      <c r="A841" s="22">
        <v>42402</v>
      </c>
      <c r="B841" s="15" t="s">
        <v>44</v>
      </c>
      <c r="C841" s="23" t="s">
        <v>46</v>
      </c>
      <c r="D841" s="75">
        <v>0.19800000000000001</v>
      </c>
      <c r="E841" s="75">
        <v>6.0600000000000001E-2</v>
      </c>
      <c r="F841" s="76">
        <f t="shared" si="24"/>
        <v>0.30606060606060603</v>
      </c>
      <c r="G841" s="75"/>
    </row>
    <row r="842" spans="1:7" x14ac:dyDescent="0.25">
      <c r="A842" s="22">
        <v>42402</v>
      </c>
      <c r="B842" s="15" t="s">
        <v>44</v>
      </c>
      <c r="C842" s="23" t="s">
        <v>47</v>
      </c>
      <c r="D842" s="75">
        <v>0.10990000000000001</v>
      </c>
      <c r="E842" s="75">
        <v>3.2600000000000004E-2</v>
      </c>
      <c r="F842" s="76">
        <f t="shared" si="24"/>
        <v>0.29663330300272978</v>
      </c>
      <c r="G842" s="75"/>
    </row>
    <row r="843" spans="1:7" x14ac:dyDescent="0.25">
      <c r="A843" s="22">
        <v>42402</v>
      </c>
      <c r="B843" s="15" t="s">
        <v>44</v>
      </c>
      <c r="C843" s="23" t="s">
        <v>48</v>
      </c>
      <c r="D843" s="75">
        <v>0.1114</v>
      </c>
      <c r="E843" s="75">
        <v>4.1100000000000005E-2</v>
      </c>
      <c r="F843" s="76">
        <f t="shared" si="24"/>
        <v>0.36894075403949733</v>
      </c>
      <c r="G843" s="75"/>
    </row>
    <row r="844" spans="1:7" x14ac:dyDescent="0.25">
      <c r="A844" s="22">
        <v>42402</v>
      </c>
      <c r="B844" s="15" t="s">
        <v>49</v>
      </c>
      <c r="C844" s="23" t="s">
        <v>45</v>
      </c>
      <c r="D844" s="74">
        <v>0.16090727686185333</v>
      </c>
      <c r="E844" s="74">
        <v>6.6936270608300166E-2</v>
      </c>
      <c r="F844" s="76">
        <f t="shared" si="24"/>
        <v>0.41599281221922729</v>
      </c>
      <c r="G844" s="75">
        <f>AVERAGE(F844:F847)</f>
        <v>0.44697807414299878</v>
      </c>
    </row>
    <row r="845" spans="1:7" x14ac:dyDescent="0.25">
      <c r="A845" s="22">
        <v>42402</v>
      </c>
      <c r="B845" s="15" t="s">
        <v>49</v>
      </c>
      <c r="C845" s="23" t="s">
        <v>46</v>
      </c>
      <c r="D845" s="74">
        <v>0.13054741330301309</v>
      </c>
      <c r="E845" s="74">
        <v>6.3177430358158052E-2</v>
      </c>
      <c r="F845" s="76">
        <f t="shared" si="24"/>
        <v>0.4839424141749723</v>
      </c>
      <c r="G845" s="75"/>
    </row>
    <row r="846" spans="1:7" x14ac:dyDescent="0.25">
      <c r="A846" s="22">
        <v>42402</v>
      </c>
      <c r="B846" s="15" t="s">
        <v>49</v>
      </c>
      <c r="C846" s="23" t="s">
        <v>47</v>
      </c>
      <c r="D846" s="74">
        <v>0.11956003411028995</v>
      </c>
      <c r="E846" s="74">
        <v>5.1611768050028428E-2</v>
      </c>
      <c r="F846" s="76">
        <f t="shared" si="24"/>
        <v>0.43168077388149934</v>
      </c>
      <c r="G846" s="75"/>
    </row>
    <row r="847" spans="1:7" x14ac:dyDescent="0.25">
      <c r="A847" s="22">
        <v>42402</v>
      </c>
      <c r="B847" s="15" t="s">
        <v>49</v>
      </c>
      <c r="C847" s="23" t="s">
        <v>48</v>
      </c>
      <c r="D847" s="74">
        <v>9.758527572484367E-2</v>
      </c>
      <c r="E847" s="74">
        <v>4.4527799886299034E-2</v>
      </c>
      <c r="F847" s="76">
        <f t="shared" si="24"/>
        <v>0.45629629629629626</v>
      </c>
      <c r="G847" s="75"/>
    </row>
    <row r="848" spans="1:7" x14ac:dyDescent="0.25">
      <c r="A848" s="22">
        <v>42402</v>
      </c>
      <c r="B848" s="15" t="s">
        <v>50</v>
      </c>
      <c r="C848" s="23" t="s">
        <v>45</v>
      </c>
      <c r="D848" s="75">
        <v>0.111</v>
      </c>
      <c r="E848" s="75">
        <v>4.5600000000000002E-2</v>
      </c>
      <c r="F848" s="76">
        <f t="shared" si="24"/>
        <v>0.41081081081081083</v>
      </c>
      <c r="G848" s="75">
        <f>AVERAGE(F848:F849)</f>
        <v>0.41540540540540538</v>
      </c>
    </row>
    <row r="849" spans="1:7" x14ac:dyDescent="0.25">
      <c r="A849" s="22">
        <v>42402</v>
      </c>
      <c r="B849" s="15" t="s">
        <v>50</v>
      </c>
      <c r="C849" s="23" t="s">
        <v>46</v>
      </c>
      <c r="D849" s="75">
        <v>7.0000000000000007E-2</v>
      </c>
      <c r="E849" s="75">
        <v>2.9399999999999999E-2</v>
      </c>
      <c r="F849" s="76">
        <f t="shared" si="24"/>
        <v>0.41999999999999993</v>
      </c>
      <c r="G849" s="75"/>
    </row>
    <row r="850" spans="1:7" x14ac:dyDescent="0.25">
      <c r="A850" s="22">
        <v>42402</v>
      </c>
      <c r="B850" s="15" t="s">
        <v>50</v>
      </c>
      <c r="C850" s="23" t="s">
        <v>47</v>
      </c>
      <c r="D850" s="75" t="s">
        <v>18</v>
      </c>
      <c r="E850" s="75" t="s">
        <v>18</v>
      </c>
      <c r="F850" s="75" t="s">
        <v>18</v>
      </c>
      <c r="G850" s="75"/>
    </row>
    <row r="851" spans="1:7" x14ac:dyDescent="0.25">
      <c r="A851" s="22">
        <v>42402</v>
      </c>
      <c r="B851" s="15" t="s">
        <v>50</v>
      </c>
      <c r="C851" s="23" t="s">
        <v>48</v>
      </c>
      <c r="D851" s="75" t="s">
        <v>18</v>
      </c>
      <c r="E851" s="75" t="s">
        <v>18</v>
      </c>
      <c r="F851" s="75" t="s">
        <v>18</v>
      </c>
      <c r="G851" s="75"/>
    </row>
    <row r="852" spans="1:7" x14ac:dyDescent="0.25">
      <c r="A852" s="22">
        <v>42402</v>
      </c>
      <c r="B852" s="15" t="s">
        <v>51</v>
      </c>
      <c r="C852" s="23" t="s">
        <v>45</v>
      </c>
      <c r="D852" s="75">
        <v>6.6700000000000009E-2</v>
      </c>
      <c r="E852" s="75">
        <v>3.1300000000000001E-2</v>
      </c>
      <c r="F852" s="76">
        <f>E852/D852</f>
        <v>0.46926536731634177</v>
      </c>
      <c r="G852" s="75">
        <f>AVERAGE(F852:F855)</f>
        <v>0.53551261798821193</v>
      </c>
    </row>
    <row r="853" spans="1:7" x14ac:dyDescent="0.25">
      <c r="A853" s="22">
        <v>42402</v>
      </c>
      <c r="B853" s="15" t="s">
        <v>51</v>
      </c>
      <c r="C853" s="23" t="s">
        <v>46</v>
      </c>
      <c r="D853" s="75">
        <v>5.0599999999999999E-2</v>
      </c>
      <c r="E853" s="75">
        <v>2.3699999999999999E-2</v>
      </c>
      <c r="F853" s="76">
        <f>E853/D853</f>
        <v>0.46837944664031617</v>
      </c>
      <c r="G853" s="75"/>
    </row>
    <row r="854" spans="1:7" x14ac:dyDescent="0.25">
      <c r="A854" s="22">
        <v>42402</v>
      </c>
      <c r="B854" s="15" t="s">
        <v>51</v>
      </c>
      <c r="C854" s="23" t="s">
        <v>47</v>
      </c>
      <c r="D854" s="75">
        <v>5.5299999999999995E-2</v>
      </c>
      <c r="E854" s="75">
        <v>3.5200000000000002E-2</v>
      </c>
      <c r="F854" s="76">
        <f>E854/D854</f>
        <v>0.63652802893309235</v>
      </c>
      <c r="G854" s="75"/>
    </row>
    <row r="855" spans="1:7" x14ac:dyDescent="0.25">
      <c r="A855" s="22">
        <v>42402</v>
      </c>
      <c r="B855" s="15" t="s">
        <v>51</v>
      </c>
      <c r="C855" s="23" t="s">
        <v>48</v>
      </c>
      <c r="D855" s="75">
        <v>5.2299999999999999E-2</v>
      </c>
      <c r="E855" s="75">
        <v>2.9700000000000001E-2</v>
      </c>
      <c r="F855" s="76">
        <f>E855/D855</f>
        <v>0.56787762906309758</v>
      </c>
      <c r="G855" s="75"/>
    </row>
    <row r="856" spans="1:7" x14ac:dyDescent="0.25">
      <c r="A856" s="22">
        <v>42488</v>
      </c>
      <c r="B856" s="15" t="s">
        <v>44</v>
      </c>
      <c r="C856" s="23" t="s">
        <v>45</v>
      </c>
      <c r="D856" s="75">
        <v>0.31893799763500197</v>
      </c>
      <c r="E856" s="75">
        <v>6.7471160162922095E-2</v>
      </c>
      <c r="F856" s="76">
        <f t="shared" ref="F856:F861" si="25">E856/D856</f>
        <v>0.21154945683247572</v>
      </c>
      <c r="G856" s="75">
        <f>AVERAGE(F856:F859)</f>
        <v>0.22650859847571625</v>
      </c>
    </row>
    <row r="857" spans="1:7" x14ac:dyDescent="0.25">
      <c r="A857" s="22">
        <v>42488</v>
      </c>
      <c r="B857" s="15" t="s">
        <v>44</v>
      </c>
      <c r="C857" s="23" t="s">
        <v>46</v>
      </c>
      <c r="D857" s="75">
        <v>0.34282643542241492</v>
      </c>
      <c r="E857" s="74">
        <v>7.8594783865457901E-2</v>
      </c>
      <c r="F857" s="76">
        <f t="shared" si="25"/>
        <v>0.22925531914893621</v>
      </c>
      <c r="G857" s="75"/>
    </row>
    <row r="858" spans="1:7" x14ac:dyDescent="0.25">
      <c r="A858" s="22">
        <v>42488</v>
      </c>
      <c r="B858" s="15" t="s">
        <v>44</v>
      </c>
      <c r="C858" s="23" t="s">
        <v>47</v>
      </c>
      <c r="D858" s="75">
        <v>0.35431476809880441</v>
      </c>
      <c r="E858" s="74">
        <v>7.6041821048482477E-2</v>
      </c>
      <c r="F858" s="76">
        <f t="shared" si="25"/>
        <v>0.21461657231085951</v>
      </c>
      <c r="G858" s="75"/>
    </row>
    <row r="859" spans="1:7" x14ac:dyDescent="0.25">
      <c r="A859" s="22">
        <v>42488</v>
      </c>
      <c r="B859" s="15" t="s">
        <v>44</v>
      </c>
      <c r="C859" s="23" t="s">
        <v>48</v>
      </c>
      <c r="D859" s="75">
        <v>0.37182079884377878</v>
      </c>
      <c r="E859" s="74">
        <v>9.3183142819603215E-2</v>
      </c>
      <c r="F859" s="76">
        <f t="shared" si="25"/>
        <v>0.25061304561059344</v>
      </c>
      <c r="G859" s="75"/>
    </row>
    <row r="860" spans="1:7" x14ac:dyDescent="0.25">
      <c r="A860" s="22">
        <v>42488</v>
      </c>
      <c r="B860" s="15" t="s">
        <v>49</v>
      </c>
      <c r="C860" s="23" t="s">
        <v>45</v>
      </c>
      <c r="D860" s="75">
        <v>4.8000000000000001E-2</v>
      </c>
      <c r="E860" s="75">
        <v>1.7399999999999999E-2</v>
      </c>
      <c r="F860" s="76">
        <f t="shared" si="25"/>
        <v>0.36249999999999999</v>
      </c>
      <c r="G860" s="75">
        <f>AVERAGE(F860:F861)</f>
        <v>0.36024999999999996</v>
      </c>
    </row>
    <row r="861" spans="1:7" x14ac:dyDescent="0.25">
      <c r="A861" s="22">
        <v>42488</v>
      </c>
      <c r="B861" s="15" t="s">
        <v>49</v>
      </c>
      <c r="C861" s="23" t="s">
        <v>46</v>
      </c>
      <c r="D861" s="75">
        <v>0.05</v>
      </c>
      <c r="E861" s="75">
        <v>1.7899999999999999E-2</v>
      </c>
      <c r="F861" s="76">
        <f t="shared" si="25"/>
        <v>0.35799999999999998</v>
      </c>
      <c r="G861" s="75"/>
    </row>
    <row r="862" spans="1:7" x14ac:dyDescent="0.25">
      <c r="A862" s="22">
        <v>42488</v>
      </c>
      <c r="B862" s="15" t="s">
        <v>49</v>
      </c>
      <c r="C862" s="23" t="s">
        <v>47</v>
      </c>
      <c r="D862" s="75" t="s">
        <v>18</v>
      </c>
      <c r="E862" s="75" t="s">
        <v>18</v>
      </c>
      <c r="F862" s="75" t="s">
        <v>18</v>
      </c>
      <c r="G862" s="75"/>
    </row>
    <row r="863" spans="1:7" x14ac:dyDescent="0.25">
      <c r="A863" s="22">
        <v>42488</v>
      </c>
      <c r="B863" s="15" t="s">
        <v>49</v>
      </c>
      <c r="C863" s="23" t="s">
        <v>48</v>
      </c>
      <c r="D863" s="75" t="s">
        <v>18</v>
      </c>
      <c r="E863" s="75" t="s">
        <v>18</v>
      </c>
      <c r="F863" s="75" t="s">
        <v>18</v>
      </c>
      <c r="G863" s="75"/>
    </row>
    <row r="864" spans="1:7" x14ac:dyDescent="0.25">
      <c r="A864" s="22">
        <v>42488</v>
      </c>
      <c r="B864" s="15" t="s">
        <v>50</v>
      </c>
      <c r="C864" s="23" t="s">
        <v>45</v>
      </c>
      <c r="D864" s="75">
        <v>0.12659999999999999</v>
      </c>
      <c r="E864" s="75">
        <v>3.4700000000000002E-2</v>
      </c>
      <c r="F864" s="76">
        <f>E864/D864</f>
        <v>0.27409162717219593</v>
      </c>
      <c r="G864" s="75">
        <f>AVERAGE(F864:F867)</f>
        <v>0.28038621110239959</v>
      </c>
    </row>
    <row r="865" spans="1:7" x14ac:dyDescent="0.25">
      <c r="A865" s="22">
        <v>42488</v>
      </c>
      <c r="B865" s="15" t="s">
        <v>50</v>
      </c>
      <c r="C865" s="23" t="s">
        <v>46</v>
      </c>
      <c r="D865" s="75">
        <v>7.4700000000000003E-2</v>
      </c>
      <c r="E865" s="75">
        <v>2.6800000000000001E-2</v>
      </c>
      <c r="F865" s="76">
        <f>E865/D865</f>
        <v>0.35876840696117807</v>
      </c>
      <c r="G865" s="75"/>
    </row>
    <row r="866" spans="1:7" x14ac:dyDescent="0.25">
      <c r="A866" s="22">
        <v>42488</v>
      </c>
      <c r="B866" s="15" t="s">
        <v>50</v>
      </c>
      <c r="C866" s="23" t="s">
        <v>47</v>
      </c>
      <c r="D866" s="75">
        <v>7.690000000000001E-2</v>
      </c>
      <c r="E866" s="75">
        <v>1.8200000000000001E-2</v>
      </c>
      <c r="F866" s="76">
        <f>E866/D866</f>
        <v>0.23667100130039009</v>
      </c>
      <c r="G866" s="75"/>
    </row>
    <row r="867" spans="1:7" x14ac:dyDescent="0.25">
      <c r="A867" s="22">
        <v>42488</v>
      </c>
      <c r="B867" s="15" t="s">
        <v>50</v>
      </c>
      <c r="C867" s="23" t="s">
        <v>48</v>
      </c>
      <c r="D867" s="75">
        <v>8.6900000000000005E-2</v>
      </c>
      <c r="E867" s="75">
        <v>2.1899999999999999E-2</v>
      </c>
      <c r="F867" s="76">
        <f>E867/D867</f>
        <v>0.25201380897583425</v>
      </c>
      <c r="G867" s="75"/>
    </row>
    <row r="868" spans="1:7" x14ac:dyDescent="0.25">
      <c r="A868" s="22">
        <v>42488</v>
      </c>
      <c r="B868" s="15" t="s">
        <v>51</v>
      </c>
      <c r="C868" s="23" t="s">
        <v>45</v>
      </c>
      <c r="D868" s="75">
        <v>5.21E-2</v>
      </c>
      <c r="E868" s="75">
        <v>2.23E-2</v>
      </c>
      <c r="F868" s="76">
        <f>E868/D868</f>
        <v>0.42802303262955854</v>
      </c>
      <c r="G868" s="75">
        <f>F868</f>
        <v>0.42802303262955854</v>
      </c>
    </row>
    <row r="869" spans="1:7" x14ac:dyDescent="0.25">
      <c r="A869" s="22">
        <v>42488</v>
      </c>
      <c r="B869" s="15" t="s">
        <v>51</v>
      </c>
      <c r="C869" s="23" t="s">
        <v>46</v>
      </c>
      <c r="D869" s="75" t="s">
        <v>18</v>
      </c>
      <c r="E869" s="75" t="s">
        <v>18</v>
      </c>
      <c r="F869" s="75" t="s">
        <v>18</v>
      </c>
      <c r="G869" s="75"/>
    </row>
    <row r="870" spans="1:7" x14ac:dyDescent="0.25">
      <c r="A870" s="22">
        <v>42488</v>
      </c>
      <c r="B870" s="15" t="s">
        <v>51</v>
      </c>
      <c r="C870" s="23" t="s">
        <v>47</v>
      </c>
      <c r="D870" s="75" t="s">
        <v>18</v>
      </c>
      <c r="E870" s="75" t="s">
        <v>18</v>
      </c>
      <c r="F870" s="75" t="s">
        <v>18</v>
      </c>
      <c r="G870" s="75"/>
    </row>
    <row r="871" spans="1:7" x14ac:dyDescent="0.25">
      <c r="A871" s="22">
        <v>42488</v>
      </c>
      <c r="B871" s="15" t="s">
        <v>51</v>
      </c>
      <c r="C871" s="23" t="s">
        <v>48</v>
      </c>
      <c r="D871" s="75" t="s">
        <v>18</v>
      </c>
      <c r="E871" s="75" t="s">
        <v>18</v>
      </c>
      <c r="F871" s="75" t="s">
        <v>18</v>
      </c>
      <c r="G871" s="75"/>
    </row>
    <row r="872" spans="1:7" x14ac:dyDescent="0.25">
      <c r="A872" s="22">
        <v>42489</v>
      </c>
      <c r="B872" s="15" t="s">
        <v>44</v>
      </c>
      <c r="C872" s="23" t="s">
        <v>45</v>
      </c>
      <c r="D872" s="75">
        <v>0.36480000000000001</v>
      </c>
      <c r="E872" s="75">
        <v>0.10640000000000001</v>
      </c>
      <c r="F872" s="76">
        <f t="shared" ref="F872:F887" si="26">E872/D872</f>
        <v>0.29166666666666669</v>
      </c>
      <c r="G872" s="75">
        <f>AVERAGE(F872:F875)</f>
        <v>0.22275752732207355</v>
      </c>
    </row>
    <row r="873" spans="1:7" x14ac:dyDescent="0.25">
      <c r="A873" s="22">
        <v>42489</v>
      </c>
      <c r="B873" s="15" t="s">
        <v>44</v>
      </c>
      <c r="C873" s="23" t="s">
        <v>46</v>
      </c>
      <c r="D873" s="75">
        <v>0.37019999999999997</v>
      </c>
      <c r="E873" s="75">
        <v>5.8799999999999998E-2</v>
      </c>
      <c r="F873" s="76">
        <f t="shared" si="26"/>
        <v>0.15883306320907617</v>
      </c>
      <c r="G873" s="75"/>
    </row>
    <row r="874" spans="1:7" x14ac:dyDescent="0.25">
      <c r="A874" s="22">
        <v>42489</v>
      </c>
      <c r="B874" s="15" t="s">
        <v>44</v>
      </c>
      <c r="C874" s="23" t="s">
        <v>47</v>
      </c>
      <c r="D874" s="75">
        <v>0.45519999999999999</v>
      </c>
      <c r="E874" s="75">
        <v>7.3999999999999996E-2</v>
      </c>
      <c r="F874" s="76">
        <f t="shared" si="26"/>
        <v>0.1625659050966608</v>
      </c>
      <c r="G874" s="75"/>
    </row>
    <row r="875" spans="1:7" x14ac:dyDescent="0.25">
      <c r="A875" s="22">
        <v>42489</v>
      </c>
      <c r="B875" s="15" t="s">
        <v>44</v>
      </c>
      <c r="C875" s="23" t="s">
        <v>48</v>
      </c>
      <c r="D875" s="75">
        <v>0.41660000000000003</v>
      </c>
      <c r="E875" s="75">
        <v>0.1158</v>
      </c>
      <c r="F875" s="76">
        <f t="shared" si="26"/>
        <v>0.27796447431589055</v>
      </c>
      <c r="G875" s="75"/>
    </row>
    <row r="876" spans="1:7" x14ac:dyDescent="0.25">
      <c r="A876" s="22">
        <v>42489</v>
      </c>
      <c r="B876" s="15" t="s">
        <v>49</v>
      </c>
      <c r="C876" s="23" t="s">
        <v>45</v>
      </c>
      <c r="D876" s="74">
        <v>0.21</v>
      </c>
      <c r="E876" s="74">
        <v>8.8800000000000004E-2</v>
      </c>
      <c r="F876" s="76">
        <f t="shared" si="26"/>
        <v>0.42285714285714288</v>
      </c>
      <c r="G876" s="75">
        <f>AVERAGE(F876:F879)</f>
        <v>0.42851304496886017</v>
      </c>
    </row>
    <row r="877" spans="1:7" x14ac:dyDescent="0.25">
      <c r="A877" s="22">
        <v>42489</v>
      </c>
      <c r="B877" s="15" t="s">
        <v>49</v>
      </c>
      <c r="C877" s="23" t="s">
        <v>46</v>
      </c>
      <c r="D877" s="74">
        <v>0.22919999999999999</v>
      </c>
      <c r="E877" s="74">
        <v>9.9199999999999997E-2</v>
      </c>
      <c r="F877" s="76">
        <f t="shared" si="26"/>
        <v>0.43280977312390928</v>
      </c>
      <c r="G877" s="75"/>
    </row>
    <row r="878" spans="1:7" x14ac:dyDescent="0.25">
      <c r="A878" s="22">
        <v>42489</v>
      </c>
      <c r="B878" s="15" t="s">
        <v>49</v>
      </c>
      <c r="C878" s="23" t="s">
        <v>47</v>
      </c>
      <c r="D878" s="74">
        <v>0.2152</v>
      </c>
      <c r="E878" s="74">
        <v>9.8599999999999993E-2</v>
      </c>
      <c r="F878" s="76">
        <f t="shared" si="26"/>
        <v>0.45817843866170999</v>
      </c>
      <c r="G878" s="75"/>
    </row>
    <row r="879" spans="1:7" x14ac:dyDescent="0.25">
      <c r="A879" s="22">
        <v>42489</v>
      </c>
      <c r="B879" s="15" t="s">
        <v>49</v>
      </c>
      <c r="C879" s="23" t="s">
        <v>48</v>
      </c>
      <c r="D879" s="74">
        <v>0.19340000000000002</v>
      </c>
      <c r="E879" s="74">
        <v>7.740000000000001E-2</v>
      </c>
      <c r="F879" s="76">
        <f t="shared" si="26"/>
        <v>0.40020682523267842</v>
      </c>
      <c r="G879" s="75"/>
    </row>
    <row r="880" spans="1:7" x14ac:dyDescent="0.25">
      <c r="A880" s="22">
        <v>42489</v>
      </c>
      <c r="B880" s="15" t="s">
        <v>50</v>
      </c>
      <c r="C880" s="23" t="s">
        <v>45</v>
      </c>
      <c r="D880" s="75">
        <v>0.23019125025917481</v>
      </c>
      <c r="E880" s="75">
        <v>7.2046692929711789E-2</v>
      </c>
      <c r="F880" s="76">
        <f t="shared" si="26"/>
        <v>0.31298623578695384</v>
      </c>
      <c r="G880" s="75">
        <f>AVERAGE(F880:F883)</f>
        <v>0.33564645410916788</v>
      </c>
    </row>
    <row r="881" spans="1:7" x14ac:dyDescent="0.25">
      <c r="A881" s="22">
        <v>42489</v>
      </c>
      <c r="B881" s="15" t="s">
        <v>50</v>
      </c>
      <c r="C881" s="23" t="s">
        <v>46</v>
      </c>
      <c r="D881" s="75">
        <v>0.20511955214596728</v>
      </c>
      <c r="E881" s="75">
        <v>6.9429317851959368E-2</v>
      </c>
      <c r="F881" s="76">
        <f t="shared" si="26"/>
        <v>0.33848220282068497</v>
      </c>
      <c r="G881" s="75"/>
    </row>
    <row r="882" spans="1:7" x14ac:dyDescent="0.25">
      <c r="A882" s="22">
        <v>42489</v>
      </c>
      <c r="B882" s="15" t="s">
        <v>50</v>
      </c>
      <c r="C882" s="23" t="s">
        <v>47</v>
      </c>
      <c r="D882" s="75">
        <v>0.1365167737922455</v>
      </c>
      <c r="E882" s="75">
        <v>4.1326974911880573E-2</v>
      </c>
      <c r="F882" s="76">
        <f t="shared" si="26"/>
        <v>0.30272452068617556</v>
      </c>
      <c r="G882" s="75"/>
    </row>
    <row r="883" spans="1:7" x14ac:dyDescent="0.25">
      <c r="A883" s="22">
        <v>42489</v>
      </c>
      <c r="B883" s="15" t="s">
        <v>50</v>
      </c>
      <c r="C883" s="23" t="s">
        <v>48</v>
      </c>
      <c r="D883" s="75">
        <v>9.2572423802612491E-2</v>
      </c>
      <c r="E883" s="75">
        <v>3.5954468173336106E-2</v>
      </c>
      <c r="F883" s="76">
        <f t="shared" si="26"/>
        <v>0.38839285714285721</v>
      </c>
      <c r="G883" s="75"/>
    </row>
    <row r="884" spans="1:7" x14ac:dyDescent="0.25">
      <c r="A884" s="22">
        <v>42489</v>
      </c>
      <c r="B884" s="15" t="s">
        <v>51</v>
      </c>
      <c r="C884" s="23" t="s">
        <v>45</v>
      </c>
      <c r="D884" s="74">
        <v>2.2600000000000002E-2</v>
      </c>
      <c r="E884" s="74">
        <v>8.8000000000000005E-3</v>
      </c>
      <c r="F884" s="76">
        <f t="shared" si="26"/>
        <v>0.38938053097345132</v>
      </c>
      <c r="G884" s="75">
        <f>AVERAGE(F884:F887)</f>
        <v>0.40504924780540152</v>
      </c>
    </row>
    <row r="885" spans="1:7" x14ac:dyDescent="0.25">
      <c r="A885" s="22">
        <v>42489</v>
      </c>
      <c r="B885" s="15" t="s">
        <v>51</v>
      </c>
      <c r="C885" s="23" t="s">
        <v>46</v>
      </c>
      <c r="D885" s="75">
        <v>9.98E-2</v>
      </c>
      <c r="E885" s="75">
        <v>4.3400000000000001E-2</v>
      </c>
      <c r="F885" s="76">
        <f t="shared" si="26"/>
        <v>0.43486973947895791</v>
      </c>
      <c r="G885" s="75"/>
    </row>
    <row r="886" spans="1:7" x14ac:dyDescent="0.25">
      <c r="A886" s="22">
        <v>42489</v>
      </c>
      <c r="B886" s="15" t="s">
        <v>51</v>
      </c>
      <c r="C886" s="23" t="s">
        <v>47</v>
      </c>
      <c r="D886" s="75">
        <v>5.74E-2</v>
      </c>
      <c r="E886" s="75">
        <v>2.2800000000000001E-2</v>
      </c>
      <c r="F886" s="76">
        <f t="shared" si="26"/>
        <v>0.39721254355400698</v>
      </c>
      <c r="G886" s="75"/>
    </row>
    <row r="887" spans="1:7" x14ac:dyDescent="0.25">
      <c r="A887" s="22">
        <v>42489</v>
      </c>
      <c r="B887" s="15" t="s">
        <v>51</v>
      </c>
      <c r="C887" s="23" t="s">
        <v>48</v>
      </c>
      <c r="D887" s="75">
        <v>6.3200000000000006E-2</v>
      </c>
      <c r="E887" s="75">
        <v>2.52E-2</v>
      </c>
      <c r="F887" s="76">
        <f t="shared" si="26"/>
        <v>0.39873417721518983</v>
      </c>
      <c r="G887" s="75"/>
    </row>
    <row r="888" spans="1:7" x14ac:dyDescent="0.25">
      <c r="A888" s="22">
        <v>42544</v>
      </c>
      <c r="B888" s="15" t="s">
        <v>44</v>
      </c>
      <c r="C888" s="23" t="s">
        <v>45</v>
      </c>
      <c r="D888" s="75">
        <v>0.22515842839036757</v>
      </c>
      <c r="E888" s="75">
        <v>5.3745951274468393E-2</v>
      </c>
      <c r="F888" s="76">
        <f>E888/D888</f>
        <v>0.23870281765018608</v>
      </c>
      <c r="G888" s="75">
        <f>AVERAGE(F888:F891)</f>
        <v>0.33577912219951989</v>
      </c>
    </row>
    <row r="889" spans="1:7" x14ac:dyDescent="0.25">
      <c r="A889" s="22">
        <v>42544</v>
      </c>
      <c r="B889" s="15" t="s">
        <v>44</v>
      </c>
      <c r="C889" s="23" t="s">
        <v>46</v>
      </c>
      <c r="D889" s="75">
        <v>0.22037037037037038</v>
      </c>
      <c r="E889" s="74">
        <v>7.5651316715955499E-2</v>
      </c>
      <c r="F889" s="76">
        <f>E889/D889</f>
        <v>0.34329168929929382</v>
      </c>
      <c r="G889" s="75"/>
    </row>
    <row r="890" spans="1:7" x14ac:dyDescent="0.25">
      <c r="A890" s="22">
        <v>42544</v>
      </c>
      <c r="B890" s="15" t="s">
        <v>44</v>
      </c>
      <c r="C890" s="23" t="s">
        <v>47</v>
      </c>
      <c r="D890" s="75">
        <v>0.21211097028587522</v>
      </c>
      <c r="E890" s="74">
        <v>8.21151950429517E-2</v>
      </c>
      <c r="F890" s="76">
        <f>E890/D890</f>
        <v>0.38713318284424381</v>
      </c>
      <c r="G890" s="75"/>
    </row>
    <row r="891" spans="1:7" x14ac:dyDescent="0.25">
      <c r="A891" s="22">
        <v>42544</v>
      </c>
      <c r="B891" s="15" t="s">
        <v>44</v>
      </c>
      <c r="C891" s="23" t="s">
        <v>48</v>
      </c>
      <c r="D891" s="75">
        <v>0.19236023095338686</v>
      </c>
      <c r="E891" s="74">
        <v>7.1940571750457691E-2</v>
      </c>
      <c r="F891" s="76">
        <f>E891/D891</f>
        <v>0.37398879900435594</v>
      </c>
      <c r="G891" s="75"/>
    </row>
    <row r="892" spans="1:7" x14ac:dyDescent="0.25">
      <c r="A892" s="22">
        <v>42544</v>
      </c>
      <c r="B892" s="15" t="s">
        <v>49</v>
      </c>
      <c r="C892" s="23" t="s">
        <v>45</v>
      </c>
      <c r="D892" s="75" t="s">
        <v>18</v>
      </c>
      <c r="E892" s="75" t="s">
        <v>18</v>
      </c>
      <c r="F892" s="75" t="s">
        <v>18</v>
      </c>
      <c r="G892" s="75" t="s">
        <v>18</v>
      </c>
    </row>
    <row r="893" spans="1:7" x14ac:dyDescent="0.25">
      <c r="A893" s="22">
        <v>42544</v>
      </c>
      <c r="B893" s="15" t="s">
        <v>49</v>
      </c>
      <c r="C893" s="23" t="s">
        <v>46</v>
      </c>
      <c r="D893" s="75" t="s">
        <v>18</v>
      </c>
      <c r="E893" s="75" t="s">
        <v>18</v>
      </c>
      <c r="F893" s="75" t="s">
        <v>18</v>
      </c>
      <c r="G893" s="75"/>
    </row>
    <row r="894" spans="1:7" x14ac:dyDescent="0.25">
      <c r="A894" s="22">
        <v>42544</v>
      </c>
      <c r="B894" s="15" t="s">
        <v>49</v>
      </c>
      <c r="C894" s="23" t="s">
        <v>47</v>
      </c>
      <c r="D894" s="75" t="s">
        <v>18</v>
      </c>
      <c r="E894" s="75" t="s">
        <v>18</v>
      </c>
      <c r="F894" s="75" t="s">
        <v>18</v>
      </c>
      <c r="G894" s="75"/>
    </row>
    <row r="895" spans="1:7" x14ac:dyDescent="0.25">
      <c r="A895" s="22">
        <v>42544</v>
      </c>
      <c r="B895" s="15" t="s">
        <v>49</v>
      </c>
      <c r="C895" s="23" t="s">
        <v>48</v>
      </c>
      <c r="D895" s="75" t="s">
        <v>18</v>
      </c>
      <c r="E895" s="75" t="s">
        <v>18</v>
      </c>
      <c r="F895" s="75" t="s">
        <v>18</v>
      </c>
      <c r="G895" s="75"/>
    </row>
    <row r="896" spans="1:7" x14ac:dyDescent="0.25">
      <c r="A896" s="22">
        <v>42544</v>
      </c>
      <c r="B896" s="15" t="s">
        <v>50</v>
      </c>
      <c r="C896" s="23" t="s">
        <v>45</v>
      </c>
      <c r="D896" s="75">
        <v>0.12830000000000003</v>
      </c>
      <c r="E896" s="75">
        <v>5.3700000000000005E-2</v>
      </c>
      <c r="F896" s="76">
        <f>E896/D896</f>
        <v>0.41855027279812934</v>
      </c>
      <c r="G896" s="75">
        <f>AVERAGE(F896:F897)</f>
        <v>0.44071418314516919</v>
      </c>
    </row>
    <row r="897" spans="1:7" x14ac:dyDescent="0.25">
      <c r="A897" s="22">
        <v>42544</v>
      </c>
      <c r="B897" s="15" t="s">
        <v>50</v>
      </c>
      <c r="C897" s="23" t="s">
        <v>46</v>
      </c>
      <c r="D897" s="75">
        <v>0.10909999999999999</v>
      </c>
      <c r="E897" s="75">
        <v>5.0500000000000003E-2</v>
      </c>
      <c r="F897" s="76">
        <f>E897/D897</f>
        <v>0.46287809349220904</v>
      </c>
      <c r="G897" s="75"/>
    </row>
    <row r="898" spans="1:7" x14ac:dyDescent="0.25">
      <c r="A898" s="22">
        <v>42544</v>
      </c>
      <c r="B898" s="15" t="s">
        <v>50</v>
      </c>
      <c r="C898" s="23" t="s">
        <v>47</v>
      </c>
      <c r="D898" s="75" t="s">
        <v>18</v>
      </c>
      <c r="E898" s="75" t="s">
        <v>18</v>
      </c>
      <c r="F898" s="75" t="s">
        <v>18</v>
      </c>
      <c r="G898" s="75"/>
    </row>
    <row r="899" spans="1:7" x14ac:dyDescent="0.25">
      <c r="A899" s="22">
        <v>42544</v>
      </c>
      <c r="B899" s="15" t="s">
        <v>50</v>
      </c>
      <c r="C899" s="23" t="s">
        <v>48</v>
      </c>
      <c r="D899" s="75" t="s">
        <v>18</v>
      </c>
      <c r="E899" s="75" t="s">
        <v>18</v>
      </c>
      <c r="F899" s="75" t="s">
        <v>18</v>
      </c>
      <c r="G899" s="75"/>
    </row>
    <row r="900" spans="1:7" x14ac:dyDescent="0.25">
      <c r="A900" s="22">
        <v>42544</v>
      </c>
      <c r="B900" s="15" t="s">
        <v>51</v>
      </c>
      <c r="C900" s="23" t="s">
        <v>45</v>
      </c>
      <c r="D900" s="75">
        <v>7.1999999999999998E-3</v>
      </c>
      <c r="E900" s="75">
        <v>3.0999999999999999E-3</v>
      </c>
      <c r="F900" s="76">
        <f>E900/D900</f>
        <v>0.43055555555555552</v>
      </c>
      <c r="G900" s="75">
        <f>F900</f>
        <v>0.43055555555555552</v>
      </c>
    </row>
    <row r="901" spans="1:7" x14ac:dyDescent="0.25">
      <c r="A901" s="22">
        <v>42544</v>
      </c>
      <c r="B901" s="15" t="s">
        <v>51</v>
      </c>
      <c r="C901" s="23" t="s">
        <v>46</v>
      </c>
      <c r="D901" s="75" t="s">
        <v>18</v>
      </c>
      <c r="E901" s="75" t="s">
        <v>18</v>
      </c>
      <c r="F901" s="75" t="s">
        <v>18</v>
      </c>
      <c r="G901" s="75"/>
    </row>
    <row r="902" spans="1:7" x14ac:dyDescent="0.25">
      <c r="A902" s="22">
        <v>42544</v>
      </c>
      <c r="B902" s="15" t="s">
        <v>51</v>
      </c>
      <c r="C902" s="23" t="s">
        <v>47</v>
      </c>
      <c r="D902" s="75" t="s">
        <v>18</v>
      </c>
      <c r="E902" s="75" t="s">
        <v>18</v>
      </c>
      <c r="F902" s="75" t="s">
        <v>18</v>
      </c>
      <c r="G902" s="75"/>
    </row>
    <row r="903" spans="1:7" x14ac:dyDescent="0.25">
      <c r="A903" s="22">
        <v>42544</v>
      </c>
      <c r="B903" s="15" t="s">
        <v>51</v>
      </c>
      <c r="C903" s="23" t="s">
        <v>48</v>
      </c>
      <c r="D903" s="75" t="s">
        <v>18</v>
      </c>
      <c r="E903" s="75" t="s">
        <v>18</v>
      </c>
      <c r="F903" s="75" t="s">
        <v>18</v>
      </c>
      <c r="G903" s="75"/>
    </row>
    <row r="904" spans="1:7" x14ac:dyDescent="0.25">
      <c r="A904" s="22">
        <v>42546</v>
      </c>
      <c r="B904" s="15" t="s">
        <v>44</v>
      </c>
      <c r="C904" s="23" t="s">
        <v>45</v>
      </c>
      <c r="D904" s="75">
        <v>0.22835076923076925</v>
      </c>
      <c r="E904" s="75">
        <v>9.6929230769230781E-2</v>
      </c>
      <c r="F904" s="76">
        <f t="shared" ref="F904:F918" si="27">E904/D904</f>
        <v>0.42447516641065031</v>
      </c>
      <c r="G904" s="75">
        <f>AVERAGE(F904:F907)</f>
        <v>0.3939810186884396</v>
      </c>
    </row>
    <row r="905" spans="1:7" x14ac:dyDescent="0.25">
      <c r="A905" s="22">
        <v>42546</v>
      </c>
      <c r="B905" s="15" t="s">
        <v>44</v>
      </c>
      <c r="C905" s="23" t="s">
        <v>46</v>
      </c>
      <c r="D905" s="75">
        <v>0.24156307692307691</v>
      </c>
      <c r="E905" s="75">
        <v>9.0030769230769234E-2</v>
      </c>
      <c r="F905" s="76">
        <f t="shared" si="27"/>
        <v>0.37270087124878998</v>
      </c>
      <c r="G905" s="75"/>
    </row>
    <row r="906" spans="1:7" x14ac:dyDescent="0.25">
      <c r="A906" s="22">
        <v>42546</v>
      </c>
      <c r="B906" s="15" t="s">
        <v>44</v>
      </c>
      <c r="C906" s="23" t="s">
        <v>47</v>
      </c>
      <c r="D906" s="75">
        <v>0.23443076923076925</v>
      </c>
      <c r="E906" s="75">
        <v>8.8276923076923086E-2</v>
      </c>
      <c r="F906" s="76">
        <f t="shared" si="27"/>
        <v>0.37655860349127185</v>
      </c>
      <c r="G906" s="75"/>
    </row>
    <row r="907" spans="1:7" x14ac:dyDescent="0.25">
      <c r="A907" s="22">
        <v>42546</v>
      </c>
      <c r="B907" s="15" t="s">
        <v>44</v>
      </c>
      <c r="C907" s="23" t="s">
        <v>48</v>
      </c>
      <c r="D907" s="75">
        <v>0.24565538461538464</v>
      </c>
      <c r="E907" s="75">
        <v>9.8800000000000013E-2</v>
      </c>
      <c r="F907" s="76">
        <f t="shared" si="27"/>
        <v>0.40218943360304621</v>
      </c>
      <c r="G907" s="75"/>
    </row>
    <row r="908" spans="1:7" x14ac:dyDescent="0.25">
      <c r="A908" s="22">
        <v>42546</v>
      </c>
      <c r="B908" s="15" t="s">
        <v>49</v>
      </c>
      <c r="C908" s="23" t="s">
        <v>45</v>
      </c>
      <c r="D908" s="74">
        <v>7.6100000000000001E-2</v>
      </c>
      <c r="E908" s="74">
        <v>3.39E-2</v>
      </c>
      <c r="F908" s="76">
        <f t="shared" si="27"/>
        <v>0.44546649145860706</v>
      </c>
      <c r="G908" s="75">
        <f>AVERAGE(F908:F910)</f>
        <v>0.42770929420851106</v>
      </c>
    </row>
    <row r="909" spans="1:7" x14ac:dyDescent="0.25">
      <c r="A909" s="22">
        <v>42546</v>
      </c>
      <c r="B909" s="15" t="s">
        <v>49</v>
      </c>
      <c r="C909" s="23" t="s">
        <v>46</v>
      </c>
      <c r="D909" s="74">
        <v>4.8100000000000004E-2</v>
      </c>
      <c r="E909" s="74">
        <v>2.1299999999999999E-2</v>
      </c>
      <c r="F909" s="76">
        <f t="shared" si="27"/>
        <v>0.4428274428274428</v>
      </c>
      <c r="G909" s="75"/>
    </row>
    <row r="910" spans="1:7" x14ac:dyDescent="0.25">
      <c r="A910" s="22">
        <v>42546</v>
      </c>
      <c r="B910" s="15" t="s">
        <v>49</v>
      </c>
      <c r="C910" s="23" t="s">
        <v>47</v>
      </c>
      <c r="D910" s="74">
        <v>5.4200000000000005E-2</v>
      </c>
      <c r="E910" s="74">
        <v>2.1399999999999999E-2</v>
      </c>
      <c r="F910" s="76">
        <f t="shared" si="27"/>
        <v>0.39483394833948332</v>
      </c>
      <c r="G910" s="75"/>
    </row>
    <row r="911" spans="1:7" x14ac:dyDescent="0.25">
      <c r="A911" s="22">
        <v>42546</v>
      </c>
      <c r="B911" s="15" t="s">
        <v>49</v>
      </c>
      <c r="C911" s="23" t="s">
        <v>48</v>
      </c>
      <c r="D911" s="75" t="s">
        <v>18</v>
      </c>
      <c r="E911" s="75" t="s">
        <v>18</v>
      </c>
      <c r="F911" s="75" t="s">
        <v>18</v>
      </c>
      <c r="G911" s="75"/>
    </row>
    <row r="912" spans="1:7" x14ac:dyDescent="0.25">
      <c r="A912" s="22">
        <v>42546</v>
      </c>
      <c r="B912" s="15" t="s">
        <v>50</v>
      </c>
      <c r="C912" s="23" t="s">
        <v>45</v>
      </c>
      <c r="D912" s="75">
        <v>0.10050000000000001</v>
      </c>
      <c r="E912" s="75">
        <v>4.0899999999999999E-2</v>
      </c>
      <c r="F912" s="76">
        <f t="shared" si="27"/>
        <v>0.40696517412935318</v>
      </c>
      <c r="G912" s="75">
        <f>AVERAGE(F912:F915)</f>
        <v>0.43221480459772932</v>
      </c>
    </row>
    <row r="913" spans="1:7" x14ac:dyDescent="0.25">
      <c r="A913" s="22">
        <v>42546</v>
      </c>
      <c r="B913" s="15" t="s">
        <v>50</v>
      </c>
      <c r="C913" s="23" t="s">
        <v>46</v>
      </c>
      <c r="D913" s="75">
        <v>0.1027</v>
      </c>
      <c r="E913" s="75">
        <v>4.3200000000000002E-2</v>
      </c>
      <c r="F913" s="76">
        <f t="shared" si="27"/>
        <v>0.42064264849074978</v>
      </c>
      <c r="G913" s="75"/>
    </row>
    <row r="914" spans="1:7" x14ac:dyDescent="0.25">
      <c r="A914" s="22">
        <v>42546</v>
      </c>
      <c r="B914" s="15" t="s">
        <v>50</v>
      </c>
      <c r="C914" s="23" t="s">
        <v>47</v>
      </c>
      <c r="D914" s="75">
        <v>7.3599999999999999E-2</v>
      </c>
      <c r="E914" s="75">
        <v>3.0300000000000001E-2</v>
      </c>
      <c r="F914" s="76">
        <f t="shared" si="27"/>
        <v>0.41168478260869568</v>
      </c>
      <c r="G914" s="75"/>
    </row>
    <row r="915" spans="1:7" x14ac:dyDescent="0.25">
      <c r="A915" s="22">
        <v>42546</v>
      </c>
      <c r="B915" s="15" t="s">
        <v>50</v>
      </c>
      <c r="C915" s="23" t="s">
        <v>48</v>
      </c>
      <c r="D915" s="75">
        <v>6.2299999999999994E-2</v>
      </c>
      <c r="E915" s="75">
        <v>3.0499999999999999E-2</v>
      </c>
      <c r="F915" s="76">
        <f t="shared" si="27"/>
        <v>0.4895666131621188</v>
      </c>
      <c r="G915" s="75"/>
    </row>
    <row r="916" spans="1:7" x14ac:dyDescent="0.25">
      <c r="A916" s="22">
        <v>42546</v>
      </c>
      <c r="B916" s="15" t="s">
        <v>51</v>
      </c>
      <c r="C916" s="23" t="s">
        <v>45</v>
      </c>
      <c r="D916" s="74">
        <v>3.4599999999999999E-2</v>
      </c>
      <c r="E916" s="74">
        <v>1.7999999999999999E-2</v>
      </c>
      <c r="F916" s="76">
        <f t="shared" si="27"/>
        <v>0.52023121387283233</v>
      </c>
      <c r="G916" s="75">
        <f>AVERAGE(F916:F918)</f>
        <v>0.46494972493432335</v>
      </c>
    </row>
    <row r="917" spans="1:7" x14ac:dyDescent="0.25">
      <c r="A917" s="22">
        <v>42546</v>
      </c>
      <c r="B917" s="15" t="s">
        <v>51</v>
      </c>
      <c r="C917" s="23" t="s">
        <v>46</v>
      </c>
      <c r="D917" s="75">
        <v>4.9700000000000001E-2</v>
      </c>
      <c r="E917" s="75">
        <v>2.1999999999999999E-2</v>
      </c>
      <c r="F917" s="76">
        <f t="shared" si="27"/>
        <v>0.44265593561368205</v>
      </c>
      <c r="G917" s="75"/>
    </row>
    <row r="918" spans="1:7" x14ac:dyDescent="0.25">
      <c r="A918" s="22">
        <v>42546</v>
      </c>
      <c r="B918" s="15" t="s">
        <v>51</v>
      </c>
      <c r="C918" s="23" t="s">
        <v>47</v>
      </c>
      <c r="D918" s="75">
        <v>6.3200000000000006E-2</v>
      </c>
      <c r="E918" s="75">
        <v>2.7300000000000001E-2</v>
      </c>
      <c r="F918" s="76">
        <f t="shared" si="27"/>
        <v>0.43196202531645567</v>
      </c>
      <c r="G918" s="75"/>
    </row>
    <row r="919" spans="1:7" x14ac:dyDescent="0.25">
      <c r="A919" s="22">
        <v>42546</v>
      </c>
      <c r="B919" s="15" t="s">
        <v>51</v>
      </c>
      <c r="C919" s="23" t="s">
        <v>48</v>
      </c>
      <c r="D919" s="75" t="s">
        <v>18</v>
      </c>
      <c r="E919" s="75" t="s">
        <v>18</v>
      </c>
      <c r="F919" s="75" t="s">
        <v>18</v>
      </c>
      <c r="G919" s="75"/>
    </row>
    <row r="920" spans="1:7" x14ac:dyDescent="0.25">
      <c r="A920" s="22">
        <v>42660</v>
      </c>
      <c r="B920" s="15" t="s">
        <v>44</v>
      </c>
      <c r="C920" s="23" t="s">
        <v>45</v>
      </c>
      <c r="D920" s="75">
        <v>0.40239999999999998</v>
      </c>
      <c r="E920" s="75">
        <v>9.459999999999999E-2</v>
      </c>
      <c r="F920" s="76">
        <f>E920/D920</f>
        <v>0.23508946322067592</v>
      </c>
      <c r="G920" s="75">
        <f>AVERAGE(F920:F923)</f>
        <v>0.23310697449118611</v>
      </c>
    </row>
    <row r="921" spans="1:7" x14ac:dyDescent="0.25">
      <c r="A921" s="22">
        <v>42660</v>
      </c>
      <c r="B921" s="15" t="s">
        <v>44</v>
      </c>
      <c r="C921" s="23" t="s">
        <v>46</v>
      </c>
      <c r="D921" s="75">
        <v>0.39739999999999998</v>
      </c>
      <c r="E921" s="74">
        <v>7.8799999999999995E-2</v>
      </c>
      <c r="F921" s="76">
        <f>E921/D921</f>
        <v>0.19828887770508305</v>
      </c>
      <c r="G921" s="75"/>
    </row>
    <row r="922" spans="1:7" x14ac:dyDescent="0.25">
      <c r="A922" s="22">
        <v>42660</v>
      </c>
      <c r="B922" s="15" t="s">
        <v>44</v>
      </c>
      <c r="C922" s="23" t="s">
        <v>47</v>
      </c>
      <c r="D922" s="75">
        <v>0.4098</v>
      </c>
      <c r="E922" s="74">
        <v>9.06E-2</v>
      </c>
      <c r="F922" s="76">
        <f>E922/D922</f>
        <v>0.22108345534407028</v>
      </c>
      <c r="G922" s="75"/>
    </row>
    <row r="923" spans="1:7" x14ac:dyDescent="0.25">
      <c r="A923" s="22">
        <v>42660</v>
      </c>
      <c r="B923" s="15" t="s">
        <v>44</v>
      </c>
      <c r="C923" s="23" t="s">
        <v>48</v>
      </c>
      <c r="D923" s="75">
        <v>0.41299999999999998</v>
      </c>
      <c r="E923" s="74">
        <v>0.1148</v>
      </c>
      <c r="F923" s="76">
        <f>E923/D923</f>
        <v>0.27796610169491526</v>
      </c>
      <c r="G923" s="75"/>
    </row>
    <row r="924" spans="1:7" x14ac:dyDescent="0.25">
      <c r="A924" s="22">
        <v>42660</v>
      </c>
      <c r="B924" s="15" t="s">
        <v>49</v>
      </c>
      <c r="C924" s="23" t="s">
        <v>45</v>
      </c>
      <c r="D924" s="75" t="s">
        <v>18</v>
      </c>
      <c r="E924" s="75" t="s">
        <v>18</v>
      </c>
      <c r="F924" s="75" t="s">
        <v>18</v>
      </c>
      <c r="G924" s="75" t="s">
        <v>18</v>
      </c>
    </row>
    <row r="925" spans="1:7" x14ac:dyDescent="0.25">
      <c r="A925" s="22">
        <v>42660</v>
      </c>
      <c r="B925" s="15" t="s">
        <v>49</v>
      </c>
      <c r="C925" s="23" t="s">
        <v>46</v>
      </c>
      <c r="D925" s="75" t="s">
        <v>18</v>
      </c>
      <c r="E925" s="75" t="s">
        <v>18</v>
      </c>
      <c r="F925" s="75" t="s">
        <v>18</v>
      </c>
      <c r="G925" s="75"/>
    </row>
    <row r="926" spans="1:7" x14ac:dyDescent="0.25">
      <c r="A926" s="22">
        <v>42660</v>
      </c>
      <c r="B926" s="15" t="s">
        <v>49</v>
      </c>
      <c r="C926" s="23" t="s">
        <v>47</v>
      </c>
      <c r="D926" s="75" t="s">
        <v>18</v>
      </c>
      <c r="E926" s="75" t="s">
        <v>18</v>
      </c>
      <c r="F926" s="75" t="s">
        <v>18</v>
      </c>
      <c r="G926" s="75"/>
    </row>
    <row r="927" spans="1:7" x14ac:dyDescent="0.25">
      <c r="A927" s="22">
        <v>42660</v>
      </c>
      <c r="B927" s="15" t="s">
        <v>49</v>
      </c>
      <c r="C927" s="23" t="s">
        <v>48</v>
      </c>
      <c r="D927" s="75" t="s">
        <v>18</v>
      </c>
      <c r="E927" s="75" t="s">
        <v>18</v>
      </c>
      <c r="F927" s="75" t="s">
        <v>18</v>
      </c>
      <c r="G927" s="75"/>
    </row>
    <row r="928" spans="1:7" x14ac:dyDescent="0.25">
      <c r="A928" s="22">
        <v>42660</v>
      </c>
      <c r="B928" s="15" t="s">
        <v>50</v>
      </c>
      <c r="C928" s="23" t="s">
        <v>45</v>
      </c>
      <c r="D928" s="75">
        <v>0.112</v>
      </c>
      <c r="E928" s="75">
        <v>3.7499999999999999E-2</v>
      </c>
      <c r="F928" s="76">
        <f>E928/D928</f>
        <v>0.33482142857142855</v>
      </c>
      <c r="G928" s="75">
        <f>AVERAGE(F928:F929)</f>
        <v>0.3638392857142857</v>
      </c>
    </row>
    <row r="929" spans="1:7" x14ac:dyDescent="0.25">
      <c r="A929" s="22">
        <v>42660</v>
      </c>
      <c r="B929" s="15" t="s">
        <v>50</v>
      </c>
      <c r="C929" s="23" t="s">
        <v>46</v>
      </c>
      <c r="D929" s="75">
        <v>0.13719999999999999</v>
      </c>
      <c r="E929" s="75">
        <v>5.3899999999999997E-2</v>
      </c>
      <c r="F929" s="76">
        <f>E929/D929</f>
        <v>0.39285714285714285</v>
      </c>
      <c r="G929" s="75"/>
    </row>
    <row r="930" spans="1:7" x14ac:dyDescent="0.25">
      <c r="A930" s="22">
        <v>42660</v>
      </c>
      <c r="B930" s="15" t="s">
        <v>50</v>
      </c>
      <c r="C930" s="23" t="s">
        <v>47</v>
      </c>
      <c r="D930" s="75" t="s">
        <v>18</v>
      </c>
      <c r="E930" s="75" t="s">
        <v>18</v>
      </c>
      <c r="F930" s="75" t="s">
        <v>18</v>
      </c>
      <c r="G930" s="75"/>
    </row>
    <row r="931" spans="1:7" x14ac:dyDescent="0.25">
      <c r="A931" s="22">
        <v>42660</v>
      </c>
      <c r="B931" s="15" t="s">
        <v>50</v>
      </c>
      <c r="C931" s="23" t="s">
        <v>48</v>
      </c>
      <c r="D931" s="75" t="s">
        <v>18</v>
      </c>
      <c r="E931" s="75" t="s">
        <v>18</v>
      </c>
      <c r="F931" s="75" t="s">
        <v>18</v>
      </c>
      <c r="G931" s="75"/>
    </row>
    <row r="932" spans="1:7" x14ac:dyDescent="0.25">
      <c r="A932" s="22">
        <v>42660</v>
      </c>
      <c r="B932" s="15" t="s">
        <v>51</v>
      </c>
      <c r="C932" s="23" t="s">
        <v>45</v>
      </c>
      <c r="D932" s="75">
        <v>4.1399999999999999E-2</v>
      </c>
      <c r="E932" s="75">
        <v>1.06E-2</v>
      </c>
      <c r="F932" s="76">
        <f>E932/D932</f>
        <v>0.2560386473429952</v>
      </c>
      <c r="G932" s="75">
        <f>F932</f>
        <v>0.2560386473429952</v>
      </c>
    </row>
    <row r="933" spans="1:7" x14ac:dyDescent="0.25">
      <c r="A933" s="22">
        <v>42660</v>
      </c>
      <c r="B933" s="15" t="s">
        <v>51</v>
      </c>
      <c r="C933" s="23" t="s">
        <v>46</v>
      </c>
      <c r="D933" s="75" t="s">
        <v>18</v>
      </c>
      <c r="E933" s="75" t="s">
        <v>18</v>
      </c>
      <c r="F933" s="75" t="s">
        <v>18</v>
      </c>
      <c r="G933" s="75"/>
    </row>
    <row r="934" spans="1:7" x14ac:dyDescent="0.25">
      <c r="A934" s="22">
        <v>42660</v>
      </c>
      <c r="B934" s="15" t="s">
        <v>51</v>
      </c>
      <c r="C934" s="23" t="s">
        <v>47</v>
      </c>
      <c r="D934" s="75" t="s">
        <v>18</v>
      </c>
      <c r="E934" s="75" t="s">
        <v>18</v>
      </c>
      <c r="F934" s="75" t="s">
        <v>18</v>
      </c>
      <c r="G934" s="75"/>
    </row>
    <row r="935" spans="1:7" x14ac:dyDescent="0.25">
      <c r="A935" s="22">
        <v>42660</v>
      </c>
      <c r="B935" s="15" t="s">
        <v>51</v>
      </c>
      <c r="C935" s="23" t="s">
        <v>48</v>
      </c>
      <c r="D935" s="75" t="s">
        <v>18</v>
      </c>
      <c r="E935" s="75" t="s">
        <v>18</v>
      </c>
      <c r="F935" s="75" t="s">
        <v>18</v>
      </c>
      <c r="G935" s="75"/>
    </row>
    <row r="936" spans="1:7" x14ac:dyDescent="0.25">
      <c r="A936" s="22">
        <v>42662</v>
      </c>
      <c r="B936" s="15" t="s">
        <v>44</v>
      </c>
      <c r="C936" s="23" t="s">
        <v>45</v>
      </c>
      <c r="D936" s="75">
        <v>0.2321</v>
      </c>
      <c r="E936" s="75">
        <v>5.8000000000000003E-2</v>
      </c>
      <c r="F936" s="76">
        <f t="shared" ref="F936:F945" si="28">E936/D936</f>
        <v>0.24989228780697975</v>
      </c>
      <c r="G936" s="75">
        <f>AVERAGE(F936:F939)</f>
        <v>0.25593172489327176</v>
      </c>
    </row>
    <row r="937" spans="1:7" x14ac:dyDescent="0.25">
      <c r="A937" s="22">
        <v>42662</v>
      </c>
      <c r="B937" s="15" t="s">
        <v>44</v>
      </c>
      <c r="C937" s="23" t="s">
        <v>46</v>
      </c>
      <c r="D937" s="75">
        <v>0.19040000000000001</v>
      </c>
      <c r="E937" s="75">
        <v>4.7799999999999995E-2</v>
      </c>
      <c r="F937" s="76">
        <f t="shared" si="28"/>
        <v>0.25105042016806717</v>
      </c>
      <c r="G937" s="75"/>
    </row>
    <row r="938" spans="1:7" x14ac:dyDescent="0.25">
      <c r="A938" s="22">
        <v>42662</v>
      </c>
      <c r="B938" s="15" t="s">
        <v>44</v>
      </c>
      <c r="C938" s="23" t="s">
        <v>47</v>
      </c>
      <c r="D938" s="75">
        <v>0.1696</v>
      </c>
      <c r="E938" s="75">
        <v>4.3499999999999997E-2</v>
      </c>
      <c r="F938" s="76">
        <f t="shared" si="28"/>
        <v>0.25648584905660377</v>
      </c>
      <c r="G938" s="75"/>
    </row>
    <row r="939" spans="1:7" x14ac:dyDescent="0.25">
      <c r="A939" s="22">
        <v>42662</v>
      </c>
      <c r="B939" s="15" t="s">
        <v>44</v>
      </c>
      <c r="C939" s="23" t="s">
        <v>48</v>
      </c>
      <c r="D939" s="75">
        <v>9.0499999999999997E-2</v>
      </c>
      <c r="E939" s="75">
        <v>2.41E-2</v>
      </c>
      <c r="F939" s="76">
        <f t="shared" si="28"/>
        <v>0.26629834254143647</v>
      </c>
      <c r="G939" s="75"/>
    </row>
    <row r="940" spans="1:7" x14ac:dyDescent="0.25">
      <c r="A940" s="22">
        <v>42662</v>
      </c>
      <c r="B940" s="15" t="s">
        <v>49</v>
      </c>
      <c r="C940" s="23" t="s">
        <v>45</v>
      </c>
      <c r="D940" s="74">
        <v>6.0000000000000001E-3</v>
      </c>
      <c r="E940" s="74">
        <v>3.2000000000000002E-3</v>
      </c>
      <c r="F940" s="76">
        <f t="shared" si="28"/>
        <v>0.53333333333333333</v>
      </c>
      <c r="G940" s="75">
        <f>F940</f>
        <v>0.53333333333333333</v>
      </c>
    </row>
    <row r="941" spans="1:7" x14ac:dyDescent="0.25">
      <c r="A941" s="22">
        <v>42662</v>
      </c>
      <c r="B941" s="15" t="s">
        <v>49</v>
      </c>
      <c r="C941" s="23" t="s">
        <v>46</v>
      </c>
      <c r="D941" s="75" t="s">
        <v>18</v>
      </c>
      <c r="E941" s="75" t="s">
        <v>18</v>
      </c>
      <c r="F941" s="75" t="s">
        <v>18</v>
      </c>
      <c r="G941" s="75"/>
    </row>
    <row r="942" spans="1:7" x14ac:dyDescent="0.25">
      <c r="A942" s="22">
        <v>42662</v>
      </c>
      <c r="B942" s="15" t="s">
        <v>49</v>
      </c>
      <c r="C942" s="23" t="s">
        <v>47</v>
      </c>
      <c r="D942" s="75" t="s">
        <v>18</v>
      </c>
      <c r="E942" s="75" t="s">
        <v>18</v>
      </c>
      <c r="F942" s="75" t="s">
        <v>18</v>
      </c>
      <c r="G942" s="75"/>
    </row>
    <row r="943" spans="1:7" x14ac:dyDescent="0.25">
      <c r="A943" s="22">
        <v>42662</v>
      </c>
      <c r="B943" s="15" t="s">
        <v>49</v>
      </c>
      <c r="C943" s="23" t="s">
        <v>48</v>
      </c>
      <c r="D943" s="75" t="s">
        <v>18</v>
      </c>
      <c r="E943" s="75" t="s">
        <v>18</v>
      </c>
      <c r="F943" s="75" t="s">
        <v>18</v>
      </c>
      <c r="G943" s="75"/>
    </row>
    <row r="944" spans="1:7" x14ac:dyDescent="0.25">
      <c r="A944" s="22">
        <v>42662</v>
      </c>
      <c r="B944" s="15" t="s">
        <v>50</v>
      </c>
      <c r="C944" s="23" t="s">
        <v>45</v>
      </c>
      <c r="D944" s="75">
        <v>7.2499999999999995E-2</v>
      </c>
      <c r="E944" s="75">
        <v>2.5899999999999999E-2</v>
      </c>
      <c r="F944" s="76">
        <f t="shared" si="28"/>
        <v>0.35724137931034483</v>
      </c>
      <c r="G944" s="75">
        <f>AVERAGE(F944:F945)</f>
        <v>0.35775738030265442</v>
      </c>
    </row>
    <row r="945" spans="1:7" x14ac:dyDescent="0.25">
      <c r="A945" s="22">
        <v>42662</v>
      </c>
      <c r="B945" s="15" t="s">
        <v>50</v>
      </c>
      <c r="C945" s="23" t="s">
        <v>46</v>
      </c>
      <c r="D945" s="75">
        <v>6.9500000000000006E-2</v>
      </c>
      <c r="E945" s="75">
        <v>2.4899999999999999E-2</v>
      </c>
      <c r="F945" s="76">
        <f t="shared" si="28"/>
        <v>0.358273381294964</v>
      </c>
      <c r="G945" s="75"/>
    </row>
    <row r="946" spans="1:7" x14ac:dyDescent="0.25">
      <c r="A946" s="22">
        <v>42662</v>
      </c>
      <c r="B946" s="15" t="s">
        <v>50</v>
      </c>
      <c r="C946" s="23" t="s">
        <v>47</v>
      </c>
      <c r="D946" s="75" t="s">
        <v>18</v>
      </c>
      <c r="E946" s="75" t="s">
        <v>18</v>
      </c>
      <c r="F946" s="75" t="s">
        <v>18</v>
      </c>
      <c r="G946" s="75"/>
    </row>
    <row r="947" spans="1:7" x14ac:dyDescent="0.25">
      <c r="A947" s="22">
        <v>42662</v>
      </c>
      <c r="B947" s="15" t="s">
        <v>50</v>
      </c>
      <c r="C947" s="23" t="s">
        <v>48</v>
      </c>
      <c r="D947" s="75" t="s">
        <v>18</v>
      </c>
      <c r="E947" s="75" t="s">
        <v>18</v>
      </c>
      <c r="F947" s="75" t="s">
        <v>18</v>
      </c>
      <c r="G947" s="75"/>
    </row>
    <row r="948" spans="1:7" x14ac:dyDescent="0.25">
      <c r="A948" s="22">
        <v>42662</v>
      </c>
      <c r="B948" s="15" t="s">
        <v>51</v>
      </c>
      <c r="C948" s="23" t="s">
        <v>45</v>
      </c>
      <c r="D948" s="75" t="s">
        <v>18</v>
      </c>
      <c r="E948" s="75" t="s">
        <v>18</v>
      </c>
      <c r="F948" s="75" t="s">
        <v>18</v>
      </c>
      <c r="G948" s="75" t="s">
        <v>18</v>
      </c>
    </row>
    <row r="949" spans="1:7" x14ac:dyDescent="0.25">
      <c r="A949" s="22">
        <v>42662</v>
      </c>
      <c r="B949" s="15" t="s">
        <v>51</v>
      </c>
      <c r="C949" s="23" t="s">
        <v>46</v>
      </c>
      <c r="D949" s="75" t="s">
        <v>18</v>
      </c>
      <c r="E949" s="75" t="s">
        <v>18</v>
      </c>
      <c r="F949" s="75" t="s">
        <v>18</v>
      </c>
      <c r="G949" s="75"/>
    </row>
    <row r="950" spans="1:7" x14ac:dyDescent="0.25">
      <c r="A950" s="22">
        <v>42662</v>
      </c>
      <c r="B950" s="15" t="s">
        <v>51</v>
      </c>
      <c r="C950" s="23" t="s">
        <v>47</v>
      </c>
      <c r="D950" s="75" t="s">
        <v>18</v>
      </c>
      <c r="E950" s="75" t="s">
        <v>18</v>
      </c>
      <c r="F950" s="75" t="s">
        <v>18</v>
      </c>
      <c r="G950" s="75"/>
    </row>
    <row r="951" spans="1:7" x14ac:dyDescent="0.25">
      <c r="A951" s="22">
        <v>42662</v>
      </c>
      <c r="B951" s="15" t="s">
        <v>51</v>
      </c>
      <c r="C951" s="23" t="s">
        <v>48</v>
      </c>
      <c r="D951" s="75" t="s">
        <v>18</v>
      </c>
      <c r="E951" s="75" t="s">
        <v>18</v>
      </c>
      <c r="F951" s="75" t="s">
        <v>18</v>
      </c>
      <c r="G951" s="75"/>
    </row>
    <row r="952" spans="1:7" x14ac:dyDescent="0.25">
      <c r="A952" s="22">
        <v>42663</v>
      </c>
      <c r="B952" s="15" t="s">
        <v>44</v>
      </c>
      <c r="C952" s="23" t="s">
        <v>45</v>
      </c>
      <c r="D952" s="75">
        <v>0.38139999999999996</v>
      </c>
      <c r="E952" s="75">
        <v>0.1263</v>
      </c>
      <c r="F952" s="76">
        <f t="shared" ref="F952:F967" si="29">E952/D952</f>
        <v>0.33114840062926065</v>
      </c>
      <c r="G952" s="75">
        <f>AVERAGE(F952:F955)</f>
        <v>0.2916824074670642</v>
      </c>
    </row>
    <row r="953" spans="1:7" x14ac:dyDescent="0.25">
      <c r="A953" s="22">
        <v>42663</v>
      </c>
      <c r="B953" s="15" t="s">
        <v>44</v>
      </c>
      <c r="C953" s="23" t="s">
        <v>46</v>
      </c>
      <c r="D953" s="75">
        <v>0.38010000000000005</v>
      </c>
      <c r="E953" s="75">
        <v>0.1037</v>
      </c>
      <c r="F953" s="76">
        <f t="shared" si="29"/>
        <v>0.27282294133122859</v>
      </c>
      <c r="G953" s="75"/>
    </row>
    <row r="954" spans="1:7" x14ac:dyDescent="0.25">
      <c r="A954" s="22">
        <v>42663</v>
      </c>
      <c r="B954" s="15" t="s">
        <v>44</v>
      </c>
      <c r="C954" s="23" t="s">
        <v>47</v>
      </c>
      <c r="D954" s="75">
        <v>0.38269999999999998</v>
      </c>
      <c r="E954" s="75">
        <v>0.10809999999999999</v>
      </c>
      <c r="F954" s="76">
        <f t="shared" si="29"/>
        <v>0.28246668408675202</v>
      </c>
      <c r="G954" s="75"/>
    </row>
    <row r="955" spans="1:7" x14ac:dyDescent="0.25">
      <c r="A955" s="22">
        <v>42663</v>
      </c>
      <c r="B955" s="15" t="s">
        <v>44</v>
      </c>
      <c r="C955" s="23" t="s">
        <v>48</v>
      </c>
      <c r="D955" s="75">
        <v>0.39779999999999999</v>
      </c>
      <c r="E955" s="75">
        <v>0.1115</v>
      </c>
      <c r="F955" s="76">
        <f t="shared" si="29"/>
        <v>0.28029160382101559</v>
      </c>
      <c r="G955" s="75"/>
    </row>
    <row r="956" spans="1:7" x14ac:dyDescent="0.25">
      <c r="A956" s="22">
        <v>42663</v>
      </c>
      <c r="B956" s="15" t="s">
        <v>49</v>
      </c>
      <c r="C956" s="23" t="s">
        <v>45</v>
      </c>
      <c r="D956" s="74">
        <v>0.2495</v>
      </c>
      <c r="E956" s="74">
        <v>6.6700000000000009E-2</v>
      </c>
      <c r="F956" s="76">
        <f t="shared" si="29"/>
        <v>0.26733466933867739</v>
      </c>
      <c r="G956" s="75">
        <f>AVERAGE(F956:F958)</f>
        <v>0.26263148893858829</v>
      </c>
    </row>
    <row r="957" spans="1:7" x14ac:dyDescent="0.25">
      <c r="A957" s="22">
        <v>42663</v>
      </c>
      <c r="B957" s="15" t="s">
        <v>49</v>
      </c>
      <c r="C957" s="23" t="s">
        <v>46</v>
      </c>
      <c r="D957" s="74">
        <v>0.2301</v>
      </c>
      <c r="E957" s="74">
        <v>5.7799999999999997E-2</v>
      </c>
      <c r="F957" s="76">
        <f t="shared" si="29"/>
        <v>0.25119513255106474</v>
      </c>
      <c r="G957" s="75"/>
    </row>
    <row r="958" spans="1:7" x14ac:dyDescent="0.25">
      <c r="A958" s="22">
        <v>42663</v>
      </c>
      <c r="B958" s="15" t="s">
        <v>49</v>
      </c>
      <c r="C958" s="23" t="s">
        <v>47</v>
      </c>
      <c r="D958" s="74">
        <v>0.2298</v>
      </c>
      <c r="E958" s="74">
        <v>6.1899999999999997E-2</v>
      </c>
      <c r="F958" s="76">
        <f t="shared" si="29"/>
        <v>0.26936466492602262</v>
      </c>
      <c r="G958" s="75"/>
    </row>
    <row r="959" spans="1:7" x14ac:dyDescent="0.25">
      <c r="A959" s="22">
        <v>42663</v>
      </c>
      <c r="B959" s="15" t="s">
        <v>49</v>
      </c>
      <c r="C959" s="23" t="s">
        <v>48</v>
      </c>
      <c r="D959" s="75">
        <v>0.25369999999999998</v>
      </c>
      <c r="E959" s="75">
        <v>8.7599999999999997E-2</v>
      </c>
      <c r="F959" s="76">
        <f t="shared" si="29"/>
        <v>0.34528971225857313</v>
      </c>
      <c r="G959" s="75"/>
    </row>
    <row r="960" spans="1:7" x14ac:dyDescent="0.25">
      <c r="A960" s="22">
        <v>42663</v>
      </c>
      <c r="B960" s="15" t="s">
        <v>50</v>
      </c>
      <c r="C960" s="23" t="s">
        <v>45</v>
      </c>
      <c r="D960" s="75">
        <v>0.25269999999999998</v>
      </c>
      <c r="E960" s="75">
        <v>8.1200000000000008E-2</v>
      </c>
      <c r="F960" s="76">
        <f t="shared" si="29"/>
        <v>0.32132963988919672</v>
      </c>
      <c r="G960" s="75">
        <f>AVERAGE(F960:F963)</f>
        <v>0.3992361390828747</v>
      </c>
    </row>
    <row r="961" spans="1:7" x14ac:dyDescent="0.25">
      <c r="A961" s="22">
        <v>42663</v>
      </c>
      <c r="B961" s="15" t="s">
        <v>50</v>
      </c>
      <c r="C961" s="23" t="s">
        <v>46</v>
      </c>
      <c r="D961" s="75">
        <v>0.28610000000000002</v>
      </c>
      <c r="E961" s="75">
        <v>0.1177</v>
      </c>
      <c r="F961" s="76">
        <f t="shared" si="29"/>
        <v>0.41139461726668991</v>
      </c>
      <c r="G961" s="75"/>
    </row>
    <row r="962" spans="1:7" x14ac:dyDescent="0.25">
      <c r="A962" s="22">
        <v>42663</v>
      </c>
      <c r="B962" s="15" t="s">
        <v>50</v>
      </c>
      <c r="C962" s="23" t="s">
        <v>47</v>
      </c>
      <c r="D962" s="75">
        <v>0.1026</v>
      </c>
      <c r="E962" s="75">
        <v>4.2900000000000001E-2</v>
      </c>
      <c r="F962" s="76">
        <f t="shared" si="29"/>
        <v>0.41812865497076024</v>
      </c>
      <c r="G962" s="75"/>
    </row>
    <row r="963" spans="1:7" x14ac:dyDescent="0.25">
      <c r="A963" s="22">
        <v>42663</v>
      </c>
      <c r="B963" s="15" t="s">
        <v>50</v>
      </c>
      <c r="C963" s="23" t="s">
        <v>48</v>
      </c>
      <c r="D963" s="75">
        <v>0.1484</v>
      </c>
      <c r="E963" s="75">
        <v>6.6200000000000009E-2</v>
      </c>
      <c r="F963" s="76">
        <f t="shared" si="29"/>
        <v>0.44609164420485181</v>
      </c>
      <c r="G963" s="75"/>
    </row>
    <row r="964" spans="1:7" x14ac:dyDescent="0.25">
      <c r="A964" s="22">
        <v>42663</v>
      </c>
      <c r="B964" s="15" t="s">
        <v>51</v>
      </c>
      <c r="C964" s="23" t="s">
        <v>45</v>
      </c>
      <c r="D964" s="74">
        <v>9.459999999999999E-2</v>
      </c>
      <c r="E964" s="74">
        <v>2.8199999999999999E-2</v>
      </c>
      <c r="F964" s="76">
        <f t="shared" si="29"/>
        <v>0.29809725158562372</v>
      </c>
      <c r="G964" s="75">
        <f>AVERAGE(F964:F967)</f>
        <v>0.3384887075485995</v>
      </c>
    </row>
    <row r="965" spans="1:7" x14ac:dyDescent="0.25">
      <c r="A965" s="22">
        <v>42663</v>
      </c>
      <c r="B965" s="15" t="s">
        <v>51</v>
      </c>
      <c r="C965" s="23" t="s">
        <v>46</v>
      </c>
      <c r="D965" s="75">
        <v>0.1012</v>
      </c>
      <c r="E965" s="75">
        <v>3.6799999999999999E-2</v>
      </c>
      <c r="F965" s="76">
        <f t="shared" si="29"/>
        <v>0.36363636363636365</v>
      </c>
      <c r="G965" s="75"/>
    </row>
    <row r="966" spans="1:7" x14ac:dyDescent="0.25">
      <c r="A966" s="22">
        <v>42663</v>
      </c>
      <c r="B966" s="15" t="s">
        <v>51</v>
      </c>
      <c r="C966" s="23" t="s">
        <v>47</v>
      </c>
      <c r="D966" s="75">
        <v>8.1099999999999992E-2</v>
      </c>
      <c r="E966" s="75">
        <v>2.92E-2</v>
      </c>
      <c r="F966" s="76">
        <f t="shared" si="29"/>
        <v>0.36004932182490756</v>
      </c>
      <c r="G966" s="75"/>
    </row>
    <row r="967" spans="1:7" x14ac:dyDescent="0.25">
      <c r="A967" s="22">
        <v>42663</v>
      </c>
      <c r="B967" s="15" t="s">
        <v>51</v>
      </c>
      <c r="C967" s="23" t="s">
        <v>48</v>
      </c>
      <c r="D967" s="75">
        <v>8.6099999999999996E-2</v>
      </c>
      <c r="E967" s="75">
        <v>2.86E-2</v>
      </c>
      <c r="F967" s="76">
        <f t="shared" si="29"/>
        <v>0.33217189314750295</v>
      </c>
      <c r="G967" s="75"/>
    </row>
    <row r="968" spans="1:7" x14ac:dyDescent="0.25">
      <c r="A968" s="22">
        <v>42774</v>
      </c>
      <c r="B968" s="15" t="s">
        <v>44</v>
      </c>
      <c r="C968" s="23" t="s">
        <v>45</v>
      </c>
      <c r="D968" s="75">
        <v>0.16241487422530076</v>
      </c>
      <c r="E968" s="75">
        <v>5.7479639081297849E-2</v>
      </c>
      <c r="F968" s="76">
        <f>E968/D968</f>
        <v>0.35390624999999998</v>
      </c>
      <c r="G968" s="75">
        <f>AVERAGE(F968:F971)</f>
        <v>0.38384114102995071</v>
      </c>
    </row>
    <row r="969" spans="1:7" x14ac:dyDescent="0.25">
      <c r="A969" s="22">
        <v>42774</v>
      </c>
      <c r="B969" s="15" t="s">
        <v>44</v>
      </c>
      <c r="C969" s="23" t="s">
        <v>46</v>
      </c>
      <c r="D969" s="75">
        <v>0.17053561793656583</v>
      </c>
      <c r="E969" s="74">
        <v>7.4863106088224565E-2</v>
      </c>
      <c r="F969" s="76">
        <f>E969/D969</f>
        <v>0.43898809523809512</v>
      </c>
      <c r="G969" s="74"/>
    </row>
    <row r="970" spans="1:7" x14ac:dyDescent="0.25">
      <c r="A970" s="22">
        <v>42774</v>
      </c>
      <c r="B970" s="15" t="s">
        <v>44</v>
      </c>
      <c r="C970" s="23" t="s">
        <v>47</v>
      </c>
      <c r="D970" s="75">
        <v>0.16837854538826103</v>
      </c>
      <c r="E970" s="75">
        <v>5.7225865840320814E-2</v>
      </c>
      <c r="F970" s="76">
        <f>E970/D970</f>
        <v>0.33986435568952522</v>
      </c>
      <c r="G970" s="75"/>
    </row>
    <row r="971" spans="1:7" x14ac:dyDescent="0.25">
      <c r="A971" s="22">
        <v>42774</v>
      </c>
      <c r="B971" s="15" t="s">
        <v>44</v>
      </c>
      <c r="C971" s="23" t="s">
        <v>48</v>
      </c>
      <c r="D971" s="75">
        <v>0.19477096244987241</v>
      </c>
      <c r="E971" s="74">
        <v>7.8415931461903024E-2</v>
      </c>
      <c r="F971" s="76">
        <f>E971/D971</f>
        <v>0.40260586319218239</v>
      </c>
      <c r="G971" s="75"/>
    </row>
    <row r="972" spans="1:7" x14ac:dyDescent="0.25">
      <c r="A972" s="22">
        <v>42774</v>
      </c>
      <c r="B972" s="15" t="s">
        <v>49</v>
      </c>
      <c r="C972" s="23" t="s">
        <v>45</v>
      </c>
      <c r="D972" s="75" t="s">
        <v>18</v>
      </c>
      <c r="E972" s="75" t="s">
        <v>18</v>
      </c>
      <c r="F972" s="75" t="s">
        <v>18</v>
      </c>
      <c r="G972" s="75" t="s">
        <v>18</v>
      </c>
    </row>
    <row r="973" spans="1:7" x14ac:dyDescent="0.25">
      <c r="A973" s="22">
        <v>42774</v>
      </c>
      <c r="B973" s="15" t="s">
        <v>49</v>
      </c>
      <c r="C973" s="23" t="s">
        <v>46</v>
      </c>
      <c r="D973" s="75" t="s">
        <v>18</v>
      </c>
      <c r="E973" s="75" t="s">
        <v>18</v>
      </c>
      <c r="F973" s="75" t="s">
        <v>18</v>
      </c>
      <c r="G973" s="75"/>
    </row>
    <row r="974" spans="1:7" x14ac:dyDescent="0.25">
      <c r="A974" s="22">
        <v>42774</v>
      </c>
      <c r="B974" s="15" t="s">
        <v>49</v>
      </c>
      <c r="C974" s="23" t="s">
        <v>47</v>
      </c>
      <c r="D974" s="75" t="s">
        <v>18</v>
      </c>
      <c r="E974" s="75" t="s">
        <v>18</v>
      </c>
      <c r="F974" s="75" t="s">
        <v>18</v>
      </c>
      <c r="G974" s="75"/>
    </row>
    <row r="975" spans="1:7" x14ac:dyDescent="0.25">
      <c r="A975" s="22">
        <v>42774</v>
      </c>
      <c r="B975" s="15" t="s">
        <v>49</v>
      </c>
      <c r="C975" s="23" t="s">
        <v>48</v>
      </c>
      <c r="D975" s="75" t="s">
        <v>18</v>
      </c>
      <c r="E975" s="75" t="s">
        <v>18</v>
      </c>
      <c r="F975" s="75" t="s">
        <v>18</v>
      </c>
      <c r="G975" s="75"/>
    </row>
    <row r="976" spans="1:7" x14ac:dyDescent="0.25">
      <c r="A976" s="22">
        <v>42774</v>
      </c>
      <c r="B976" s="15" t="s">
        <v>50</v>
      </c>
      <c r="C976" s="23" t="s">
        <v>45</v>
      </c>
      <c r="D976" s="75">
        <v>4.8600000000000004E-2</v>
      </c>
      <c r="E976" s="75">
        <v>2.24E-2</v>
      </c>
      <c r="F976" s="76">
        <f>E976/D976</f>
        <v>0.46090534979423864</v>
      </c>
      <c r="G976" s="75">
        <f>F976</f>
        <v>0.46090534979423864</v>
      </c>
    </row>
    <row r="977" spans="1:7" x14ac:dyDescent="0.25">
      <c r="A977" s="22">
        <v>42774</v>
      </c>
      <c r="B977" s="15" t="s">
        <v>50</v>
      </c>
      <c r="C977" s="23" t="s">
        <v>46</v>
      </c>
      <c r="D977" s="75" t="s">
        <v>18</v>
      </c>
      <c r="E977" s="75" t="s">
        <v>18</v>
      </c>
      <c r="F977" s="75" t="s">
        <v>18</v>
      </c>
      <c r="G977" s="75"/>
    </row>
    <row r="978" spans="1:7" x14ac:dyDescent="0.25">
      <c r="A978" s="22">
        <v>42774</v>
      </c>
      <c r="B978" s="15" t="s">
        <v>50</v>
      </c>
      <c r="C978" s="23" t="s">
        <v>47</v>
      </c>
      <c r="D978" s="75" t="s">
        <v>18</v>
      </c>
      <c r="E978" s="75" t="s">
        <v>18</v>
      </c>
      <c r="F978" s="75" t="s">
        <v>18</v>
      </c>
      <c r="G978" s="74"/>
    </row>
    <row r="979" spans="1:7" x14ac:dyDescent="0.25">
      <c r="A979" s="22">
        <v>42774</v>
      </c>
      <c r="B979" s="15" t="s">
        <v>50</v>
      </c>
      <c r="C979" s="23" t="s">
        <v>48</v>
      </c>
      <c r="D979" s="75" t="s">
        <v>18</v>
      </c>
      <c r="E979" s="75" t="s">
        <v>18</v>
      </c>
      <c r="F979" s="75" t="s">
        <v>18</v>
      </c>
      <c r="G979" s="75"/>
    </row>
    <row r="980" spans="1:7" x14ac:dyDescent="0.25">
      <c r="A980" s="22">
        <v>42774</v>
      </c>
      <c r="B980" s="15" t="s">
        <v>51</v>
      </c>
      <c r="C980" s="23" t="s">
        <v>45</v>
      </c>
      <c r="D980" s="75" t="s">
        <v>18</v>
      </c>
      <c r="E980" s="75" t="s">
        <v>18</v>
      </c>
      <c r="F980" s="75" t="s">
        <v>18</v>
      </c>
      <c r="G980" s="75" t="s">
        <v>18</v>
      </c>
    </row>
    <row r="981" spans="1:7" x14ac:dyDescent="0.25">
      <c r="A981" s="22">
        <v>42774</v>
      </c>
      <c r="B981" s="15" t="s">
        <v>51</v>
      </c>
      <c r="C981" s="23" t="s">
        <v>46</v>
      </c>
      <c r="D981" s="75" t="s">
        <v>18</v>
      </c>
      <c r="E981" s="75" t="s">
        <v>18</v>
      </c>
      <c r="F981" s="75" t="s">
        <v>18</v>
      </c>
      <c r="G981" s="75"/>
    </row>
    <row r="982" spans="1:7" x14ac:dyDescent="0.25">
      <c r="A982" s="22">
        <v>42774</v>
      </c>
      <c r="B982" s="15" t="s">
        <v>51</v>
      </c>
      <c r="C982" s="23" t="s">
        <v>47</v>
      </c>
      <c r="D982" s="75" t="s">
        <v>18</v>
      </c>
      <c r="E982" s="75" t="s">
        <v>18</v>
      </c>
      <c r="F982" s="75" t="s">
        <v>18</v>
      </c>
      <c r="G982" s="75"/>
    </row>
    <row r="983" spans="1:7" x14ac:dyDescent="0.25">
      <c r="A983" s="22">
        <v>42774</v>
      </c>
      <c r="B983" s="15" t="s">
        <v>51</v>
      </c>
      <c r="C983" s="23" t="s">
        <v>48</v>
      </c>
      <c r="D983" s="75" t="s">
        <v>18</v>
      </c>
      <c r="E983" s="75" t="s">
        <v>18</v>
      </c>
      <c r="F983" s="75" t="s">
        <v>18</v>
      </c>
      <c r="G983" s="75"/>
    </row>
    <row r="984" spans="1:7" x14ac:dyDescent="0.25">
      <c r="A984" s="22">
        <v>42775</v>
      </c>
      <c r="B984" s="15" t="s">
        <v>44</v>
      </c>
      <c r="C984" s="23" t="s">
        <v>45</v>
      </c>
      <c r="D984" s="75">
        <v>0.2075959782429537</v>
      </c>
      <c r="E984" s="75">
        <v>8.9095368386352417E-2</v>
      </c>
      <c r="F984" s="76">
        <f t="shared" ref="F984:F993" si="30">E984/D984</f>
        <v>0.42917675544794193</v>
      </c>
      <c r="G984" s="75">
        <f>AVERAGE(F984:F987)</f>
        <v>0.41065942461405486</v>
      </c>
    </row>
    <row r="985" spans="1:7" x14ac:dyDescent="0.25">
      <c r="A985" s="22">
        <v>42775</v>
      </c>
      <c r="B985" s="15" t="s">
        <v>44</v>
      </c>
      <c r="C985" s="23" t="s">
        <v>46</v>
      </c>
      <c r="D985" s="75">
        <v>0.18811814735454097</v>
      </c>
      <c r="E985" s="75">
        <v>7.9544948079775829E-2</v>
      </c>
      <c r="F985" s="76">
        <f t="shared" si="30"/>
        <v>0.42284569138276545</v>
      </c>
      <c r="G985" s="75"/>
    </row>
    <row r="986" spans="1:7" x14ac:dyDescent="0.25">
      <c r="A986" s="22">
        <v>42775</v>
      </c>
      <c r="B986" s="15" t="s">
        <v>44</v>
      </c>
      <c r="C986" s="23" t="s">
        <v>47</v>
      </c>
      <c r="D986" s="75">
        <v>0.18196063952530084</v>
      </c>
      <c r="E986" s="75">
        <v>6.78582495467282E-2</v>
      </c>
      <c r="F986" s="76">
        <f t="shared" si="30"/>
        <v>0.37292817679558005</v>
      </c>
      <c r="G986" s="74"/>
    </row>
    <row r="987" spans="1:7" x14ac:dyDescent="0.25">
      <c r="A987" s="22">
        <v>42775</v>
      </c>
      <c r="B987" s="15" t="s">
        <v>44</v>
      </c>
      <c r="C987" s="23" t="s">
        <v>48</v>
      </c>
      <c r="D987" s="75">
        <v>0.18472523487720457</v>
      </c>
      <c r="E987" s="75">
        <v>7.7157343003131706E-2</v>
      </c>
      <c r="F987" s="76">
        <f t="shared" si="30"/>
        <v>0.41768707482993195</v>
      </c>
      <c r="G987" s="75"/>
    </row>
    <row r="988" spans="1:7" x14ac:dyDescent="0.25">
      <c r="A988" s="22">
        <v>42775</v>
      </c>
      <c r="B988" s="15" t="s">
        <v>49</v>
      </c>
      <c r="C988" s="23" t="s">
        <v>45</v>
      </c>
      <c r="D988" s="74">
        <v>0.32331511991657974</v>
      </c>
      <c r="E988" s="74">
        <v>0.14987758081334723</v>
      </c>
      <c r="F988" s="76">
        <f t="shared" si="30"/>
        <v>0.4635650224215247</v>
      </c>
      <c r="G988" s="75">
        <f>AVERAGE(F988:F991)</f>
        <v>0.44797407963886049</v>
      </c>
    </row>
    <row r="989" spans="1:7" x14ac:dyDescent="0.25">
      <c r="A989" s="22">
        <v>42775</v>
      </c>
      <c r="B989" s="15" t="s">
        <v>49</v>
      </c>
      <c r="C989" s="23" t="s">
        <v>46</v>
      </c>
      <c r="D989" s="74">
        <v>0.2894250260688217</v>
      </c>
      <c r="E989" s="74">
        <v>0.13556037539103233</v>
      </c>
      <c r="F989" s="76">
        <f t="shared" si="30"/>
        <v>0.46837820914214151</v>
      </c>
      <c r="G989" s="75"/>
    </row>
    <row r="990" spans="1:7" x14ac:dyDescent="0.25">
      <c r="A990" s="22">
        <v>42775</v>
      </c>
      <c r="B990" s="15" t="s">
        <v>49</v>
      </c>
      <c r="C990" s="23" t="s">
        <v>47</v>
      </c>
      <c r="D990" s="74">
        <v>0.28126965589155367</v>
      </c>
      <c r="E990" s="74">
        <v>0.12794869655891553</v>
      </c>
      <c r="F990" s="76">
        <f t="shared" si="30"/>
        <v>0.45489690721649484</v>
      </c>
      <c r="G990" s="75"/>
    </row>
    <row r="991" spans="1:7" x14ac:dyDescent="0.25">
      <c r="A991" s="22">
        <v>42775</v>
      </c>
      <c r="B991" s="15" t="s">
        <v>49</v>
      </c>
      <c r="C991" s="23" t="s">
        <v>48</v>
      </c>
      <c r="D991" s="75">
        <v>0.32259019812304485</v>
      </c>
      <c r="E991" s="75">
        <v>0.13066715328467152</v>
      </c>
      <c r="F991" s="76">
        <f t="shared" si="30"/>
        <v>0.40505617977528086</v>
      </c>
      <c r="G991" s="75"/>
    </row>
    <row r="992" spans="1:7" x14ac:dyDescent="0.25">
      <c r="A992" s="22">
        <v>42775</v>
      </c>
      <c r="B992" s="15" t="s">
        <v>50</v>
      </c>
      <c r="C992" s="23" t="s">
        <v>45</v>
      </c>
      <c r="D992" s="75">
        <v>0.12129999999999999</v>
      </c>
      <c r="E992" s="75">
        <v>5.04E-2</v>
      </c>
      <c r="F992" s="76">
        <f t="shared" si="30"/>
        <v>0.41549876339653752</v>
      </c>
      <c r="G992" s="75">
        <f>AVERAGE(F992:F993)</f>
        <v>0.4563460136148686</v>
      </c>
    </row>
    <row r="993" spans="1:7" x14ac:dyDescent="0.25">
      <c r="A993" s="22">
        <v>42775</v>
      </c>
      <c r="B993" s="15" t="s">
        <v>50</v>
      </c>
      <c r="C993" s="23" t="s">
        <v>46</v>
      </c>
      <c r="D993" s="75">
        <v>0.12470000000000001</v>
      </c>
      <c r="E993" s="75">
        <v>6.2E-2</v>
      </c>
      <c r="F993" s="76">
        <f t="shared" si="30"/>
        <v>0.49719326383319967</v>
      </c>
      <c r="G993" s="75"/>
    </row>
    <row r="994" spans="1:7" x14ac:dyDescent="0.25">
      <c r="A994" s="22">
        <v>42775</v>
      </c>
      <c r="B994" s="15" t="s">
        <v>50</v>
      </c>
      <c r="C994" s="23" t="s">
        <v>47</v>
      </c>
      <c r="D994" s="75" t="s">
        <v>18</v>
      </c>
      <c r="E994" s="75" t="s">
        <v>18</v>
      </c>
      <c r="F994" s="75" t="s">
        <v>18</v>
      </c>
      <c r="G994" s="75"/>
    </row>
    <row r="995" spans="1:7" x14ac:dyDescent="0.25">
      <c r="A995" s="22">
        <v>42775</v>
      </c>
      <c r="B995" s="15" t="s">
        <v>50</v>
      </c>
      <c r="C995" s="23" t="s">
        <v>48</v>
      </c>
      <c r="D995" s="75" t="s">
        <v>18</v>
      </c>
      <c r="E995" s="75" t="s">
        <v>18</v>
      </c>
      <c r="F995" s="75" t="s">
        <v>18</v>
      </c>
      <c r="G995" s="75"/>
    </row>
    <row r="996" spans="1:7" x14ac:dyDescent="0.25">
      <c r="A996" s="22">
        <v>42775</v>
      </c>
      <c r="B996" s="15" t="s">
        <v>51</v>
      </c>
      <c r="C996" s="23" t="s">
        <v>45</v>
      </c>
      <c r="D996" s="74">
        <v>0.10979999999999999</v>
      </c>
      <c r="E996" s="74">
        <v>5.0299999999999997E-2</v>
      </c>
      <c r="F996" s="76">
        <f t="shared" ref="F996:F1031" si="31">E996/D996</f>
        <v>0.45810564663023678</v>
      </c>
      <c r="G996" s="75">
        <f>AVERAGE(F996:F999)</f>
        <v>0.45902661442450732</v>
      </c>
    </row>
    <row r="997" spans="1:7" x14ac:dyDescent="0.25">
      <c r="A997" s="22">
        <v>42775</v>
      </c>
      <c r="B997" s="15" t="s">
        <v>51</v>
      </c>
      <c r="C997" s="23" t="s">
        <v>46</v>
      </c>
      <c r="D997" s="75">
        <v>0.13319999999999999</v>
      </c>
      <c r="E997" s="75">
        <v>5.96E-2</v>
      </c>
      <c r="F997" s="76">
        <f t="shared" si="31"/>
        <v>0.44744744744744752</v>
      </c>
      <c r="G997" s="75"/>
    </row>
    <row r="998" spans="1:7" x14ac:dyDescent="0.25">
      <c r="A998" s="22">
        <v>42775</v>
      </c>
      <c r="B998" s="15" t="s">
        <v>51</v>
      </c>
      <c r="C998" s="23" t="s">
        <v>47</v>
      </c>
      <c r="D998" s="75">
        <v>6.4299999999999996E-2</v>
      </c>
      <c r="E998" s="75">
        <v>2.93E-2</v>
      </c>
      <c r="F998" s="76">
        <f t="shared" si="31"/>
        <v>0.45567651632970452</v>
      </c>
      <c r="G998" s="75"/>
    </row>
    <row r="999" spans="1:7" x14ac:dyDescent="0.25">
      <c r="A999" s="22">
        <v>42775</v>
      </c>
      <c r="B999" s="15" t="s">
        <v>51</v>
      </c>
      <c r="C999" s="23" t="s">
        <v>48</v>
      </c>
      <c r="D999" s="75">
        <v>0.10150000000000001</v>
      </c>
      <c r="E999" s="75">
        <v>4.82E-2</v>
      </c>
      <c r="F999" s="76">
        <f t="shared" si="31"/>
        <v>0.47487684729064034</v>
      </c>
      <c r="G999" s="75"/>
    </row>
    <row r="1000" spans="1:7" x14ac:dyDescent="0.25">
      <c r="A1000" s="22" t="s">
        <v>128</v>
      </c>
      <c r="B1000" s="15" t="s">
        <v>44</v>
      </c>
      <c r="C1000" s="23" t="s">
        <v>45</v>
      </c>
      <c r="D1000" s="75">
        <v>0.39239999999999997</v>
      </c>
      <c r="E1000" s="75">
        <v>9.240000000000001E-2</v>
      </c>
      <c r="F1000" s="76">
        <f t="shared" si="31"/>
        <v>0.235474006116208</v>
      </c>
      <c r="G1000" s="75">
        <f>AVERAGE(F1000:F1003)</f>
        <v>0.24257292191066168</v>
      </c>
    </row>
    <row r="1001" spans="1:7" x14ac:dyDescent="0.25">
      <c r="A1001" s="22" t="s">
        <v>128</v>
      </c>
      <c r="B1001" s="15" t="s">
        <v>44</v>
      </c>
      <c r="C1001" s="23" t="s">
        <v>46</v>
      </c>
      <c r="D1001" s="75">
        <v>0.41160000000000002</v>
      </c>
      <c r="E1001" s="74">
        <v>0.11940000000000001</v>
      </c>
      <c r="F1001" s="76">
        <f t="shared" si="31"/>
        <v>0.29008746355685133</v>
      </c>
      <c r="G1001" s="74"/>
    </row>
    <row r="1002" spans="1:7" x14ac:dyDescent="0.25">
      <c r="A1002" s="22" t="s">
        <v>128</v>
      </c>
      <c r="B1002" s="15" t="s">
        <v>44</v>
      </c>
      <c r="C1002" s="23" t="s">
        <v>47</v>
      </c>
      <c r="D1002" s="75">
        <v>0.33960000000000001</v>
      </c>
      <c r="E1002" s="75">
        <v>7.3799999999999991E-2</v>
      </c>
      <c r="F1002" s="76">
        <f t="shared" si="31"/>
        <v>0.2173144876325088</v>
      </c>
      <c r="G1002" s="75"/>
    </row>
    <row r="1003" spans="1:7" x14ac:dyDescent="0.25">
      <c r="A1003" s="22" t="s">
        <v>128</v>
      </c>
      <c r="B1003" s="15" t="s">
        <v>44</v>
      </c>
      <c r="C1003" s="23" t="s">
        <v>48</v>
      </c>
      <c r="D1003" s="75">
        <v>0.44500000000000001</v>
      </c>
      <c r="E1003" s="74">
        <v>0.1012</v>
      </c>
      <c r="F1003" s="76">
        <f t="shared" si="31"/>
        <v>0.22741573033707865</v>
      </c>
      <c r="G1003" s="75"/>
    </row>
    <row r="1004" spans="1:7" x14ac:dyDescent="0.25">
      <c r="A1004" s="22" t="s">
        <v>128</v>
      </c>
      <c r="B1004" s="15" t="s">
        <v>49</v>
      </c>
      <c r="C1004" s="23" t="s">
        <v>45</v>
      </c>
      <c r="D1004" s="75">
        <v>9.300000000000001E-3</v>
      </c>
      <c r="E1004" s="75">
        <v>4.2000000000000006E-3</v>
      </c>
      <c r="F1004" s="76">
        <f t="shared" si="31"/>
        <v>0.45161290322580649</v>
      </c>
      <c r="G1004" s="75">
        <f>F1004</f>
        <v>0.45161290322580649</v>
      </c>
    </row>
    <row r="1005" spans="1:7" x14ac:dyDescent="0.25">
      <c r="A1005" s="22" t="s">
        <v>128</v>
      </c>
      <c r="B1005" s="15" t="s">
        <v>49</v>
      </c>
      <c r="C1005" s="23" t="s">
        <v>46</v>
      </c>
      <c r="D1005" s="75" t="s">
        <v>18</v>
      </c>
      <c r="E1005" s="75" t="s">
        <v>18</v>
      </c>
      <c r="F1005" s="75" t="s">
        <v>18</v>
      </c>
      <c r="G1005" s="75"/>
    </row>
    <row r="1006" spans="1:7" x14ac:dyDescent="0.25">
      <c r="A1006" s="22" t="s">
        <v>128</v>
      </c>
      <c r="B1006" s="15" t="s">
        <v>49</v>
      </c>
      <c r="C1006" s="23" t="s">
        <v>47</v>
      </c>
      <c r="D1006" s="75" t="s">
        <v>18</v>
      </c>
      <c r="E1006" s="75" t="s">
        <v>18</v>
      </c>
      <c r="F1006" s="75" t="s">
        <v>18</v>
      </c>
      <c r="G1006" s="75"/>
    </row>
    <row r="1007" spans="1:7" x14ac:dyDescent="0.25">
      <c r="A1007" s="22" t="s">
        <v>128</v>
      </c>
      <c r="B1007" s="15" t="s">
        <v>49</v>
      </c>
      <c r="C1007" s="23" t="s">
        <v>48</v>
      </c>
      <c r="D1007" s="75" t="s">
        <v>18</v>
      </c>
      <c r="E1007" s="75" t="s">
        <v>18</v>
      </c>
      <c r="F1007" s="75" t="s">
        <v>18</v>
      </c>
      <c r="G1007" s="75"/>
    </row>
    <row r="1008" spans="1:7" x14ac:dyDescent="0.25">
      <c r="A1008" s="22" t="s">
        <v>128</v>
      </c>
      <c r="B1008" s="15" t="s">
        <v>50</v>
      </c>
      <c r="C1008" s="23" t="s">
        <v>45</v>
      </c>
      <c r="D1008" s="75">
        <v>6.2700000000000006E-2</v>
      </c>
      <c r="E1008" s="75">
        <v>2.24E-2</v>
      </c>
      <c r="F1008" s="76">
        <f t="shared" si="31"/>
        <v>0.35725677830940983</v>
      </c>
      <c r="G1008" s="75">
        <f>AVERAGE(F1008:F1011)</f>
        <v>0.33931916771147047</v>
      </c>
    </row>
    <row r="1009" spans="1:7" x14ac:dyDescent="0.25">
      <c r="A1009" s="22" t="s">
        <v>128</v>
      </c>
      <c r="B1009" s="15" t="s">
        <v>50</v>
      </c>
      <c r="C1009" s="23" t="s">
        <v>46</v>
      </c>
      <c r="D1009" s="75">
        <v>6.1799999999999994E-2</v>
      </c>
      <c r="E1009" s="75">
        <v>1.83E-2</v>
      </c>
      <c r="F1009" s="76">
        <f t="shared" si="31"/>
        <v>0.29611650485436897</v>
      </c>
      <c r="G1009" s="75"/>
    </row>
    <row r="1010" spans="1:7" x14ac:dyDescent="0.25">
      <c r="A1010" s="22" t="s">
        <v>128</v>
      </c>
      <c r="B1010" s="15" t="s">
        <v>50</v>
      </c>
      <c r="C1010" s="23" t="s">
        <v>47</v>
      </c>
      <c r="D1010" s="75">
        <v>7.2900000000000006E-2</v>
      </c>
      <c r="E1010" s="75">
        <v>2.4399999999999998E-2</v>
      </c>
      <c r="F1010" s="76">
        <f t="shared" si="31"/>
        <v>0.33470507544581612</v>
      </c>
      <c r="G1010" s="74"/>
    </row>
    <row r="1011" spans="1:7" x14ac:dyDescent="0.25">
      <c r="A1011" s="22" t="s">
        <v>128</v>
      </c>
      <c r="B1011" s="15" t="s">
        <v>50</v>
      </c>
      <c r="C1011" s="23" t="s">
        <v>48</v>
      </c>
      <c r="D1011" s="75">
        <v>4.7399999999999998E-2</v>
      </c>
      <c r="E1011" s="75">
        <v>1.7500000000000002E-2</v>
      </c>
      <c r="F1011" s="76">
        <f t="shared" si="31"/>
        <v>0.36919831223628696</v>
      </c>
      <c r="G1011" s="75"/>
    </row>
    <row r="1012" spans="1:7" x14ac:dyDescent="0.25">
      <c r="A1012" s="22" t="s">
        <v>128</v>
      </c>
      <c r="B1012" s="15" t="s">
        <v>51</v>
      </c>
      <c r="C1012" s="23" t="s">
        <v>45</v>
      </c>
      <c r="D1012" s="75">
        <v>2.2100000000000002E-2</v>
      </c>
      <c r="E1012" s="75">
        <v>1.04E-2</v>
      </c>
      <c r="F1012" s="76">
        <f t="shared" si="31"/>
        <v>0.47058823529411759</v>
      </c>
      <c r="G1012" s="75">
        <f>AVERAGE(F1012:F1013)</f>
        <v>0.47272428524482418</v>
      </c>
    </row>
    <row r="1013" spans="1:7" x14ac:dyDescent="0.25">
      <c r="A1013" s="22" t="s">
        <v>128</v>
      </c>
      <c r="B1013" s="15" t="s">
        <v>51</v>
      </c>
      <c r="C1013" s="23" t="s">
        <v>46</v>
      </c>
      <c r="D1013" s="75">
        <v>3.5799999999999998E-2</v>
      </c>
      <c r="E1013" s="75">
        <v>1.7000000000000001E-2</v>
      </c>
      <c r="F1013" s="76">
        <f t="shared" si="31"/>
        <v>0.47486033519553078</v>
      </c>
      <c r="G1013" s="75"/>
    </row>
    <row r="1014" spans="1:7" x14ac:dyDescent="0.25">
      <c r="A1014" s="22" t="s">
        <v>128</v>
      </c>
      <c r="B1014" s="15" t="s">
        <v>51</v>
      </c>
      <c r="C1014" s="23" t="s">
        <v>47</v>
      </c>
      <c r="D1014" s="75" t="s">
        <v>18</v>
      </c>
      <c r="E1014" s="75" t="s">
        <v>18</v>
      </c>
      <c r="F1014" s="75" t="s">
        <v>18</v>
      </c>
      <c r="G1014" s="75"/>
    </row>
    <row r="1015" spans="1:7" x14ac:dyDescent="0.25">
      <c r="A1015" s="22" t="s">
        <v>128</v>
      </c>
      <c r="B1015" s="15" t="s">
        <v>51</v>
      </c>
      <c r="C1015" s="23" t="s">
        <v>48</v>
      </c>
      <c r="D1015" s="75" t="s">
        <v>18</v>
      </c>
      <c r="E1015" s="75" t="s">
        <v>18</v>
      </c>
      <c r="F1015" s="75" t="s">
        <v>18</v>
      </c>
      <c r="G1015" s="75"/>
    </row>
    <row r="1016" spans="1:7" x14ac:dyDescent="0.25">
      <c r="A1016" s="22">
        <v>42853</v>
      </c>
      <c r="B1016" s="15" t="s">
        <v>44</v>
      </c>
      <c r="C1016" s="23" t="s">
        <v>45</v>
      </c>
      <c r="D1016" s="74">
        <v>0.26910000000000001</v>
      </c>
      <c r="E1016" s="74">
        <v>5.33E-2</v>
      </c>
      <c r="F1016" s="76">
        <f t="shared" si="31"/>
        <v>0.19806763285024154</v>
      </c>
      <c r="G1016" s="75">
        <f>AVERAGE(F1016:F1019)</f>
        <v>0.2076219438140248</v>
      </c>
    </row>
    <row r="1017" spans="1:7" x14ac:dyDescent="0.25">
      <c r="A1017" s="22">
        <v>42853</v>
      </c>
      <c r="B1017" s="15" t="s">
        <v>44</v>
      </c>
      <c r="C1017" s="23" t="s">
        <v>46</v>
      </c>
      <c r="D1017" s="74">
        <v>0.28889999999999999</v>
      </c>
      <c r="E1017" s="74">
        <v>5.6600000000000004E-2</v>
      </c>
      <c r="F1017" s="76">
        <f t="shared" si="31"/>
        <v>0.19591554170993425</v>
      </c>
      <c r="G1017" s="75"/>
    </row>
    <row r="1018" spans="1:7" x14ac:dyDescent="0.25">
      <c r="A1018" s="22">
        <v>42853</v>
      </c>
      <c r="B1018" s="15" t="s">
        <v>44</v>
      </c>
      <c r="C1018" s="23" t="s">
        <v>47</v>
      </c>
      <c r="D1018" s="74">
        <v>0.28970000000000001</v>
      </c>
      <c r="E1018" s="74">
        <v>5.8900000000000001E-2</v>
      </c>
      <c r="F1018" s="76">
        <f t="shared" si="31"/>
        <v>0.20331377286848462</v>
      </c>
      <c r="G1018" s="74"/>
    </row>
    <row r="1019" spans="1:7" x14ac:dyDescent="0.25">
      <c r="A1019" s="22">
        <v>42853</v>
      </c>
      <c r="B1019" s="15" t="s">
        <v>44</v>
      </c>
      <c r="C1019" s="23" t="s">
        <v>48</v>
      </c>
      <c r="D1019" s="74">
        <v>0.25730000000000003</v>
      </c>
      <c r="E1019" s="74">
        <v>0.06</v>
      </c>
      <c r="F1019" s="76">
        <f t="shared" si="31"/>
        <v>0.23319082782743875</v>
      </c>
      <c r="G1019" s="75"/>
    </row>
    <row r="1020" spans="1:7" x14ac:dyDescent="0.25">
      <c r="A1020" s="22">
        <v>42853</v>
      </c>
      <c r="B1020" s="15" t="s">
        <v>49</v>
      </c>
      <c r="C1020" s="23" t="s">
        <v>45</v>
      </c>
      <c r="D1020" s="74">
        <v>9.9000000000000005E-2</v>
      </c>
      <c r="E1020" s="74">
        <v>4.02E-2</v>
      </c>
      <c r="F1020" s="76">
        <f t="shared" si="31"/>
        <v>0.40606060606060601</v>
      </c>
      <c r="G1020" s="75">
        <f>AVERAGE(F1020:F1023)</f>
        <v>0.40442390549686602</v>
      </c>
    </row>
    <row r="1021" spans="1:7" x14ac:dyDescent="0.25">
      <c r="A1021" s="22">
        <v>42853</v>
      </c>
      <c r="B1021" s="15" t="s">
        <v>49</v>
      </c>
      <c r="C1021" s="23" t="s">
        <v>46</v>
      </c>
      <c r="D1021" s="74">
        <v>0.11020000000000001</v>
      </c>
      <c r="E1021" s="74">
        <v>3.7899999999999996E-2</v>
      </c>
      <c r="F1021" s="76">
        <f t="shared" si="31"/>
        <v>0.34392014519056258</v>
      </c>
      <c r="G1021" s="75"/>
    </row>
    <row r="1022" spans="1:7" x14ac:dyDescent="0.25">
      <c r="A1022" s="22">
        <v>42853</v>
      </c>
      <c r="B1022" s="15" t="s">
        <v>49</v>
      </c>
      <c r="C1022" s="23" t="s">
        <v>47</v>
      </c>
      <c r="D1022" s="74">
        <v>0.1016</v>
      </c>
      <c r="E1022" s="74">
        <v>4.5200000000000004E-2</v>
      </c>
      <c r="F1022" s="76">
        <f t="shared" si="31"/>
        <v>0.44488188976377957</v>
      </c>
      <c r="G1022" s="75"/>
    </row>
    <row r="1023" spans="1:7" x14ac:dyDescent="0.25">
      <c r="A1023" s="22">
        <v>42853</v>
      </c>
      <c r="B1023" s="15" t="s">
        <v>49</v>
      </c>
      <c r="C1023" s="23" t="s">
        <v>48</v>
      </c>
      <c r="D1023" s="75">
        <v>0.2838</v>
      </c>
      <c r="E1023" s="74">
        <v>0.12</v>
      </c>
      <c r="F1023" s="76">
        <f t="shared" si="31"/>
        <v>0.42283298097251587</v>
      </c>
      <c r="G1023" s="75"/>
    </row>
    <row r="1024" spans="1:7" x14ac:dyDescent="0.25">
      <c r="A1024" s="22">
        <v>42853</v>
      </c>
      <c r="B1024" s="15" t="s">
        <v>50</v>
      </c>
      <c r="C1024" s="23" t="s">
        <v>45</v>
      </c>
      <c r="D1024" s="75">
        <v>6.8400000000000002E-2</v>
      </c>
      <c r="E1024" s="75">
        <v>1.9E-2</v>
      </c>
      <c r="F1024" s="76">
        <f t="shared" si="31"/>
        <v>0.27777777777777773</v>
      </c>
      <c r="G1024" s="75">
        <f>AVERAGE(F1024:F1025)</f>
        <v>0.27873851294903929</v>
      </c>
    </row>
    <row r="1025" spans="1:7" x14ac:dyDescent="0.25">
      <c r="A1025" s="22">
        <v>42853</v>
      </c>
      <c r="B1025" s="15" t="s">
        <v>50</v>
      </c>
      <c r="C1025" s="23" t="s">
        <v>46</v>
      </c>
      <c r="D1025" s="75">
        <v>6.6500000000000004E-2</v>
      </c>
      <c r="E1025" s="75">
        <v>1.8600000000000002E-2</v>
      </c>
      <c r="F1025" s="76">
        <f t="shared" si="31"/>
        <v>0.27969924812030078</v>
      </c>
      <c r="G1025" s="75"/>
    </row>
    <row r="1026" spans="1:7" x14ac:dyDescent="0.25">
      <c r="A1026" s="22">
        <v>42853</v>
      </c>
      <c r="B1026" s="15" t="s">
        <v>50</v>
      </c>
      <c r="C1026" s="23" t="s">
        <v>47</v>
      </c>
      <c r="D1026" s="75" t="s">
        <v>18</v>
      </c>
      <c r="E1026" s="75" t="s">
        <v>18</v>
      </c>
      <c r="F1026" s="75" t="s">
        <v>18</v>
      </c>
      <c r="G1026" s="75"/>
    </row>
    <row r="1027" spans="1:7" x14ac:dyDescent="0.25">
      <c r="A1027" s="22">
        <v>42853</v>
      </c>
      <c r="B1027" s="15" t="s">
        <v>50</v>
      </c>
      <c r="C1027" s="23" t="s">
        <v>48</v>
      </c>
      <c r="D1027" s="75" t="s">
        <v>18</v>
      </c>
      <c r="E1027" s="75" t="s">
        <v>18</v>
      </c>
      <c r="F1027" s="75" t="s">
        <v>18</v>
      </c>
      <c r="G1027" s="75"/>
    </row>
    <row r="1028" spans="1:7" x14ac:dyDescent="0.25">
      <c r="A1028" s="22">
        <v>42853</v>
      </c>
      <c r="B1028" s="15" t="s">
        <v>51</v>
      </c>
      <c r="C1028" s="23" t="s">
        <v>45</v>
      </c>
      <c r="D1028" s="74">
        <v>9.4E-2</v>
      </c>
      <c r="E1028" s="74">
        <v>3.6999999999999998E-2</v>
      </c>
      <c r="F1028" s="76">
        <f t="shared" si="31"/>
        <v>0.3936170212765957</v>
      </c>
      <c r="G1028" s="75">
        <f>AVERAGE(F1028:F1031)</f>
        <v>0.4140953151291128</v>
      </c>
    </row>
    <row r="1029" spans="1:7" x14ac:dyDescent="0.25">
      <c r="A1029" s="22">
        <v>42853</v>
      </c>
      <c r="B1029" s="15" t="s">
        <v>51</v>
      </c>
      <c r="C1029" s="23" t="s">
        <v>46</v>
      </c>
      <c r="D1029" s="75">
        <v>8.7800000000000003E-2</v>
      </c>
      <c r="E1029" s="75">
        <v>2.46E-2</v>
      </c>
      <c r="F1029" s="76">
        <f t="shared" si="31"/>
        <v>0.28018223234624146</v>
      </c>
      <c r="G1029" s="75"/>
    </row>
    <row r="1030" spans="1:7" x14ac:dyDescent="0.25">
      <c r="A1030" s="22">
        <v>42853</v>
      </c>
      <c r="B1030" s="15" t="s">
        <v>51</v>
      </c>
      <c r="C1030" s="23" t="s">
        <v>47</v>
      </c>
      <c r="D1030" s="75">
        <v>6.0399999999999995E-2</v>
      </c>
      <c r="E1030" s="75">
        <v>2.8000000000000001E-2</v>
      </c>
      <c r="F1030" s="76">
        <f t="shared" si="31"/>
        <v>0.46357615894039739</v>
      </c>
      <c r="G1030" s="75"/>
    </row>
    <row r="1031" spans="1:7" x14ac:dyDescent="0.25">
      <c r="A1031" s="62">
        <v>42853</v>
      </c>
      <c r="B1031" s="63" t="s">
        <v>51</v>
      </c>
      <c r="C1031" s="64" t="s">
        <v>48</v>
      </c>
      <c r="D1031" s="79">
        <v>6.8400000000000002E-2</v>
      </c>
      <c r="E1031" s="79">
        <v>3.5499999999999997E-2</v>
      </c>
      <c r="F1031" s="80">
        <f t="shared" si="31"/>
        <v>0.51900584795321636</v>
      </c>
      <c r="G1031" s="79"/>
    </row>
    <row r="1032" spans="1:7" x14ac:dyDescent="0.25">
      <c r="A1032" s="22">
        <v>42941</v>
      </c>
      <c r="B1032" s="15" t="s">
        <v>44</v>
      </c>
      <c r="C1032" s="23" t="s">
        <v>45</v>
      </c>
      <c r="D1032" s="75">
        <v>0.1661</v>
      </c>
      <c r="E1032" s="75">
        <v>5.4899999999999997E-2</v>
      </c>
      <c r="F1032" s="76">
        <f>E1032/D1032</f>
        <v>0.33052378085490669</v>
      </c>
      <c r="G1032" s="75">
        <f>AVERAGE(F1032:F1035)</f>
        <v>0.33522163330441596</v>
      </c>
    </row>
    <row r="1033" spans="1:7" x14ac:dyDescent="0.25">
      <c r="A1033" s="22">
        <v>42941</v>
      </c>
      <c r="B1033" s="15" t="s">
        <v>44</v>
      </c>
      <c r="C1033" s="23" t="s">
        <v>46</v>
      </c>
      <c r="D1033" s="75">
        <v>0.1978</v>
      </c>
      <c r="E1033" s="74">
        <v>6.2700000000000006E-2</v>
      </c>
      <c r="F1033" s="76">
        <f>E1033/D1033</f>
        <v>0.31698685540950455</v>
      </c>
      <c r="G1033" s="74"/>
    </row>
    <row r="1034" spans="1:7" x14ac:dyDescent="0.25">
      <c r="A1034" s="22">
        <v>42941</v>
      </c>
      <c r="B1034" s="15" t="s">
        <v>44</v>
      </c>
      <c r="C1034" s="23" t="s">
        <v>47</v>
      </c>
      <c r="D1034" s="75">
        <v>0.1479</v>
      </c>
      <c r="E1034" s="75">
        <v>4.58E-2</v>
      </c>
      <c r="F1034" s="76">
        <f>E1034/D1034</f>
        <v>0.30966869506423256</v>
      </c>
      <c r="G1034" s="75"/>
    </row>
    <row r="1035" spans="1:7" x14ac:dyDescent="0.25">
      <c r="A1035" s="22">
        <v>42941</v>
      </c>
      <c r="B1035" s="15" t="s">
        <v>44</v>
      </c>
      <c r="C1035" s="23" t="s">
        <v>48</v>
      </c>
      <c r="D1035" s="75">
        <v>8.4699999999999998E-2</v>
      </c>
      <c r="E1035" s="74">
        <v>3.2500000000000001E-2</v>
      </c>
      <c r="F1035" s="76">
        <f>E1035/D1035</f>
        <v>0.38370720188902008</v>
      </c>
      <c r="G1035" s="75"/>
    </row>
    <row r="1036" spans="1:7" x14ac:dyDescent="0.25">
      <c r="A1036" s="22">
        <v>42941</v>
      </c>
      <c r="B1036" s="15" t="s">
        <v>49</v>
      </c>
      <c r="C1036" s="23" t="s">
        <v>45</v>
      </c>
      <c r="D1036" s="75" t="s">
        <v>18</v>
      </c>
      <c r="E1036" s="75" t="s">
        <v>18</v>
      </c>
      <c r="F1036" s="75" t="s">
        <v>18</v>
      </c>
      <c r="G1036" s="75" t="s">
        <v>18</v>
      </c>
    </row>
    <row r="1037" spans="1:7" x14ac:dyDescent="0.25">
      <c r="A1037" s="22">
        <v>42941</v>
      </c>
      <c r="B1037" s="15" t="s">
        <v>49</v>
      </c>
      <c r="C1037" s="23" t="s">
        <v>46</v>
      </c>
      <c r="D1037" s="75" t="s">
        <v>18</v>
      </c>
      <c r="E1037" s="75" t="s">
        <v>18</v>
      </c>
      <c r="F1037" s="75" t="s">
        <v>18</v>
      </c>
      <c r="G1037" s="75"/>
    </row>
    <row r="1038" spans="1:7" x14ac:dyDescent="0.25">
      <c r="A1038" s="22">
        <v>42941</v>
      </c>
      <c r="B1038" s="15" t="s">
        <v>49</v>
      </c>
      <c r="C1038" s="23" t="s">
        <v>47</v>
      </c>
      <c r="D1038" s="75" t="s">
        <v>18</v>
      </c>
      <c r="E1038" s="75" t="s">
        <v>18</v>
      </c>
      <c r="F1038" s="75" t="s">
        <v>18</v>
      </c>
      <c r="G1038" s="75"/>
    </row>
    <row r="1039" spans="1:7" x14ac:dyDescent="0.25">
      <c r="A1039" s="22">
        <v>42941</v>
      </c>
      <c r="B1039" s="15" t="s">
        <v>49</v>
      </c>
      <c r="C1039" s="23" t="s">
        <v>48</v>
      </c>
      <c r="D1039" s="75" t="s">
        <v>18</v>
      </c>
      <c r="E1039" s="75" t="s">
        <v>18</v>
      </c>
      <c r="F1039" s="75" t="s">
        <v>18</v>
      </c>
      <c r="G1039" s="75"/>
    </row>
    <row r="1040" spans="1:7" x14ac:dyDescent="0.25">
      <c r="A1040" s="22">
        <v>42941</v>
      </c>
      <c r="B1040" s="15" t="s">
        <v>50</v>
      </c>
      <c r="C1040" s="23" t="s">
        <v>45</v>
      </c>
      <c r="D1040" s="75">
        <v>7.2599999999999998E-2</v>
      </c>
      <c r="E1040" s="75">
        <v>3.0199999999999998E-2</v>
      </c>
      <c r="F1040" s="76">
        <f t="shared" ref="F1040:F1070" si="32">E1040/D1040</f>
        <v>0.41597796143250687</v>
      </c>
      <c r="G1040" s="75">
        <f>F1040</f>
        <v>0.41597796143250687</v>
      </c>
    </row>
    <row r="1041" spans="1:7" x14ac:dyDescent="0.25">
      <c r="A1041" s="22">
        <v>42941</v>
      </c>
      <c r="B1041" s="15" t="s">
        <v>50</v>
      </c>
      <c r="C1041" s="23" t="s">
        <v>46</v>
      </c>
      <c r="D1041" s="75" t="s">
        <v>18</v>
      </c>
      <c r="E1041" s="75" t="s">
        <v>18</v>
      </c>
      <c r="F1041" s="75" t="s">
        <v>18</v>
      </c>
      <c r="G1041" s="75"/>
    </row>
    <row r="1042" spans="1:7" x14ac:dyDescent="0.25">
      <c r="A1042" s="22">
        <v>42941</v>
      </c>
      <c r="B1042" s="15" t="s">
        <v>50</v>
      </c>
      <c r="C1042" s="23" t="s">
        <v>47</v>
      </c>
      <c r="D1042" s="75" t="s">
        <v>18</v>
      </c>
      <c r="E1042" s="75" t="s">
        <v>18</v>
      </c>
      <c r="F1042" s="75" t="s">
        <v>18</v>
      </c>
      <c r="G1042" s="74"/>
    </row>
    <row r="1043" spans="1:7" x14ac:dyDescent="0.25">
      <c r="A1043" s="22">
        <v>42941</v>
      </c>
      <c r="B1043" s="15" t="s">
        <v>50</v>
      </c>
      <c r="C1043" s="23" t="s">
        <v>48</v>
      </c>
      <c r="D1043" s="75" t="s">
        <v>18</v>
      </c>
      <c r="E1043" s="75" t="s">
        <v>18</v>
      </c>
      <c r="F1043" s="75" t="s">
        <v>18</v>
      </c>
      <c r="G1043" s="75"/>
    </row>
    <row r="1044" spans="1:7" x14ac:dyDescent="0.25">
      <c r="A1044" s="22">
        <v>42941</v>
      </c>
      <c r="B1044" s="15" t="s">
        <v>51</v>
      </c>
      <c r="C1044" s="23" t="s">
        <v>45</v>
      </c>
      <c r="D1044" s="75" t="s">
        <v>18</v>
      </c>
      <c r="E1044" s="75" t="s">
        <v>18</v>
      </c>
      <c r="F1044" s="75" t="s">
        <v>18</v>
      </c>
      <c r="G1044" s="75" t="s">
        <v>18</v>
      </c>
    </row>
    <row r="1045" spans="1:7" x14ac:dyDescent="0.25">
      <c r="A1045" s="22">
        <v>42941</v>
      </c>
      <c r="B1045" s="15" t="s">
        <v>51</v>
      </c>
      <c r="C1045" s="23" t="s">
        <v>46</v>
      </c>
      <c r="D1045" s="75" t="s">
        <v>18</v>
      </c>
      <c r="E1045" s="75" t="s">
        <v>18</v>
      </c>
      <c r="F1045" s="75" t="s">
        <v>18</v>
      </c>
      <c r="G1045" s="75"/>
    </row>
    <row r="1046" spans="1:7" x14ac:dyDescent="0.25">
      <c r="A1046" s="22">
        <v>42941</v>
      </c>
      <c r="B1046" s="15" t="s">
        <v>51</v>
      </c>
      <c r="C1046" s="23" t="s">
        <v>47</v>
      </c>
      <c r="D1046" s="75" t="s">
        <v>18</v>
      </c>
      <c r="E1046" s="75" t="s">
        <v>18</v>
      </c>
      <c r="F1046" s="75" t="s">
        <v>18</v>
      </c>
      <c r="G1046" s="75"/>
    </row>
    <row r="1047" spans="1:7" x14ac:dyDescent="0.25">
      <c r="A1047" s="22">
        <v>42941</v>
      </c>
      <c r="B1047" s="15" t="s">
        <v>51</v>
      </c>
      <c r="C1047" s="23" t="s">
        <v>48</v>
      </c>
      <c r="D1047" s="75" t="s">
        <v>18</v>
      </c>
      <c r="E1047" s="75" t="s">
        <v>18</v>
      </c>
      <c r="F1047" s="75" t="s">
        <v>18</v>
      </c>
      <c r="G1047" s="75"/>
    </row>
    <row r="1048" spans="1:7" x14ac:dyDescent="0.25">
      <c r="A1048" s="22">
        <v>42942</v>
      </c>
      <c r="B1048" s="15" t="s">
        <v>44</v>
      </c>
      <c r="C1048" s="23" t="s">
        <v>45</v>
      </c>
      <c r="D1048" s="74">
        <v>0.25739999999999996</v>
      </c>
      <c r="E1048" s="74">
        <v>9.2599999999999988E-2</v>
      </c>
      <c r="F1048" s="76">
        <f t="shared" si="32"/>
        <v>0.35975135975135974</v>
      </c>
      <c r="G1048" s="75">
        <f>AVERAGE(F1048:F1051)</f>
        <v>0.33715716604393753</v>
      </c>
    </row>
    <row r="1049" spans="1:7" x14ac:dyDescent="0.25">
      <c r="A1049" s="22">
        <v>42942</v>
      </c>
      <c r="B1049" s="15" t="s">
        <v>44</v>
      </c>
      <c r="C1049" s="23" t="s">
        <v>46</v>
      </c>
      <c r="D1049" s="74">
        <v>0.3044</v>
      </c>
      <c r="E1049" s="74">
        <v>0.1055</v>
      </c>
      <c r="F1049" s="76">
        <f t="shared" si="32"/>
        <v>0.34658344283837056</v>
      </c>
      <c r="G1049" s="75"/>
    </row>
    <row r="1050" spans="1:7" x14ac:dyDescent="0.25">
      <c r="A1050" s="22">
        <v>42942</v>
      </c>
      <c r="B1050" s="15" t="s">
        <v>44</v>
      </c>
      <c r="C1050" s="23" t="s">
        <v>47</v>
      </c>
      <c r="D1050" s="74">
        <v>0.29039999999999999</v>
      </c>
      <c r="E1050" s="74">
        <v>9.1200000000000003E-2</v>
      </c>
      <c r="F1050" s="76">
        <f t="shared" si="32"/>
        <v>0.31404958677685951</v>
      </c>
      <c r="G1050" s="74"/>
    </row>
    <row r="1051" spans="1:7" x14ac:dyDescent="0.25">
      <c r="A1051" s="22">
        <v>42942</v>
      </c>
      <c r="B1051" s="15" t="s">
        <v>44</v>
      </c>
      <c r="C1051" s="23" t="s">
        <v>48</v>
      </c>
      <c r="D1051" s="74">
        <v>0.28820000000000001</v>
      </c>
      <c r="E1051" s="74">
        <v>9.459999999999999E-2</v>
      </c>
      <c r="F1051" s="76">
        <f t="shared" si="32"/>
        <v>0.32824427480916024</v>
      </c>
      <c r="G1051" s="75"/>
    </row>
    <row r="1052" spans="1:7" x14ac:dyDescent="0.25">
      <c r="A1052" s="22">
        <v>42942</v>
      </c>
      <c r="B1052" s="15" t="s">
        <v>49</v>
      </c>
      <c r="C1052" s="23" t="s">
        <v>45</v>
      </c>
      <c r="D1052" s="74">
        <v>5.96E-2</v>
      </c>
      <c r="E1052" s="74">
        <v>2.6100000000000002E-2</v>
      </c>
      <c r="F1052" s="76">
        <f t="shared" si="32"/>
        <v>0.43791946308724833</v>
      </c>
      <c r="G1052" s="75">
        <f>AVERAGE(F1052:F1055)</f>
        <v>0.44513732857933053</v>
      </c>
    </row>
    <row r="1053" spans="1:7" x14ac:dyDescent="0.25">
      <c r="A1053" s="22">
        <v>42942</v>
      </c>
      <c r="B1053" s="15" t="s">
        <v>49</v>
      </c>
      <c r="C1053" s="23" t="s">
        <v>46</v>
      </c>
      <c r="D1053" s="74">
        <v>4.3900000000000002E-2</v>
      </c>
      <c r="E1053" s="74">
        <v>2.2100000000000002E-2</v>
      </c>
      <c r="F1053" s="76">
        <f t="shared" si="32"/>
        <v>0.50341685649202739</v>
      </c>
      <c r="G1053" s="75"/>
    </row>
    <row r="1054" spans="1:7" x14ac:dyDescent="0.25">
      <c r="A1054" s="22">
        <v>42942</v>
      </c>
      <c r="B1054" s="15" t="s">
        <v>49</v>
      </c>
      <c r="C1054" s="23" t="s">
        <v>47</v>
      </c>
      <c r="D1054" s="74">
        <v>7.0499999999999993E-2</v>
      </c>
      <c r="E1054" s="74">
        <v>2.9600000000000001E-2</v>
      </c>
      <c r="F1054" s="76">
        <f t="shared" si="32"/>
        <v>0.41985815602836885</v>
      </c>
      <c r="G1054" s="75"/>
    </row>
    <row r="1055" spans="1:7" x14ac:dyDescent="0.25">
      <c r="A1055" s="22">
        <v>42942</v>
      </c>
      <c r="B1055" s="15" t="s">
        <v>49</v>
      </c>
      <c r="C1055" s="23" t="s">
        <v>48</v>
      </c>
      <c r="D1055" s="75">
        <v>5.2700000000000004E-2</v>
      </c>
      <c r="E1055" s="74">
        <v>2.2100000000000002E-2</v>
      </c>
      <c r="F1055" s="76">
        <f t="shared" si="32"/>
        <v>0.41935483870967744</v>
      </c>
      <c r="G1055" s="75"/>
    </row>
    <row r="1056" spans="1:7" x14ac:dyDescent="0.25">
      <c r="A1056" s="22">
        <v>42942</v>
      </c>
      <c r="B1056" s="15" t="s">
        <v>50</v>
      </c>
      <c r="C1056" s="23" t="s">
        <v>45</v>
      </c>
      <c r="D1056" s="75">
        <v>0.16159999999999999</v>
      </c>
      <c r="E1056" s="75">
        <v>7.2400000000000006E-2</v>
      </c>
      <c r="F1056" s="76">
        <f t="shared" si="32"/>
        <v>0.44801980198019808</v>
      </c>
      <c r="G1056" s="75">
        <f>AVERAGE(F1056:F1058)</f>
        <v>0.43514209674223459</v>
      </c>
    </row>
    <row r="1057" spans="1:7" x14ac:dyDescent="0.25">
      <c r="A1057" s="22">
        <v>42942</v>
      </c>
      <c r="B1057" s="15" t="s">
        <v>50</v>
      </c>
      <c r="C1057" s="23" t="s">
        <v>46</v>
      </c>
      <c r="D1057" s="75">
        <v>0.15740000000000001</v>
      </c>
      <c r="E1057" s="75">
        <v>6.720000000000001E-2</v>
      </c>
      <c r="F1057" s="76">
        <f t="shared" si="32"/>
        <v>0.42693773824650577</v>
      </c>
      <c r="G1057" s="75"/>
    </row>
    <row r="1058" spans="1:7" x14ac:dyDescent="0.25">
      <c r="A1058" s="22">
        <v>42942</v>
      </c>
      <c r="B1058" s="15" t="s">
        <v>50</v>
      </c>
      <c r="C1058" s="23" t="s">
        <v>47</v>
      </c>
      <c r="D1058" s="75">
        <v>0.128</v>
      </c>
      <c r="E1058" s="75">
        <v>5.5100000000000003E-2</v>
      </c>
      <c r="F1058" s="76">
        <f t="shared" si="32"/>
        <v>0.43046875000000001</v>
      </c>
      <c r="G1058" s="75"/>
    </row>
    <row r="1059" spans="1:7" x14ac:dyDescent="0.25">
      <c r="A1059" s="22">
        <v>42942</v>
      </c>
      <c r="B1059" s="15" t="s">
        <v>50</v>
      </c>
      <c r="C1059" s="23" t="s">
        <v>48</v>
      </c>
      <c r="D1059" s="75" t="s">
        <v>18</v>
      </c>
      <c r="E1059" s="75" t="s">
        <v>18</v>
      </c>
      <c r="F1059" s="75" t="s">
        <v>18</v>
      </c>
      <c r="G1059" s="75"/>
    </row>
    <row r="1060" spans="1:7" x14ac:dyDescent="0.25">
      <c r="A1060" s="22">
        <v>42942</v>
      </c>
      <c r="B1060" s="15" t="s">
        <v>51</v>
      </c>
      <c r="C1060" s="23" t="s">
        <v>45</v>
      </c>
      <c r="D1060" s="74">
        <v>7.0199999999999999E-2</v>
      </c>
      <c r="E1060" s="74">
        <v>3.6600000000000001E-2</v>
      </c>
      <c r="F1060" s="76">
        <f t="shared" si="32"/>
        <v>0.5213675213675214</v>
      </c>
      <c r="G1060" s="75">
        <f>AVERAGE(F1060:F1063)</f>
        <v>0.48105392746929487</v>
      </c>
    </row>
    <row r="1061" spans="1:7" x14ac:dyDescent="0.25">
      <c r="A1061" s="22">
        <v>42942</v>
      </c>
      <c r="B1061" s="15" t="s">
        <v>51</v>
      </c>
      <c r="C1061" s="23" t="s">
        <v>46</v>
      </c>
      <c r="D1061" s="75">
        <v>7.1199999999999999E-2</v>
      </c>
      <c r="E1061" s="75">
        <v>3.4700000000000002E-2</v>
      </c>
      <c r="F1061" s="76">
        <f t="shared" si="32"/>
        <v>0.48735955056179781</v>
      </c>
      <c r="G1061" s="75"/>
    </row>
    <row r="1062" spans="1:7" x14ac:dyDescent="0.25">
      <c r="A1062" s="22">
        <v>42942</v>
      </c>
      <c r="B1062" s="15" t="s">
        <v>51</v>
      </c>
      <c r="C1062" s="23" t="s">
        <v>47</v>
      </c>
      <c r="D1062" s="75">
        <v>4.4999999999999998E-2</v>
      </c>
      <c r="E1062" s="75">
        <v>2.1999999999999999E-2</v>
      </c>
      <c r="F1062" s="76">
        <f t="shared" si="32"/>
        <v>0.48888888888888887</v>
      </c>
      <c r="G1062" s="75"/>
    </row>
    <row r="1063" spans="1:7" x14ac:dyDescent="0.25">
      <c r="A1063" s="22">
        <v>42942</v>
      </c>
      <c r="B1063" s="15" t="s">
        <v>51</v>
      </c>
      <c r="C1063" s="23" t="s">
        <v>48</v>
      </c>
      <c r="D1063" s="75">
        <v>7.9700000000000007E-2</v>
      </c>
      <c r="E1063" s="75">
        <v>3.4000000000000002E-2</v>
      </c>
      <c r="F1063" s="76">
        <f t="shared" si="32"/>
        <v>0.42659974905897113</v>
      </c>
      <c r="G1063" s="75"/>
    </row>
    <row r="1064" spans="1:7" x14ac:dyDescent="0.25">
      <c r="A1064" s="22">
        <v>43037</v>
      </c>
      <c r="B1064" s="15" t="s">
        <v>44</v>
      </c>
      <c r="C1064" s="23" t="s">
        <v>45</v>
      </c>
      <c r="D1064" s="75">
        <v>0.2394</v>
      </c>
      <c r="E1064" s="75">
        <v>5.5899999999999998E-2</v>
      </c>
      <c r="F1064" s="76">
        <f t="shared" si="32"/>
        <v>0.23350041771094401</v>
      </c>
      <c r="G1064" s="75">
        <f>AVERAGE(F1064:F1067)</f>
        <v>0.2442308982770254</v>
      </c>
    </row>
    <row r="1065" spans="1:7" x14ac:dyDescent="0.25">
      <c r="A1065" s="22">
        <v>43037</v>
      </c>
      <c r="B1065" s="15" t="s">
        <v>44</v>
      </c>
      <c r="C1065" s="23" t="s">
        <v>46</v>
      </c>
      <c r="D1065" s="75">
        <v>0.34899999999999998</v>
      </c>
      <c r="E1065" s="74">
        <v>8.8099999999999998E-2</v>
      </c>
      <c r="F1065" s="76">
        <f t="shared" si="32"/>
        <v>0.25243553008595987</v>
      </c>
      <c r="G1065" s="74"/>
    </row>
    <row r="1066" spans="1:7" x14ac:dyDescent="0.25">
      <c r="A1066" s="22">
        <v>43037</v>
      </c>
      <c r="B1066" s="15" t="s">
        <v>44</v>
      </c>
      <c r="C1066" s="23" t="s">
        <v>47</v>
      </c>
      <c r="D1066" s="75">
        <v>0.26080000000000003</v>
      </c>
      <c r="E1066" s="75">
        <v>6.3399999999999998E-2</v>
      </c>
      <c r="F1066" s="76">
        <f t="shared" si="32"/>
        <v>0.24309815950920241</v>
      </c>
      <c r="G1066" s="75"/>
    </row>
    <row r="1067" spans="1:7" x14ac:dyDescent="0.25">
      <c r="A1067" s="22">
        <v>43037</v>
      </c>
      <c r="B1067" s="15" t="s">
        <v>44</v>
      </c>
      <c r="C1067" s="23" t="s">
        <v>48</v>
      </c>
      <c r="D1067" s="75">
        <v>0.2606</v>
      </c>
      <c r="E1067" s="74">
        <v>6.4599999999999991E-2</v>
      </c>
      <c r="F1067" s="76">
        <f t="shared" si="32"/>
        <v>0.24788948580199535</v>
      </c>
      <c r="G1067" s="75"/>
    </row>
    <row r="1068" spans="1:7" x14ac:dyDescent="0.25">
      <c r="A1068" s="22">
        <v>43037</v>
      </c>
      <c r="B1068" s="15" t="s">
        <v>49</v>
      </c>
      <c r="C1068" s="23" t="s">
        <v>45</v>
      </c>
      <c r="D1068" s="75">
        <v>7.6799999999999993E-2</v>
      </c>
      <c r="E1068" s="75">
        <v>2.1000000000000001E-2</v>
      </c>
      <c r="F1068" s="76">
        <f t="shared" si="32"/>
        <v>0.27343750000000006</v>
      </c>
      <c r="G1068" s="75">
        <f>AVERAGE(F1068:F1070)</f>
        <v>0.27837530572552843</v>
      </c>
    </row>
    <row r="1069" spans="1:7" x14ac:dyDescent="0.25">
      <c r="A1069" s="22">
        <v>43037</v>
      </c>
      <c r="B1069" s="15" t="s">
        <v>49</v>
      </c>
      <c r="C1069" s="23" t="s">
        <v>46</v>
      </c>
      <c r="D1069" s="75">
        <v>6.2600000000000003E-2</v>
      </c>
      <c r="E1069" s="75">
        <v>1.67E-2</v>
      </c>
      <c r="F1069" s="76">
        <f t="shared" si="32"/>
        <v>0.26677316293929709</v>
      </c>
      <c r="G1069" s="74"/>
    </row>
    <row r="1070" spans="1:7" x14ac:dyDescent="0.25">
      <c r="A1070" s="22">
        <v>43037</v>
      </c>
      <c r="B1070" s="15" t="s">
        <v>49</v>
      </c>
      <c r="C1070" s="23" t="s">
        <v>47</v>
      </c>
      <c r="D1070" s="75">
        <v>5.8999999999999997E-2</v>
      </c>
      <c r="E1070" s="75">
        <v>1.7399999999999999E-2</v>
      </c>
      <c r="F1070" s="76">
        <f t="shared" si="32"/>
        <v>0.29491525423728815</v>
      </c>
      <c r="G1070" s="75"/>
    </row>
    <row r="1071" spans="1:7" x14ac:dyDescent="0.25">
      <c r="A1071" s="22">
        <v>43037</v>
      </c>
      <c r="B1071" s="15" t="s">
        <v>49</v>
      </c>
      <c r="C1071" s="23" t="s">
        <v>48</v>
      </c>
      <c r="D1071" s="76" t="s">
        <v>18</v>
      </c>
      <c r="E1071" s="76" t="s">
        <v>18</v>
      </c>
      <c r="F1071" s="76" t="s">
        <v>18</v>
      </c>
      <c r="G1071" s="75"/>
    </row>
    <row r="1072" spans="1:7" x14ac:dyDescent="0.25">
      <c r="A1072" s="22">
        <v>43037</v>
      </c>
      <c r="B1072" s="15" t="s">
        <v>50</v>
      </c>
      <c r="C1072" s="23" t="s">
        <v>45</v>
      </c>
      <c r="D1072" s="75">
        <v>8.8099999999999998E-2</v>
      </c>
      <c r="E1072" s="75">
        <v>2.7699999999999999E-2</v>
      </c>
      <c r="F1072" s="76">
        <f>E1072/D1072</f>
        <v>0.31441543700340524</v>
      </c>
      <c r="G1072" s="75">
        <f>AVERAGE(F1072:F1074)</f>
        <v>0.32099500795345287</v>
      </c>
    </row>
    <row r="1073" spans="1:7" x14ac:dyDescent="0.25">
      <c r="A1073" s="22">
        <v>43037</v>
      </c>
      <c r="B1073" s="15" t="s">
        <v>50</v>
      </c>
      <c r="C1073" s="23" t="s">
        <v>46</v>
      </c>
      <c r="D1073" s="75">
        <v>0.1087</v>
      </c>
      <c r="E1073" s="75">
        <v>3.49E-2</v>
      </c>
      <c r="F1073" s="76">
        <f>E1073/D1073</f>
        <v>0.32106715731370744</v>
      </c>
      <c r="G1073" s="74"/>
    </row>
    <row r="1074" spans="1:7" x14ac:dyDescent="0.25">
      <c r="A1074" s="22">
        <v>43037</v>
      </c>
      <c r="B1074" s="15" t="s">
        <v>50</v>
      </c>
      <c r="C1074" s="23" t="s">
        <v>47</v>
      </c>
      <c r="D1074" s="75">
        <v>0.10290000000000001</v>
      </c>
      <c r="E1074" s="75">
        <v>3.3700000000000001E-2</v>
      </c>
      <c r="F1074" s="76">
        <f>E1074/D1074</f>
        <v>0.32750242954324588</v>
      </c>
      <c r="G1074" s="75"/>
    </row>
    <row r="1075" spans="1:7" x14ac:dyDescent="0.25">
      <c r="A1075" s="22">
        <v>43037</v>
      </c>
      <c r="B1075" s="15" t="s">
        <v>50</v>
      </c>
      <c r="C1075" s="23" t="s">
        <v>48</v>
      </c>
      <c r="D1075" s="76" t="s">
        <v>18</v>
      </c>
      <c r="E1075" s="76" t="s">
        <v>18</v>
      </c>
      <c r="F1075" s="76" t="s">
        <v>18</v>
      </c>
      <c r="G1075" s="75"/>
    </row>
    <row r="1076" spans="1:7" x14ac:dyDescent="0.25">
      <c r="A1076" s="22">
        <v>43037</v>
      </c>
      <c r="B1076" s="15" t="s">
        <v>51</v>
      </c>
      <c r="C1076" s="23" t="s">
        <v>45</v>
      </c>
      <c r="D1076" s="75">
        <v>1.7500000000000002E-2</v>
      </c>
      <c r="E1076" s="75">
        <v>5.4000000000000003E-3</v>
      </c>
      <c r="F1076" s="76">
        <f>E1076/D1076</f>
        <v>0.30857142857142855</v>
      </c>
      <c r="G1076" s="75">
        <f>AVERAGE(F1076:F1076)</f>
        <v>0.30857142857142855</v>
      </c>
    </row>
    <row r="1077" spans="1:7" x14ac:dyDescent="0.25">
      <c r="A1077" s="22">
        <v>43037</v>
      </c>
      <c r="B1077" s="15" t="s">
        <v>51</v>
      </c>
      <c r="C1077" s="23" t="s">
        <v>46</v>
      </c>
      <c r="D1077" s="76" t="s">
        <v>18</v>
      </c>
      <c r="E1077" s="76" t="s">
        <v>18</v>
      </c>
      <c r="F1077" s="76" t="s">
        <v>18</v>
      </c>
      <c r="G1077" s="74"/>
    </row>
    <row r="1078" spans="1:7" x14ac:dyDescent="0.25">
      <c r="A1078" s="22">
        <v>43037</v>
      </c>
      <c r="B1078" s="15" t="s">
        <v>51</v>
      </c>
      <c r="C1078" s="23" t="s">
        <v>47</v>
      </c>
      <c r="D1078" s="76" t="s">
        <v>18</v>
      </c>
      <c r="E1078" s="76" t="s">
        <v>18</v>
      </c>
      <c r="F1078" s="76" t="s">
        <v>18</v>
      </c>
      <c r="G1078" s="75"/>
    </row>
    <row r="1079" spans="1:7" x14ac:dyDescent="0.25">
      <c r="A1079" s="22">
        <v>43037</v>
      </c>
      <c r="B1079" s="15" t="s">
        <v>51</v>
      </c>
      <c r="C1079" s="23" t="s">
        <v>48</v>
      </c>
      <c r="D1079" s="76" t="s">
        <v>18</v>
      </c>
      <c r="E1079" s="76" t="s">
        <v>18</v>
      </c>
      <c r="F1079" s="76" t="s">
        <v>18</v>
      </c>
      <c r="G1079" s="75"/>
    </row>
    <row r="1080" spans="1:7" x14ac:dyDescent="0.25">
      <c r="A1080" s="22">
        <v>43039</v>
      </c>
      <c r="B1080" s="15" t="s">
        <v>44</v>
      </c>
      <c r="C1080" s="23" t="s">
        <v>45</v>
      </c>
      <c r="D1080" s="74">
        <v>0.30810000000000004</v>
      </c>
      <c r="E1080" s="74">
        <v>7.5499999999999998E-2</v>
      </c>
      <c r="F1080" s="76">
        <f t="shared" ref="F1080:F1095" si="33">E1080/D1080</f>
        <v>0.24505030834144753</v>
      </c>
      <c r="G1080" s="75">
        <f>AVERAGE(F1080:F1083)</f>
        <v>0.25408745380800657</v>
      </c>
    </row>
    <row r="1081" spans="1:7" x14ac:dyDescent="0.25">
      <c r="A1081" s="22">
        <v>43039</v>
      </c>
      <c r="B1081" s="15" t="s">
        <v>44</v>
      </c>
      <c r="C1081" s="23" t="s">
        <v>46</v>
      </c>
      <c r="D1081" s="74">
        <v>0.25950000000000001</v>
      </c>
      <c r="E1081" s="74">
        <v>6.3E-2</v>
      </c>
      <c r="F1081" s="76">
        <f t="shared" si="33"/>
        <v>0.24277456647398843</v>
      </c>
      <c r="G1081" s="74"/>
    </row>
    <row r="1082" spans="1:7" x14ac:dyDescent="0.25">
      <c r="A1082" s="22">
        <v>43039</v>
      </c>
      <c r="B1082" s="15" t="s">
        <v>44</v>
      </c>
      <c r="C1082" s="23" t="s">
        <v>47</v>
      </c>
      <c r="D1082" s="74">
        <v>0.27600000000000002</v>
      </c>
      <c r="E1082" s="74">
        <v>8.0699999999999994E-2</v>
      </c>
      <c r="F1082" s="76">
        <f t="shared" si="33"/>
        <v>0.29239130434782606</v>
      </c>
      <c r="G1082" s="75"/>
    </row>
    <row r="1083" spans="1:7" x14ac:dyDescent="0.25">
      <c r="A1083" s="22">
        <v>43039</v>
      </c>
      <c r="B1083" s="15" t="s">
        <v>44</v>
      </c>
      <c r="C1083" s="23" t="s">
        <v>48</v>
      </c>
      <c r="D1083" s="74">
        <v>0.30830000000000002</v>
      </c>
      <c r="E1083" s="74">
        <v>7.2800000000000004E-2</v>
      </c>
      <c r="F1083" s="76">
        <f t="shared" si="33"/>
        <v>0.2361336360687642</v>
      </c>
      <c r="G1083" s="75"/>
    </row>
    <row r="1084" spans="1:7" x14ac:dyDescent="0.25">
      <c r="A1084" s="22">
        <v>43039</v>
      </c>
      <c r="B1084" s="15" t="s">
        <v>49</v>
      </c>
      <c r="C1084" s="23" t="s">
        <v>45</v>
      </c>
      <c r="D1084" s="74">
        <v>0.26230000000000003</v>
      </c>
      <c r="E1084" s="74">
        <v>8.2599999999999993E-2</v>
      </c>
      <c r="F1084" s="76">
        <f t="shared" si="33"/>
        <v>0.31490659550133426</v>
      </c>
      <c r="G1084" s="75">
        <f>AVERAGE(F1084:F1087)</f>
        <v>0.34765384586827097</v>
      </c>
    </row>
    <row r="1085" spans="1:7" x14ac:dyDescent="0.25">
      <c r="A1085" s="22">
        <v>43039</v>
      </c>
      <c r="B1085" s="15" t="s">
        <v>49</v>
      </c>
      <c r="C1085" s="23" t="s">
        <v>46</v>
      </c>
      <c r="D1085" s="74">
        <v>0.2359</v>
      </c>
      <c r="E1085" s="74">
        <v>0.10299999999999999</v>
      </c>
      <c r="F1085" s="76">
        <f t="shared" si="33"/>
        <v>0.43662568885120812</v>
      </c>
      <c r="G1085" s="74"/>
    </row>
    <row r="1086" spans="1:7" x14ac:dyDescent="0.25">
      <c r="A1086" s="22">
        <v>43039</v>
      </c>
      <c r="B1086" s="15" t="s">
        <v>49</v>
      </c>
      <c r="C1086" s="23" t="s">
        <v>47</v>
      </c>
      <c r="D1086" s="74">
        <v>0.24959999999999999</v>
      </c>
      <c r="E1086" s="74">
        <v>6.6099999999999992E-2</v>
      </c>
      <c r="F1086" s="76">
        <f t="shared" si="33"/>
        <v>0.26482371794871795</v>
      </c>
      <c r="G1086" s="75"/>
    </row>
    <row r="1087" spans="1:7" x14ac:dyDescent="0.25">
      <c r="A1087" s="22">
        <v>43039</v>
      </c>
      <c r="B1087" s="15" t="s">
        <v>49</v>
      </c>
      <c r="C1087" s="23" t="s">
        <v>48</v>
      </c>
      <c r="D1087" s="75">
        <v>0.30380000000000001</v>
      </c>
      <c r="E1087" s="74">
        <v>0.11370000000000001</v>
      </c>
      <c r="F1087" s="76">
        <f t="shared" si="33"/>
        <v>0.37425938117182356</v>
      </c>
      <c r="G1087" s="75"/>
    </row>
    <row r="1088" spans="1:7" x14ac:dyDescent="0.25">
      <c r="A1088" s="22">
        <v>43039</v>
      </c>
      <c r="B1088" s="15" t="s">
        <v>50</v>
      </c>
      <c r="C1088" s="23" t="s">
        <v>45</v>
      </c>
      <c r="D1088" s="75">
        <v>0.21540000000000001</v>
      </c>
      <c r="E1088" s="75">
        <v>8.3199999999999996E-2</v>
      </c>
      <c r="F1088" s="76">
        <f t="shared" si="33"/>
        <v>0.38625812441968427</v>
      </c>
      <c r="G1088" s="75">
        <f>AVERAGE(F1088:F1091)</f>
        <v>0.38277415254470509</v>
      </c>
    </row>
    <row r="1089" spans="1:7" x14ac:dyDescent="0.25">
      <c r="A1089" s="22">
        <v>43039</v>
      </c>
      <c r="B1089" s="15" t="s">
        <v>50</v>
      </c>
      <c r="C1089" s="23" t="s">
        <v>46</v>
      </c>
      <c r="D1089" s="75">
        <v>0.19400000000000001</v>
      </c>
      <c r="E1089" s="75">
        <v>7.4799999999999991E-2</v>
      </c>
      <c r="F1089" s="76">
        <f t="shared" si="33"/>
        <v>0.38556701030927831</v>
      </c>
      <c r="G1089" s="74"/>
    </row>
    <row r="1090" spans="1:7" x14ac:dyDescent="0.25">
      <c r="A1090" s="22">
        <v>43039</v>
      </c>
      <c r="B1090" s="15" t="s">
        <v>50</v>
      </c>
      <c r="C1090" s="23" t="s">
        <v>47</v>
      </c>
      <c r="D1090" s="75">
        <v>0.1918</v>
      </c>
      <c r="E1090" s="75">
        <v>7.2300000000000003E-2</v>
      </c>
      <c r="F1090" s="76">
        <f t="shared" si="33"/>
        <v>0.37695516162669451</v>
      </c>
      <c r="G1090" s="75"/>
    </row>
    <row r="1091" spans="1:7" x14ac:dyDescent="0.25">
      <c r="A1091" s="22">
        <v>43039</v>
      </c>
      <c r="B1091" s="15" t="s">
        <v>50</v>
      </c>
      <c r="C1091" s="23" t="s">
        <v>48</v>
      </c>
      <c r="D1091" s="75">
        <v>0.16059999999999999</v>
      </c>
      <c r="E1091" s="75">
        <v>6.1399999999999996E-2</v>
      </c>
      <c r="F1091" s="76">
        <f t="shared" si="33"/>
        <v>0.38231631382316311</v>
      </c>
      <c r="G1091" s="75"/>
    </row>
    <row r="1092" spans="1:7" x14ac:dyDescent="0.25">
      <c r="A1092" s="22">
        <v>43039</v>
      </c>
      <c r="B1092" s="15" t="s">
        <v>51</v>
      </c>
      <c r="C1092" s="23" t="s">
        <v>45</v>
      </c>
      <c r="D1092" s="74">
        <v>0.1242</v>
      </c>
      <c r="E1092" s="74">
        <v>3.9299999999999995E-2</v>
      </c>
      <c r="F1092" s="76">
        <f t="shared" si="33"/>
        <v>0.31642512077294682</v>
      </c>
      <c r="G1092" s="75">
        <f>AVERAGE(F1092:F1095)</f>
        <v>0.35704991699848443</v>
      </c>
    </row>
    <row r="1093" spans="1:7" x14ac:dyDescent="0.25">
      <c r="A1093" s="22">
        <v>43039</v>
      </c>
      <c r="B1093" s="15" t="s">
        <v>51</v>
      </c>
      <c r="C1093" s="23" t="s">
        <v>46</v>
      </c>
      <c r="D1093" s="75">
        <v>0.114</v>
      </c>
      <c r="E1093" s="75">
        <v>4.2299999999999997E-2</v>
      </c>
      <c r="F1093" s="76">
        <f t="shared" si="33"/>
        <v>0.37105263157894736</v>
      </c>
      <c r="G1093" s="74"/>
    </row>
    <row r="1094" spans="1:7" x14ac:dyDescent="0.25">
      <c r="A1094" s="22">
        <v>43039</v>
      </c>
      <c r="B1094" s="15" t="s">
        <v>51</v>
      </c>
      <c r="C1094" s="23" t="s">
        <v>47</v>
      </c>
      <c r="D1094" s="75">
        <v>9.3900000000000011E-2</v>
      </c>
      <c r="E1094" s="75">
        <v>3.2799999999999996E-2</v>
      </c>
      <c r="F1094" s="76">
        <f t="shared" si="33"/>
        <v>0.34930777422790193</v>
      </c>
      <c r="G1094" s="75"/>
    </row>
    <row r="1095" spans="1:7" x14ac:dyDescent="0.25">
      <c r="A1095" s="22">
        <v>43039</v>
      </c>
      <c r="B1095" s="15" t="s">
        <v>51</v>
      </c>
      <c r="C1095" s="23" t="s">
        <v>48</v>
      </c>
      <c r="D1095" s="75">
        <v>7.9200000000000007E-2</v>
      </c>
      <c r="E1095" s="75">
        <v>3.1E-2</v>
      </c>
      <c r="F1095" s="76">
        <f t="shared" si="33"/>
        <v>0.39141414141414138</v>
      </c>
      <c r="G1095" s="75"/>
    </row>
    <row r="1096" spans="1:7" x14ac:dyDescent="0.25">
      <c r="A1096" s="22">
        <v>43235</v>
      </c>
      <c r="B1096" s="15" t="s">
        <v>44</v>
      </c>
      <c r="C1096" s="23" t="s">
        <v>45</v>
      </c>
      <c r="D1096" s="75">
        <v>0.24440000000000001</v>
      </c>
      <c r="E1096" s="75">
        <v>7.2930000000000009E-2</v>
      </c>
      <c r="F1096" s="76">
        <f>E1096/D1096</f>
        <v>0.29840425531914894</v>
      </c>
      <c r="G1096" s="75">
        <f>AVERAGE(F1096:F1099)</f>
        <v>0.27557124277483769</v>
      </c>
    </row>
    <row r="1097" spans="1:7" x14ac:dyDescent="0.25">
      <c r="A1097" s="22">
        <v>43235</v>
      </c>
      <c r="B1097" s="15" t="s">
        <v>44</v>
      </c>
      <c r="C1097" s="23" t="s">
        <v>46</v>
      </c>
      <c r="D1097" s="75">
        <v>0.23530000000000001</v>
      </c>
      <c r="E1097" s="74">
        <v>5.6030000000000003E-2</v>
      </c>
      <c r="F1097" s="76">
        <f>E1097/D1097</f>
        <v>0.23812154696132598</v>
      </c>
      <c r="G1097" s="74"/>
    </row>
    <row r="1098" spans="1:7" x14ac:dyDescent="0.25">
      <c r="A1098" s="22">
        <v>43235</v>
      </c>
      <c r="B1098" s="15" t="s">
        <v>44</v>
      </c>
      <c r="C1098" s="23" t="s">
        <v>47</v>
      </c>
      <c r="D1098" s="75">
        <v>0.25064000000000003</v>
      </c>
      <c r="E1098" s="75">
        <v>6.7989999999999995E-2</v>
      </c>
      <c r="F1098" s="76">
        <f>E1098/D1098</f>
        <v>0.27126556016597503</v>
      </c>
      <c r="G1098" s="75"/>
    </row>
    <row r="1099" spans="1:7" x14ac:dyDescent="0.25">
      <c r="A1099" s="22">
        <v>43235</v>
      </c>
      <c r="B1099" s="15" t="s">
        <v>44</v>
      </c>
      <c r="C1099" s="23" t="s">
        <v>48</v>
      </c>
      <c r="D1099" s="75">
        <v>0.26441999999999999</v>
      </c>
      <c r="E1099" s="74">
        <v>7.7870000000000009E-2</v>
      </c>
      <c r="F1099" s="76">
        <f>E1099/D1099</f>
        <v>0.29449360865290075</v>
      </c>
      <c r="G1099" s="75"/>
    </row>
    <row r="1100" spans="1:7" x14ac:dyDescent="0.25">
      <c r="A1100" s="22">
        <v>43235</v>
      </c>
      <c r="B1100" s="15" t="s">
        <v>49</v>
      </c>
      <c r="C1100" s="23" t="s">
        <v>45</v>
      </c>
      <c r="D1100" s="75">
        <v>1.34E-2</v>
      </c>
      <c r="E1100" s="75">
        <v>6.7999999999999996E-3</v>
      </c>
      <c r="F1100" s="76">
        <f>E1100/D1100</f>
        <v>0.50746268656716409</v>
      </c>
      <c r="G1100" s="75">
        <f>F1100</f>
        <v>0.50746268656716409</v>
      </c>
    </row>
    <row r="1101" spans="1:7" x14ac:dyDescent="0.25">
      <c r="A1101" s="22">
        <v>43235</v>
      </c>
      <c r="B1101" s="15" t="s">
        <v>49</v>
      </c>
      <c r="C1101" s="23" t="s">
        <v>46</v>
      </c>
      <c r="D1101" s="75" t="s">
        <v>18</v>
      </c>
      <c r="E1101" s="75" t="s">
        <v>18</v>
      </c>
      <c r="F1101" s="75" t="s">
        <v>18</v>
      </c>
      <c r="G1101" s="74"/>
    </row>
    <row r="1102" spans="1:7" x14ac:dyDescent="0.25">
      <c r="A1102" s="22">
        <v>43235</v>
      </c>
      <c r="B1102" s="15" t="s">
        <v>49</v>
      </c>
      <c r="C1102" s="23" t="s">
        <v>47</v>
      </c>
      <c r="D1102" s="75" t="s">
        <v>18</v>
      </c>
      <c r="E1102" s="75" t="s">
        <v>18</v>
      </c>
      <c r="F1102" s="75" t="s">
        <v>18</v>
      </c>
      <c r="G1102" s="75"/>
    </row>
    <row r="1103" spans="1:7" x14ac:dyDescent="0.25">
      <c r="A1103" s="22">
        <v>43235</v>
      </c>
      <c r="B1103" s="15" t="s">
        <v>49</v>
      </c>
      <c r="C1103" s="23" t="s">
        <v>48</v>
      </c>
      <c r="D1103" s="75" t="s">
        <v>18</v>
      </c>
      <c r="E1103" s="75" t="s">
        <v>18</v>
      </c>
      <c r="F1103" s="75" t="s">
        <v>18</v>
      </c>
      <c r="G1103" s="75"/>
    </row>
    <row r="1104" spans="1:7" x14ac:dyDescent="0.25">
      <c r="A1104" s="22">
        <v>43235</v>
      </c>
      <c r="B1104" s="15" t="s">
        <v>50</v>
      </c>
      <c r="C1104" s="23" t="s">
        <v>45</v>
      </c>
      <c r="D1104" s="75">
        <v>0.15469999999999998</v>
      </c>
      <c r="E1104" s="75">
        <v>7.2999999999999995E-2</v>
      </c>
      <c r="F1104" s="76">
        <f>E1104/D1104</f>
        <v>0.47188106011635428</v>
      </c>
      <c r="G1104" s="75">
        <f>F1104</f>
        <v>0.47188106011635428</v>
      </c>
    </row>
    <row r="1105" spans="1:7" x14ac:dyDescent="0.25">
      <c r="A1105" s="22">
        <v>43235</v>
      </c>
      <c r="B1105" s="15" t="s">
        <v>50</v>
      </c>
      <c r="C1105" s="23" t="s">
        <v>46</v>
      </c>
      <c r="D1105" s="75" t="s">
        <v>18</v>
      </c>
      <c r="E1105" s="75" t="s">
        <v>18</v>
      </c>
      <c r="F1105" s="75" t="s">
        <v>18</v>
      </c>
      <c r="G1105" s="74"/>
    </row>
    <row r="1106" spans="1:7" x14ac:dyDescent="0.25">
      <c r="A1106" s="22">
        <v>43235</v>
      </c>
      <c r="B1106" s="15" t="s">
        <v>50</v>
      </c>
      <c r="C1106" s="23" t="s">
        <v>47</v>
      </c>
      <c r="D1106" s="75" t="s">
        <v>18</v>
      </c>
      <c r="E1106" s="75" t="s">
        <v>18</v>
      </c>
      <c r="F1106" s="75" t="s">
        <v>18</v>
      </c>
      <c r="G1106" s="75"/>
    </row>
    <row r="1107" spans="1:7" x14ac:dyDescent="0.25">
      <c r="A1107" s="22">
        <v>43235</v>
      </c>
      <c r="B1107" s="15" t="s">
        <v>50</v>
      </c>
      <c r="C1107" s="23" t="s">
        <v>48</v>
      </c>
      <c r="D1107" s="75" t="s">
        <v>18</v>
      </c>
      <c r="E1107" s="75" t="s">
        <v>18</v>
      </c>
      <c r="F1107" s="75" t="s">
        <v>18</v>
      </c>
      <c r="G1107" s="75"/>
    </row>
    <row r="1108" spans="1:7" x14ac:dyDescent="0.25">
      <c r="A1108" s="22">
        <v>43235</v>
      </c>
      <c r="B1108" s="15" t="s">
        <v>51</v>
      </c>
      <c r="C1108" s="23" t="s">
        <v>45</v>
      </c>
      <c r="D1108" s="75">
        <v>1.9E-3</v>
      </c>
      <c r="E1108" s="75">
        <v>8.9999999999999998E-4</v>
      </c>
      <c r="F1108" s="76">
        <f>E1108/D1108</f>
        <v>0.47368421052631576</v>
      </c>
      <c r="G1108" s="75">
        <f>F1108</f>
        <v>0.47368421052631576</v>
      </c>
    </row>
    <row r="1109" spans="1:7" x14ac:dyDescent="0.25">
      <c r="A1109" s="22">
        <v>43235</v>
      </c>
      <c r="B1109" s="15" t="s">
        <v>51</v>
      </c>
      <c r="C1109" s="23" t="s">
        <v>46</v>
      </c>
      <c r="D1109" s="75" t="s">
        <v>18</v>
      </c>
      <c r="E1109" s="75" t="s">
        <v>18</v>
      </c>
      <c r="F1109" s="75" t="s">
        <v>18</v>
      </c>
      <c r="G1109" s="74"/>
    </row>
    <row r="1110" spans="1:7" x14ac:dyDescent="0.25">
      <c r="A1110" s="22">
        <v>43235</v>
      </c>
      <c r="B1110" s="15" t="s">
        <v>51</v>
      </c>
      <c r="C1110" s="23" t="s">
        <v>47</v>
      </c>
      <c r="D1110" s="75" t="s">
        <v>18</v>
      </c>
      <c r="E1110" s="75" t="s">
        <v>18</v>
      </c>
      <c r="F1110" s="75" t="s">
        <v>18</v>
      </c>
      <c r="G1110" s="75"/>
    </row>
    <row r="1111" spans="1:7" x14ac:dyDescent="0.25">
      <c r="A1111" s="22">
        <v>43235</v>
      </c>
      <c r="B1111" s="15" t="s">
        <v>51</v>
      </c>
      <c r="C1111" s="23" t="s">
        <v>48</v>
      </c>
      <c r="D1111" s="75" t="s">
        <v>18</v>
      </c>
      <c r="E1111" s="75" t="s">
        <v>18</v>
      </c>
      <c r="F1111" s="75" t="s">
        <v>18</v>
      </c>
      <c r="G1111" s="75"/>
    </row>
    <row r="1112" spans="1:7" x14ac:dyDescent="0.25">
      <c r="A1112" s="22">
        <v>43236</v>
      </c>
      <c r="B1112" s="15" t="s">
        <v>44</v>
      </c>
      <c r="C1112" s="23" t="s">
        <v>45</v>
      </c>
      <c r="D1112" s="74">
        <v>0.28095000000000003</v>
      </c>
      <c r="E1112" s="74">
        <v>0.10050000000000001</v>
      </c>
      <c r="F1112" s="76">
        <f t="shared" ref="F1112:F1125" si="34">E1112/D1112</f>
        <v>0.35771489588894817</v>
      </c>
      <c r="G1112" s="75">
        <f>AVERAGE(F1112:F1115)</f>
        <v>0.30013373235977742</v>
      </c>
    </row>
    <row r="1113" spans="1:7" x14ac:dyDescent="0.25">
      <c r="A1113" s="22">
        <v>43236</v>
      </c>
      <c r="B1113" s="15" t="s">
        <v>44</v>
      </c>
      <c r="C1113" s="23" t="s">
        <v>46</v>
      </c>
      <c r="D1113" s="74">
        <v>0.24975</v>
      </c>
      <c r="E1113" s="74">
        <v>7.3050000000000018E-2</v>
      </c>
      <c r="F1113" s="76">
        <f t="shared" si="34"/>
        <v>0.29249249249249254</v>
      </c>
      <c r="G1113" s="74"/>
    </row>
    <row r="1114" spans="1:7" x14ac:dyDescent="0.25">
      <c r="A1114" s="22">
        <v>43236</v>
      </c>
      <c r="B1114" s="15" t="s">
        <v>44</v>
      </c>
      <c r="C1114" s="23" t="s">
        <v>47</v>
      </c>
      <c r="D1114" s="74">
        <v>0.28439999999999999</v>
      </c>
      <c r="E1114" s="74">
        <v>8.6400000000000005E-2</v>
      </c>
      <c r="F1114" s="76">
        <f t="shared" si="34"/>
        <v>0.30379746835443039</v>
      </c>
      <c r="G1114" s="75"/>
    </row>
    <row r="1115" spans="1:7" x14ac:dyDescent="0.25">
      <c r="A1115" s="22">
        <v>43236</v>
      </c>
      <c r="B1115" s="15" t="s">
        <v>44</v>
      </c>
      <c r="C1115" s="23" t="s">
        <v>48</v>
      </c>
      <c r="D1115" s="74">
        <v>0.22695000000000001</v>
      </c>
      <c r="E1115" s="74">
        <v>5.5949999999999993E-2</v>
      </c>
      <c r="F1115" s="76">
        <f t="shared" si="34"/>
        <v>0.24653007270323854</v>
      </c>
      <c r="G1115" s="75"/>
    </row>
    <row r="1116" spans="1:7" x14ac:dyDescent="0.25">
      <c r="A1116" s="22">
        <v>43236</v>
      </c>
      <c r="B1116" s="15" t="s">
        <v>49</v>
      </c>
      <c r="C1116" s="23" t="s">
        <v>45</v>
      </c>
      <c r="D1116" s="74">
        <v>6.7099999999999993E-2</v>
      </c>
      <c r="E1116" s="74">
        <v>2.41E-2</v>
      </c>
      <c r="F1116" s="76">
        <f t="shared" si="34"/>
        <v>0.35916542473919527</v>
      </c>
      <c r="G1116" s="75">
        <f>AVERAGE(F1116:F1119)</f>
        <v>0.37416715474936757</v>
      </c>
    </row>
    <row r="1117" spans="1:7" x14ac:dyDescent="0.25">
      <c r="A1117" s="22">
        <v>43236</v>
      </c>
      <c r="B1117" s="15" t="s">
        <v>49</v>
      </c>
      <c r="C1117" s="23" t="s">
        <v>46</v>
      </c>
      <c r="D1117" s="74">
        <v>5.7200000000000001E-2</v>
      </c>
      <c r="E1117" s="74">
        <v>2.2499999999999999E-2</v>
      </c>
      <c r="F1117" s="76">
        <f t="shared" si="34"/>
        <v>0.39335664335664333</v>
      </c>
      <c r="G1117" s="74"/>
    </row>
    <row r="1118" spans="1:7" x14ac:dyDescent="0.25">
      <c r="A1118" s="22">
        <v>43236</v>
      </c>
      <c r="B1118" s="15" t="s">
        <v>49</v>
      </c>
      <c r="C1118" s="23" t="s">
        <v>47</v>
      </c>
      <c r="D1118" s="74">
        <v>9.4E-2</v>
      </c>
      <c r="E1118" s="74">
        <v>3.9600000000000003E-2</v>
      </c>
      <c r="F1118" s="76">
        <f t="shared" si="34"/>
        <v>0.4212765957446809</v>
      </c>
      <c r="G1118" s="75"/>
    </row>
    <row r="1119" spans="1:7" x14ac:dyDescent="0.25">
      <c r="A1119" s="22">
        <v>43236</v>
      </c>
      <c r="B1119" s="15" t="s">
        <v>49</v>
      </c>
      <c r="C1119" s="23" t="s">
        <v>48</v>
      </c>
      <c r="D1119" s="75">
        <v>8.9200000000000002E-2</v>
      </c>
      <c r="E1119" s="74">
        <v>2.8799999999999999E-2</v>
      </c>
      <c r="F1119" s="76">
        <f t="shared" si="34"/>
        <v>0.32286995515695066</v>
      </c>
      <c r="G1119" s="75"/>
    </row>
    <row r="1120" spans="1:7" x14ac:dyDescent="0.25">
      <c r="A1120" s="22">
        <v>43236</v>
      </c>
      <c r="B1120" s="15" t="s">
        <v>50</v>
      </c>
      <c r="C1120" s="23" t="s">
        <v>45</v>
      </c>
      <c r="D1120" s="75">
        <v>0.1641</v>
      </c>
      <c r="E1120" s="75">
        <v>6.7400000000000002E-2</v>
      </c>
      <c r="F1120" s="76">
        <f t="shared" si="34"/>
        <v>0.41072516758074346</v>
      </c>
      <c r="G1120" s="75">
        <f>AVERAGE(F1120:F1121)</f>
        <v>0.44532959863369226</v>
      </c>
    </row>
    <row r="1121" spans="1:7" x14ac:dyDescent="0.25">
      <c r="A1121" s="22">
        <v>43236</v>
      </c>
      <c r="B1121" s="15" t="s">
        <v>50</v>
      </c>
      <c r="C1121" s="23" t="s">
        <v>46</v>
      </c>
      <c r="D1121" s="75">
        <v>0.18190000000000001</v>
      </c>
      <c r="E1121" s="75">
        <v>8.7300000000000003E-2</v>
      </c>
      <c r="F1121" s="76">
        <f t="shared" si="34"/>
        <v>0.47993402968664101</v>
      </c>
      <c r="G1121" s="74"/>
    </row>
    <row r="1122" spans="1:7" x14ac:dyDescent="0.25">
      <c r="A1122" s="22">
        <v>43236</v>
      </c>
      <c r="B1122" s="15" t="s">
        <v>50</v>
      </c>
      <c r="C1122" s="23" t="s">
        <v>47</v>
      </c>
      <c r="D1122" s="75" t="s">
        <v>18</v>
      </c>
      <c r="E1122" s="75" t="s">
        <v>18</v>
      </c>
      <c r="F1122" s="75" t="s">
        <v>18</v>
      </c>
      <c r="G1122" s="75"/>
    </row>
    <row r="1123" spans="1:7" x14ac:dyDescent="0.25">
      <c r="A1123" s="22">
        <v>43236</v>
      </c>
      <c r="B1123" s="15" t="s">
        <v>50</v>
      </c>
      <c r="C1123" s="23" t="s">
        <v>48</v>
      </c>
      <c r="D1123" s="75" t="s">
        <v>18</v>
      </c>
      <c r="E1123" s="75" t="s">
        <v>18</v>
      </c>
      <c r="F1123" s="75" t="s">
        <v>18</v>
      </c>
      <c r="G1123" s="75"/>
    </row>
    <row r="1124" spans="1:7" x14ac:dyDescent="0.25">
      <c r="A1124" s="22">
        <v>43236</v>
      </c>
      <c r="B1124" s="15" t="s">
        <v>51</v>
      </c>
      <c r="C1124" s="23" t="s">
        <v>45</v>
      </c>
      <c r="D1124" s="74">
        <v>7.4099999999999999E-2</v>
      </c>
      <c r="E1124" s="74">
        <v>3.6299999999999999E-2</v>
      </c>
      <c r="F1124" s="76">
        <f t="shared" si="34"/>
        <v>0.48987854251012147</v>
      </c>
      <c r="G1124" s="75">
        <f>AVERAGE(F1124:F1125)</f>
        <v>0.47902415189166547</v>
      </c>
    </row>
    <row r="1125" spans="1:7" x14ac:dyDescent="0.25">
      <c r="A1125" s="22">
        <v>43236</v>
      </c>
      <c r="B1125" s="15" t="s">
        <v>51</v>
      </c>
      <c r="C1125" s="23" t="s">
        <v>46</v>
      </c>
      <c r="D1125" s="75">
        <v>7.5400000000000009E-2</v>
      </c>
      <c r="E1125" s="75">
        <v>3.5299999999999998E-2</v>
      </c>
      <c r="F1125" s="76">
        <f t="shared" si="34"/>
        <v>0.46816976127320947</v>
      </c>
      <c r="G1125" s="74"/>
    </row>
    <row r="1126" spans="1:7" x14ac:dyDescent="0.25">
      <c r="A1126" s="22">
        <v>43236</v>
      </c>
      <c r="B1126" s="15" t="s">
        <v>51</v>
      </c>
      <c r="C1126" s="23" t="s">
        <v>47</v>
      </c>
      <c r="D1126" s="75" t="s">
        <v>18</v>
      </c>
      <c r="E1126" s="75" t="s">
        <v>18</v>
      </c>
      <c r="F1126" s="75" t="s">
        <v>18</v>
      </c>
      <c r="G1126" s="75"/>
    </row>
    <row r="1127" spans="1:7" x14ac:dyDescent="0.25">
      <c r="A1127" s="62">
        <v>43236</v>
      </c>
      <c r="B1127" s="63" t="s">
        <v>51</v>
      </c>
      <c r="C1127" s="64" t="s">
        <v>48</v>
      </c>
      <c r="D1127" s="79" t="s">
        <v>18</v>
      </c>
      <c r="E1127" s="79" t="s">
        <v>18</v>
      </c>
      <c r="F1127" s="79" t="s">
        <v>18</v>
      </c>
      <c r="G1127" s="79"/>
    </row>
    <row r="1128" spans="1:7" x14ac:dyDescent="0.25">
      <c r="A1128" s="22">
        <v>43312</v>
      </c>
      <c r="B1128" s="15" t="s">
        <v>44</v>
      </c>
      <c r="C1128" s="23" t="s">
        <v>45</v>
      </c>
      <c r="D1128" s="75">
        <v>0.16190000000000002</v>
      </c>
      <c r="E1128" s="75">
        <v>5.3700000000000005E-2</v>
      </c>
      <c r="F1128" s="76">
        <f>E1128/D1128</f>
        <v>0.33168622606547249</v>
      </c>
      <c r="G1128" s="75">
        <f>AVERAGE(F1128:F1131)</f>
        <v>0.36397472184627239</v>
      </c>
    </row>
    <row r="1129" spans="1:7" x14ac:dyDescent="0.25">
      <c r="A1129" s="22">
        <v>43312</v>
      </c>
      <c r="B1129" s="15" t="s">
        <v>44</v>
      </c>
      <c r="C1129" s="23" t="s">
        <v>46</v>
      </c>
      <c r="D1129" s="75">
        <v>0.1827</v>
      </c>
      <c r="E1129" s="74">
        <v>6.5099999999999991E-2</v>
      </c>
      <c r="F1129" s="76">
        <f>E1129/D1129</f>
        <v>0.35632183908045972</v>
      </c>
      <c r="G1129" s="74"/>
    </row>
    <row r="1130" spans="1:7" x14ac:dyDescent="0.25">
      <c r="A1130" s="22">
        <v>43312</v>
      </c>
      <c r="B1130" s="15" t="s">
        <v>44</v>
      </c>
      <c r="C1130" s="23" t="s">
        <v>47</v>
      </c>
      <c r="D1130" s="75">
        <v>0.14410000000000001</v>
      </c>
      <c r="E1130" s="75">
        <v>5.5399999999999998E-2</v>
      </c>
      <c r="F1130" s="76">
        <f>E1130/D1130</f>
        <v>0.38445523941707144</v>
      </c>
      <c r="G1130" s="75"/>
    </row>
    <row r="1131" spans="1:7" x14ac:dyDescent="0.25">
      <c r="A1131" s="22">
        <v>43312</v>
      </c>
      <c r="B1131" s="15" t="s">
        <v>44</v>
      </c>
      <c r="C1131" s="23" t="s">
        <v>48</v>
      </c>
      <c r="D1131" s="75">
        <v>6.5200000000000008E-2</v>
      </c>
      <c r="E1131" s="74">
        <v>2.5000000000000001E-2</v>
      </c>
      <c r="F1131" s="76">
        <f>E1131/D1131</f>
        <v>0.38343558282208584</v>
      </c>
      <c r="G1131" s="75"/>
    </row>
    <row r="1132" spans="1:7" x14ac:dyDescent="0.25">
      <c r="A1132" s="22">
        <v>43312</v>
      </c>
      <c r="B1132" s="15" t="s">
        <v>49</v>
      </c>
      <c r="C1132" s="23" t="s">
        <v>45</v>
      </c>
      <c r="D1132" s="75">
        <v>4.99E-2</v>
      </c>
      <c r="E1132" s="75">
        <v>2.0300000000000002E-2</v>
      </c>
      <c r="F1132" s="76">
        <f>E1132/D1132</f>
        <v>0.40681362725450904</v>
      </c>
      <c r="G1132" s="75">
        <f>F1132</f>
        <v>0.40681362725450904</v>
      </c>
    </row>
    <row r="1133" spans="1:7" x14ac:dyDescent="0.25">
      <c r="A1133" s="22">
        <v>43312</v>
      </c>
      <c r="B1133" s="15" t="s">
        <v>49</v>
      </c>
      <c r="C1133" s="23" t="s">
        <v>46</v>
      </c>
      <c r="D1133" s="75" t="s">
        <v>18</v>
      </c>
      <c r="E1133" s="75" t="s">
        <v>18</v>
      </c>
      <c r="F1133" s="75" t="s">
        <v>18</v>
      </c>
      <c r="G1133" s="74"/>
    </row>
    <row r="1134" spans="1:7" x14ac:dyDescent="0.25">
      <c r="A1134" s="22">
        <v>43312</v>
      </c>
      <c r="B1134" s="15" t="s">
        <v>49</v>
      </c>
      <c r="C1134" s="23" t="s">
        <v>47</v>
      </c>
      <c r="D1134" s="75" t="s">
        <v>18</v>
      </c>
      <c r="E1134" s="75" t="s">
        <v>18</v>
      </c>
      <c r="F1134" s="75" t="s">
        <v>18</v>
      </c>
      <c r="G1134" s="75"/>
    </row>
    <row r="1135" spans="1:7" x14ac:dyDescent="0.25">
      <c r="A1135" s="22">
        <v>43312</v>
      </c>
      <c r="B1135" s="15" t="s">
        <v>49</v>
      </c>
      <c r="C1135" s="23" t="s">
        <v>48</v>
      </c>
      <c r="D1135" s="75" t="s">
        <v>18</v>
      </c>
      <c r="E1135" s="75" t="s">
        <v>18</v>
      </c>
      <c r="F1135" s="75" t="s">
        <v>18</v>
      </c>
      <c r="G1135" s="75"/>
    </row>
    <row r="1136" spans="1:7" x14ac:dyDescent="0.25">
      <c r="A1136" s="22">
        <v>43312</v>
      </c>
      <c r="B1136" s="15" t="s">
        <v>50</v>
      </c>
      <c r="C1136" s="23" t="s">
        <v>45</v>
      </c>
      <c r="D1136" s="75">
        <v>0.13340000000000002</v>
      </c>
      <c r="E1136" s="75">
        <v>6.3700000000000007E-2</v>
      </c>
      <c r="F1136" s="76">
        <f>E1136/D1136</f>
        <v>0.47751124437781106</v>
      </c>
      <c r="G1136" s="75">
        <f>F1136</f>
        <v>0.47751124437781106</v>
      </c>
    </row>
    <row r="1137" spans="1:7" x14ac:dyDescent="0.25">
      <c r="A1137" s="22">
        <v>43312</v>
      </c>
      <c r="B1137" s="15" t="s">
        <v>50</v>
      </c>
      <c r="C1137" s="23" t="s">
        <v>46</v>
      </c>
      <c r="D1137" s="75" t="s">
        <v>18</v>
      </c>
      <c r="E1137" s="75" t="s">
        <v>18</v>
      </c>
      <c r="F1137" s="75" t="s">
        <v>18</v>
      </c>
      <c r="G1137" s="74"/>
    </row>
    <row r="1138" spans="1:7" x14ac:dyDescent="0.25">
      <c r="A1138" s="22">
        <v>43312</v>
      </c>
      <c r="B1138" s="15" t="s">
        <v>50</v>
      </c>
      <c r="C1138" s="23" t="s">
        <v>47</v>
      </c>
      <c r="D1138" s="75" t="s">
        <v>18</v>
      </c>
      <c r="E1138" s="75" t="s">
        <v>18</v>
      </c>
      <c r="F1138" s="75" t="s">
        <v>18</v>
      </c>
      <c r="G1138" s="75"/>
    </row>
    <row r="1139" spans="1:7" x14ac:dyDescent="0.25">
      <c r="A1139" s="22">
        <v>43312</v>
      </c>
      <c r="B1139" s="15" t="s">
        <v>50</v>
      </c>
      <c r="C1139" s="23" t="s">
        <v>48</v>
      </c>
      <c r="D1139" s="75" t="s">
        <v>18</v>
      </c>
      <c r="E1139" s="75" t="s">
        <v>18</v>
      </c>
      <c r="F1139" s="75" t="s">
        <v>18</v>
      </c>
      <c r="G1139" s="75"/>
    </row>
    <row r="1140" spans="1:7" x14ac:dyDescent="0.25">
      <c r="A1140" s="22">
        <v>43312</v>
      </c>
      <c r="B1140" s="15" t="s">
        <v>51</v>
      </c>
      <c r="C1140" s="23" t="s">
        <v>45</v>
      </c>
      <c r="D1140" s="75">
        <v>5.9000000000000007E-3</v>
      </c>
      <c r="E1140" s="75">
        <v>3.0999999999999999E-3</v>
      </c>
      <c r="F1140" s="76">
        <f>E1140/D1140</f>
        <v>0.52542372881355925</v>
      </c>
      <c r="G1140" s="75">
        <f>F1140</f>
        <v>0.52542372881355925</v>
      </c>
    </row>
    <row r="1141" spans="1:7" x14ac:dyDescent="0.25">
      <c r="A1141" s="22">
        <v>43312</v>
      </c>
      <c r="B1141" s="15" t="s">
        <v>51</v>
      </c>
      <c r="C1141" s="23" t="s">
        <v>46</v>
      </c>
      <c r="D1141" s="75" t="s">
        <v>18</v>
      </c>
      <c r="E1141" s="75" t="s">
        <v>18</v>
      </c>
      <c r="F1141" s="75" t="s">
        <v>18</v>
      </c>
      <c r="G1141" s="74"/>
    </row>
    <row r="1142" spans="1:7" x14ac:dyDescent="0.25">
      <c r="A1142" s="22">
        <v>43312</v>
      </c>
      <c r="B1142" s="15" t="s">
        <v>51</v>
      </c>
      <c r="C1142" s="23" t="s">
        <v>47</v>
      </c>
      <c r="D1142" s="75" t="s">
        <v>18</v>
      </c>
      <c r="E1142" s="75" t="s">
        <v>18</v>
      </c>
      <c r="F1142" s="75" t="s">
        <v>18</v>
      </c>
      <c r="G1142" s="75"/>
    </row>
    <row r="1143" spans="1:7" x14ac:dyDescent="0.25">
      <c r="A1143" s="22">
        <v>43312</v>
      </c>
      <c r="B1143" s="15" t="s">
        <v>51</v>
      </c>
      <c r="C1143" s="23" t="s">
        <v>48</v>
      </c>
      <c r="D1143" s="75" t="s">
        <v>18</v>
      </c>
      <c r="E1143" s="75" t="s">
        <v>18</v>
      </c>
      <c r="F1143" s="75" t="s">
        <v>18</v>
      </c>
      <c r="G1143" s="75"/>
    </row>
    <row r="1144" spans="1:7" x14ac:dyDescent="0.25">
      <c r="A1144" s="22">
        <v>43313</v>
      </c>
      <c r="B1144" s="15" t="s">
        <v>44</v>
      </c>
      <c r="C1144" s="23" t="s">
        <v>45</v>
      </c>
      <c r="D1144" s="74">
        <v>0.19450000000000001</v>
      </c>
      <c r="E1144" s="74">
        <v>6.8099999999999994E-2</v>
      </c>
      <c r="F1144" s="76">
        <f t="shared" ref="F1144:F1157" si="35">E1144/D1144</f>
        <v>0.35012853470437016</v>
      </c>
      <c r="G1144" s="75">
        <f>AVERAGE(F1144:F1147)</f>
        <v>0.35203557156834664</v>
      </c>
    </row>
    <row r="1145" spans="1:7" x14ac:dyDescent="0.25">
      <c r="A1145" s="22">
        <v>43313</v>
      </c>
      <c r="B1145" s="15" t="s">
        <v>44</v>
      </c>
      <c r="C1145" s="23" t="s">
        <v>46</v>
      </c>
      <c r="D1145" s="75">
        <v>0.1797</v>
      </c>
      <c r="E1145" s="74">
        <v>6.5099999999999991E-2</v>
      </c>
      <c r="F1145" s="76">
        <f t="shared" si="35"/>
        <v>0.36227045075125203</v>
      </c>
      <c r="G1145" s="74"/>
    </row>
    <row r="1146" spans="1:7" x14ac:dyDescent="0.25">
      <c r="A1146" s="22">
        <v>43313</v>
      </c>
      <c r="B1146" s="15" t="s">
        <v>44</v>
      </c>
      <c r="C1146" s="23" t="s">
        <v>47</v>
      </c>
      <c r="D1146" s="75">
        <v>0.12890000000000001</v>
      </c>
      <c r="E1146" s="74">
        <v>5.0799999999999998E-2</v>
      </c>
      <c r="F1146" s="76">
        <f t="shared" si="35"/>
        <v>0.39410395655546931</v>
      </c>
      <c r="G1146" s="75"/>
    </row>
    <row r="1147" spans="1:7" x14ac:dyDescent="0.25">
      <c r="A1147" s="22">
        <v>43313</v>
      </c>
      <c r="B1147" s="15" t="s">
        <v>44</v>
      </c>
      <c r="C1147" s="23" t="s">
        <v>48</v>
      </c>
      <c r="D1147" s="75">
        <v>9.1499999999999998E-2</v>
      </c>
      <c r="E1147" s="74">
        <v>2.7600000000000003E-2</v>
      </c>
      <c r="F1147" s="76">
        <f t="shared" si="35"/>
        <v>0.30163934426229511</v>
      </c>
      <c r="G1147" s="75"/>
    </row>
    <row r="1148" spans="1:7" x14ac:dyDescent="0.25">
      <c r="A1148" s="22">
        <v>43313</v>
      </c>
      <c r="B1148" s="15" t="s">
        <v>49</v>
      </c>
      <c r="C1148" s="23" t="s">
        <v>45</v>
      </c>
      <c r="D1148" s="74">
        <v>6.2200000000000005E-2</v>
      </c>
      <c r="E1148" s="74">
        <v>2.3100000000000002E-2</v>
      </c>
      <c r="F1148" s="76">
        <f t="shared" si="35"/>
        <v>0.37138263665594856</v>
      </c>
      <c r="G1148" s="75">
        <f>AVERAGE(F1148:F1150)</f>
        <v>0.41763201553921148</v>
      </c>
    </row>
    <row r="1149" spans="1:7" x14ac:dyDescent="0.25">
      <c r="A1149" s="22">
        <v>43313</v>
      </c>
      <c r="B1149" s="15" t="s">
        <v>49</v>
      </c>
      <c r="C1149" s="23" t="s">
        <v>46</v>
      </c>
      <c r="D1149" s="74">
        <v>7.1999999999999995E-2</v>
      </c>
      <c r="E1149" s="74">
        <v>3.3399999999999999E-2</v>
      </c>
      <c r="F1149" s="76">
        <f t="shared" si="35"/>
        <v>0.46388888888888891</v>
      </c>
      <c r="G1149" s="74"/>
    </row>
    <row r="1150" spans="1:7" x14ac:dyDescent="0.25">
      <c r="A1150" s="22">
        <v>43313</v>
      </c>
      <c r="B1150" s="15" t="s">
        <v>49</v>
      </c>
      <c r="C1150" s="23" t="s">
        <v>47</v>
      </c>
      <c r="D1150" s="74">
        <v>5.2200000000000003E-2</v>
      </c>
      <c r="E1150" s="74">
        <v>2.18E-2</v>
      </c>
      <c r="F1150" s="76">
        <f t="shared" si="35"/>
        <v>0.41762452107279691</v>
      </c>
      <c r="G1150" s="75"/>
    </row>
    <row r="1151" spans="1:7" x14ac:dyDescent="0.25">
      <c r="A1151" s="22">
        <v>43313</v>
      </c>
      <c r="B1151" s="15" t="s">
        <v>49</v>
      </c>
      <c r="C1151" s="23" t="s">
        <v>48</v>
      </c>
      <c r="D1151" s="75" t="s">
        <v>18</v>
      </c>
      <c r="E1151" s="75" t="s">
        <v>18</v>
      </c>
      <c r="F1151" s="75" t="s">
        <v>18</v>
      </c>
      <c r="G1151" s="75"/>
    </row>
    <row r="1152" spans="1:7" x14ac:dyDescent="0.25">
      <c r="A1152" s="22">
        <v>43313</v>
      </c>
      <c r="B1152" s="15" t="s">
        <v>50</v>
      </c>
      <c r="C1152" s="23" t="s">
        <v>45</v>
      </c>
      <c r="D1152" s="75">
        <v>0.2606</v>
      </c>
      <c r="E1152" s="75">
        <v>0.1193</v>
      </c>
      <c r="F1152" s="76">
        <f t="shared" si="35"/>
        <v>0.45778971603990792</v>
      </c>
      <c r="G1152" s="75">
        <f>F1152</f>
        <v>0.45778971603990792</v>
      </c>
    </row>
    <row r="1153" spans="1:7" x14ac:dyDescent="0.25">
      <c r="A1153" s="22">
        <v>43313</v>
      </c>
      <c r="B1153" s="15" t="s">
        <v>50</v>
      </c>
      <c r="C1153" s="23" t="s">
        <v>46</v>
      </c>
      <c r="D1153" s="75" t="s">
        <v>18</v>
      </c>
      <c r="E1153" s="75" t="s">
        <v>18</v>
      </c>
      <c r="F1153" s="75" t="s">
        <v>18</v>
      </c>
      <c r="G1153" s="74"/>
    </row>
    <row r="1154" spans="1:7" x14ac:dyDescent="0.25">
      <c r="A1154" s="22">
        <v>43313</v>
      </c>
      <c r="B1154" s="15" t="s">
        <v>50</v>
      </c>
      <c r="C1154" s="23" t="s">
        <v>47</v>
      </c>
      <c r="D1154" s="75" t="s">
        <v>18</v>
      </c>
      <c r="E1154" s="75" t="s">
        <v>18</v>
      </c>
      <c r="F1154" s="75" t="s">
        <v>18</v>
      </c>
      <c r="G1154" s="75"/>
    </row>
    <row r="1155" spans="1:7" x14ac:dyDescent="0.25">
      <c r="A1155" s="22">
        <v>43313</v>
      </c>
      <c r="B1155" s="15" t="s">
        <v>50</v>
      </c>
      <c r="C1155" s="23" t="s">
        <v>48</v>
      </c>
      <c r="D1155" s="75" t="s">
        <v>18</v>
      </c>
      <c r="E1155" s="75" t="s">
        <v>18</v>
      </c>
      <c r="F1155" s="75" t="s">
        <v>18</v>
      </c>
      <c r="G1155" s="75"/>
    </row>
    <row r="1156" spans="1:7" x14ac:dyDescent="0.25">
      <c r="A1156" s="22">
        <v>43313</v>
      </c>
      <c r="B1156" s="15" t="s">
        <v>51</v>
      </c>
      <c r="C1156" s="23" t="s">
        <v>45</v>
      </c>
      <c r="D1156" s="74">
        <v>6.59E-2</v>
      </c>
      <c r="E1156" s="74">
        <v>3.2299999999999995E-2</v>
      </c>
      <c r="F1156" s="76">
        <f t="shared" si="35"/>
        <v>0.49013657056145671</v>
      </c>
      <c r="G1156" s="75">
        <f>AVERAGE(F1156:F1157)</f>
        <v>0.51121139173797092</v>
      </c>
    </row>
    <row r="1157" spans="1:7" x14ac:dyDescent="0.25">
      <c r="A1157" s="22">
        <v>43313</v>
      </c>
      <c r="B1157" s="15" t="s">
        <v>51</v>
      </c>
      <c r="C1157" s="23" t="s">
        <v>46</v>
      </c>
      <c r="D1157" s="75">
        <v>5.7299999999999997E-2</v>
      </c>
      <c r="E1157" s="75">
        <v>3.0499999999999999E-2</v>
      </c>
      <c r="F1157" s="76">
        <f t="shared" si="35"/>
        <v>0.53228621291448519</v>
      </c>
      <c r="G1157" s="74"/>
    </row>
    <row r="1158" spans="1:7" x14ac:dyDescent="0.25">
      <c r="A1158" s="22">
        <v>43313</v>
      </c>
      <c r="B1158" s="15" t="s">
        <v>51</v>
      </c>
      <c r="C1158" s="23" t="s">
        <v>47</v>
      </c>
      <c r="D1158" s="75" t="s">
        <v>18</v>
      </c>
      <c r="E1158" s="75" t="s">
        <v>18</v>
      </c>
      <c r="F1158" s="75" t="s">
        <v>18</v>
      </c>
      <c r="G1158" s="75"/>
    </row>
    <row r="1159" spans="1:7" x14ac:dyDescent="0.25">
      <c r="A1159" s="22">
        <v>43313</v>
      </c>
      <c r="B1159" s="15" t="s">
        <v>51</v>
      </c>
      <c r="C1159" s="23" t="s">
        <v>48</v>
      </c>
      <c r="D1159" s="75" t="s">
        <v>18</v>
      </c>
      <c r="E1159" s="75" t="s">
        <v>18</v>
      </c>
      <c r="F1159" s="75" t="s">
        <v>18</v>
      </c>
      <c r="G1159" s="75"/>
    </row>
    <row r="1160" spans="1:7" x14ac:dyDescent="0.25">
      <c r="A1160" s="22">
        <v>43403</v>
      </c>
      <c r="B1160" s="17" t="s">
        <v>44</v>
      </c>
      <c r="C1160" s="23" t="s">
        <v>45</v>
      </c>
      <c r="D1160" s="74">
        <v>0.32364000000000004</v>
      </c>
      <c r="E1160" s="74">
        <v>8.388000000000001E-2</v>
      </c>
      <c r="F1160" s="74">
        <v>0.25917686318131256</v>
      </c>
      <c r="G1160" s="74">
        <v>0.25826561848822904</v>
      </c>
    </row>
    <row r="1161" spans="1:7" x14ac:dyDescent="0.25">
      <c r="A1161" s="22">
        <v>43403</v>
      </c>
      <c r="B1161" s="17" t="s">
        <v>44</v>
      </c>
      <c r="C1161" s="23" t="s">
        <v>46</v>
      </c>
      <c r="D1161" s="74">
        <v>0.29790000000000005</v>
      </c>
      <c r="E1161" s="74">
        <v>8.4239999999999995E-2</v>
      </c>
      <c r="F1161" s="74">
        <v>0.28277945619335343</v>
      </c>
      <c r="G1161" s="74"/>
    </row>
    <row r="1162" spans="1:7" x14ac:dyDescent="0.25">
      <c r="A1162" s="22">
        <v>43403</v>
      </c>
      <c r="B1162" s="17" t="s">
        <v>44</v>
      </c>
      <c r="C1162" s="23" t="s">
        <v>47</v>
      </c>
      <c r="D1162" s="74">
        <v>0.32886000000000004</v>
      </c>
      <c r="E1162" s="74">
        <v>7.6139999999999999E-2</v>
      </c>
      <c r="F1162" s="74">
        <v>0.23152709359605908</v>
      </c>
      <c r="G1162" s="74"/>
    </row>
    <row r="1163" spans="1:7" x14ac:dyDescent="0.25">
      <c r="A1163" s="22">
        <v>43403</v>
      </c>
      <c r="B1163" s="17" t="s">
        <v>44</v>
      </c>
      <c r="C1163" s="23" t="s">
        <v>48</v>
      </c>
      <c r="D1163" s="74">
        <v>0.33354</v>
      </c>
      <c r="E1163" s="74">
        <v>8.6580000000000004E-2</v>
      </c>
      <c r="F1163" s="74">
        <v>0.25957906098219108</v>
      </c>
      <c r="G1163" s="74"/>
    </row>
    <row r="1164" spans="1:7" x14ac:dyDescent="0.25">
      <c r="A1164" s="22">
        <v>43403</v>
      </c>
      <c r="B1164" s="17" t="s">
        <v>49</v>
      </c>
      <c r="C1164" s="23" t="s">
        <v>45</v>
      </c>
      <c r="D1164" s="74">
        <v>7.17E-2</v>
      </c>
      <c r="E1164" s="74">
        <v>1.7299999999999999E-2</v>
      </c>
      <c r="F1164" s="74">
        <v>0.2412831241283124</v>
      </c>
      <c r="G1164" s="74">
        <v>0.2412831241283124</v>
      </c>
    </row>
    <row r="1165" spans="1:7" x14ac:dyDescent="0.25">
      <c r="A1165" s="22">
        <v>43403</v>
      </c>
      <c r="B1165" s="17" t="s">
        <v>49</v>
      </c>
      <c r="C1165" s="23" t="s">
        <v>46</v>
      </c>
      <c r="D1165" s="74">
        <v>8.0200000000000007E-2</v>
      </c>
      <c r="E1165" s="74">
        <v>1.8800000000000001E-2</v>
      </c>
      <c r="F1165" s="74">
        <v>0.23441396508728179</v>
      </c>
      <c r="G1165" s="74"/>
    </row>
    <row r="1166" spans="1:7" x14ac:dyDescent="0.25">
      <c r="A1166" s="22">
        <v>43403</v>
      </c>
      <c r="B1166" s="17" t="s">
        <v>49</v>
      </c>
      <c r="C1166" s="23" t="s">
        <v>47</v>
      </c>
      <c r="D1166" s="74">
        <v>9.5500000000000002E-2</v>
      </c>
      <c r="E1166" s="74">
        <v>2.8799999999999999E-2</v>
      </c>
      <c r="F1166" s="74">
        <v>0.30157068062827225</v>
      </c>
      <c r="G1166" s="74"/>
    </row>
    <row r="1167" spans="1:7" x14ac:dyDescent="0.25">
      <c r="A1167" s="22">
        <v>43403</v>
      </c>
      <c r="B1167" s="17" t="s">
        <v>49</v>
      </c>
      <c r="C1167" s="23" t="s">
        <v>48</v>
      </c>
      <c r="D1167" s="74" t="s">
        <v>18</v>
      </c>
      <c r="E1167" s="74" t="s">
        <v>18</v>
      </c>
      <c r="F1167" s="74" t="s">
        <v>18</v>
      </c>
      <c r="G1167" s="74"/>
    </row>
    <row r="1168" spans="1:7" x14ac:dyDescent="0.25">
      <c r="A1168" s="22">
        <v>43403</v>
      </c>
      <c r="B1168" s="17" t="s">
        <v>50</v>
      </c>
      <c r="C1168" s="23" t="s">
        <v>45</v>
      </c>
      <c r="D1168" s="74">
        <v>9.5700000000000007E-2</v>
      </c>
      <c r="E1168" s="74">
        <v>3.7399999999999996E-2</v>
      </c>
      <c r="F1168" s="74">
        <v>0.39080459770114934</v>
      </c>
      <c r="G1168" s="74">
        <v>0.39080459770114934</v>
      </c>
    </row>
    <row r="1169" spans="1:7" x14ac:dyDescent="0.25">
      <c r="A1169" s="22">
        <v>43403</v>
      </c>
      <c r="B1169" s="17" t="s">
        <v>50</v>
      </c>
      <c r="C1169" s="23" t="s">
        <v>46</v>
      </c>
      <c r="D1169" s="74">
        <v>0.13419999999999999</v>
      </c>
      <c r="E1169" s="74">
        <v>5.04E-2</v>
      </c>
      <c r="F1169" s="74">
        <v>0.37555886736214611</v>
      </c>
      <c r="G1169" s="74"/>
    </row>
    <row r="1170" spans="1:7" x14ac:dyDescent="0.25">
      <c r="A1170" s="22">
        <v>43403</v>
      </c>
      <c r="B1170" s="17" t="s">
        <v>50</v>
      </c>
      <c r="C1170" s="23" t="s">
        <v>47</v>
      </c>
      <c r="D1170" s="74" t="s">
        <v>18</v>
      </c>
      <c r="E1170" s="74" t="s">
        <v>18</v>
      </c>
      <c r="F1170" s="74" t="s">
        <v>18</v>
      </c>
      <c r="G1170" s="74"/>
    </row>
    <row r="1171" spans="1:7" x14ac:dyDescent="0.25">
      <c r="A1171" s="22">
        <v>43403</v>
      </c>
      <c r="B1171" s="17" t="s">
        <v>50</v>
      </c>
      <c r="C1171" s="23" t="s">
        <v>48</v>
      </c>
      <c r="D1171" s="74" t="s">
        <v>18</v>
      </c>
      <c r="E1171" s="74" t="s">
        <v>18</v>
      </c>
      <c r="F1171" s="74" t="s">
        <v>18</v>
      </c>
      <c r="G1171" s="74"/>
    </row>
    <row r="1172" spans="1:7" x14ac:dyDescent="0.25">
      <c r="A1172" s="22">
        <v>43403</v>
      </c>
      <c r="B1172" s="17" t="s">
        <v>51</v>
      </c>
      <c r="C1172" s="23" t="s">
        <v>45</v>
      </c>
      <c r="D1172" s="74">
        <v>6.2700000000000006E-2</v>
      </c>
      <c r="E1172" s="74">
        <v>1.5900000000000001E-2</v>
      </c>
      <c r="F1172" s="74">
        <v>0.25358851674641147</v>
      </c>
      <c r="G1172" s="74">
        <v>0.25358851674641147</v>
      </c>
    </row>
    <row r="1173" spans="1:7" x14ac:dyDescent="0.25">
      <c r="A1173" s="22">
        <v>43403</v>
      </c>
      <c r="B1173" s="17" t="s">
        <v>51</v>
      </c>
      <c r="C1173" s="23" t="s">
        <v>46</v>
      </c>
      <c r="D1173" s="74">
        <v>3.5099999999999999E-2</v>
      </c>
      <c r="E1173" s="74">
        <v>1.55E-2</v>
      </c>
      <c r="F1173" s="74">
        <v>0.44159544159544162</v>
      </c>
      <c r="G1173" s="74"/>
    </row>
    <row r="1174" spans="1:7" x14ac:dyDescent="0.25">
      <c r="A1174" s="22">
        <v>43403</v>
      </c>
      <c r="B1174" s="17" t="s">
        <v>51</v>
      </c>
      <c r="C1174" s="23" t="s">
        <v>47</v>
      </c>
      <c r="D1174" s="74" t="s">
        <v>18</v>
      </c>
      <c r="E1174" s="74" t="s">
        <v>18</v>
      </c>
      <c r="F1174" s="74" t="s">
        <v>18</v>
      </c>
      <c r="G1174" s="74"/>
    </row>
    <row r="1175" spans="1:7" x14ac:dyDescent="0.25">
      <c r="A1175" s="22">
        <v>43403</v>
      </c>
      <c r="B1175" s="17" t="s">
        <v>51</v>
      </c>
      <c r="C1175" s="23" t="s">
        <v>48</v>
      </c>
      <c r="D1175" s="74" t="s">
        <v>18</v>
      </c>
      <c r="E1175" s="74" t="s">
        <v>18</v>
      </c>
      <c r="F1175" s="74" t="s">
        <v>18</v>
      </c>
      <c r="G1175" s="74"/>
    </row>
    <row r="1176" spans="1:7" x14ac:dyDescent="0.25">
      <c r="A1176" s="22">
        <v>43404</v>
      </c>
      <c r="B1176" s="17" t="s">
        <v>44</v>
      </c>
      <c r="C1176" s="23" t="s">
        <v>45</v>
      </c>
      <c r="D1176" s="74">
        <v>0.3614</v>
      </c>
      <c r="E1176" s="74">
        <v>9.8000000000000004E-2</v>
      </c>
      <c r="F1176" s="74">
        <v>0.2711676812396237</v>
      </c>
      <c r="G1176" s="74">
        <v>0.24457241759385082</v>
      </c>
    </row>
    <row r="1177" spans="1:7" x14ac:dyDescent="0.25">
      <c r="A1177" s="22">
        <v>43404</v>
      </c>
      <c r="B1177" s="17" t="s">
        <v>44</v>
      </c>
      <c r="C1177" s="23" t="s">
        <v>46</v>
      </c>
      <c r="D1177" s="74">
        <v>0.2848</v>
      </c>
      <c r="E1177" s="74">
        <v>5.8999999999999997E-2</v>
      </c>
      <c r="F1177" s="74">
        <v>0.2071629213483146</v>
      </c>
      <c r="G1177" s="74"/>
    </row>
    <row r="1178" spans="1:7" x14ac:dyDescent="0.25">
      <c r="A1178" s="22">
        <v>43404</v>
      </c>
      <c r="B1178" s="17" t="s">
        <v>44</v>
      </c>
      <c r="C1178" s="23" t="s">
        <v>47</v>
      </c>
      <c r="D1178" s="74">
        <v>0.28139999999999998</v>
      </c>
      <c r="E1178" s="74">
        <v>7.6599999999999988E-2</v>
      </c>
      <c r="F1178" s="74">
        <v>0.27221037668798859</v>
      </c>
      <c r="G1178" s="74"/>
    </row>
    <row r="1179" spans="1:7" x14ac:dyDescent="0.25">
      <c r="A1179" s="22">
        <v>43404</v>
      </c>
      <c r="B1179" s="17" t="s">
        <v>44</v>
      </c>
      <c r="C1179" s="23" t="s">
        <v>48</v>
      </c>
      <c r="D1179" s="74">
        <v>0.30560000000000004</v>
      </c>
      <c r="E1179" s="74">
        <v>6.9599999999999995E-2</v>
      </c>
      <c r="F1179" s="74">
        <v>0.2277486910994764</v>
      </c>
      <c r="G1179" s="74"/>
    </row>
    <row r="1180" spans="1:7" x14ac:dyDescent="0.25">
      <c r="A1180" s="22">
        <v>43404</v>
      </c>
      <c r="B1180" s="17" t="s">
        <v>49</v>
      </c>
      <c r="C1180" s="23" t="s">
        <v>45</v>
      </c>
      <c r="D1180" s="74">
        <v>0.15520999999999999</v>
      </c>
      <c r="E1180" s="74">
        <v>5.2870000000000007E-2</v>
      </c>
      <c r="F1180" s="74">
        <v>0.3406352683461118</v>
      </c>
      <c r="G1180" s="74">
        <v>0.31802380065179425</v>
      </c>
    </row>
    <row r="1181" spans="1:7" x14ac:dyDescent="0.25">
      <c r="A1181" s="22">
        <v>43404</v>
      </c>
      <c r="B1181" s="17" t="s">
        <v>49</v>
      </c>
      <c r="C1181" s="23" t="s">
        <v>46</v>
      </c>
      <c r="D1181" s="74">
        <v>0.21963999999999997</v>
      </c>
      <c r="E1181" s="74">
        <v>7.4290000000000009E-2</v>
      </c>
      <c r="F1181" s="74">
        <v>0.33823529411764713</v>
      </c>
      <c r="G1181" s="74"/>
    </row>
    <row r="1182" spans="1:7" x14ac:dyDescent="0.25">
      <c r="A1182" s="22">
        <v>43404</v>
      </c>
      <c r="B1182" s="17" t="s">
        <v>49</v>
      </c>
      <c r="C1182" s="23" t="s">
        <v>47</v>
      </c>
      <c r="D1182" s="74">
        <v>0.19056999999999999</v>
      </c>
      <c r="E1182" s="74">
        <v>6.085999999999999E-2</v>
      </c>
      <c r="F1182" s="74">
        <v>0.31935771632471005</v>
      </c>
      <c r="G1182" s="74"/>
    </row>
    <row r="1183" spans="1:7" x14ac:dyDescent="0.25">
      <c r="A1183" s="22">
        <v>43404</v>
      </c>
      <c r="B1183" s="17" t="s">
        <v>49</v>
      </c>
      <c r="C1183" s="23" t="s">
        <v>48</v>
      </c>
      <c r="D1183" s="74">
        <v>0.17629</v>
      </c>
      <c r="E1183" s="74">
        <v>4.8279999999999997E-2</v>
      </c>
      <c r="F1183" s="74">
        <v>0.27386692381870781</v>
      </c>
      <c r="G1183" s="74"/>
    </row>
    <row r="1184" spans="1:7" x14ac:dyDescent="0.25">
      <c r="A1184" s="22">
        <v>43404</v>
      </c>
      <c r="B1184" s="17" t="s">
        <v>50</v>
      </c>
      <c r="C1184" s="23" t="s">
        <v>45</v>
      </c>
      <c r="D1184" s="74">
        <v>0.12919999999999998</v>
      </c>
      <c r="E1184" s="74">
        <v>4.3700000000000003E-2</v>
      </c>
      <c r="F1184" s="74">
        <v>0.33823529411764713</v>
      </c>
      <c r="G1184" s="74">
        <v>0.34120613111868048</v>
      </c>
    </row>
    <row r="1185" spans="1:7" x14ac:dyDescent="0.25">
      <c r="A1185" s="22">
        <v>43404</v>
      </c>
      <c r="B1185" s="17" t="s">
        <v>50</v>
      </c>
      <c r="C1185" s="23" t="s">
        <v>46</v>
      </c>
      <c r="D1185" s="74">
        <v>0.15369999999999998</v>
      </c>
      <c r="E1185" s="74">
        <v>5.2899999999999996E-2</v>
      </c>
      <c r="F1185" s="74">
        <v>0.34417696811971377</v>
      </c>
      <c r="G1185" s="74"/>
    </row>
    <row r="1186" spans="1:7" x14ac:dyDescent="0.25">
      <c r="A1186" s="22">
        <v>43404</v>
      </c>
      <c r="B1186" s="17" t="s">
        <v>50</v>
      </c>
      <c r="C1186" s="23" t="s">
        <v>47</v>
      </c>
      <c r="D1186" s="74">
        <v>9.0999999999999998E-2</v>
      </c>
      <c r="E1186" s="74">
        <v>3.1800000000000002E-2</v>
      </c>
      <c r="F1186" s="74">
        <v>0.34945054945054949</v>
      </c>
      <c r="G1186" s="74"/>
    </row>
    <row r="1187" spans="1:7" x14ac:dyDescent="0.25">
      <c r="A1187" s="22">
        <v>43404</v>
      </c>
      <c r="B1187" s="17" t="s">
        <v>50</v>
      </c>
      <c r="C1187" s="23" t="s">
        <v>48</v>
      </c>
      <c r="D1187" s="74">
        <v>9.240000000000001E-2</v>
      </c>
      <c r="E1187" s="74">
        <v>2.6100000000000002E-2</v>
      </c>
      <c r="F1187" s="74">
        <v>0.28246753246753248</v>
      </c>
      <c r="G1187" s="74"/>
    </row>
    <row r="1188" spans="1:7" x14ac:dyDescent="0.25">
      <c r="A1188" s="22">
        <v>43404</v>
      </c>
      <c r="B1188" s="17" t="s">
        <v>51</v>
      </c>
      <c r="C1188" s="23" t="s">
        <v>45</v>
      </c>
      <c r="D1188" s="74">
        <v>0.18032000000000001</v>
      </c>
      <c r="E1188" s="74">
        <v>5.8560000000000001E-2</v>
      </c>
      <c r="F1188" s="74">
        <v>0.32475598935226263</v>
      </c>
      <c r="G1188" s="74">
        <v>0.32190596670410332</v>
      </c>
    </row>
    <row r="1189" spans="1:7" x14ac:dyDescent="0.25">
      <c r="A1189" s="22">
        <v>43404</v>
      </c>
      <c r="B1189" s="17" t="s">
        <v>51</v>
      </c>
      <c r="C1189" s="23" t="s">
        <v>46</v>
      </c>
      <c r="D1189" s="74">
        <v>0.18304000000000001</v>
      </c>
      <c r="E1189" s="74">
        <v>5.8400000000000007E-2</v>
      </c>
      <c r="F1189" s="74">
        <v>0.31905594405594406</v>
      </c>
      <c r="G1189" s="74"/>
    </row>
    <row r="1190" spans="1:7" x14ac:dyDescent="0.25">
      <c r="A1190" s="22">
        <v>43404</v>
      </c>
      <c r="B1190" s="17" t="s">
        <v>51</v>
      </c>
      <c r="C1190" s="23" t="s">
        <v>47</v>
      </c>
      <c r="D1190" s="74">
        <v>0.19872000000000004</v>
      </c>
      <c r="E1190" s="74">
        <v>5.2479999999999999E-2</v>
      </c>
      <c r="F1190" s="74">
        <v>0.26409017713365535</v>
      </c>
      <c r="G1190" s="74"/>
    </row>
    <row r="1191" spans="1:7" x14ac:dyDescent="0.25">
      <c r="A1191" s="22">
        <v>43404</v>
      </c>
      <c r="B1191" s="17" t="s">
        <v>51</v>
      </c>
      <c r="C1191" s="23" t="s">
        <v>48</v>
      </c>
      <c r="D1191" s="74">
        <v>0.15936</v>
      </c>
      <c r="E1191" s="74">
        <v>4.6560000000000004E-2</v>
      </c>
      <c r="F1191" s="74">
        <v>0.29216867469879521</v>
      </c>
      <c r="G1191" s="74"/>
    </row>
    <row r="1192" spans="1:7" x14ac:dyDescent="0.25">
      <c r="A1192" s="22">
        <v>43502</v>
      </c>
      <c r="B1192" s="17" t="s">
        <v>44</v>
      </c>
      <c r="C1192" s="17" t="s">
        <v>45</v>
      </c>
      <c r="D1192" s="74">
        <v>0.18109999999999998</v>
      </c>
      <c r="E1192" s="74">
        <v>7.4900000000000008E-2</v>
      </c>
      <c r="F1192" s="74">
        <v>0.41358365543898407</v>
      </c>
      <c r="G1192" s="74">
        <v>0.40097678901613154</v>
      </c>
    </row>
    <row r="1193" spans="1:7" x14ac:dyDescent="0.25">
      <c r="A1193" s="22">
        <v>43502</v>
      </c>
      <c r="B1193" s="17" t="s">
        <v>44</v>
      </c>
      <c r="C1193" s="17" t="s">
        <v>46</v>
      </c>
      <c r="D1193" s="74">
        <v>0.10909999999999999</v>
      </c>
      <c r="E1193" s="74">
        <v>5.0599999999999999E-2</v>
      </c>
      <c r="F1193" s="74">
        <v>0.46379468377635202</v>
      </c>
      <c r="G1193" s="74"/>
    </row>
    <row r="1194" spans="1:7" x14ac:dyDescent="0.25">
      <c r="A1194" s="22">
        <v>43502</v>
      </c>
      <c r="B1194" s="17" t="s">
        <v>44</v>
      </c>
      <c r="C1194" s="17" t="s">
        <v>47</v>
      </c>
      <c r="D1194" s="74">
        <v>0.10840000000000001</v>
      </c>
      <c r="E1194" s="74">
        <v>4.4400000000000002E-2</v>
      </c>
      <c r="F1194" s="74">
        <v>0.40959409594095941</v>
      </c>
      <c r="G1194" s="74"/>
    </row>
    <row r="1195" spans="1:7" x14ac:dyDescent="0.25">
      <c r="A1195" s="22">
        <v>43502</v>
      </c>
      <c r="B1195" s="17" t="s">
        <v>44</v>
      </c>
      <c r="C1195" s="17" t="s">
        <v>48</v>
      </c>
      <c r="D1195" s="74">
        <v>0.1057</v>
      </c>
      <c r="E1195" s="74">
        <v>3.3500000000000002E-2</v>
      </c>
      <c r="F1195" s="74">
        <v>0.31693472090823083</v>
      </c>
      <c r="G1195" s="74"/>
    </row>
    <row r="1196" spans="1:7" x14ac:dyDescent="0.25">
      <c r="A1196" s="22">
        <v>43502</v>
      </c>
      <c r="B1196" s="17" t="s">
        <v>49</v>
      </c>
      <c r="C1196" s="17" t="s">
        <v>45</v>
      </c>
      <c r="D1196" s="74">
        <v>0.19481469634752541</v>
      </c>
      <c r="E1196" s="74">
        <v>8.3822347093148911E-2</v>
      </c>
      <c r="F1196" s="74">
        <v>0.43026706231454004</v>
      </c>
      <c r="G1196" s="74">
        <v>0.42135151090464529</v>
      </c>
    </row>
    <row r="1197" spans="1:7" x14ac:dyDescent="0.25">
      <c r="A1197" s="22">
        <v>43502</v>
      </c>
      <c r="B1197" s="17" t="s">
        <v>49</v>
      </c>
      <c r="C1197" s="17" t="s">
        <v>46</v>
      </c>
      <c r="D1197" s="74">
        <v>0.1631645342554571</v>
      </c>
      <c r="E1197" s="74">
        <v>7.0959952452993302E-2</v>
      </c>
      <c r="F1197" s="74">
        <v>0.43489813994685561</v>
      </c>
      <c r="G1197" s="74"/>
    </row>
    <row r="1198" spans="1:7" x14ac:dyDescent="0.25">
      <c r="A1198" s="22">
        <v>43502</v>
      </c>
      <c r="B1198" s="17" t="s">
        <v>49</v>
      </c>
      <c r="C1198" s="17" t="s">
        <v>47</v>
      </c>
      <c r="D1198" s="74">
        <v>0.14755623514156038</v>
      </c>
      <c r="E1198" s="74">
        <v>5.8820164253295872E-2</v>
      </c>
      <c r="F1198" s="74">
        <v>0.3986287952987268</v>
      </c>
      <c r="G1198" s="74"/>
    </row>
    <row r="1199" spans="1:7" x14ac:dyDescent="0.25">
      <c r="A1199" s="22">
        <v>43502</v>
      </c>
      <c r="B1199" s="17" t="s">
        <v>49</v>
      </c>
      <c r="C1199" s="17" t="s">
        <v>48</v>
      </c>
      <c r="D1199" s="74">
        <v>0.1631645342554571</v>
      </c>
      <c r="E1199" s="74">
        <v>6.8792133131618749E-2</v>
      </c>
      <c r="F1199" s="74">
        <v>0.42161204605845876</v>
      </c>
      <c r="G1199" s="74"/>
    </row>
    <row r="1200" spans="1:7" x14ac:dyDescent="0.25">
      <c r="A1200" s="22">
        <v>43502</v>
      </c>
      <c r="B1200" s="17" t="s">
        <v>50</v>
      </c>
      <c r="C1200" s="17" t="s">
        <v>45</v>
      </c>
      <c r="D1200" s="74">
        <v>6.8500000000000005E-2</v>
      </c>
      <c r="E1200" s="74">
        <v>3.4099999999999998E-2</v>
      </c>
      <c r="F1200" s="74">
        <v>0.49781021897810213</v>
      </c>
      <c r="G1200" s="74">
        <v>0.49781021897810213</v>
      </c>
    </row>
    <row r="1201" spans="1:7" x14ac:dyDescent="0.25">
      <c r="A1201" s="22">
        <v>43502</v>
      </c>
      <c r="B1201" s="17" t="s">
        <v>50</v>
      </c>
      <c r="C1201" s="17" t="s">
        <v>46</v>
      </c>
      <c r="D1201" s="74" t="s">
        <v>18</v>
      </c>
      <c r="E1201" s="74" t="s">
        <v>18</v>
      </c>
      <c r="F1201" s="74" t="s">
        <v>18</v>
      </c>
      <c r="G1201" s="74"/>
    </row>
    <row r="1202" spans="1:7" x14ac:dyDescent="0.25">
      <c r="A1202" s="22">
        <v>43502</v>
      </c>
      <c r="B1202" s="17" t="s">
        <v>50</v>
      </c>
      <c r="C1202" s="17" t="s">
        <v>47</v>
      </c>
      <c r="D1202" s="74" t="s">
        <v>18</v>
      </c>
      <c r="E1202" s="74" t="s">
        <v>18</v>
      </c>
      <c r="F1202" s="74" t="s">
        <v>18</v>
      </c>
      <c r="G1202" s="74"/>
    </row>
    <row r="1203" spans="1:7" x14ac:dyDescent="0.25">
      <c r="A1203" s="22">
        <v>43502</v>
      </c>
      <c r="B1203" s="17" t="s">
        <v>50</v>
      </c>
      <c r="C1203" s="17" t="s">
        <v>48</v>
      </c>
      <c r="D1203" s="74" t="s">
        <v>18</v>
      </c>
      <c r="E1203" s="74" t="s">
        <v>18</v>
      </c>
      <c r="F1203" s="74" t="s">
        <v>18</v>
      </c>
      <c r="G1203" s="74"/>
    </row>
    <row r="1204" spans="1:7" x14ac:dyDescent="0.25">
      <c r="A1204" s="22">
        <v>43502</v>
      </c>
      <c r="B1204" s="17" t="s">
        <v>51</v>
      </c>
      <c r="C1204" s="17" t="s">
        <v>45</v>
      </c>
      <c r="D1204" s="74">
        <v>7.4799999999999991E-2</v>
      </c>
      <c r="E1204" s="74">
        <v>3.04E-2</v>
      </c>
      <c r="F1204" s="74">
        <v>0.40641711229946531</v>
      </c>
      <c r="G1204" s="74">
        <v>0.37598962123849</v>
      </c>
    </row>
    <row r="1205" spans="1:7" x14ac:dyDescent="0.25">
      <c r="A1205" s="22">
        <v>43502</v>
      </c>
      <c r="B1205" s="17" t="s">
        <v>51</v>
      </c>
      <c r="C1205" s="17" t="s">
        <v>46</v>
      </c>
      <c r="D1205" s="74">
        <v>8.4500000000000006E-2</v>
      </c>
      <c r="E1205" s="74">
        <v>2.92E-2</v>
      </c>
      <c r="F1205" s="74">
        <v>0.34556213017751475</v>
      </c>
      <c r="G1205" s="74"/>
    </row>
    <row r="1206" spans="1:7" x14ac:dyDescent="0.25">
      <c r="A1206" s="22">
        <v>43502</v>
      </c>
      <c r="B1206" s="17" t="s">
        <v>51</v>
      </c>
      <c r="C1206" s="17" t="s">
        <v>47</v>
      </c>
      <c r="D1206" s="74" t="s">
        <v>18</v>
      </c>
      <c r="E1206" s="74" t="s">
        <v>18</v>
      </c>
      <c r="F1206" s="74" t="s">
        <v>18</v>
      </c>
      <c r="G1206" s="74"/>
    </row>
    <row r="1207" spans="1:7" x14ac:dyDescent="0.25">
      <c r="A1207" s="22">
        <v>43502</v>
      </c>
      <c r="B1207" s="17" t="s">
        <v>51</v>
      </c>
      <c r="C1207" s="17" t="s">
        <v>48</v>
      </c>
      <c r="D1207" s="74" t="s">
        <v>18</v>
      </c>
      <c r="E1207" s="74" t="s">
        <v>18</v>
      </c>
      <c r="F1207" s="74" t="s">
        <v>18</v>
      </c>
      <c r="G1207" s="74"/>
    </row>
    <row r="1208" spans="1:7" x14ac:dyDescent="0.25">
      <c r="A1208" s="22">
        <v>43503</v>
      </c>
      <c r="B1208" s="17" t="s">
        <v>44</v>
      </c>
      <c r="C1208" s="17" t="s">
        <v>45</v>
      </c>
      <c r="D1208" s="74">
        <v>0.1125</v>
      </c>
      <c r="E1208" s="74">
        <v>4.6200000000000005E-2</v>
      </c>
      <c r="F1208" s="74">
        <v>0.41066666666666668</v>
      </c>
      <c r="G1208" s="74">
        <v>0.44908620451570791</v>
      </c>
    </row>
    <row r="1209" spans="1:7" x14ac:dyDescent="0.25">
      <c r="A1209" s="22">
        <v>43503</v>
      </c>
      <c r="B1209" s="17" t="s">
        <v>44</v>
      </c>
      <c r="C1209" s="17" t="s">
        <v>46</v>
      </c>
      <c r="D1209" s="74">
        <v>0.11259999999999999</v>
      </c>
      <c r="E1209" s="74">
        <v>5.1700000000000003E-2</v>
      </c>
      <c r="F1209" s="74">
        <v>0.45914742451154533</v>
      </c>
      <c r="G1209" s="74"/>
    </row>
    <row r="1210" spans="1:7" x14ac:dyDescent="0.25">
      <c r="A1210" s="22">
        <v>43503</v>
      </c>
      <c r="B1210" s="17" t="s">
        <v>44</v>
      </c>
      <c r="C1210" s="17" t="s">
        <v>47</v>
      </c>
      <c r="D1210" s="74">
        <v>0.10349999999999999</v>
      </c>
      <c r="E1210" s="74">
        <v>5.1299999999999998E-2</v>
      </c>
      <c r="F1210" s="74">
        <v>0.4956521739130435</v>
      </c>
      <c r="G1210" s="74"/>
    </row>
    <row r="1211" spans="1:7" x14ac:dyDescent="0.25">
      <c r="A1211" s="22">
        <v>43503</v>
      </c>
      <c r="B1211" s="17" t="s">
        <v>44</v>
      </c>
      <c r="C1211" s="17" t="s">
        <v>48</v>
      </c>
      <c r="D1211" s="74">
        <v>0.15480000000000002</v>
      </c>
      <c r="E1211" s="74">
        <v>6.6700000000000009E-2</v>
      </c>
      <c r="F1211" s="74">
        <v>0.43087855297157623</v>
      </c>
      <c r="G1211" s="74"/>
    </row>
    <row r="1212" spans="1:7" x14ac:dyDescent="0.25">
      <c r="A1212" s="22">
        <v>43503</v>
      </c>
      <c r="B1212" s="17" t="s">
        <v>49</v>
      </c>
      <c r="C1212" s="17" t="s">
        <v>45</v>
      </c>
      <c r="D1212" s="74">
        <v>0.22854000000000002</v>
      </c>
      <c r="E1212" s="74">
        <v>0.1014</v>
      </c>
      <c r="F1212" s="74">
        <v>0.44368600682593856</v>
      </c>
      <c r="G1212" s="74">
        <v>0.47120728273425594</v>
      </c>
    </row>
    <row r="1213" spans="1:7" x14ac:dyDescent="0.25">
      <c r="A1213" s="22">
        <v>43503</v>
      </c>
      <c r="B1213" s="17" t="s">
        <v>49</v>
      </c>
      <c r="C1213" s="17" t="s">
        <v>46</v>
      </c>
      <c r="D1213" s="74">
        <v>8.8099999999999998E-2</v>
      </c>
      <c r="E1213" s="74">
        <v>4.3799999999999999E-2</v>
      </c>
      <c r="F1213" s="74">
        <v>0.49716231555051077</v>
      </c>
      <c r="G1213" s="74"/>
    </row>
    <row r="1214" spans="1:7" x14ac:dyDescent="0.25">
      <c r="A1214" s="22">
        <v>43503</v>
      </c>
      <c r="B1214" s="17" t="s">
        <v>49</v>
      </c>
      <c r="C1214" s="17" t="s">
        <v>47</v>
      </c>
      <c r="D1214" s="74">
        <v>0.1183</v>
      </c>
      <c r="E1214" s="74">
        <v>5.7000000000000002E-2</v>
      </c>
      <c r="F1214" s="74">
        <v>0.48182586644125108</v>
      </c>
      <c r="G1214" s="74"/>
    </row>
    <row r="1215" spans="1:7" x14ac:dyDescent="0.25">
      <c r="A1215" s="22">
        <v>43503</v>
      </c>
      <c r="B1215" s="17" t="s">
        <v>49</v>
      </c>
      <c r="C1215" s="17" t="s">
        <v>48</v>
      </c>
      <c r="D1215" s="74">
        <v>0.1123</v>
      </c>
      <c r="E1215" s="74">
        <v>5.1900000000000002E-2</v>
      </c>
      <c r="F1215" s="74">
        <v>0.46215494211932329</v>
      </c>
      <c r="G1215" s="74"/>
    </row>
    <row r="1216" spans="1:7" x14ac:dyDescent="0.25">
      <c r="A1216" s="22">
        <v>43503</v>
      </c>
      <c r="B1216" s="17" t="s">
        <v>50</v>
      </c>
      <c r="C1216" s="17" t="s">
        <v>45</v>
      </c>
      <c r="D1216" s="74">
        <v>6.4299999999999996E-2</v>
      </c>
      <c r="E1216" s="74">
        <v>3.3100000000000004E-2</v>
      </c>
      <c r="F1216" s="74">
        <v>0.51477449455676527</v>
      </c>
      <c r="G1216" s="74">
        <v>0.51477449455676527</v>
      </c>
    </row>
    <row r="1217" spans="1:7" x14ac:dyDescent="0.25">
      <c r="A1217" s="22">
        <v>43503</v>
      </c>
      <c r="B1217" s="17" t="s">
        <v>50</v>
      </c>
      <c r="C1217" s="17" t="s">
        <v>46</v>
      </c>
      <c r="D1217" s="74" t="s">
        <v>18</v>
      </c>
      <c r="E1217" s="74" t="s">
        <v>18</v>
      </c>
      <c r="F1217" s="74" t="s">
        <v>18</v>
      </c>
      <c r="G1217" s="74"/>
    </row>
    <row r="1218" spans="1:7" x14ac:dyDescent="0.25">
      <c r="A1218" s="22">
        <v>43503</v>
      </c>
      <c r="B1218" s="17" t="s">
        <v>50</v>
      </c>
      <c r="C1218" s="17" t="s">
        <v>47</v>
      </c>
      <c r="D1218" s="74" t="s">
        <v>18</v>
      </c>
      <c r="E1218" s="74" t="s">
        <v>18</v>
      </c>
      <c r="F1218" s="74" t="s">
        <v>18</v>
      </c>
      <c r="G1218" s="74"/>
    </row>
    <row r="1219" spans="1:7" x14ac:dyDescent="0.25">
      <c r="A1219" s="22">
        <v>43503</v>
      </c>
      <c r="B1219" s="17" t="s">
        <v>50</v>
      </c>
      <c r="C1219" s="17" t="s">
        <v>48</v>
      </c>
      <c r="D1219" s="74" t="s">
        <v>18</v>
      </c>
      <c r="E1219" s="74" t="s">
        <v>18</v>
      </c>
      <c r="F1219" s="74" t="s">
        <v>18</v>
      </c>
      <c r="G1219" s="74"/>
    </row>
    <row r="1220" spans="1:7" x14ac:dyDescent="0.25">
      <c r="A1220" s="22">
        <v>43503</v>
      </c>
      <c r="B1220" s="17" t="s">
        <v>51</v>
      </c>
      <c r="C1220" s="17" t="s">
        <v>45</v>
      </c>
      <c r="D1220" s="74">
        <v>0.1108</v>
      </c>
      <c r="E1220" s="74">
        <v>5.7700000000000001E-2</v>
      </c>
      <c r="F1220" s="74">
        <v>0.52075812274368238</v>
      </c>
      <c r="G1220" s="74">
        <v>0.50924242474231207</v>
      </c>
    </row>
    <row r="1221" spans="1:7" x14ac:dyDescent="0.25">
      <c r="A1221" s="22">
        <v>43503</v>
      </c>
      <c r="B1221" s="17" t="s">
        <v>51</v>
      </c>
      <c r="C1221" s="17" t="s">
        <v>46</v>
      </c>
      <c r="D1221" s="74">
        <v>0.22369999999999995</v>
      </c>
      <c r="E1221" s="74">
        <v>0.14065418060200668</v>
      </c>
      <c r="F1221" s="74">
        <v>0.6287625418060202</v>
      </c>
      <c r="G1221" s="74"/>
    </row>
    <row r="1222" spans="1:7" x14ac:dyDescent="0.25">
      <c r="A1222" s="22">
        <v>43503</v>
      </c>
      <c r="B1222" s="17" t="s">
        <v>51</v>
      </c>
      <c r="C1222" s="17" t="s">
        <v>47</v>
      </c>
      <c r="D1222" s="74">
        <v>0.10909999999999999</v>
      </c>
      <c r="E1222" s="74">
        <v>5.9200000000000003E-2</v>
      </c>
      <c r="F1222" s="74">
        <v>0.54262144821264902</v>
      </c>
      <c r="G1222" s="74"/>
    </row>
    <row r="1223" spans="1:7" x14ac:dyDescent="0.25">
      <c r="A1223" s="22">
        <v>43503</v>
      </c>
      <c r="B1223" s="17" t="s">
        <v>51</v>
      </c>
      <c r="C1223" s="17" t="s">
        <v>48</v>
      </c>
      <c r="D1223" s="74">
        <v>0.1421</v>
      </c>
      <c r="E1223" s="74">
        <v>4.9000000000000002E-2</v>
      </c>
      <c r="F1223" s="74">
        <v>0.34482758620689657</v>
      </c>
      <c r="G1223" s="74"/>
    </row>
    <row r="1224" spans="1:7" x14ac:dyDescent="0.25">
      <c r="A1224" s="22">
        <v>43599</v>
      </c>
      <c r="B1224" s="17" t="s">
        <v>44</v>
      </c>
      <c r="C1224" s="17" t="s">
        <v>45</v>
      </c>
      <c r="D1224" s="74">
        <v>0.23760000000000003</v>
      </c>
      <c r="E1224" s="74">
        <v>6.4349999999999991E-2</v>
      </c>
      <c r="F1224" s="74">
        <v>0.27083333333333326</v>
      </c>
      <c r="G1224" s="74">
        <v>0.27958706084465368</v>
      </c>
    </row>
    <row r="1225" spans="1:7" x14ac:dyDescent="0.25">
      <c r="A1225" s="22">
        <v>43599</v>
      </c>
      <c r="B1225" s="17" t="s">
        <v>44</v>
      </c>
      <c r="C1225" s="17" t="s">
        <v>46</v>
      </c>
      <c r="D1225" s="74">
        <v>0.25155</v>
      </c>
      <c r="E1225" s="74">
        <v>8.1000000000000003E-2</v>
      </c>
      <c r="F1225" s="74">
        <v>0.32200357781753131</v>
      </c>
      <c r="G1225" s="74"/>
    </row>
    <row r="1226" spans="1:7" x14ac:dyDescent="0.25">
      <c r="A1226" s="22">
        <v>43599</v>
      </c>
      <c r="B1226" s="17" t="s">
        <v>44</v>
      </c>
      <c r="C1226" s="17" t="s">
        <v>47</v>
      </c>
      <c r="D1226" s="74">
        <v>0.24299999999999999</v>
      </c>
      <c r="E1226" s="74">
        <v>8.055000000000001E-2</v>
      </c>
      <c r="F1226" s="74">
        <v>0.33148148148148154</v>
      </c>
      <c r="G1226" s="74"/>
    </row>
    <row r="1227" spans="1:7" x14ac:dyDescent="0.25">
      <c r="A1227" s="22">
        <v>43599</v>
      </c>
      <c r="B1227" s="17" t="s">
        <v>44</v>
      </c>
      <c r="C1227" s="17" t="s">
        <v>48</v>
      </c>
      <c r="D1227" s="74">
        <v>0.28139999999999998</v>
      </c>
      <c r="E1227" s="74">
        <v>5.4599999999999996E-2</v>
      </c>
      <c r="F1227" s="74">
        <v>0.19402985074626866</v>
      </c>
      <c r="G1227" s="74"/>
    </row>
    <row r="1228" spans="1:7" x14ac:dyDescent="0.25">
      <c r="A1228" s="22">
        <v>43599</v>
      </c>
      <c r="B1228" s="17" t="s">
        <v>49</v>
      </c>
      <c r="C1228" s="17" t="s">
        <v>45</v>
      </c>
      <c r="D1228" s="74">
        <v>7.6999999999999999E-2</v>
      </c>
      <c r="E1228" s="74">
        <v>2.23E-2</v>
      </c>
      <c r="F1228" s="74">
        <v>0.2896103896103896</v>
      </c>
      <c r="G1228" s="74">
        <v>0.31642403970120975</v>
      </c>
    </row>
    <row r="1229" spans="1:7" x14ac:dyDescent="0.25">
      <c r="A1229" s="22">
        <v>43599</v>
      </c>
      <c r="B1229" s="17" t="s">
        <v>49</v>
      </c>
      <c r="C1229" s="17" t="s">
        <v>46</v>
      </c>
      <c r="D1229" s="74">
        <v>9.1600000000000001E-2</v>
      </c>
      <c r="E1229" s="74">
        <v>2.4199999999999999E-2</v>
      </c>
      <c r="F1229" s="74">
        <v>0.26419213973799127</v>
      </c>
      <c r="G1229" s="74"/>
    </row>
    <row r="1230" spans="1:7" x14ac:dyDescent="0.25">
      <c r="A1230" s="22">
        <v>43599</v>
      </c>
      <c r="B1230" s="17" t="s">
        <v>49</v>
      </c>
      <c r="C1230" s="17" t="s">
        <v>47</v>
      </c>
      <c r="D1230" s="74">
        <v>4.6399999999999997E-2</v>
      </c>
      <c r="E1230" s="74">
        <v>1.4E-2</v>
      </c>
      <c r="F1230" s="74">
        <v>0.30172413793103453</v>
      </c>
      <c r="G1230" s="74"/>
    </row>
    <row r="1231" spans="1:7" x14ac:dyDescent="0.25">
      <c r="A1231" s="22">
        <v>43599</v>
      </c>
      <c r="B1231" s="17" t="s">
        <v>49</v>
      </c>
      <c r="C1231" s="17" t="s">
        <v>48</v>
      </c>
      <c r="D1231" s="74">
        <v>5.8999999999999997E-2</v>
      </c>
      <c r="E1231" s="74">
        <v>2.4199999999999999E-2</v>
      </c>
      <c r="F1231" s="74">
        <v>0.41016949152542376</v>
      </c>
      <c r="G1231" s="74"/>
    </row>
    <row r="1232" spans="1:7" x14ac:dyDescent="0.25">
      <c r="A1232" s="22">
        <v>43599</v>
      </c>
      <c r="B1232" s="17" t="s">
        <v>50</v>
      </c>
      <c r="C1232" s="17" t="s">
        <v>45</v>
      </c>
      <c r="D1232" s="74">
        <v>0.1895</v>
      </c>
      <c r="E1232" s="74">
        <v>8.5500000000000007E-2</v>
      </c>
      <c r="F1232" s="74">
        <v>0.45118733509234832</v>
      </c>
      <c r="G1232" s="74">
        <v>0.45118733509234832</v>
      </c>
    </row>
    <row r="1233" spans="1:7" x14ac:dyDescent="0.25">
      <c r="A1233" s="22">
        <v>43599</v>
      </c>
      <c r="B1233" s="17" t="s">
        <v>50</v>
      </c>
      <c r="C1233" s="17" t="s">
        <v>46</v>
      </c>
      <c r="D1233" s="74" t="s">
        <v>18</v>
      </c>
      <c r="E1233" s="74" t="s">
        <v>18</v>
      </c>
      <c r="F1233" s="74" t="s">
        <v>18</v>
      </c>
      <c r="G1233" s="74"/>
    </row>
    <row r="1234" spans="1:7" x14ac:dyDescent="0.25">
      <c r="A1234" s="22">
        <v>43599</v>
      </c>
      <c r="B1234" s="17" t="s">
        <v>50</v>
      </c>
      <c r="C1234" s="17" t="s">
        <v>47</v>
      </c>
      <c r="D1234" s="74" t="s">
        <v>18</v>
      </c>
      <c r="E1234" s="74" t="s">
        <v>18</v>
      </c>
      <c r="F1234" s="74" t="s">
        <v>18</v>
      </c>
      <c r="G1234" s="74"/>
    </row>
    <row r="1235" spans="1:7" x14ac:dyDescent="0.25">
      <c r="A1235" s="22">
        <v>43599</v>
      </c>
      <c r="B1235" s="17" t="s">
        <v>50</v>
      </c>
      <c r="C1235" s="17" t="s">
        <v>48</v>
      </c>
      <c r="D1235" s="74" t="s">
        <v>18</v>
      </c>
      <c r="E1235" s="74" t="s">
        <v>18</v>
      </c>
      <c r="F1235" s="74" t="s">
        <v>18</v>
      </c>
      <c r="G1235" s="74"/>
    </row>
    <row r="1236" spans="1:7" x14ac:dyDescent="0.25">
      <c r="A1236" s="22">
        <v>43599</v>
      </c>
      <c r="B1236" s="17" t="s">
        <v>51</v>
      </c>
      <c r="C1236" s="17" t="s">
        <v>45</v>
      </c>
      <c r="D1236" s="74">
        <v>5.0599999999999999E-2</v>
      </c>
      <c r="E1236" s="74">
        <v>1.6300000000000002E-2</v>
      </c>
      <c r="F1236" s="74">
        <v>0.32213438735177868</v>
      </c>
      <c r="G1236" s="74">
        <v>0.32213438735177868</v>
      </c>
    </row>
    <row r="1237" spans="1:7" x14ac:dyDescent="0.25">
      <c r="A1237" s="22">
        <v>43599</v>
      </c>
      <c r="B1237" s="17" t="s">
        <v>51</v>
      </c>
      <c r="C1237" s="17" t="s">
        <v>46</v>
      </c>
      <c r="D1237" s="74" t="s">
        <v>18</v>
      </c>
      <c r="E1237" s="74" t="s">
        <v>18</v>
      </c>
      <c r="F1237" s="74" t="s">
        <v>18</v>
      </c>
      <c r="G1237" s="74"/>
    </row>
    <row r="1238" spans="1:7" x14ac:dyDescent="0.25">
      <c r="A1238" s="22">
        <v>43599</v>
      </c>
      <c r="B1238" s="17" t="s">
        <v>51</v>
      </c>
      <c r="C1238" s="17" t="s">
        <v>47</v>
      </c>
      <c r="D1238" s="74" t="s">
        <v>18</v>
      </c>
      <c r="E1238" s="74" t="s">
        <v>18</v>
      </c>
      <c r="F1238" s="74" t="s">
        <v>18</v>
      </c>
      <c r="G1238" s="74"/>
    </row>
    <row r="1239" spans="1:7" x14ac:dyDescent="0.25">
      <c r="A1239" s="22">
        <v>43599</v>
      </c>
      <c r="B1239" s="17" t="s">
        <v>51</v>
      </c>
      <c r="C1239" s="17" t="s">
        <v>48</v>
      </c>
      <c r="D1239" s="74" t="s">
        <v>18</v>
      </c>
      <c r="E1239" s="74" t="s">
        <v>18</v>
      </c>
      <c r="F1239" s="74" t="s">
        <v>18</v>
      </c>
      <c r="G1239" s="74"/>
    </row>
    <row r="1240" spans="1:7" x14ac:dyDescent="0.25">
      <c r="A1240" s="22">
        <v>43600</v>
      </c>
      <c r="B1240" s="17" t="s">
        <v>44</v>
      </c>
      <c r="C1240" s="17" t="s">
        <v>45</v>
      </c>
      <c r="D1240" s="74">
        <v>0.24258999999999997</v>
      </c>
      <c r="E1240" s="74">
        <v>7.4459999999999998E-2</v>
      </c>
      <c r="F1240" s="74">
        <v>0.30693763139453401</v>
      </c>
      <c r="G1240" s="74">
        <v>0.32515459382296885</v>
      </c>
    </row>
    <row r="1241" spans="1:7" x14ac:dyDescent="0.25">
      <c r="A1241" s="22">
        <v>43600</v>
      </c>
      <c r="B1241" s="17" t="s">
        <v>44</v>
      </c>
      <c r="C1241" s="17" t="s">
        <v>46</v>
      </c>
      <c r="D1241" s="74">
        <v>0.24683999999999998</v>
      </c>
      <c r="E1241" s="74">
        <v>8.1769999999999995E-2</v>
      </c>
      <c r="F1241" s="74">
        <v>0.33126721763085398</v>
      </c>
      <c r="G1241" s="74"/>
    </row>
    <row r="1242" spans="1:7" x14ac:dyDescent="0.25">
      <c r="A1242" s="22">
        <v>43600</v>
      </c>
      <c r="B1242" s="17" t="s">
        <v>44</v>
      </c>
      <c r="C1242" s="17" t="s">
        <v>47</v>
      </c>
      <c r="D1242" s="74">
        <v>0.25856999999999997</v>
      </c>
      <c r="E1242" s="74">
        <v>8.9079999999999993E-2</v>
      </c>
      <c r="F1242" s="74">
        <v>0.34451019066403682</v>
      </c>
      <c r="G1242" s="74"/>
    </row>
    <row r="1243" spans="1:7" x14ac:dyDescent="0.25">
      <c r="A1243" s="22">
        <v>43600</v>
      </c>
      <c r="B1243" s="17" t="s">
        <v>44</v>
      </c>
      <c r="C1243" s="17" t="s">
        <v>48</v>
      </c>
      <c r="D1243" s="74">
        <v>0.24972999999999998</v>
      </c>
      <c r="E1243" s="74">
        <v>7.9390000000000002E-2</v>
      </c>
      <c r="F1243" s="74">
        <v>0.31790333560245065</v>
      </c>
      <c r="G1243" s="74"/>
    </row>
    <row r="1244" spans="1:7" x14ac:dyDescent="0.25">
      <c r="A1244" s="22">
        <v>43600</v>
      </c>
      <c r="B1244" s="17" t="s">
        <v>49</v>
      </c>
      <c r="C1244" s="17" t="s">
        <v>45</v>
      </c>
      <c r="D1244" s="74">
        <v>0.16911999999999999</v>
      </c>
      <c r="E1244" s="74">
        <v>6.0479999999999999E-2</v>
      </c>
      <c r="F1244" s="74">
        <v>0.35761589403973509</v>
      </c>
      <c r="G1244" s="74">
        <v>0.42503062255122959</v>
      </c>
    </row>
    <row r="1245" spans="1:7" x14ac:dyDescent="0.25">
      <c r="A1245" s="22">
        <v>43600</v>
      </c>
      <c r="B1245" s="17" t="s">
        <v>49</v>
      </c>
      <c r="C1245" s="17" t="s">
        <v>46</v>
      </c>
      <c r="D1245" s="74">
        <v>0.17664000000000002</v>
      </c>
      <c r="E1245" s="74">
        <v>6.4640000000000003E-2</v>
      </c>
      <c r="F1245" s="74">
        <v>0.36594202898550721</v>
      </c>
      <c r="G1245" s="74"/>
    </row>
    <row r="1246" spans="1:7" x14ac:dyDescent="0.25">
      <c r="A1246" s="22">
        <v>43600</v>
      </c>
      <c r="B1246" s="17" t="s">
        <v>49</v>
      </c>
      <c r="C1246" s="17" t="s">
        <v>47</v>
      </c>
      <c r="D1246" s="74">
        <v>0.18112</v>
      </c>
      <c r="E1246" s="74">
        <v>9.3439999999999995E-2</v>
      </c>
      <c r="F1246" s="74">
        <v>0.51590106007067138</v>
      </c>
      <c r="G1246" s="74"/>
    </row>
    <row r="1247" spans="1:7" x14ac:dyDescent="0.25">
      <c r="A1247" s="22">
        <v>43600</v>
      </c>
      <c r="B1247" s="17" t="s">
        <v>49</v>
      </c>
      <c r="C1247" s="17" t="s">
        <v>48</v>
      </c>
      <c r="D1247" s="74">
        <v>0.16880000000000001</v>
      </c>
      <c r="E1247" s="74">
        <v>7.776000000000001E-2</v>
      </c>
      <c r="F1247" s="74">
        <v>0.46066350710900478</v>
      </c>
      <c r="G1247" s="74"/>
    </row>
    <row r="1248" spans="1:7" x14ac:dyDescent="0.25">
      <c r="A1248" s="22">
        <v>43600</v>
      </c>
      <c r="B1248" s="17" t="s">
        <v>50</v>
      </c>
      <c r="C1248" s="17" t="s">
        <v>45</v>
      </c>
      <c r="D1248" s="74">
        <v>8.4699999999999998E-2</v>
      </c>
      <c r="E1248" s="74">
        <v>3.7600000000000001E-2</v>
      </c>
      <c r="F1248" s="74">
        <v>0.44391971664698943</v>
      </c>
      <c r="G1248" s="74">
        <v>0.40467590139449011</v>
      </c>
    </row>
    <row r="1249" spans="1:7" x14ac:dyDescent="0.25">
      <c r="A1249" s="22">
        <v>43600</v>
      </c>
      <c r="B1249" s="17" t="s">
        <v>50</v>
      </c>
      <c r="C1249" s="17" t="s">
        <v>46</v>
      </c>
      <c r="D1249" s="74">
        <v>8.4599999999999995E-2</v>
      </c>
      <c r="E1249" s="74">
        <v>3.15E-2</v>
      </c>
      <c r="F1249" s="74">
        <v>0.37234042553191493</v>
      </c>
      <c r="G1249" s="74"/>
    </row>
    <row r="1250" spans="1:7" x14ac:dyDescent="0.25">
      <c r="A1250" s="22">
        <v>43600</v>
      </c>
      <c r="B1250" s="17" t="s">
        <v>50</v>
      </c>
      <c r="C1250" s="17" t="s">
        <v>47</v>
      </c>
      <c r="D1250" s="74">
        <v>9.4400000000000012E-2</v>
      </c>
      <c r="E1250" s="74">
        <v>4.1100000000000005E-2</v>
      </c>
      <c r="F1250" s="74">
        <v>0.4353813559322034</v>
      </c>
      <c r="G1250" s="74"/>
    </row>
    <row r="1251" spans="1:7" x14ac:dyDescent="0.25">
      <c r="A1251" s="22">
        <v>43600</v>
      </c>
      <c r="B1251" s="17" t="s">
        <v>50</v>
      </c>
      <c r="C1251" s="17" t="s">
        <v>48</v>
      </c>
      <c r="D1251" s="74">
        <v>0.14330000000000001</v>
      </c>
      <c r="E1251" s="74">
        <v>5.2600000000000001E-2</v>
      </c>
      <c r="F1251" s="74">
        <v>0.36706210746685275</v>
      </c>
      <c r="G1251" s="74"/>
    </row>
    <row r="1252" spans="1:7" x14ac:dyDescent="0.25">
      <c r="A1252" s="22">
        <v>43600</v>
      </c>
      <c r="B1252" s="17" t="s">
        <v>51</v>
      </c>
      <c r="C1252" s="17" t="s">
        <v>45</v>
      </c>
      <c r="D1252" s="74">
        <v>4.87E-2</v>
      </c>
      <c r="E1252" s="74">
        <v>2.18E-2</v>
      </c>
      <c r="F1252" s="74">
        <v>0.44763860369609854</v>
      </c>
      <c r="G1252" s="74">
        <v>0.51215249369406246</v>
      </c>
    </row>
    <row r="1253" spans="1:7" x14ac:dyDescent="0.25">
      <c r="A1253" s="22">
        <v>43600</v>
      </c>
      <c r="B1253" s="17" t="s">
        <v>51</v>
      </c>
      <c r="C1253" s="17" t="s">
        <v>46</v>
      </c>
      <c r="D1253" s="74">
        <v>7.0499999999999993E-2</v>
      </c>
      <c r="E1253" s="74">
        <v>3.8399999999999997E-2</v>
      </c>
      <c r="F1253" s="74">
        <v>0.5446808510638298</v>
      </c>
      <c r="G1253" s="74"/>
    </row>
    <row r="1254" spans="1:7" x14ac:dyDescent="0.25">
      <c r="A1254" s="22">
        <v>43600</v>
      </c>
      <c r="B1254" s="17" t="s">
        <v>51</v>
      </c>
      <c r="C1254" s="17" t="s">
        <v>47</v>
      </c>
      <c r="D1254" s="74">
        <v>5.4799999999999995E-2</v>
      </c>
      <c r="E1254" s="74">
        <v>2.8000000000000001E-2</v>
      </c>
      <c r="F1254" s="74">
        <v>0.51094890510948909</v>
      </c>
      <c r="G1254" s="74"/>
    </row>
    <row r="1255" spans="1:7" x14ac:dyDescent="0.25">
      <c r="A1255" s="22">
        <v>43600</v>
      </c>
      <c r="B1255" s="17" t="s">
        <v>51</v>
      </c>
      <c r="C1255" s="17" t="s">
        <v>48</v>
      </c>
      <c r="D1255" s="74">
        <v>8.0500000000000002E-2</v>
      </c>
      <c r="E1255" s="74">
        <v>4.3900000000000002E-2</v>
      </c>
      <c r="F1255" s="74">
        <v>0.54534161490683231</v>
      </c>
      <c r="G1255" s="74"/>
    </row>
    <row r="1256" spans="1:7" x14ac:dyDescent="0.25">
      <c r="A1256" s="22">
        <v>43659</v>
      </c>
      <c r="B1256" s="17" t="s">
        <v>44</v>
      </c>
      <c r="C1256" s="17" t="s">
        <v>45</v>
      </c>
      <c r="D1256" s="74">
        <v>0.16969999999999999</v>
      </c>
      <c r="E1256" s="74">
        <v>6.2E-2</v>
      </c>
      <c r="F1256" s="74">
        <v>0.36535061873895108</v>
      </c>
      <c r="G1256" s="74">
        <v>0.32472847778893149</v>
      </c>
    </row>
    <row r="1257" spans="1:7" x14ac:dyDescent="0.25">
      <c r="A1257" s="22">
        <v>43659</v>
      </c>
      <c r="B1257" s="17" t="s">
        <v>44</v>
      </c>
      <c r="C1257" s="17" t="s">
        <v>46</v>
      </c>
      <c r="D1257" s="74">
        <v>0.17399999999999999</v>
      </c>
      <c r="E1257" s="74">
        <v>5.3100000000000001E-2</v>
      </c>
      <c r="F1257" s="74">
        <v>0.3051724137931035</v>
      </c>
      <c r="G1257" s="74"/>
    </row>
    <row r="1258" spans="1:7" x14ac:dyDescent="0.25">
      <c r="A1258" s="22">
        <v>43659</v>
      </c>
      <c r="B1258" s="17" t="s">
        <v>44</v>
      </c>
      <c r="C1258" s="17" t="s">
        <v>47</v>
      </c>
      <c r="D1258" s="74">
        <v>0.16889999999999999</v>
      </c>
      <c r="E1258" s="74">
        <v>4.8600000000000004E-2</v>
      </c>
      <c r="F1258" s="74">
        <v>0.28774422735346361</v>
      </c>
      <c r="G1258" s="74"/>
    </row>
    <row r="1259" spans="1:7" x14ac:dyDescent="0.25">
      <c r="A1259" s="22">
        <v>43659</v>
      </c>
      <c r="B1259" s="17" t="s">
        <v>44</v>
      </c>
      <c r="C1259" s="17" t="s">
        <v>48</v>
      </c>
      <c r="D1259" s="74">
        <v>0.17319999999999999</v>
      </c>
      <c r="E1259" s="74">
        <v>5.8999999999999997E-2</v>
      </c>
      <c r="F1259" s="74">
        <v>0.34064665127020782</v>
      </c>
      <c r="G1259" s="74"/>
    </row>
    <row r="1260" spans="1:7" x14ac:dyDescent="0.25">
      <c r="A1260" s="22">
        <v>43659</v>
      </c>
      <c r="B1260" s="17" t="s">
        <v>49</v>
      </c>
      <c r="C1260" s="17" t="s">
        <v>45</v>
      </c>
      <c r="D1260" s="74">
        <v>6.3E-3</v>
      </c>
      <c r="E1260" s="74">
        <v>2E-3</v>
      </c>
      <c r="F1260" s="74">
        <v>0.31746031746031744</v>
      </c>
      <c r="G1260" s="74">
        <v>0.31746031746031744</v>
      </c>
    </row>
    <row r="1261" spans="1:7" x14ac:dyDescent="0.25">
      <c r="A1261" s="22">
        <v>43659</v>
      </c>
      <c r="B1261" s="17" t="s">
        <v>49</v>
      </c>
      <c r="C1261" s="17" t="s">
        <v>46</v>
      </c>
      <c r="D1261" s="74" t="s">
        <v>18</v>
      </c>
      <c r="E1261" s="74" t="s">
        <v>18</v>
      </c>
      <c r="F1261" s="74" t="s">
        <v>18</v>
      </c>
      <c r="G1261" s="74"/>
    </row>
    <row r="1262" spans="1:7" x14ac:dyDescent="0.25">
      <c r="A1262" s="22">
        <v>43659</v>
      </c>
      <c r="B1262" s="17" t="s">
        <v>49</v>
      </c>
      <c r="C1262" s="17" t="s">
        <v>47</v>
      </c>
      <c r="D1262" s="74" t="s">
        <v>18</v>
      </c>
      <c r="E1262" s="74" t="s">
        <v>18</v>
      </c>
      <c r="F1262" s="74" t="s">
        <v>18</v>
      </c>
      <c r="G1262" s="74"/>
    </row>
    <row r="1263" spans="1:7" x14ac:dyDescent="0.25">
      <c r="A1263" s="22">
        <v>43659</v>
      </c>
      <c r="B1263" s="17" t="s">
        <v>49</v>
      </c>
      <c r="C1263" s="17" t="s">
        <v>48</v>
      </c>
      <c r="D1263" s="74" t="s">
        <v>18</v>
      </c>
      <c r="E1263" s="74" t="s">
        <v>18</v>
      </c>
      <c r="F1263" s="74" t="s">
        <v>18</v>
      </c>
      <c r="G1263" s="74"/>
    </row>
    <row r="1264" spans="1:7" x14ac:dyDescent="0.25">
      <c r="A1264" s="22">
        <v>43659</v>
      </c>
      <c r="B1264" s="17" t="s">
        <v>50</v>
      </c>
      <c r="C1264" s="17" t="s">
        <v>45</v>
      </c>
      <c r="D1264" s="74">
        <v>0.15840000000000001</v>
      </c>
      <c r="E1264" s="74">
        <v>6.1799999999999994E-2</v>
      </c>
      <c r="F1264" s="74">
        <v>0.39015151515151508</v>
      </c>
      <c r="G1264" s="74">
        <v>0.39015151515151508</v>
      </c>
    </row>
    <row r="1265" spans="1:7" x14ac:dyDescent="0.25">
      <c r="A1265" s="22">
        <v>43659</v>
      </c>
      <c r="B1265" s="17" t="s">
        <v>50</v>
      </c>
      <c r="C1265" s="17" t="s">
        <v>46</v>
      </c>
      <c r="D1265" s="74" t="s">
        <v>18</v>
      </c>
      <c r="E1265" s="74" t="s">
        <v>18</v>
      </c>
      <c r="F1265" s="74" t="s">
        <v>18</v>
      </c>
      <c r="G1265" s="74"/>
    </row>
    <row r="1266" spans="1:7" x14ac:dyDescent="0.25">
      <c r="A1266" s="22">
        <v>43659</v>
      </c>
      <c r="B1266" s="17" t="s">
        <v>50</v>
      </c>
      <c r="C1266" s="17" t="s">
        <v>47</v>
      </c>
      <c r="D1266" s="74" t="s">
        <v>18</v>
      </c>
      <c r="E1266" s="74" t="s">
        <v>18</v>
      </c>
      <c r="F1266" s="74" t="s">
        <v>18</v>
      </c>
      <c r="G1266" s="74"/>
    </row>
    <row r="1267" spans="1:7" x14ac:dyDescent="0.25">
      <c r="A1267" s="22">
        <v>43659</v>
      </c>
      <c r="B1267" s="17" t="s">
        <v>50</v>
      </c>
      <c r="C1267" s="17" t="s">
        <v>48</v>
      </c>
      <c r="D1267" s="74" t="s">
        <v>18</v>
      </c>
      <c r="E1267" s="74" t="s">
        <v>18</v>
      </c>
      <c r="F1267" s="74" t="s">
        <v>18</v>
      </c>
      <c r="G1267" s="74"/>
    </row>
    <row r="1268" spans="1:7" x14ac:dyDescent="0.25">
      <c r="A1268" s="22">
        <v>43659</v>
      </c>
      <c r="B1268" s="17" t="s">
        <v>51</v>
      </c>
      <c r="C1268" s="17" t="s">
        <v>45</v>
      </c>
      <c r="D1268" s="74" t="s">
        <v>18</v>
      </c>
      <c r="E1268" s="74" t="s">
        <v>18</v>
      </c>
      <c r="F1268" s="74" t="s">
        <v>18</v>
      </c>
      <c r="G1268" s="74" t="s">
        <v>18</v>
      </c>
    </row>
    <row r="1269" spans="1:7" x14ac:dyDescent="0.25">
      <c r="A1269" s="22">
        <v>43659</v>
      </c>
      <c r="B1269" s="17" t="s">
        <v>51</v>
      </c>
      <c r="C1269" s="17" t="s">
        <v>46</v>
      </c>
      <c r="D1269" s="74" t="s">
        <v>18</v>
      </c>
      <c r="E1269" s="74" t="s">
        <v>18</v>
      </c>
      <c r="F1269" s="74" t="s">
        <v>18</v>
      </c>
      <c r="G1269" s="74"/>
    </row>
    <row r="1270" spans="1:7" x14ac:dyDescent="0.25">
      <c r="A1270" s="22">
        <v>43659</v>
      </c>
      <c r="B1270" s="17" t="s">
        <v>51</v>
      </c>
      <c r="C1270" s="17" t="s">
        <v>47</v>
      </c>
      <c r="D1270" s="74" t="s">
        <v>18</v>
      </c>
      <c r="E1270" s="74" t="s">
        <v>18</v>
      </c>
      <c r="F1270" s="74" t="s">
        <v>18</v>
      </c>
      <c r="G1270" s="74"/>
    </row>
    <row r="1271" spans="1:7" x14ac:dyDescent="0.25">
      <c r="A1271" s="22">
        <v>43659</v>
      </c>
      <c r="B1271" s="17" t="s">
        <v>51</v>
      </c>
      <c r="C1271" s="17" t="s">
        <v>48</v>
      </c>
      <c r="D1271" s="74" t="s">
        <v>18</v>
      </c>
      <c r="E1271" s="74" t="s">
        <v>18</v>
      </c>
      <c r="F1271" s="74" t="s">
        <v>18</v>
      </c>
      <c r="G1271" s="74"/>
    </row>
    <row r="1272" spans="1:7" x14ac:dyDescent="0.25">
      <c r="A1272" s="22">
        <v>43660</v>
      </c>
      <c r="B1272" s="17" t="s">
        <v>44</v>
      </c>
      <c r="C1272" s="17" t="s">
        <v>45</v>
      </c>
      <c r="D1272" s="74">
        <v>0.22567999999999999</v>
      </c>
      <c r="E1272" s="74">
        <v>6.93E-2</v>
      </c>
      <c r="F1272" s="74">
        <v>0.30707196029776679</v>
      </c>
      <c r="G1272" s="74">
        <v>0.34868464110731129</v>
      </c>
    </row>
    <row r="1273" spans="1:7" x14ac:dyDescent="0.25">
      <c r="A1273" s="22">
        <v>43660</v>
      </c>
      <c r="B1273" s="17" t="s">
        <v>44</v>
      </c>
      <c r="C1273" s="17" t="s">
        <v>46</v>
      </c>
      <c r="D1273" s="74">
        <v>0.24457999999999996</v>
      </c>
      <c r="E1273" s="74">
        <v>9.5060000000000006E-2</v>
      </c>
      <c r="F1273" s="74">
        <v>0.38866628506010309</v>
      </c>
      <c r="G1273" s="74"/>
    </row>
    <row r="1274" spans="1:7" x14ac:dyDescent="0.25">
      <c r="A1274" s="22">
        <v>43660</v>
      </c>
      <c r="B1274" s="17" t="s">
        <v>44</v>
      </c>
      <c r="C1274" s="17" t="s">
        <v>47</v>
      </c>
      <c r="D1274" s="74">
        <v>0.25017999999999996</v>
      </c>
      <c r="E1274" s="74">
        <v>8.5119999999999987E-2</v>
      </c>
      <c r="F1274" s="74">
        <v>0.34023503077783995</v>
      </c>
      <c r="G1274" s="74"/>
    </row>
    <row r="1275" spans="1:7" x14ac:dyDescent="0.25">
      <c r="A1275" s="22">
        <v>43660</v>
      </c>
      <c r="B1275" s="17" t="s">
        <v>44</v>
      </c>
      <c r="C1275" s="17" t="s">
        <v>48</v>
      </c>
      <c r="D1275" s="74">
        <v>0.24037999999999995</v>
      </c>
      <c r="E1275" s="74">
        <v>8.6239999999999997E-2</v>
      </c>
      <c r="F1275" s="74">
        <v>0.35876528829353527</v>
      </c>
      <c r="G1275" s="74"/>
    </row>
    <row r="1276" spans="1:7" x14ac:dyDescent="0.25">
      <c r="A1276" s="22">
        <v>43660</v>
      </c>
      <c r="B1276" s="17" t="s">
        <v>49</v>
      </c>
      <c r="C1276" s="17" t="s">
        <v>45</v>
      </c>
      <c r="D1276" s="74">
        <v>8.0399999999999999E-2</v>
      </c>
      <c r="E1276" s="74">
        <v>3.5400000000000001E-2</v>
      </c>
      <c r="F1276" s="74">
        <v>0.44029850746268656</v>
      </c>
      <c r="G1276" s="74">
        <v>0.45155021991491817</v>
      </c>
    </row>
    <row r="1277" spans="1:7" x14ac:dyDescent="0.25">
      <c r="A1277" s="22">
        <v>43660</v>
      </c>
      <c r="B1277" s="17" t="s">
        <v>49</v>
      </c>
      <c r="C1277" s="17" t="s">
        <v>46</v>
      </c>
      <c r="D1277" s="74">
        <v>0.10349999999999999</v>
      </c>
      <c r="E1277" s="74">
        <v>4.7899999999999998E-2</v>
      </c>
      <c r="F1277" s="74">
        <v>0.46280193236714978</v>
      </c>
      <c r="G1277" s="74"/>
    </row>
    <row r="1278" spans="1:7" x14ac:dyDescent="0.25">
      <c r="A1278" s="22">
        <v>43660</v>
      </c>
      <c r="B1278" s="17" t="s">
        <v>49</v>
      </c>
      <c r="C1278" s="17" t="s">
        <v>47</v>
      </c>
      <c r="D1278" s="74" t="s">
        <v>18</v>
      </c>
      <c r="E1278" s="74" t="s">
        <v>18</v>
      </c>
      <c r="F1278" s="74" t="s">
        <v>18</v>
      </c>
      <c r="G1278" s="74"/>
    </row>
    <row r="1279" spans="1:7" x14ac:dyDescent="0.25">
      <c r="A1279" s="22">
        <v>43660</v>
      </c>
      <c r="B1279" s="17" t="s">
        <v>49</v>
      </c>
      <c r="C1279" s="17" t="s">
        <v>48</v>
      </c>
      <c r="D1279" s="74" t="s">
        <v>18</v>
      </c>
      <c r="E1279" s="74" t="s">
        <v>18</v>
      </c>
      <c r="F1279" s="74" t="s">
        <v>18</v>
      </c>
      <c r="G1279" s="74"/>
    </row>
    <row r="1280" spans="1:7" x14ac:dyDescent="0.25">
      <c r="A1280" s="22">
        <v>43660</v>
      </c>
      <c r="B1280" s="17" t="s">
        <v>50</v>
      </c>
      <c r="C1280" s="17" t="s">
        <v>45</v>
      </c>
      <c r="D1280" s="74">
        <v>0.16700000000000001</v>
      </c>
      <c r="E1280" s="74">
        <v>6.2100000000000002E-2</v>
      </c>
      <c r="F1280" s="74">
        <v>0.3718562874251497</v>
      </c>
      <c r="G1280" s="74">
        <v>0.41351977926580208</v>
      </c>
    </row>
    <row r="1281" spans="1:7" x14ac:dyDescent="0.25">
      <c r="A1281" s="22">
        <v>43660</v>
      </c>
      <c r="B1281" s="17" t="s">
        <v>50</v>
      </c>
      <c r="C1281" s="17" t="s">
        <v>46</v>
      </c>
      <c r="D1281" s="74">
        <v>0.18730000000000002</v>
      </c>
      <c r="E1281" s="74">
        <v>7.9799999999999996E-2</v>
      </c>
      <c r="F1281" s="74">
        <v>0.4260544580886278</v>
      </c>
      <c r="G1281" s="74"/>
    </row>
    <row r="1282" spans="1:7" x14ac:dyDescent="0.25">
      <c r="A1282" s="22">
        <v>43660</v>
      </c>
      <c r="B1282" s="17" t="s">
        <v>50</v>
      </c>
      <c r="C1282" s="17" t="s">
        <v>47</v>
      </c>
      <c r="D1282" s="74">
        <v>0.1918</v>
      </c>
      <c r="E1282" s="74">
        <v>8.4900000000000003E-2</v>
      </c>
      <c r="F1282" s="74">
        <v>0.44264859228362879</v>
      </c>
      <c r="G1282" s="74"/>
    </row>
    <row r="1283" spans="1:7" x14ac:dyDescent="0.25">
      <c r="A1283" s="22">
        <v>43660</v>
      </c>
      <c r="B1283" s="17" t="s">
        <v>50</v>
      </c>
      <c r="C1283" s="17" t="s">
        <v>48</v>
      </c>
      <c r="D1283" s="74" t="s">
        <v>18</v>
      </c>
      <c r="E1283" s="74" t="s">
        <v>18</v>
      </c>
      <c r="F1283" s="74" t="s">
        <v>18</v>
      </c>
      <c r="G1283" s="74"/>
    </row>
    <row r="1284" spans="1:7" x14ac:dyDescent="0.25">
      <c r="A1284" s="22">
        <v>43660</v>
      </c>
      <c r="B1284" s="17" t="s">
        <v>51</v>
      </c>
      <c r="C1284" s="17" t="s">
        <v>45</v>
      </c>
      <c r="D1284" s="74">
        <v>0.1051</v>
      </c>
      <c r="E1284" s="74">
        <v>4.8899999999999999E-2</v>
      </c>
      <c r="F1284" s="74">
        <v>0.46527117031398668</v>
      </c>
      <c r="G1284" s="74">
        <v>0.4572519609972947</v>
      </c>
    </row>
    <row r="1285" spans="1:7" x14ac:dyDescent="0.25">
      <c r="A1285" s="22">
        <v>43660</v>
      </c>
      <c r="B1285" s="17" t="s">
        <v>51</v>
      </c>
      <c r="C1285" s="17" t="s">
        <v>46</v>
      </c>
      <c r="D1285" s="74">
        <v>0.1138</v>
      </c>
      <c r="E1285" s="74">
        <v>5.0900000000000001E-2</v>
      </c>
      <c r="F1285" s="74">
        <v>0.44727592267135324</v>
      </c>
      <c r="G1285" s="74"/>
    </row>
    <row r="1286" spans="1:7" x14ac:dyDescent="0.25">
      <c r="A1286" s="22">
        <v>43660</v>
      </c>
      <c r="B1286" s="17" t="s">
        <v>51</v>
      </c>
      <c r="C1286" s="17" t="s">
        <v>47</v>
      </c>
      <c r="D1286" s="74">
        <v>5.2399999999999995E-2</v>
      </c>
      <c r="E1286" s="74">
        <v>2.47E-2</v>
      </c>
      <c r="F1286" s="74">
        <v>0.47137404580152675</v>
      </c>
      <c r="G1286" s="74"/>
    </row>
    <row r="1287" spans="1:7" x14ac:dyDescent="0.25">
      <c r="A1287" s="62">
        <v>43660</v>
      </c>
      <c r="B1287" s="68" t="s">
        <v>51</v>
      </c>
      <c r="C1287" s="68" t="s">
        <v>48</v>
      </c>
      <c r="D1287" s="81">
        <v>5.1900000000000002E-2</v>
      </c>
      <c r="E1287" s="81">
        <v>2.3100000000000002E-2</v>
      </c>
      <c r="F1287" s="81">
        <v>0.44508670520231219</v>
      </c>
      <c r="G1287" s="81"/>
    </row>
    <row r="1288" spans="1:7" x14ac:dyDescent="0.25">
      <c r="A1288" s="22">
        <v>43767</v>
      </c>
      <c r="B1288" s="15" t="s">
        <v>44</v>
      </c>
      <c r="C1288" s="23" t="s">
        <v>45</v>
      </c>
      <c r="D1288" s="75">
        <v>0.22839999999999999</v>
      </c>
      <c r="E1288" s="75">
        <v>7.2700000000000001E-2</v>
      </c>
      <c r="F1288" s="76">
        <f>E1288/D1288</f>
        <v>0.3183012259194396</v>
      </c>
      <c r="G1288" s="75">
        <f>AVERAGE(F1288:F1291)</f>
        <v>0.3138313739384474</v>
      </c>
    </row>
    <row r="1289" spans="1:7" x14ac:dyDescent="0.25">
      <c r="A1289" s="22">
        <v>43767</v>
      </c>
      <c r="B1289" s="15" t="s">
        <v>44</v>
      </c>
      <c r="C1289" s="23" t="s">
        <v>46</v>
      </c>
      <c r="D1289" s="75">
        <v>0.21540000000000001</v>
      </c>
      <c r="E1289" s="75">
        <v>6.6000000000000003E-2</v>
      </c>
      <c r="F1289" s="76">
        <f t="shared" ref="F1289:F1318" si="36">E1289/D1289</f>
        <v>0.30640668523676878</v>
      </c>
      <c r="G1289" s="74"/>
    </row>
    <row r="1290" spans="1:7" x14ac:dyDescent="0.25">
      <c r="A1290" s="22">
        <v>43767</v>
      </c>
      <c r="B1290" s="15" t="s">
        <v>44</v>
      </c>
      <c r="C1290" s="23" t="s">
        <v>47</v>
      </c>
      <c r="D1290" s="75">
        <v>0.2104</v>
      </c>
      <c r="E1290" s="75">
        <v>6.6799999999999998E-2</v>
      </c>
      <c r="F1290" s="76">
        <f t="shared" si="36"/>
        <v>0.31749049429657794</v>
      </c>
      <c r="G1290" s="75"/>
    </row>
    <row r="1291" spans="1:7" x14ac:dyDescent="0.25">
      <c r="A1291" s="22">
        <v>43767</v>
      </c>
      <c r="B1291" s="15" t="s">
        <v>44</v>
      </c>
      <c r="C1291" s="23" t="s">
        <v>48</v>
      </c>
      <c r="D1291" s="75">
        <v>0.2392</v>
      </c>
      <c r="E1291" s="75">
        <v>7.4900000000000008E-2</v>
      </c>
      <c r="F1291" s="76">
        <f t="shared" si="36"/>
        <v>0.31312709030100339</v>
      </c>
      <c r="G1291" s="75"/>
    </row>
    <row r="1292" spans="1:7" x14ac:dyDescent="0.25">
      <c r="A1292" s="22">
        <v>43767</v>
      </c>
      <c r="B1292" s="15" t="s">
        <v>49</v>
      </c>
      <c r="C1292" s="23" t="s">
        <v>45</v>
      </c>
      <c r="D1292" s="75">
        <v>7.7700000000000005E-2</v>
      </c>
      <c r="E1292" s="75">
        <v>2.0899999999999998E-2</v>
      </c>
      <c r="F1292" s="76">
        <f t="shared" si="36"/>
        <v>0.26898326898326896</v>
      </c>
      <c r="G1292" s="75">
        <f>AVERAGE(F1292)</f>
        <v>0.26898326898326896</v>
      </c>
    </row>
    <row r="1293" spans="1:7" x14ac:dyDescent="0.25">
      <c r="A1293" s="22">
        <v>43767</v>
      </c>
      <c r="B1293" s="15" t="s">
        <v>49</v>
      </c>
      <c r="C1293" s="23" t="s">
        <v>46</v>
      </c>
      <c r="D1293" s="75" t="s">
        <v>18</v>
      </c>
      <c r="E1293" s="75" t="s">
        <v>18</v>
      </c>
      <c r="F1293" s="75" t="s">
        <v>18</v>
      </c>
      <c r="G1293" s="74"/>
    </row>
    <row r="1294" spans="1:7" x14ac:dyDescent="0.25">
      <c r="A1294" s="22">
        <v>43767</v>
      </c>
      <c r="B1294" s="15" t="s">
        <v>49</v>
      </c>
      <c r="C1294" s="23" t="s">
        <v>47</v>
      </c>
      <c r="D1294" s="75" t="s">
        <v>18</v>
      </c>
      <c r="E1294" s="75" t="s">
        <v>18</v>
      </c>
      <c r="F1294" s="75" t="s">
        <v>18</v>
      </c>
      <c r="G1294" s="75"/>
    </row>
    <row r="1295" spans="1:7" x14ac:dyDescent="0.25">
      <c r="A1295" s="22">
        <v>43767</v>
      </c>
      <c r="B1295" s="15" t="s">
        <v>49</v>
      </c>
      <c r="C1295" s="23" t="s">
        <v>48</v>
      </c>
      <c r="D1295" s="75" t="s">
        <v>18</v>
      </c>
      <c r="E1295" s="75" t="s">
        <v>18</v>
      </c>
      <c r="F1295" s="75" t="s">
        <v>18</v>
      </c>
      <c r="G1295" s="75"/>
    </row>
    <row r="1296" spans="1:7" x14ac:dyDescent="0.25">
      <c r="A1296" s="22">
        <v>43767</v>
      </c>
      <c r="B1296" s="15" t="s">
        <v>50</v>
      </c>
      <c r="C1296" s="23" t="s">
        <v>45</v>
      </c>
      <c r="D1296" s="75">
        <v>6.5500000000000003E-2</v>
      </c>
      <c r="E1296" s="75">
        <v>2.4500000000000001E-2</v>
      </c>
      <c r="F1296" s="76">
        <f t="shared" si="36"/>
        <v>0.37404580152671757</v>
      </c>
      <c r="G1296" s="75">
        <f>AVERAGE(F1296:F1298)</f>
        <v>0.35715830947214178</v>
      </c>
    </row>
    <row r="1297" spans="1:7" x14ac:dyDescent="0.25">
      <c r="A1297" s="22">
        <v>43767</v>
      </c>
      <c r="B1297" s="15" t="s">
        <v>50</v>
      </c>
      <c r="C1297" s="23" t="s">
        <v>46</v>
      </c>
      <c r="D1297" s="75">
        <v>4.82E-2</v>
      </c>
      <c r="E1297" s="75">
        <v>1.7100000000000001E-2</v>
      </c>
      <c r="F1297" s="76">
        <f t="shared" si="36"/>
        <v>0.35477178423236516</v>
      </c>
      <c r="G1297" s="74"/>
    </row>
    <row r="1298" spans="1:7" x14ac:dyDescent="0.25">
      <c r="A1298" s="22">
        <v>43767</v>
      </c>
      <c r="B1298" s="15" t="s">
        <v>50</v>
      </c>
      <c r="C1298" s="23" t="s">
        <v>47</v>
      </c>
      <c r="D1298" s="75">
        <v>2.86E-2</v>
      </c>
      <c r="E1298" s="75">
        <v>9.8000000000000014E-3</v>
      </c>
      <c r="F1298" s="76">
        <f t="shared" si="36"/>
        <v>0.34265734265734271</v>
      </c>
      <c r="G1298" s="75"/>
    </row>
    <row r="1299" spans="1:7" x14ac:dyDescent="0.25">
      <c r="A1299" s="22">
        <v>43767</v>
      </c>
      <c r="B1299" s="15" t="s">
        <v>50</v>
      </c>
      <c r="C1299" s="23" t="s">
        <v>48</v>
      </c>
      <c r="D1299" s="75" t="s">
        <v>18</v>
      </c>
      <c r="E1299" s="75" t="s">
        <v>18</v>
      </c>
      <c r="F1299" s="75" t="s">
        <v>18</v>
      </c>
      <c r="G1299" s="75"/>
    </row>
    <row r="1300" spans="1:7" x14ac:dyDescent="0.25">
      <c r="A1300" s="22">
        <v>43767</v>
      </c>
      <c r="B1300" s="15" t="s">
        <v>51</v>
      </c>
      <c r="C1300" s="23" t="s">
        <v>45</v>
      </c>
      <c r="D1300" s="75">
        <v>7.4299999999999991E-2</v>
      </c>
      <c r="E1300" s="75">
        <v>2.2499999999999999E-2</v>
      </c>
      <c r="F1300" s="76">
        <f t="shared" si="36"/>
        <v>0.30282637954239572</v>
      </c>
      <c r="G1300" s="75">
        <f>AVERAGE(F1300:F1303)</f>
        <v>0.30093971578654505</v>
      </c>
    </row>
    <row r="1301" spans="1:7" x14ac:dyDescent="0.25">
      <c r="A1301" s="22">
        <v>43767</v>
      </c>
      <c r="B1301" s="15" t="s">
        <v>51</v>
      </c>
      <c r="C1301" s="23" t="s">
        <v>46</v>
      </c>
      <c r="D1301" s="75">
        <v>5.8299999999999998E-2</v>
      </c>
      <c r="E1301" s="75">
        <v>1.7600000000000001E-2</v>
      </c>
      <c r="F1301" s="76">
        <f t="shared" si="36"/>
        <v>0.30188679245283023</v>
      </c>
      <c r="G1301" s="74"/>
    </row>
    <row r="1302" spans="1:7" x14ac:dyDescent="0.25">
      <c r="A1302" s="22">
        <v>43767</v>
      </c>
      <c r="B1302" s="15" t="s">
        <v>51</v>
      </c>
      <c r="C1302" s="23" t="s">
        <v>47</v>
      </c>
      <c r="D1302" s="75">
        <v>5.3200000000000004E-2</v>
      </c>
      <c r="E1302" s="75">
        <v>1.55E-2</v>
      </c>
      <c r="F1302" s="76">
        <f t="shared" si="36"/>
        <v>0.29135338345864659</v>
      </c>
      <c r="G1302" s="75"/>
    </row>
    <row r="1303" spans="1:7" x14ac:dyDescent="0.25">
      <c r="A1303" s="22">
        <v>43767</v>
      </c>
      <c r="B1303" s="15" t="s">
        <v>51</v>
      </c>
      <c r="C1303" s="23" t="s">
        <v>48</v>
      </c>
      <c r="D1303" s="75">
        <v>4.9399999999999999E-2</v>
      </c>
      <c r="E1303" s="75">
        <v>1.52E-2</v>
      </c>
      <c r="F1303" s="76">
        <f t="shared" si="36"/>
        <v>0.30769230769230771</v>
      </c>
      <c r="G1303" s="75"/>
    </row>
    <row r="1304" spans="1:7" x14ac:dyDescent="0.25">
      <c r="A1304" s="22">
        <v>43768</v>
      </c>
      <c r="B1304" s="15" t="s">
        <v>44</v>
      </c>
      <c r="C1304" s="23" t="s">
        <v>45</v>
      </c>
      <c r="D1304" s="75">
        <v>0.22519999999999998</v>
      </c>
      <c r="E1304" s="75">
        <v>6.1399999999999996E-2</v>
      </c>
      <c r="F1304" s="76">
        <f t="shared" si="36"/>
        <v>0.27264653641207814</v>
      </c>
      <c r="G1304" s="75">
        <f>AVERAGE(F1304:F1307)</f>
        <v>0.31584463976576271</v>
      </c>
    </row>
    <row r="1305" spans="1:7" x14ac:dyDescent="0.25">
      <c r="A1305" s="22">
        <v>43768</v>
      </c>
      <c r="B1305" s="15" t="s">
        <v>44</v>
      </c>
      <c r="C1305" s="23" t="s">
        <v>46</v>
      </c>
      <c r="D1305" s="75">
        <v>0.21080000000000002</v>
      </c>
      <c r="E1305" s="74">
        <v>7.8E-2</v>
      </c>
      <c r="F1305" s="76">
        <f t="shared" si="36"/>
        <v>0.37001897533206829</v>
      </c>
      <c r="G1305" s="74"/>
    </row>
    <row r="1306" spans="1:7" x14ac:dyDescent="0.25">
      <c r="A1306" s="22">
        <v>43768</v>
      </c>
      <c r="B1306" s="15" t="s">
        <v>44</v>
      </c>
      <c r="C1306" s="23" t="s">
        <v>47</v>
      </c>
      <c r="D1306" s="75">
        <v>0.25180000000000002</v>
      </c>
      <c r="E1306" s="75">
        <v>6.54E-2</v>
      </c>
      <c r="F1306" s="76">
        <f t="shared" si="36"/>
        <v>0.25972994440031771</v>
      </c>
      <c r="G1306" s="75"/>
    </row>
    <row r="1307" spans="1:7" x14ac:dyDescent="0.25">
      <c r="A1307" s="22">
        <v>43768</v>
      </c>
      <c r="B1307" s="15" t="s">
        <v>44</v>
      </c>
      <c r="C1307" s="23" t="s">
        <v>48</v>
      </c>
      <c r="D1307" s="75">
        <v>0.26039999999999996</v>
      </c>
      <c r="E1307" s="74">
        <v>9.4E-2</v>
      </c>
      <c r="F1307" s="76">
        <f t="shared" si="36"/>
        <v>0.36098310291858682</v>
      </c>
      <c r="G1307" s="75"/>
    </row>
    <row r="1308" spans="1:7" x14ac:dyDescent="0.25">
      <c r="A1308" s="22">
        <v>43768</v>
      </c>
      <c r="B1308" s="15" t="s">
        <v>49</v>
      </c>
      <c r="C1308" s="23" t="s">
        <v>45</v>
      </c>
      <c r="D1308" s="75">
        <v>0.15330000000000002</v>
      </c>
      <c r="E1308" s="75">
        <v>3.9799999999999995E-2</v>
      </c>
      <c r="F1308" s="76">
        <f t="shared" si="36"/>
        <v>0.25962165688193078</v>
      </c>
      <c r="G1308" s="75">
        <f>AVERAGE(F1308:F1311)</f>
        <v>0.27481250134196744</v>
      </c>
    </row>
    <row r="1309" spans="1:7" x14ac:dyDescent="0.25">
      <c r="A1309" s="22">
        <v>43768</v>
      </c>
      <c r="B1309" s="15" t="s">
        <v>49</v>
      </c>
      <c r="C1309" s="23" t="s">
        <v>46</v>
      </c>
      <c r="D1309" s="75">
        <v>0.12940000000000002</v>
      </c>
      <c r="E1309" s="74">
        <v>3.2000000000000001E-2</v>
      </c>
      <c r="F1309" s="76">
        <f t="shared" si="36"/>
        <v>0.24729520865533228</v>
      </c>
      <c r="G1309" s="74"/>
    </row>
    <row r="1310" spans="1:7" x14ac:dyDescent="0.25">
      <c r="A1310" s="22">
        <v>43768</v>
      </c>
      <c r="B1310" s="15" t="s">
        <v>49</v>
      </c>
      <c r="C1310" s="23" t="s">
        <v>47</v>
      </c>
      <c r="D1310" s="75">
        <v>0.21989999999999998</v>
      </c>
      <c r="E1310" s="75">
        <v>7.0134936211972518E-2</v>
      </c>
      <c r="F1310" s="76">
        <f t="shared" si="36"/>
        <v>0.31894013738959764</v>
      </c>
      <c r="G1310" s="82"/>
    </row>
    <row r="1311" spans="1:7" x14ac:dyDescent="0.25">
      <c r="A1311" s="22">
        <v>43768</v>
      </c>
      <c r="B1311" s="15" t="s">
        <v>49</v>
      </c>
      <c r="C1311" s="23" t="s">
        <v>48</v>
      </c>
      <c r="D1311" s="75">
        <v>0.12290000000000001</v>
      </c>
      <c r="E1311" s="75">
        <v>3.3600000000000005E-2</v>
      </c>
      <c r="F1311" s="76">
        <f t="shared" si="36"/>
        <v>0.27339300244100895</v>
      </c>
      <c r="G1311" s="75"/>
    </row>
    <row r="1312" spans="1:7" x14ac:dyDescent="0.25">
      <c r="A1312" s="22">
        <v>43768</v>
      </c>
      <c r="B1312" s="15" t="s">
        <v>50</v>
      </c>
      <c r="C1312" s="23" t="s">
        <v>45</v>
      </c>
      <c r="D1312" s="75">
        <v>9.7200000000000009E-2</v>
      </c>
      <c r="E1312" s="75">
        <v>3.3299999999999996E-2</v>
      </c>
      <c r="F1312" s="76">
        <f t="shared" si="36"/>
        <v>0.3425925925925925</v>
      </c>
      <c r="G1312" s="75">
        <f>AVERAGE(F1312:F1315)</f>
        <v>0.36910212990880648</v>
      </c>
    </row>
    <row r="1313" spans="1:7" x14ac:dyDescent="0.25">
      <c r="A1313" s="22">
        <v>43768</v>
      </c>
      <c r="B1313" s="15" t="s">
        <v>50</v>
      </c>
      <c r="C1313" s="23" t="s">
        <v>46</v>
      </c>
      <c r="D1313" s="75">
        <v>8.3000000000000004E-2</v>
      </c>
      <c r="E1313" s="75">
        <v>2.8399999999999998E-2</v>
      </c>
      <c r="F1313" s="76">
        <f t="shared" si="36"/>
        <v>0.34216867469879514</v>
      </c>
      <c r="G1313" s="74"/>
    </row>
    <row r="1314" spans="1:7" x14ac:dyDescent="0.25">
      <c r="A1314" s="22">
        <v>43768</v>
      </c>
      <c r="B1314" s="15" t="s">
        <v>50</v>
      </c>
      <c r="C1314" s="23" t="s">
        <v>47</v>
      </c>
      <c r="D1314" s="75">
        <v>6.8099999999999994E-2</v>
      </c>
      <c r="E1314" s="75">
        <v>2.5999999999999999E-2</v>
      </c>
      <c r="F1314" s="76">
        <f t="shared" si="36"/>
        <v>0.38179148311306904</v>
      </c>
      <c r="G1314" s="75"/>
    </row>
    <row r="1315" spans="1:7" x14ac:dyDescent="0.25">
      <c r="A1315" s="22">
        <v>43768</v>
      </c>
      <c r="B1315" s="15" t="s">
        <v>50</v>
      </c>
      <c r="C1315" s="23" t="s">
        <v>48</v>
      </c>
      <c r="D1315" s="75">
        <v>8.3199999999999996E-2</v>
      </c>
      <c r="E1315" s="75">
        <v>3.4099999999999998E-2</v>
      </c>
      <c r="F1315" s="76">
        <f t="shared" si="36"/>
        <v>0.40985576923076922</v>
      </c>
      <c r="G1315" s="75"/>
    </row>
    <row r="1316" spans="1:7" x14ac:dyDescent="0.25">
      <c r="A1316" s="22">
        <v>43768</v>
      </c>
      <c r="B1316" s="15" t="s">
        <v>51</v>
      </c>
      <c r="C1316" s="23" t="s">
        <v>45</v>
      </c>
      <c r="D1316" s="75">
        <v>8.7099999999999997E-2</v>
      </c>
      <c r="E1316" s="75">
        <v>2.5399999999999999E-2</v>
      </c>
      <c r="F1316" s="76">
        <f t="shared" si="36"/>
        <v>0.29161882893226176</v>
      </c>
      <c r="G1316" s="75">
        <f>AVERAGE(F1316:F1318)</f>
        <v>0.30354198366449214</v>
      </c>
    </row>
    <row r="1317" spans="1:7" x14ac:dyDescent="0.25">
      <c r="A1317" s="22">
        <v>43768</v>
      </c>
      <c r="B1317" s="15" t="s">
        <v>51</v>
      </c>
      <c r="C1317" s="23" t="s">
        <v>46</v>
      </c>
      <c r="D1317" s="75">
        <v>7.7299999999999994E-2</v>
      </c>
      <c r="E1317" s="75">
        <v>2.5999999999999999E-2</v>
      </c>
      <c r="F1317" s="76">
        <f t="shared" si="36"/>
        <v>0.33635187580853815</v>
      </c>
      <c r="G1317" s="74"/>
    </row>
    <row r="1318" spans="1:7" x14ac:dyDescent="0.25">
      <c r="A1318" s="22">
        <v>43768</v>
      </c>
      <c r="B1318" s="15" t="s">
        <v>51</v>
      </c>
      <c r="C1318" s="23" t="s">
        <v>47</v>
      </c>
      <c r="D1318" s="75">
        <v>4.6700000000000005E-2</v>
      </c>
      <c r="E1318" s="75">
        <v>1.32E-2</v>
      </c>
      <c r="F1318" s="76">
        <f t="shared" si="36"/>
        <v>0.28265524625267663</v>
      </c>
      <c r="G1318" s="75"/>
    </row>
    <row r="1319" spans="1:7" x14ac:dyDescent="0.25">
      <c r="A1319" s="22">
        <v>43768</v>
      </c>
      <c r="B1319" s="15" t="s">
        <v>51</v>
      </c>
      <c r="C1319" s="23" t="s">
        <v>48</v>
      </c>
      <c r="D1319" s="75" t="s">
        <v>18</v>
      </c>
      <c r="E1319" s="75" t="s">
        <v>18</v>
      </c>
      <c r="F1319" s="75" t="s">
        <v>18</v>
      </c>
      <c r="G1319" s="75"/>
    </row>
    <row r="1320" spans="1:7" x14ac:dyDescent="0.25">
      <c r="A1320" s="22">
        <v>43866</v>
      </c>
      <c r="B1320" s="15" t="s">
        <v>44</v>
      </c>
      <c r="C1320" s="23" t="s">
        <v>45</v>
      </c>
      <c r="D1320" s="75">
        <v>0.187</v>
      </c>
      <c r="E1320" s="75">
        <v>4.8100000000000004E-2</v>
      </c>
      <c r="F1320" s="76">
        <f>E1320/D1320</f>
        <v>0.25721925133689844</v>
      </c>
      <c r="G1320" s="75">
        <f>AVERAGE(F1320:F1321)</f>
        <v>0.26242605078922215</v>
      </c>
    </row>
    <row r="1321" spans="1:7" x14ac:dyDescent="0.25">
      <c r="A1321" s="22">
        <v>43866</v>
      </c>
      <c r="B1321" s="15" t="s">
        <v>44</v>
      </c>
      <c r="C1321" s="23" t="s">
        <v>46</v>
      </c>
      <c r="D1321" s="75">
        <v>0.10349999999999999</v>
      </c>
      <c r="E1321" s="75">
        <v>2.7699999999999999E-2</v>
      </c>
      <c r="F1321" s="76">
        <f t="shared" ref="F1321:F1351" si="37">E1321/D1321</f>
        <v>0.26763285024154587</v>
      </c>
      <c r="G1321" s="74"/>
    </row>
    <row r="1322" spans="1:7" x14ac:dyDescent="0.25">
      <c r="A1322" s="22">
        <v>43866</v>
      </c>
      <c r="B1322" s="15" t="s">
        <v>44</v>
      </c>
      <c r="C1322" s="23" t="s">
        <v>47</v>
      </c>
      <c r="D1322" s="75" t="s">
        <v>18</v>
      </c>
      <c r="E1322" s="75" t="s">
        <v>18</v>
      </c>
      <c r="F1322" s="75" t="s">
        <v>18</v>
      </c>
      <c r="G1322" s="75"/>
    </row>
    <row r="1323" spans="1:7" x14ac:dyDescent="0.25">
      <c r="A1323" s="22">
        <v>43866</v>
      </c>
      <c r="B1323" s="15" t="s">
        <v>44</v>
      </c>
      <c r="C1323" s="23" t="s">
        <v>48</v>
      </c>
      <c r="D1323" s="75" t="s">
        <v>18</v>
      </c>
      <c r="E1323" s="75" t="s">
        <v>18</v>
      </c>
      <c r="F1323" s="75" t="s">
        <v>18</v>
      </c>
      <c r="G1323" s="75"/>
    </row>
    <row r="1324" spans="1:7" x14ac:dyDescent="0.25">
      <c r="A1324" s="22">
        <v>43866</v>
      </c>
      <c r="B1324" s="15" t="s">
        <v>49</v>
      </c>
      <c r="C1324" s="23" t="s">
        <v>45</v>
      </c>
      <c r="D1324" s="75">
        <v>4.7799999999999995E-2</v>
      </c>
      <c r="E1324" s="75">
        <v>9.8000000000000014E-3</v>
      </c>
      <c r="F1324" s="76">
        <f t="shared" si="37"/>
        <v>0.20502092050209211</v>
      </c>
      <c r="G1324" s="75">
        <f>AVERAGE(F1324:F1325)</f>
        <v>0.22352580853912163</v>
      </c>
    </row>
    <row r="1325" spans="1:7" x14ac:dyDescent="0.25">
      <c r="A1325" s="22">
        <v>43866</v>
      </c>
      <c r="B1325" s="15" t="s">
        <v>49</v>
      </c>
      <c r="C1325" s="23" t="s">
        <v>46</v>
      </c>
      <c r="D1325" s="75">
        <v>8.4699999999999998E-2</v>
      </c>
      <c r="E1325" s="75">
        <v>2.0500000000000001E-2</v>
      </c>
      <c r="F1325" s="76">
        <f t="shared" si="37"/>
        <v>0.24203069657615114</v>
      </c>
      <c r="G1325" s="74"/>
    </row>
    <row r="1326" spans="1:7" x14ac:dyDescent="0.25">
      <c r="A1326" s="22">
        <v>43866</v>
      </c>
      <c r="B1326" s="15" t="s">
        <v>49</v>
      </c>
      <c r="C1326" s="23" t="s">
        <v>47</v>
      </c>
      <c r="D1326" s="75" t="s">
        <v>18</v>
      </c>
      <c r="E1326" s="75" t="s">
        <v>18</v>
      </c>
      <c r="F1326" s="75" t="s">
        <v>18</v>
      </c>
      <c r="G1326" s="75"/>
    </row>
    <row r="1327" spans="1:7" x14ac:dyDescent="0.25">
      <c r="A1327" s="22">
        <v>43866</v>
      </c>
      <c r="B1327" s="15" t="s">
        <v>49</v>
      </c>
      <c r="C1327" s="23" t="s">
        <v>48</v>
      </c>
      <c r="D1327" s="75" t="s">
        <v>18</v>
      </c>
      <c r="E1327" s="75" t="s">
        <v>18</v>
      </c>
      <c r="F1327" s="75" t="s">
        <v>18</v>
      </c>
      <c r="G1327" s="75"/>
    </row>
    <row r="1328" spans="1:7" x14ac:dyDescent="0.25">
      <c r="A1328" s="22">
        <v>43866</v>
      </c>
      <c r="B1328" s="15" t="s">
        <v>50</v>
      </c>
      <c r="C1328" s="23" t="s">
        <v>45</v>
      </c>
      <c r="D1328" s="75">
        <v>0.1077</v>
      </c>
      <c r="E1328" s="75">
        <v>3.3799999999999997E-2</v>
      </c>
      <c r="F1328" s="76">
        <f t="shared" si="37"/>
        <v>0.31383472609099344</v>
      </c>
      <c r="G1328" s="75">
        <f>AVERAGE(F1328)</f>
        <v>0.31383472609099344</v>
      </c>
    </row>
    <row r="1329" spans="1:7" x14ac:dyDescent="0.25">
      <c r="A1329" s="22">
        <v>43866</v>
      </c>
      <c r="B1329" s="15" t="s">
        <v>50</v>
      </c>
      <c r="C1329" s="23" t="s">
        <v>46</v>
      </c>
      <c r="D1329" s="75" t="s">
        <v>18</v>
      </c>
      <c r="E1329" s="75" t="s">
        <v>18</v>
      </c>
      <c r="F1329" s="75" t="s">
        <v>18</v>
      </c>
      <c r="G1329" s="74"/>
    </row>
    <row r="1330" spans="1:7" x14ac:dyDescent="0.25">
      <c r="A1330" s="22">
        <v>43866</v>
      </c>
      <c r="B1330" s="15" t="s">
        <v>50</v>
      </c>
      <c r="C1330" s="23" t="s">
        <v>47</v>
      </c>
      <c r="D1330" s="75" t="s">
        <v>18</v>
      </c>
      <c r="E1330" s="75" t="s">
        <v>18</v>
      </c>
      <c r="F1330" s="75" t="s">
        <v>18</v>
      </c>
      <c r="G1330" s="75"/>
    </row>
    <row r="1331" spans="1:7" x14ac:dyDescent="0.25">
      <c r="A1331" s="22">
        <v>43866</v>
      </c>
      <c r="B1331" s="15" t="s">
        <v>50</v>
      </c>
      <c r="C1331" s="23" t="s">
        <v>48</v>
      </c>
      <c r="D1331" s="75" t="s">
        <v>18</v>
      </c>
      <c r="E1331" s="75" t="s">
        <v>18</v>
      </c>
      <c r="F1331" s="75" t="s">
        <v>18</v>
      </c>
      <c r="G1331" s="75"/>
    </row>
    <row r="1332" spans="1:7" x14ac:dyDescent="0.25">
      <c r="A1332" s="22">
        <v>43866</v>
      </c>
      <c r="B1332" s="15" t="s">
        <v>51</v>
      </c>
      <c r="C1332" s="23" t="s">
        <v>45</v>
      </c>
      <c r="D1332" s="75">
        <v>1.5900000000000001E-2</v>
      </c>
      <c r="E1332" s="75">
        <v>4.4000000000000003E-3</v>
      </c>
      <c r="F1332" s="76">
        <f t="shared" si="37"/>
        <v>0.27672955974842767</v>
      </c>
      <c r="G1332" s="75">
        <f>AVERAGE(F1332)</f>
        <v>0.27672955974842767</v>
      </c>
    </row>
    <row r="1333" spans="1:7" x14ac:dyDescent="0.25">
      <c r="A1333" s="22">
        <v>43866</v>
      </c>
      <c r="B1333" s="15" t="s">
        <v>51</v>
      </c>
      <c r="C1333" s="23" t="s">
        <v>46</v>
      </c>
      <c r="D1333" s="75" t="s">
        <v>18</v>
      </c>
      <c r="E1333" s="75" t="s">
        <v>18</v>
      </c>
      <c r="F1333" s="75" t="s">
        <v>18</v>
      </c>
      <c r="G1333" s="74"/>
    </row>
    <row r="1334" spans="1:7" x14ac:dyDescent="0.25">
      <c r="A1334" s="22">
        <v>43866</v>
      </c>
      <c r="B1334" s="15" t="s">
        <v>51</v>
      </c>
      <c r="C1334" s="23" t="s">
        <v>47</v>
      </c>
      <c r="D1334" s="75" t="s">
        <v>18</v>
      </c>
      <c r="E1334" s="75" t="s">
        <v>18</v>
      </c>
      <c r="F1334" s="75" t="s">
        <v>18</v>
      </c>
      <c r="G1334" s="75"/>
    </row>
    <row r="1335" spans="1:7" x14ac:dyDescent="0.25">
      <c r="A1335" s="22">
        <v>43866</v>
      </c>
      <c r="B1335" s="15" t="s">
        <v>51</v>
      </c>
      <c r="C1335" s="23" t="s">
        <v>48</v>
      </c>
      <c r="D1335" s="75" t="s">
        <v>18</v>
      </c>
      <c r="E1335" s="75" t="s">
        <v>18</v>
      </c>
      <c r="F1335" s="75" t="s">
        <v>18</v>
      </c>
      <c r="G1335" s="75"/>
    </row>
    <row r="1336" spans="1:7" x14ac:dyDescent="0.25">
      <c r="A1336" s="22">
        <v>43867</v>
      </c>
      <c r="B1336" s="15" t="s">
        <v>44</v>
      </c>
      <c r="C1336" s="23" t="s">
        <v>45</v>
      </c>
      <c r="D1336" s="75">
        <v>0.21870000000000001</v>
      </c>
      <c r="E1336" s="75">
        <v>7.4699999999999989E-2</v>
      </c>
      <c r="F1336" s="76">
        <f t="shared" si="37"/>
        <v>0.3415637860082304</v>
      </c>
      <c r="G1336" s="75">
        <f>AVERAGE(F1336:F1339)</f>
        <v>0.3454857016787477</v>
      </c>
    </row>
    <row r="1337" spans="1:7" x14ac:dyDescent="0.25">
      <c r="A1337" s="22">
        <v>43867</v>
      </c>
      <c r="B1337" s="15" t="s">
        <v>44</v>
      </c>
      <c r="C1337" s="23" t="s">
        <v>46</v>
      </c>
      <c r="D1337" s="75">
        <v>0.29310000000000003</v>
      </c>
      <c r="E1337" s="74">
        <v>0.10319999999999999</v>
      </c>
      <c r="F1337" s="76">
        <f t="shared" si="37"/>
        <v>0.35209825997952909</v>
      </c>
      <c r="G1337" s="74"/>
    </row>
    <row r="1338" spans="1:7" x14ac:dyDescent="0.25">
      <c r="A1338" s="22">
        <v>43867</v>
      </c>
      <c r="B1338" s="15" t="s">
        <v>44</v>
      </c>
      <c r="C1338" s="23" t="s">
        <v>47</v>
      </c>
      <c r="D1338" s="75">
        <v>0.27839999999999998</v>
      </c>
      <c r="E1338" s="75">
        <v>0.10274999999999999</v>
      </c>
      <c r="F1338" s="76">
        <f t="shared" si="37"/>
        <v>0.36907327586206895</v>
      </c>
      <c r="G1338" s="75"/>
    </row>
    <row r="1339" spans="1:7" x14ac:dyDescent="0.25">
      <c r="A1339" s="22">
        <v>43867</v>
      </c>
      <c r="B1339" s="15" t="s">
        <v>44</v>
      </c>
      <c r="C1339" s="23" t="s">
        <v>48</v>
      </c>
      <c r="D1339" s="75">
        <v>0.27254999999999996</v>
      </c>
      <c r="E1339" s="74">
        <v>8.6999999999999994E-2</v>
      </c>
      <c r="F1339" s="76">
        <f t="shared" si="37"/>
        <v>0.31920748486516237</v>
      </c>
      <c r="G1339" s="75"/>
    </row>
    <row r="1340" spans="1:7" x14ac:dyDescent="0.25">
      <c r="A1340" s="22">
        <v>43867</v>
      </c>
      <c r="B1340" s="15" t="s">
        <v>49</v>
      </c>
      <c r="C1340" s="23" t="s">
        <v>45</v>
      </c>
      <c r="D1340" s="75">
        <v>0.23820000000000002</v>
      </c>
      <c r="E1340" s="75">
        <v>0.11444999999999998</v>
      </c>
      <c r="F1340" s="76">
        <f t="shared" si="37"/>
        <v>0.4804785894206548</v>
      </c>
      <c r="G1340" s="75">
        <f>AVERAGE(F1340:F1343)</f>
        <v>0.42584263684268009</v>
      </c>
    </row>
    <row r="1341" spans="1:7" x14ac:dyDescent="0.25">
      <c r="A1341" s="22">
        <v>43867</v>
      </c>
      <c r="B1341" s="15" t="s">
        <v>49</v>
      </c>
      <c r="C1341" s="23" t="s">
        <v>46</v>
      </c>
      <c r="D1341" s="75">
        <v>0.19289999999999999</v>
      </c>
      <c r="E1341" s="74">
        <v>9.509999999999999E-2</v>
      </c>
      <c r="F1341" s="76">
        <f t="shared" si="37"/>
        <v>0.49300155520995331</v>
      </c>
      <c r="G1341" s="74"/>
    </row>
    <row r="1342" spans="1:7" x14ac:dyDescent="0.25">
      <c r="A1342" s="22">
        <v>43867</v>
      </c>
      <c r="B1342" s="15" t="s">
        <v>49</v>
      </c>
      <c r="C1342" s="23" t="s">
        <v>47</v>
      </c>
      <c r="D1342" s="75">
        <v>0.25139999999999996</v>
      </c>
      <c r="E1342" s="74">
        <v>8.7300000000000016E-2</v>
      </c>
      <c r="F1342" s="76">
        <f t="shared" si="37"/>
        <v>0.34725536992840106</v>
      </c>
      <c r="G1342" s="82"/>
    </row>
    <row r="1343" spans="1:7" x14ac:dyDescent="0.25">
      <c r="A1343" s="22">
        <v>43867</v>
      </c>
      <c r="B1343" s="15" t="s">
        <v>49</v>
      </c>
      <c r="C1343" s="23" t="s">
        <v>48</v>
      </c>
      <c r="D1343" s="75">
        <v>0.29714999999999997</v>
      </c>
      <c r="E1343" s="75">
        <v>0.1137</v>
      </c>
      <c r="F1343" s="76">
        <f t="shared" si="37"/>
        <v>0.3826350328117113</v>
      </c>
      <c r="G1343" s="75"/>
    </row>
    <row r="1344" spans="1:7" x14ac:dyDescent="0.25">
      <c r="A1344" s="22">
        <v>43867</v>
      </c>
      <c r="B1344" s="15" t="s">
        <v>50</v>
      </c>
      <c r="C1344" s="23" t="s">
        <v>45</v>
      </c>
      <c r="D1344" s="75">
        <v>0.18780000000000002</v>
      </c>
      <c r="E1344" s="75">
        <v>7.1999999999999995E-2</v>
      </c>
      <c r="F1344" s="76">
        <f t="shared" si="37"/>
        <v>0.38338658146964849</v>
      </c>
      <c r="G1344" s="75">
        <f>AVERAGE(F1344:F1347)</f>
        <v>0.36450450418635544</v>
      </c>
    </row>
    <row r="1345" spans="1:7" x14ac:dyDescent="0.25">
      <c r="A1345" s="22">
        <v>43867</v>
      </c>
      <c r="B1345" s="15" t="s">
        <v>50</v>
      </c>
      <c r="C1345" s="23" t="s">
        <v>46</v>
      </c>
      <c r="D1345" s="75">
        <v>0.16219999999999998</v>
      </c>
      <c r="E1345" s="75">
        <v>6.3E-2</v>
      </c>
      <c r="F1345" s="76">
        <f t="shared" si="37"/>
        <v>0.38840937114673246</v>
      </c>
      <c r="G1345" s="74"/>
    </row>
    <row r="1346" spans="1:7" x14ac:dyDescent="0.25">
      <c r="A1346" s="22">
        <v>43867</v>
      </c>
      <c r="B1346" s="15" t="s">
        <v>50</v>
      </c>
      <c r="C1346" s="23" t="s">
        <v>47</v>
      </c>
      <c r="D1346" s="75">
        <v>0.12040000000000001</v>
      </c>
      <c r="E1346" s="75">
        <v>3.8899999999999997E-2</v>
      </c>
      <c r="F1346" s="76">
        <f t="shared" si="37"/>
        <v>0.32308970099667772</v>
      </c>
      <c r="G1346" s="75"/>
    </row>
    <row r="1347" spans="1:7" x14ac:dyDescent="0.25">
      <c r="A1347" s="22">
        <v>43867</v>
      </c>
      <c r="B1347" s="15" t="s">
        <v>50</v>
      </c>
      <c r="C1347" s="23" t="s">
        <v>48</v>
      </c>
      <c r="D1347" s="74">
        <v>0.14430000000000001</v>
      </c>
      <c r="E1347" s="74">
        <v>5.2399999999999995E-2</v>
      </c>
      <c r="F1347" s="76">
        <f t="shared" si="37"/>
        <v>0.36313236313236308</v>
      </c>
      <c r="G1347" s="75"/>
    </row>
    <row r="1348" spans="1:7" x14ac:dyDescent="0.25">
      <c r="A1348" s="22">
        <v>43867</v>
      </c>
      <c r="B1348" s="15" t="s">
        <v>51</v>
      </c>
      <c r="C1348" s="23" t="s">
        <v>45</v>
      </c>
      <c r="D1348" s="75">
        <v>0.309</v>
      </c>
      <c r="E1348" s="75">
        <v>0.15280000000000002</v>
      </c>
      <c r="F1348" s="76">
        <f t="shared" si="37"/>
        <v>0.49449838187702272</v>
      </c>
      <c r="G1348" s="75">
        <f>AVERAGE(F1348:F1350)</f>
        <v>0.4783507987261133</v>
      </c>
    </row>
    <row r="1349" spans="1:7" x14ac:dyDescent="0.25">
      <c r="A1349" s="22">
        <v>43867</v>
      </c>
      <c r="B1349" s="15" t="s">
        <v>51</v>
      </c>
      <c r="C1349" s="23" t="s">
        <v>46</v>
      </c>
      <c r="D1349" s="75">
        <v>0.30099999999999999</v>
      </c>
      <c r="E1349" s="75">
        <v>0.13140000000000002</v>
      </c>
      <c r="F1349" s="76">
        <f t="shared" si="37"/>
        <v>0.43654485049833897</v>
      </c>
      <c r="G1349" s="74"/>
    </row>
    <row r="1350" spans="1:7" x14ac:dyDescent="0.25">
      <c r="A1350" s="22">
        <v>43867</v>
      </c>
      <c r="B1350" s="15" t="s">
        <v>51</v>
      </c>
      <c r="C1350" s="23" t="s">
        <v>47</v>
      </c>
      <c r="D1350" s="75">
        <v>0.17460000000000001</v>
      </c>
      <c r="E1350" s="75">
        <v>8.7999999999999995E-2</v>
      </c>
      <c r="F1350" s="76">
        <f t="shared" si="37"/>
        <v>0.50400916380297822</v>
      </c>
      <c r="G1350" s="75"/>
    </row>
    <row r="1351" spans="1:7" x14ac:dyDescent="0.25">
      <c r="A1351" s="22">
        <v>43867</v>
      </c>
      <c r="B1351" s="15" t="s">
        <v>51</v>
      </c>
      <c r="C1351" s="23" t="s">
        <v>48</v>
      </c>
      <c r="D1351" s="75">
        <v>0.1484</v>
      </c>
      <c r="E1351" s="75">
        <v>6.3399999999999998E-2</v>
      </c>
      <c r="F1351" s="76">
        <f t="shared" si="37"/>
        <v>0.42722371967654982</v>
      </c>
      <c r="G1351" s="75"/>
    </row>
    <row r="1352" spans="1:7" x14ac:dyDescent="0.25">
      <c r="A1352" s="22">
        <v>43948</v>
      </c>
      <c r="B1352" s="15" t="s">
        <v>44</v>
      </c>
      <c r="C1352" s="23" t="s">
        <v>45</v>
      </c>
      <c r="D1352" s="75">
        <v>0.26235999999999998</v>
      </c>
      <c r="E1352" s="75">
        <v>8.1900000000000001E-2</v>
      </c>
      <c r="F1352" s="76">
        <f>E1352/D1352</f>
        <v>0.31216648879402348</v>
      </c>
      <c r="G1352" s="75">
        <f>AVERAGE(F1352:F1355)</f>
        <v>0.30653815795990991</v>
      </c>
    </row>
    <row r="1353" spans="1:7" x14ac:dyDescent="0.25">
      <c r="A1353" s="22">
        <v>43948</v>
      </c>
      <c r="B1353" s="15" t="s">
        <v>44</v>
      </c>
      <c r="C1353" s="23" t="s">
        <v>46</v>
      </c>
      <c r="D1353" s="75">
        <v>0.24163999999999999</v>
      </c>
      <c r="E1353" s="75">
        <v>6.0059999999999995E-2</v>
      </c>
      <c r="F1353" s="76">
        <f>E1353/D1353</f>
        <v>0.24855156431054459</v>
      </c>
      <c r="G1353" s="74"/>
    </row>
    <row r="1354" spans="1:7" x14ac:dyDescent="0.25">
      <c r="A1354" s="22">
        <v>43948</v>
      </c>
      <c r="B1354" s="15" t="s">
        <v>44</v>
      </c>
      <c r="C1354" s="23" t="s">
        <v>47</v>
      </c>
      <c r="D1354" s="75">
        <v>0.26389999999999997</v>
      </c>
      <c r="E1354" s="75">
        <v>8.6379999999999998E-2</v>
      </c>
      <c r="F1354" s="76">
        <f>E1354/D1354</f>
        <v>0.32732095490716184</v>
      </c>
      <c r="G1354" s="75"/>
    </row>
    <row r="1355" spans="1:7" x14ac:dyDescent="0.25">
      <c r="A1355" s="22">
        <v>43948</v>
      </c>
      <c r="B1355" s="15" t="s">
        <v>44</v>
      </c>
      <c r="C1355" s="23" t="s">
        <v>48</v>
      </c>
      <c r="D1355" s="75">
        <v>0.25381999999999999</v>
      </c>
      <c r="E1355" s="75">
        <v>8.5819999999999994E-2</v>
      </c>
      <c r="F1355" s="76">
        <f>E1355/D1355</f>
        <v>0.33811362382790955</v>
      </c>
      <c r="G1355" s="75"/>
    </row>
    <row r="1356" spans="1:7" x14ac:dyDescent="0.25">
      <c r="A1356" s="22">
        <v>43948</v>
      </c>
      <c r="B1356" s="15" t="s">
        <v>49</v>
      </c>
      <c r="C1356" s="23" t="s">
        <v>45</v>
      </c>
      <c r="D1356" s="75">
        <v>0.21510000000000001</v>
      </c>
      <c r="E1356" s="75">
        <v>8.055000000000001E-2</v>
      </c>
      <c r="F1356" s="76">
        <f t="shared" ref="F1356:F1381" si="38">E1356/D1356</f>
        <v>0.37447698744769875</v>
      </c>
      <c r="G1356" s="75">
        <f>AVERAGE(F1356:F1359)</f>
        <v>0.37279069107450302</v>
      </c>
    </row>
    <row r="1357" spans="1:7" x14ac:dyDescent="0.25">
      <c r="A1357" s="22">
        <v>43948</v>
      </c>
      <c r="B1357" s="15" t="s">
        <v>49</v>
      </c>
      <c r="C1357" s="23" t="s">
        <v>46</v>
      </c>
      <c r="D1357" s="75">
        <v>0.24990000000000001</v>
      </c>
      <c r="E1357" s="75">
        <v>9.3300000000000008E-2</v>
      </c>
      <c r="F1357" s="76">
        <f t="shared" si="38"/>
        <v>0.37334933973589435</v>
      </c>
      <c r="G1357" s="74"/>
    </row>
    <row r="1358" spans="1:7" x14ac:dyDescent="0.25">
      <c r="A1358" s="22">
        <v>43948</v>
      </c>
      <c r="B1358" s="15" t="s">
        <v>49</v>
      </c>
      <c r="C1358" s="23" t="s">
        <v>47</v>
      </c>
      <c r="D1358" s="75">
        <v>0.25290000000000001</v>
      </c>
      <c r="E1358" s="75">
        <v>9.8099999999999993E-2</v>
      </c>
      <c r="F1358" s="76">
        <f t="shared" si="38"/>
        <v>0.38790035587188609</v>
      </c>
      <c r="G1358" s="75"/>
    </row>
    <row r="1359" spans="1:7" x14ac:dyDescent="0.25">
      <c r="A1359" s="22">
        <v>43948</v>
      </c>
      <c r="B1359" s="15" t="s">
        <v>49</v>
      </c>
      <c r="C1359" s="23" t="s">
        <v>48</v>
      </c>
      <c r="D1359" s="75">
        <v>0.25109999999999999</v>
      </c>
      <c r="E1359" s="75">
        <v>8.9249999999999996E-2</v>
      </c>
      <c r="F1359" s="76">
        <f t="shared" si="38"/>
        <v>0.35543608124253284</v>
      </c>
      <c r="G1359" s="75"/>
    </row>
    <row r="1360" spans="1:7" x14ac:dyDescent="0.25">
      <c r="A1360" s="22">
        <v>43948</v>
      </c>
      <c r="B1360" s="15" t="s">
        <v>50</v>
      </c>
      <c r="C1360" s="23" t="s">
        <v>45</v>
      </c>
      <c r="D1360" s="75">
        <v>0.22573399999999999</v>
      </c>
      <c r="E1360" s="75">
        <v>8.0711999999999992E-2</v>
      </c>
      <c r="F1360" s="76">
        <f t="shared" si="38"/>
        <v>0.35755358076319915</v>
      </c>
      <c r="G1360" s="75">
        <f>AVERAGE(F1360:F1363)</f>
        <v>0.36837098558445247</v>
      </c>
    </row>
    <row r="1361" spans="1:7" x14ac:dyDescent="0.25">
      <c r="A1361" s="22">
        <v>43948</v>
      </c>
      <c r="B1361" s="15" t="s">
        <v>50</v>
      </c>
      <c r="C1361" s="23" t="s">
        <v>46</v>
      </c>
      <c r="D1361" s="75">
        <v>0.22891999999999998</v>
      </c>
      <c r="E1361" s="75">
        <v>8.5195999999999994E-2</v>
      </c>
      <c r="F1361" s="76">
        <f t="shared" si="38"/>
        <v>0.37216494845360826</v>
      </c>
      <c r="G1361" s="74"/>
    </row>
    <row r="1362" spans="1:7" x14ac:dyDescent="0.25">
      <c r="A1362" s="22">
        <v>43948</v>
      </c>
      <c r="B1362" s="15" t="s">
        <v>50</v>
      </c>
      <c r="C1362" s="23" t="s">
        <v>47</v>
      </c>
      <c r="D1362" s="75">
        <v>0.20496599999999998</v>
      </c>
      <c r="E1362" s="75">
        <v>6.6198000000000007E-2</v>
      </c>
      <c r="F1362" s="76">
        <f t="shared" si="38"/>
        <v>0.32297063903281525</v>
      </c>
      <c r="G1362" s="75"/>
    </row>
    <row r="1363" spans="1:7" x14ac:dyDescent="0.25">
      <c r="A1363" s="22">
        <v>43948</v>
      </c>
      <c r="B1363" s="15" t="s">
        <v>50</v>
      </c>
      <c r="C1363" s="23" t="s">
        <v>48</v>
      </c>
      <c r="D1363" s="75">
        <v>0.21676599999999999</v>
      </c>
      <c r="E1363" s="75">
        <v>9.121399999999999E-2</v>
      </c>
      <c r="F1363" s="76">
        <f t="shared" si="38"/>
        <v>0.42079477408818722</v>
      </c>
      <c r="G1363" s="75"/>
    </row>
    <row r="1364" spans="1:7" x14ac:dyDescent="0.25">
      <c r="A1364" s="22">
        <v>43948</v>
      </c>
      <c r="B1364" s="15" t="s">
        <v>51</v>
      </c>
      <c r="C1364" s="23" t="s">
        <v>45</v>
      </c>
      <c r="D1364" s="75">
        <v>0.25269999999999998</v>
      </c>
      <c r="E1364" s="75">
        <v>0.1099</v>
      </c>
      <c r="F1364" s="76">
        <f t="shared" si="38"/>
        <v>0.43490304709141275</v>
      </c>
      <c r="G1364" s="75">
        <f>AVERAGE(F1364:F1367)</f>
        <v>0.400521082253535</v>
      </c>
    </row>
    <row r="1365" spans="1:7" x14ac:dyDescent="0.25">
      <c r="A1365" s="22">
        <v>43948</v>
      </c>
      <c r="B1365" s="15" t="s">
        <v>51</v>
      </c>
      <c r="C1365" s="23" t="s">
        <v>46</v>
      </c>
      <c r="D1365" s="75">
        <v>0.27160000000000001</v>
      </c>
      <c r="E1365" s="75">
        <v>9.9679999999999991E-2</v>
      </c>
      <c r="F1365" s="76">
        <f t="shared" si="38"/>
        <v>0.36701030927835049</v>
      </c>
      <c r="G1365" s="74"/>
    </row>
    <row r="1366" spans="1:7" x14ac:dyDescent="0.25">
      <c r="A1366" s="22">
        <v>43948</v>
      </c>
      <c r="B1366" s="15" t="s">
        <v>51</v>
      </c>
      <c r="C1366" s="23" t="s">
        <v>47</v>
      </c>
      <c r="D1366" s="75">
        <v>0.2303</v>
      </c>
      <c r="E1366" s="75">
        <v>9.0719999999999995E-2</v>
      </c>
      <c r="F1366" s="76">
        <f t="shared" si="38"/>
        <v>0.39392097264437687</v>
      </c>
      <c r="G1366" s="75"/>
    </row>
    <row r="1367" spans="1:7" x14ac:dyDescent="0.25">
      <c r="A1367" s="22">
        <v>43948</v>
      </c>
      <c r="B1367" s="15" t="s">
        <v>51</v>
      </c>
      <c r="C1367" s="23" t="s">
        <v>48</v>
      </c>
      <c r="D1367" s="75">
        <v>0.22847999999999996</v>
      </c>
      <c r="E1367" s="75">
        <v>9.2819999999999986E-2</v>
      </c>
      <c r="F1367" s="76">
        <f t="shared" si="38"/>
        <v>0.40625</v>
      </c>
      <c r="G1367" s="75"/>
    </row>
    <row r="1368" spans="1:7" x14ac:dyDescent="0.25">
      <c r="A1368" s="22">
        <v>43949</v>
      </c>
      <c r="B1368" s="15" t="s">
        <v>44</v>
      </c>
      <c r="C1368" s="23" t="s">
        <v>45</v>
      </c>
      <c r="D1368" s="75">
        <v>0.19403999999999999</v>
      </c>
      <c r="E1368" s="75">
        <v>5.711999999999999E-2</v>
      </c>
      <c r="F1368" s="76">
        <f t="shared" si="38"/>
        <v>0.29437229437229434</v>
      </c>
      <c r="G1368" s="75">
        <f>AVERAGE(F1368:F1371)</f>
        <v>0.28487780829930809</v>
      </c>
    </row>
    <row r="1369" spans="1:7" x14ac:dyDescent="0.25">
      <c r="A1369" s="22">
        <v>43949</v>
      </c>
      <c r="B1369" s="15" t="s">
        <v>44</v>
      </c>
      <c r="C1369" s="23" t="s">
        <v>46</v>
      </c>
      <c r="D1369" s="75">
        <v>0.21252000000000001</v>
      </c>
      <c r="E1369" s="74">
        <v>5.8099999999999999E-2</v>
      </c>
      <c r="F1369" s="76">
        <f t="shared" si="38"/>
        <v>0.27338603425559943</v>
      </c>
      <c r="G1369" s="74"/>
    </row>
    <row r="1370" spans="1:7" x14ac:dyDescent="0.25">
      <c r="A1370" s="22">
        <v>43949</v>
      </c>
      <c r="B1370" s="15" t="s">
        <v>44</v>
      </c>
      <c r="C1370" s="23" t="s">
        <v>47</v>
      </c>
      <c r="D1370" s="75">
        <v>0.26977999999999996</v>
      </c>
      <c r="E1370" s="75">
        <v>8.3580000000000002E-2</v>
      </c>
      <c r="F1370" s="76">
        <f t="shared" si="38"/>
        <v>0.30980799169693829</v>
      </c>
      <c r="G1370" s="75"/>
    </row>
    <row r="1371" spans="1:7" x14ac:dyDescent="0.25">
      <c r="A1371" s="22">
        <v>43949</v>
      </c>
      <c r="B1371" s="15" t="s">
        <v>44</v>
      </c>
      <c r="C1371" s="23" t="s">
        <v>48</v>
      </c>
      <c r="D1371" s="75">
        <v>0.24905999999999998</v>
      </c>
      <c r="E1371" s="74">
        <v>6.5240000000000006E-2</v>
      </c>
      <c r="F1371" s="76">
        <f t="shared" si="38"/>
        <v>0.26194491287240029</v>
      </c>
      <c r="G1371" s="75"/>
    </row>
    <row r="1372" spans="1:7" x14ac:dyDescent="0.25">
      <c r="A1372" s="22">
        <v>43949</v>
      </c>
      <c r="B1372" s="15" t="s">
        <v>49</v>
      </c>
      <c r="C1372" s="23" t="s">
        <v>45</v>
      </c>
      <c r="D1372" s="75">
        <v>0.11</v>
      </c>
      <c r="E1372" s="75">
        <v>3.0899999999999997E-2</v>
      </c>
      <c r="F1372" s="76">
        <f t="shared" si="38"/>
        <v>0.28090909090909089</v>
      </c>
      <c r="G1372" s="75">
        <f>AVERAGE(F1372:F1373)</f>
        <v>0.3285988753514526</v>
      </c>
    </row>
    <row r="1373" spans="1:7" x14ac:dyDescent="0.25">
      <c r="A1373" s="22">
        <v>43949</v>
      </c>
      <c r="B1373" s="15" t="s">
        <v>49</v>
      </c>
      <c r="C1373" s="23" t="s">
        <v>46</v>
      </c>
      <c r="D1373" s="75">
        <v>9.7000000000000003E-2</v>
      </c>
      <c r="E1373" s="74">
        <v>3.6499999999999998E-2</v>
      </c>
      <c r="F1373" s="76">
        <f t="shared" si="38"/>
        <v>0.37628865979381437</v>
      </c>
      <c r="G1373" s="74"/>
    </row>
    <row r="1374" spans="1:7" x14ac:dyDescent="0.25">
      <c r="A1374" s="22">
        <v>43949</v>
      </c>
      <c r="B1374" s="15" t="s">
        <v>49</v>
      </c>
      <c r="C1374" s="23" t="s">
        <v>47</v>
      </c>
      <c r="D1374" s="75" t="s">
        <v>18</v>
      </c>
      <c r="E1374" s="75" t="s">
        <v>18</v>
      </c>
      <c r="F1374" s="75" t="s">
        <v>18</v>
      </c>
      <c r="G1374" s="82"/>
    </row>
    <row r="1375" spans="1:7" x14ac:dyDescent="0.25">
      <c r="A1375" s="22">
        <v>43949</v>
      </c>
      <c r="B1375" s="15" t="s">
        <v>49</v>
      </c>
      <c r="C1375" s="23" t="s">
        <v>48</v>
      </c>
      <c r="D1375" s="75" t="s">
        <v>18</v>
      </c>
      <c r="E1375" s="75" t="s">
        <v>18</v>
      </c>
      <c r="F1375" s="75" t="s">
        <v>18</v>
      </c>
      <c r="G1375" s="75"/>
    </row>
    <row r="1376" spans="1:7" x14ac:dyDescent="0.25">
      <c r="A1376" s="22">
        <v>43949</v>
      </c>
      <c r="B1376" s="15" t="s">
        <v>50</v>
      </c>
      <c r="C1376" s="23" t="s">
        <v>45</v>
      </c>
      <c r="D1376" s="75">
        <v>0.11910599999999999</v>
      </c>
      <c r="E1376" s="75">
        <v>3.8352131999999997E-2</v>
      </c>
      <c r="F1376" s="76">
        <f t="shared" si="38"/>
        <v>0.32200000000000001</v>
      </c>
      <c r="G1376" s="75">
        <f>AVERAGE(F1376:F1378)</f>
        <v>0.359672673326559</v>
      </c>
    </row>
    <row r="1377" spans="1:7" x14ac:dyDescent="0.25">
      <c r="A1377" s="22">
        <v>43949</v>
      </c>
      <c r="B1377" s="15" t="s">
        <v>50</v>
      </c>
      <c r="C1377" s="23" t="s">
        <v>46</v>
      </c>
      <c r="D1377" s="75">
        <v>0.13232699999999997</v>
      </c>
      <c r="E1377" s="75">
        <v>4.9071671999999997E-2</v>
      </c>
      <c r="F1377" s="76">
        <f t="shared" si="38"/>
        <v>0.37083642793987626</v>
      </c>
      <c r="G1377" s="74"/>
    </row>
    <row r="1378" spans="1:7" x14ac:dyDescent="0.25">
      <c r="A1378" s="22">
        <v>43949</v>
      </c>
      <c r="B1378" s="15" t="s">
        <v>50</v>
      </c>
      <c r="C1378" s="23" t="s">
        <v>47</v>
      </c>
      <c r="D1378" s="75">
        <v>9.4067999999999999E-2</v>
      </c>
      <c r="E1378" s="75">
        <v>3.6327329999999998E-2</v>
      </c>
      <c r="F1378" s="76">
        <f t="shared" si="38"/>
        <v>0.38618159203980096</v>
      </c>
      <c r="G1378" s="75"/>
    </row>
    <row r="1379" spans="1:7" x14ac:dyDescent="0.25">
      <c r="A1379" s="22">
        <v>43949</v>
      </c>
      <c r="B1379" s="15" t="s">
        <v>50</v>
      </c>
      <c r="C1379" s="23" t="s">
        <v>48</v>
      </c>
      <c r="D1379" s="75" t="s">
        <v>18</v>
      </c>
      <c r="E1379" s="75" t="s">
        <v>18</v>
      </c>
      <c r="F1379" s="75" t="s">
        <v>18</v>
      </c>
      <c r="G1379" s="75"/>
    </row>
    <row r="1380" spans="1:7" x14ac:dyDescent="0.25">
      <c r="A1380" s="22">
        <v>43949</v>
      </c>
      <c r="B1380" s="15" t="s">
        <v>51</v>
      </c>
      <c r="C1380" s="23" t="s">
        <v>45</v>
      </c>
      <c r="D1380" s="75">
        <v>5.6399999999999999E-2</v>
      </c>
      <c r="E1380" s="75">
        <v>1.9199999999999998E-2</v>
      </c>
      <c r="F1380" s="76">
        <f t="shared" si="38"/>
        <v>0.34042553191489361</v>
      </c>
      <c r="G1380" s="75">
        <f>AVERAGE(F1380:F1381)</f>
        <v>0.39609701033043715</v>
      </c>
    </row>
    <row r="1381" spans="1:7" x14ac:dyDescent="0.25">
      <c r="A1381" s="22">
        <v>43949</v>
      </c>
      <c r="B1381" s="15" t="s">
        <v>51</v>
      </c>
      <c r="C1381" s="23" t="s">
        <v>46</v>
      </c>
      <c r="D1381" s="75">
        <v>6.2200000000000005E-2</v>
      </c>
      <c r="E1381" s="75">
        <v>2.81E-2</v>
      </c>
      <c r="F1381" s="76">
        <f t="shared" si="38"/>
        <v>0.45176848874598069</v>
      </c>
      <c r="G1381" s="74"/>
    </row>
    <row r="1382" spans="1:7" x14ac:dyDescent="0.25">
      <c r="A1382" s="22">
        <v>43949</v>
      </c>
      <c r="B1382" s="15" t="s">
        <v>51</v>
      </c>
      <c r="C1382" s="23" t="s">
        <v>47</v>
      </c>
      <c r="D1382" s="75" t="s">
        <v>18</v>
      </c>
      <c r="E1382" s="75" t="s">
        <v>18</v>
      </c>
      <c r="F1382" s="75" t="s">
        <v>18</v>
      </c>
      <c r="G1382" s="75"/>
    </row>
    <row r="1383" spans="1:7" x14ac:dyDescent="0.25">
      <c r="A1383" s="62">
        <v>43949</v>
      </c>
      <c r="B1383" s="63" t="s">
        <v>51</v>
      </c>
      <c r="C1383" s="64" t="s">
        <v>48</v>
      </c>
      <c r="D1383" s="79" t="s">
        <v>18</v>
      </c>
      <c r="E1383" s="79" t="s">
        <v>18</v>
      </c>
      <c r="F1383" s="79" t="s">
        <v>18</v>
      </c>
      <c r="G1383" s="79"/>
    </row>
    <row r="1384" spans="1:7" x14ac:dyDescent="0.25">
      <c r="A1384" s="22">
        <v>44069</v>
      </c>
      <c r="B1384" s="15" t="s">
        <v>44</v>
      </c>
      <c r="C1384" s="23" t="s">
        <v>45</v>
      </c>
      <c r="D1384" s="75">
        <v>9.7900000000000001E-2</v>
      </c>
      <c r="E1384" s="75">
        <v>2.24E-2</v>
      </c>
      <c r="F1384" s="76">
        <f t="shared" ref="F1384:F1431" si="39">E1384/D1384</f>
        <v>0.22880490296220632</v>
      </c>
      <c r="G1384" s="75">
        <f>AVERAGE(F1384)</f>
        <v>0.22880490296220632</v>
      </c>
    </row>
    <row r="1385" spans="1:7" x14ac:dyDescent="0.25">
      <c r="A1385" s="22">
        <v>44069</v>
      </c>
      <c r="B1385" s="15" t="s">
        <v>44</v>
      </c>
      <c r="C1385" s="23" t="s">
        <v>46</v>
      </c>
      <c r="D1385" s="75" t="s">
        <v>18</v>
      </c>
      <c r="E1385" s="75" t="s">
        <v>18</v>
      </c>
      <c r="F1385" s="75" t="s">
        <v>18</v>
      </c>
      <c r="G1385" s="74"/>
    </row>
    <row r="1386" spans="1:7" x14ac:dyDescent="0.25">
      <c r="A1386" s="22">
        <v>44069</v>
      </c>
      <c r="B1386" s="15" t="s">
        <v>44</v>
      </c>
      <c r="C1386" s="23" t="s">
        <v>47</v>
      </c>
      <c r="D1386" s="75" t="s">
        <v>18</v>
      </c>
      <c r="E1386" s="75" t="s">
        <v>18</v>
      </c>
      <c r="F1386" s="75" t="s">
        <v>18</v>
      </c>
      <c r="G1386" s="75"/>
    </row>
    <row r="1387" spans="1:7" x14ac:dyDescent="0.25">
      <c r="A1387" s="22">
        <v>44069</v>
      </c>
      <c r="B1387" s="15" t="s">
        <v>44</v>
      </c>
      <c r="C1387" s="23" t="s">
        <v>48</v>
      </c>
      <c r="D1387" s="75" t="s">
        <v>18</v>
      </c>
      <c r="E1387" s="75" t="s">
        <v>18</v>
      </c>
      <c r="F1387" s="75" t="s">
        <v>18</v>
      </c>
      <c r="G1387" s="75"/>
    </row>
    <row r="1388" spans="1:7" x14ac:dyDescent="0.25">
      <c r="A1388" s="22">
        <v>44069</v>
      </c>
      <c r="B1388" s="15" t="s">
        <v>49</v>
      </c>
      <c r="C1388" s="23" t="s">
        <v>45</v>
      </c>
      <c r="D1388" s="75">
        <v>5.3661000000000007E-2</v>
      </c>
      <c r="E1388" s="75">
        <v>2.4365999999999999E-2</v>
      </c>
      <c r="F1388" s="76">
        <f t="shared" si="39"/>
        <v>0.45407279029462727</v>
      </c>
      <c r="G1388" s="75">
        <f>AVERAGE(F1388)</f>
        <v>0.45407279029462727</v>
      </c>
    </row>
    <row r="1389" spans="1:7" x14ac:dyDescent="0.25">
      <c r="A1389" s="22">
        <v>44069</v>
      </c>
      <c r="B1389" s="15" t="s">
        <v>49</v>
      </c>
      <c r="C1389" s="23" t="s">
        <v>46</v>
      </c>
      <c r="D1389" s="75" t="s">
        <v>18</v>
      </c>
      <c r="E1389" s="75" t="s">
        <v>18</v>
      </c>
      <c r="F1389" s="75" t="s">
        <v>18</v>
      </c>
      <c r="G1389" s="74"/>
    </row>
    <row r="1390" spans="1:7" x14ac:dyDescent="0.25">
      <c r="A1390" s="22">
        <v>44069</v>
      </c>
      <c r="B1390" s="15" t="s">
        <v>49</v>
      </c>
      <c r="C1390" s="23" t="s">
        <v>47</v>
      </c>
      <c r="D1390" s="75" t="s">
        <v>18</v>
      </c>
      <c r="E1390" s="75" t="s">
        <v>18</v>
      </c>
      <c r="F1390" s="75" t="s">
        <v>18</v>
      </c>
      <c r="G1390" s="75"/>
    </row>
    <row r="1391" spans="1:7" x14ac:dyDescent="0.25">
      <c r="A1391" s="22">
        <v>44069</v>
      </c>
      <c r="B1391" s="15" t="s">
        <v>49</v>
      </c>
      <c r="C1391" s="23" t="s">
        <v>48</v>
      </c>
      <c r="D1391" s="75" t="s">
        <v>18</v>
      </c>
      <c r="E1391" s="75" t="s">
        <v>18</v>
      </c>
      <c r="F1391" s="75" t="s">
        <v>18</v>
      </c>
      <c r="G1391" s="75"/>
    </row>
    <row r="1392" spans="1:7" x14ac:dyDescent="0.25">
      <c r="A1392" s="22">
        <v>44069</v>
      </c>
      <c r="B1392" s="15" t="s">
        <v>50</v>
      </c>
      <c r="C1392" s="23" t="s">
        <v>45</v>
      </c>
      <c r="D1392" s="75">
        <v>3.5400000000000001E-2</v>
      </c>
      <c r="E1392" s="75">
        <v>9.5999999999999992E-3</v>
      </c>
      <c r="F1392" s="76">
        <f t="shared" si="39"/>
        <v>0.27118644067796605</v>
      </c>
      <c r="G1392" s="75">
        <f>AVERAGE(F1392)</f>
        <v>0.27118644067796605</v>
      </c>
    </row>
    <row r="1393" spans="1:7" x14ac:dyDescent="0.25">
      <c r="A1393" s="22">
        <v>44069</v>
      </c>
      <c r="B1393" s="15" t="s">
        <v>50</v>
      </c>
      <c r="C1393" s="23" t="s">
        <v>46</v>
      </c>
      <c r="D1393" s="75" t="s">
        <v>18</v>
      </c>
      <c r="E1393" s="75" t="s">
        <v>18</v>
      </c>
      <c r="F1393" s="75" t="s">
        <v>18</v>
      </c>
      <c r="G1393" s="74"/>
    </row>
    <row r="1394" spans="1:7" x14ac:dyDescent="0.25">
      <c r="A1394" s="22">
        <v>44069</v>
      </c>
      <c r="B1394" s="15" t="s">
        <v>50</v>
      </c>
      <c r="C1394" s="23" t="s">
        <v>47</v>
      </c>
      <c r="D1394" s="75" t="s">
        <v>18</v>
      </c>
      <c r="E1394" s="75" t="s">
        <v>18</v>
      </c>
      <c r="F1394" s="75" t="s">
        <v>18</v>
      </c>
      <c r="G1394" s="75"/>
    </row>
    <row r="1395" spans="1:7" x14ac:dyDescent="0.25">
      <c r="A1395" s="22">
        <v>44069</v>
      </c>
      <c r="B1395" s="15" t="s">
        <v>50</v>
      </c>
      <c r="C1395" s="23" t="s">
        <v>48</v>
      </c>
      <c r="D1395" s="75" t="s">
        <v>18</v>
      </c>
      <c r="E1395" s="75" t="s">
        <v>18</v>
      </c>
      <c r="F1395" s="75" t="s">
        <v>18</v>
      </c>
      <c r="G1395" s="75"/>
    </row>
    <row r="1396" spans="1:7" x14ac:dyDescent="0.25">
      <c r="A1396" s="22">
        <v>44069</v>
      </c>
      <c r="B1396" s="15" t="s">
        <v>51</v>
      </c>
      <c r="C1396" s="23" t="s">
        <v>45</v>
      </c>
      <c r="D1396" s="75">
        <v>2.58E-2</v>
      </c>
      <c r="E1396" s="75">
        <v>1.3699999999999999E-2</v>
      </c>
      <c r="F1396" s="76">
        <f t="shared" si="39"/>
        <v>0.53100775193798444</v>
      </c>
      <c r="G1396" s="75">
        <f>AVERAGE(F1396)</f>
        <v>0.53100775193798444</v>
      </c>
    </row>
    <row r="1397" spans="1:7" x14ac:dyDescent="0.25">
      <c r="A1397" s="22">
        <v>44069</v>
      </c>
      <c r="B1397" s="15" t="s">
        <v>51</v>
      </c>
      <c r="C1397" s="23" t="s">
        <v>46</v>
      </c>
      <c r="D1397" s="75" t="s">
        <v>18</v>
      </c>
      <c r="E1397" s="75" t="s">
        <v>18</v>
      </c>
      <c r="F1397" s="75" t="s">
        <v>18</v>
      </c>
      <c r="G1397" s="74"/>
    </row>
    <row r="1398" spans="1:7" x14ac:dyDescent="0.25">
      <c r="A1398" s="22">
        <v>44069</v>
      </c>
      <c r="B1398" s="15" t="s">
        <v>51</v>
      </c>
      <c r="C1398" s="23" t="s">
        <v>47</v>
      </c>
      <c r="D1398" s="75" t="s">
        <v>18</v>
      </c>
      <c r="E1398" s="75" t="s">
        <v>18</v>
      </c>
      <c r="F1398" s="75" t="s">
        <v>18</v>
      </c>
      <c r="G1398" s="75"/>
    </row>
    <row r="1399" spans="1:7" x14ac:dyDescent="0.25">
      <c r="A1399" s="22">
        <v>44069</v>
      </c>
      <c r="B1399" s="15" t="s">
        <v>51</v>
      </c>
      <c r="C1399" s="23" t="s">
        <v>48</v>
      </c>
      <c r="D1399" s="75" t="s">
        <v>18</v>
      </c>
      <c r="E1399" s="75" t="s">
        <v>18</v>
      </c>
      <c r="F1399" s="75" t="s">
        <v>18</v>
      </c>
      <c r="G1399" s="75"/>
    </row>
    <row r="1400" spans="1:7" x14ac:dyDescent="0.25">
      <c r="A1400" s="22">
        <v>44070</v>
      </c>
      <c r="B1400" s="15" t="s">
        <v>44</v>
      </c>
      <c r="C1400" s="23" t="s">
        <v>45</v>
      </c>
      <c r="D1400" s="75">
        <v>0.17079999999999998</v>
      </c>
      <c r="E1400" s="75">
        <v>4.1019999999999994E-2</v>
      </c>
      <c r="F1400" s="76">
        <f t="shared" si="39"/>
        <v>0.24016393442622949</v>
      </c>
      <c r="G1400" s="75">
        <f>AVERAGE(F1400:F1403)</f>
        <v>0.23512388026840139</v>
      </c>
    </row>
    <row r="1401" spans="1:7" x14ac:dyDescent="0.25">
      <c r="A1401" s="22">
        <v>44070</v>
      </c>
      <c r="B1401" s="15" t="s">
        <v>44</v>
      </c>
      <c r="C1401" s="23" t="s">
        <v>46</v>
      </c>
      <c r="D1401" s="75">
        <v>0.19683999999999999</v>
      </c>
      <c r="E1401" s="74">
        <v>4.9699999999999994E-2</v>
      </c>
      <c r="F1401" s="76">
        <f t="shared" si="39"/>
        <v>0.25248933143669983</v>
      </c>
      <c r="G1401" s="74"/>
    </row>
    <row r="1402" spans="1:7" x14ac:dyDescent="0.25">
      <c r="A1402" s="22">
        <v>44070</v>
      </c>
      <c r="B1402" s="15" t="s">
        <v>44</v>
      </c>
      <c r="C1402" s="23" t="s">
        <v>47</v>
      </c>
      <c r="D1402" s="75">
        <v>0.19950000000000001</v>
      </c>
      <c r="E1402" s="75">
        <v>4.018E-2</v>
      </c>
      <c r="F1402" s="76">
        <f t="shared" si="39"/>
        <v>0.20140350877192981</v>
      </c>
      <c r="G1402" s="75"/>
    </row>
    <row r="1403" spans="1:7" x14ac:dyDescent="0.25">
      <c r="A1403" s="22">
        <v>44070</v>
      </c>
      <c r="B1403" s="15" t="s">
        <v>44</v>
      </c>
      <c r="C1403" s="23" t="s">
        <v>48</v>
      </c>
      <c r="D1403" s="75">
        <v>0.19656000000000001</v>
      </c>
      <c r="E1403" s="74">
        <v>4.8439999999999997E-2</v>
      </c>
      <c r="F1403" s="76">
        <f t="shared" si="39"/>
        <v>0.24643874643874641</v>
      </c>
      <c r="G1403" s="75"/>
    </row>
    <row r="1404" spans="1:7" x14ac:dyDescent="0.25">
      <c r="A1404" s="22">
        <v>44070</v>
      </c>
      <c r="B1404" s="15" t="s">
        <v>49</v>
      </c>
      <c r="C1404" s="23" t="s">
        <v>45</v>
      </c>
      <c r="D1404" s="75">
        <v>0.16839999999999999</v>
      </c>
      <c r="E1404" s="75">
        <v>7.5600000000000001E-2</v>
      </c>
      <c r="F1404" s="76">
        <f t="shared" si="39"/>
        <v>0.44893111638954869</v>
      </c>
      <c r="G1404" s="75">
        <f>AVERAGE(F1404:F1407)</f>
        <v>0.36772339471862037</v>
      </c>
    </row>
    <row r="1405" spans="1:7" x14ac:dyDescent="0.25">
      <c r="A1405" s="22">
        <v>44070</v>
      </c>
      <c r="B1405" s="15" t="s">
        <v>49</v>
      </c>
      <c r="C1405" s="23" t="s">
        <v>46</v>
      </c>
      <c r="D1405" s="75">
        <v>0.16419999999999998</v>
      </c>
      <c r="E1405" s="75">
        <v>5.9799999999999999E-2</v>
      </c>
      <c r="F1405" s="76">
        <f t="shared" si="39"/>
        <v>0.36419001218026797</v>
      </c>
      <c r="G1405" s="74"/>
    </row>
    <row r="1406" spans="1:7" x14ac:dyDescent="0.25">
      <c r="A1406" s="22">
        <v>44070</v>
      </c>
      <c r="B1406" s="15" t="s">
        <v>49</v>
      </c>
      <c r="C1406" s="23" t="s">
        <v>47</v>
      </c>
      <c r="D1406" s="75">
        <v>0.23499999999999999</v>
      </c>
      <c r="E1406" s="75">
        <v>8.8599999999999998E-2</v>
      </c>
      <c r="F1406" s="76">
        <f>E1406/D1406</f>
        <v>0.37702127659574469</v>
      </c>
      <c r="G1406" s="75"/>
    </row>
    <row r="1407" spans="1:7" x14ac:dyDescent="0.25">
      <c r="A1407" s="22">
        <v>44070</v>
      </c>
      <c r="B1407" s="15" t="s">
        <v>49</v>
      </c>
      <c r="C1407" s="23" t="s">
        <v>48</v>
      </c>
      <c r="D1407" s="75">
        <v>0.21299999999999999</v>
      </c>
      <c r="E1407" s="75">
        <v>0.1</v>
      </c>
      <c r="F1407" s="76">
        <f>E1405/D1407</f>
        <v>0.28075117370892017</v>
      </c>
      <c r="G1407" s="75"/>
    </row>
    <row r="1408" spans="1:7" x14ac:dyDescent="0.25">
      <c r="A1408" s="22">
        <v>44070</v>
      </c>
      <c r="B1408" s="15" t="s">
        <v>50</v>
      </c>
      <c r="C1408" s="23" t="s">
        <v>45</v>
      </c>
      <c r="D1408" s="75">
        <v>0.1017</v>
      </c>
      <c r="E1408" s="75">
        <v>2.9399999999999999E-2</v>
      </c>
      <c r="F1408" s="76">
        <f t="shared" si="39"/>
        <v>0.28908554572271383</v>
      </c>
      <c r="G1408" s="75">
        <f>AVERAGE(F1408)</f>
        <v>0.28908554572271383</v>
      </c>
    </row>
    <row r="1409" spans="1:7" x14ac:dyDescent="0.25">
      <c r="A1409" s="22">
        <v>44070</v>
      </c>
      <c r="B1409" s="15" t="s">
        <v>50</v>
      </c>
      <c r="C1409" s="23" t="s">
        <v>46</v>
      </c>
      <c r="D1409" s="75" t="s">
        <v>18</v>
      </c>
      <c r="E1409" s="75" t="s">
        <v>18</v>
      </c>
      <c r="F1409" s="75" t="s">
        <v>18</v>
      </c>
      <c r="G1409" s="74"/>
    </row>
    <row r="1410" spans="1:7" x14ac:dyDescent="0.25">
      <c r="A1410" s="22">
        <v>44070</v>
      </c>
      <c r="B1410" s="15" t="s">
        <v>50</v>
      </c>
      <c r="C1410" s="23" t="s">
        <v>47</v>
      </c>
      <c r="D1410" s="75" t="s">
        <v>18</v>
      </c>
      <c r="E1410" s="75" t="s">
        <v>18</v>
      </c>
      <c r="F1410" s="75" t="s">
        <v>18</v>
      </c>
      <c r="G1410" s="75"/>
    </row>
    <row r="1411" spans="1:7" x14ac:dyDescent="0.25">
      <c r="A1411" s="22">
        <v>44070</v>
      </c>
      <c r="B1411" s="15" t="s">
        <v>50</v>
      </c>
      <c r="C1411" s="23" t="s">
        <v>48</v>
      </c>
      <c r="D1411" s="75" t="s">
        <v>18</v>
      </c>
      <c r="E1411" s="75" t="s">
        <v>18</v>
      </c>
      <c r="F1411" s="75" t="s">
        <v>18</v>
      </c>
      <c r="G1411" s="75"/>
    </row>
    <row r="1412" spans="1:7" x14ac:dyDescent="0.25">
      <c r="A1412" s="22">
        <v>44070</v>
      </c>
      <c r="B1412" s="15" t="s">
        <v>51</v>
      </c>
      <c r="C1412" s="23" t="s">
        <v>45</v>
      </c>
      <c r="D1412" s="75">
        <v>0.22</v>
      </c>
      <c r="E1412" s="75">
        <v>0.1052</v>
      </c>
      <c r="F1412" s="76">
        <f t="shared" si="39"/>
        <v>0.47818181818181821</v>
      </c>
      <c r="G1412" s="75">
        <f>AVERAGE(F1412:F1414)</f>
        <v>0.48487141687141694</v>
      </c>
    </row>
    <row r="1413" spans="1:7" x14ac:dyDescent="0.25">
      <c r="A1413" s="22">
        <v>44070</v>
      </c>
      <c r="B1413" s="15" t="s">
        <v>51</v>
      </c>
      <c r="C1413" s="23" t="s">
        <v>46</v>
      </c>
      <c r="D1413" s="75">
        <v>0.14799999999999999</v>
      </c>
      <c r="E1413" s="75">
        <v>7.1400000000000005E-2</v>
      </c>
      <c r="F1413" s="76">
        <f t="shared" si="39"/>
        <v>0.4824324324324325</v>
      </c>
      <c r="G1413" s="74"/>
    </row>
    <row r="1414" spans="1:7" x14ac:dyDescent="0.25">
      <c r="A1414" s="22">
        <v>44070</v>
      </c>
      <c r="B1414" s="15" t="s">
        <v>51</v>
      </c>
      <c r="C1414" s="23" t="s">
        <v>47</v>
      </c>
      <c r="D1414" s="75">
        <v>0.1</v>
      </c>
      <c r="E1414" s="75">
        <v>4.9399999999999999E-2</v>
      </c>
      <c r="F1414" s="76">
        <f t="shared" si="39"/>
        <v>0.49399999999999999</v>
      </c>
      <c r="G1414" s="75"/>
    </row>
    <row r="1415" spans="1:7" x14ac:dyDescent="0.25">
      <c r="A1415" s="22">
        <v>44070</v>
      </c>
      <c r="B1415" s="15" t="s">
        <v>51</v>
      </c>
      <c r="C1415" s="23" t="s">
        <v>48</v>
      </c>
      <c r="D1415" s="75" t="s">
        <v>18</v>
      </c>
      <c r="E1415" s="75" t="s">
        <v>18</v>
      </c>
      <c r="F1415" s="75" t="s">
        <v>18</v>
      </c>
      <c r="G1415" s="75"/>
    </row>
    <row r="1416" spans="1:7" x14ac:dyDescent="0.25">
      <c r="A1416" s="22">
        <v>44071</v>
      </c>
      <c r="B1416" s="15" t="s">
        <v>44</v>
      </c>
      <c r="C1416" s="23" t="s">
        <v>45</v>
      </c>
      <c r="D1416" s="75">
        <v>7.8960000000000002E-2</v>
      </c>
      <c r="E1416" s="75">
        <v>2.4480000000000005E-2</v>
      </c>
      <c r="F1416" s="76">
        <f t="shared" si="39"/>
        <v>0.31003039513677816</v>
      </c>
      <c r="G1416" s="75">
        <f>AVERAGE(F1416:F1419)</f>
        <v>0.31553253830094652</v>
      </c>
    </row>
    <row r="1417" spans="1:7" x14ac:dyDescent="0.25">
      <c r="A1417" s="22">
        <v>44071</v>
      </c>
      <c r="B1417" s="15" t="s">
        <v>44</v>
      </c>
      <c r="C1417" s="23" t="s">
        <v>46</v>
      </c>
      <c r="D1417" s="75">
        <v>6.1760000000000002E-2</v>
      </c>
      <c r="E1417" s="74">
        <v>1.584E-2</v>
      </c>
      <c r="F1417" s="76">
        <f t="shared" si="39"/>
        <v>0.2564766839378238</v>
      </c>
      <c r="G1417" s="74"/>
    </row>
    <row r="1418" spans="1:7" x14ac:dyDescent="0.25">
      <c r="A1418" s="22">
        <v>44071</v>
      </c>
      <c r="B1418" s="15" t="s">
        <v>44</v>
      </c>
      <c r="C1418" s="23" t="s">
        <v>47</v>
      </c>
      <c r="D1418" s="75">
        <v>5.4800000000000001E-2</v>
      </c>
      <c r="E1418" s="74">
        <v>1.1120000000000001E-2</v>
      </c>
      <c r="F1418" s="76">
        <f>E1422/D1418</f>
        <v>0.45164233576642338</v>
      </c>
      <c r="G1418" s="75"/>
    </row>
    <row r="1419" spans="1:7" x14ac:dyDescent="0.25">
      <c r="A1419" s="22">
        <v>44071</v>
      </c>
      <c r="B1419" s="15" t="s">
        <v>44</v>
      </c>
      <c r="C1419" s="23" t="s">
        <v>48</v>
      </c>
      <c r="D1419" s="75">
        <v>4.9840000000000002E-2</v>
      </c>
      <c r="E1419" s="74">
        <v>1.2160000000000001E-2</v>
      </c>
      <c r="F1419" s="76">
        <f t="shared" si="39"/>
        <v>0.24398073836276082</v>
      </c>
      <c r="G1419" s="75"/>
    </row>
    <row r="1420" spans="1:7" x14ac:dyDescent="0.25">
      <c r="A1420" s="22">
        <v>44071</v>
      </c>
      <c r="B1420" s="15" t="s">
        <v>49</v>
      </c>
      <c r="C1420" s="23" t="s">
        <v>45</v>
      </c>
      <c r="D1420" s="75">
        <v>4.8420000000000005E-2</v>
      </c>
      <c r="E1420" s="75">
        <v>2.5470000000000003E-2</v>
      </c>
      <c r="F1420" s="76">
        <f t="shared" si="39"/>
        <v>0.52602230483271373</v>
      </c>
      <c r="G1420" s="75">
        <f>AVERAGE(F1420:F1423)</f>
        <v>0.4668850453841813</v>
      </c>
    </row>
    <row r="1421" spans="1:7" x14ac:dyDescent="0.25">
      <c r="A1421" s="22">
        <v>44071</v>
      </c>
      <c r="B1421" s="15" t="s">
        <v>49</v>
      </c>
      <c r="C1421" s="23" t="s">
        <v>46</v>
      </c>
      <c r="D1421" s="75">
        <v>4.4639999999999999E-2</v>
      </c>
      <c r="E1421" s="74">
        <v>1.8720000000000004E-2</v>
      </c>
      <c r="F1421" s="76">
        <f t="shared" si="39"/>
        <v>0.41935483870967749</v>
      </c>
      <c r="G1421" s="74"/>
    </row>
    <row r="1422" spans="1:7" x14ac:dyDescent="0.25">
      <c r="A1422" s="22">
        <v>44071</v>
      </c>
      <c r="B1422" s="15" t="s">
        <v>49</v>
      </c>
      <c r="C1422" s="23" t="s">
        <v>47</v>
      </c>
      <c r="D1422" s="75">
        <v>4.5359999999999998E-2</v>
      </c>
      <c r="E1422" s="75">
        <v>2.4750000000000001E-2</v>
      </c>
      <c r="F1422" s="76">
        <f t="shared" si="39"/>
        <v>0.54563492063492069</v>
      </c>
      <c r="G1422" s="75"/>
    </row>
    <row r="1423" spans="1:7" x14ac:dyDescent="0.25">
      <c r="A1423" s="22">
        <v>44071</v>
      </c>
      <c r="B1423" s="15" t="s">
        <v>49</v>
      </c>
      <c r="C1423" s="23" t="s">
        <v>48</v>
      </c>
      <c r="D1423" s="75">
        <v>3.6810000000000002E-2</v>
      </c>
      <c r="E1423" s="75">
        <v>1.3860000000000001E-2</v>
      </c>
      <c r="F1423" s="76">
        <f t="shared" si="39"/>
        <v>0.37652811735941322</v>
      </c>
      <c r="G1423" s="75"/>
    </row>
    <row r="1424" spans="1:7" x14ac:dyDescent="0.25">
      <c r="A1424" s="22">
        <v>44071</v>
      </c>
      <c r="B1424" s="15" t="s">
        <v>50</v>
      </c>
      <c r="C1424" s="23" t="s">
        <v>45</v>
      </c>
      <c r="D1424" s="75">
        <v>5.0080000000000006E-2</v>
      </c>
      <c r="E1424" s="75">
        <v>1.72E-2</v>
      </c>
      <c r="F1424" s="76">
        <f t="shared" si="39"/>
        <v>0.3434504792332268</v>
      </c>
      <c r="G1424" s="75">
        <f>AVERAGE(F1424)</f>
        <v>0.3434504792332268</v>
      </c>
    </row>
    <row r="1425" spans="1:7" x14ac:dyDescent="0.25">
      <c r="A1425" s="22">
        <v>44071</v>
      </c>
      <c r="B1425" s="15" t="s">
        <v>50</v>
      </c>
      <c r="C1425" s="23" t="s">
        <v>46</v>
      </c>
      <c r="D1425" s="75" t="s">
        <v>18</v>
      </c>
      <c r="E1425" s="75" t="s">
        <v>18</v>
      </c>
      <c r="F1425" s="75" t="s">
        <v>18</v>
      </c>
      <c r="G1425" s="74"/>
    </row>
    <row r="1426" spans="1:7" x14ac:dyDescent="0.25">
      <c r="A1426" s="22">
        <v>44071</v>
      </c>
      <c r="B1426" s="15" t="s">
        <v>50</v>
      </c>
      <c r="C1426" s="23" t="s">
        <v>47</v>
      </c>
      <c r="D1426" s="75" t="s">
        <v>18</v>
      </c>
      <c r="E1426" s="75" t="s">
        <v>18</v>
      </c>
      <c r="F1426" s="75" t="s">
        <v>18</v>
      </c>
      <c r="G1426" s="75"/>
    </row>
    <row r="1427" spans="1:7" x14ac:dyDescent="0.25">
      <c r="A1427" s="22">
        <v>44071</v>
      </c>
      <c r="B1427" s="15" t="s">
        <v>50</v>
      </c>
      <c r="C1427" s="23" t="s">
        <v>48</v>
      </c>
      <c r="D1427" s="75" t="s">
        <v>18</v>
      </c>
      <c r="E1427" s="75" t="s">
        <v>18</v>
      </c>
      <c r="F1427" s="75" t="s">
        <v>18</v>
      </c>
      <c r="G1427" s="75"/>
    </row>
    <row r="1428" spans="1:7" x14ac:dyDescent="0.25">
      <c r="A1428" s="22">
        <v>44071</v>
      </c>
      <c r="B1428" s="15" t="s">
        <v>51</v>
      </c>
      <c r="C1428" s="23" t="s">
        <v>45</v>
      </c>
      <c r="D1428" s="75">
        <v>8.9900000000000008E-2</v>
      </c>
      <c r="E1428" s="75">
        <v>3.8399999999999997E-2</v>
      </c>
      <c r="F1428" s="76">
        <f t="shared" si="39"/>
        <v>0.42714126807563951</v>
      </c>
      <c r="G1428" s="75">
        <f>AVERAGE(F1428:F1431)</f>
        <v>0.40492324560311216</v>
      </c>
    </row>
    <row r="1429" spans="1:7" x14ac:dyDescent="0.25">
      <c r="A1429" s="22">
        <v>44071</v>
      </c>
      <c r="B1429" s="15" t="s">
        <v>51</v>
      </c>
      <c r="C1429" s="23" t="s">
        <v>46</v>
      </c>
      <c r="D1429" s="75">
        <v>0.11109999999999999</v>
      </c>
      <c r="E1429" s="75">
        <v>4.87E-2</v>
      </c>
      <c r="F1429" s="76">
        <f t="shared" si="39"/>
        <v>0.43834383438343838</v>
      </c>
      <c r="G1429" s="74"/>
    </row>
    <row r="1430" spans="1:7" x14ac:dyDescent="0.25">
      <c r="A1430" s="22">
        <v>44071</v>
      </c>
      <c r="B1430" s="15" t="s">
        <v>51</v>
      </c>
      <c r="C1430" s="23" t="s">
        <v>47</v>
      </c>
      <c r="D1430" s="75">
        <v>7.5299999999999992E-2</v>
      </c>
      <c r="E1430" s="75">
        <v>2.75E-2</v>
      </c>
      <c r="F1430" s="76">
        <f t="shared" si="39"/>
        <v>0.36520584329349276</v>
      </c>
      <c r="G1430" s="75"/>
    </row>
    <row r="1431" spans="1:7" x14ac:dyDescent="0.25">
      <c r="A1431" s="22">
        <v>44071</v>
      </c>
      <c r="B1431" s="15" t="s">
        <v>51</v>
      </c>
      <c r="C1431" s="23" t="s">
        <v>48</v>
      </c>
      <c r="D1431" s="75">
        <v>9.820000000000001E-2</v>
      </c>
      <c r="E1431" s="75">
        <v>3.8200000000000005E-2</v>
      </c>
      <c r="F1431" s="76">
        <f t="shared" si="39"/>
        <v>0.38900203665987781</v>
      </c>
      <c r="G1431" s="75"/>
    </row>
    <row r="1432" spans="1:7" x14ac:dyDescent="0.25">
      <c r="A1432" s="22">
        <v>44132</v>
      </c>
      <c r="B1432" s="15" t="s">
        <v>44</v>
      </c>
      <c r="C1432" s="23" t="s">
        <v>45</v>
      </c>
      <c r="D1432" s="14">
        <v>0.191</v>
      </c>
      <c r="E1432" s="14">
        <v>4.1400000000000006E-2</v>
      </c>
      <c r="F1432" s="15">
        <f>E1432/D1432</f>
        <v>0.2167539267015707</v>
      </c>
      <c r="G1432" s="14">
        <f>AVERAGE(F1432:F1435)</f>
        <v>0.23840475841136519</v>
      </c>
    </row>
    <row r="1433" spans="1:7" x14ac:dyDescent="0.25">
      <c r="A1433" s="22">
        <v>44132</v>
      </c>
      <c r="B1433" s="15" t="s">
        <v>44</v>
      </c>
      <c r="C1433" s="23" t="s">
        <v>46</v>
      </c>
      <c r="D1433" s="14">
        <v>0.18930000000000002</v>
      </c>
      <c r="E1433" s="14">
        <v>4.2900000000000008E-2</v>
      </c>
      <c r="F1433" s="15">
        <f>E1433/D1433</f>
        <v>0.22662440570522979</v>
      </c>
      <c r="G1433" s="17"/>
    </row>
    <row r="1434" spans="1:7" x14ac:dyDescent="0.25">
      <c r="A1434" s="22">
        <v>44132</v>
      </c>
      <c r="B1434" s="15" t="s">
        <v>44</v>
      </c>
      <c r="C1434" s="23" t="s">
        <v>47</v>
      </c>
      <c r="D1434" s="14">
        <v>0.23489999999999997</v>
      </c>
      <c r="E1434" s="14">
        <v>5.8700000000000002E-2</v>
      </c>
      <c r="F1434" s="15">
        <f>E1434/D1434</f>
        <v>0.24989357173265223</v>
      </c>
      <c r="G1434" s="14"/>
    </row>
    <row r="1435" spans="1:7" x14ac:dyDescent="0.25">
      <c r="A1435" s="22">
        <v>44132</v>
      </c>
      <c r="B1435" s="15" t="s">
        <v>44</v>
      </c>
      <c r="C1435" s="23" t="s">
        <v>48</v>
      </c>
      <c r="D1435" s="14">
        <v>0.22470000000000001</v>
      </c>
      <c r="E1435" s="14">
        <v>5.8500000000000003E-2</v>
      </c>
      <c r="F1435" s="15">
        <f>E1435/D1435</f>
        <v>0.26034712950600802</v>
      </c>
      <c r="G1435" s="14"/>
    </row>
    <row r="1436" spans="1:7" x14ac:dyDescent="0.25">
      <c r="A1436" s="22">
        <v>44132</v>
      </c>
      <c r="B1436" s="15" t="s">
        <v>49</v>
      </c>
      <c r="C1436" s="23" t="s">
        <v>45</v>
      </c>
      <c r="D1436" s="14">
        <v>0.1043</v>
      </c>
      <c r="E1436" s="14">
        <v>3.4200000000000001E-2</v>
      </c>
      <c r="F1436" s="15">
        <f>E1436/D1436</f>
        <v>0.32790028763183127</v>
      </c>
      <c r="G1436" s="14">
        <f>AVERAGE(F1436:F1439)</f>
        <v>0.35154175863456849</v>
      </c>
    </row>
    <row r="1437" spans="1:7" x14ac:dyDescent="0.25">
      <c r="A1437" s="22">
        <v>44132</v>
      </c>
      <c r="B1437" s="15" t="s">
        <v>49</v>
      </c>
      <c r="C1437" s="23" t="s">
        <v>46</v>
      </c>
      <c r="D1437" s="14">
        <v>0.1157</v>
      </c>
      <c r="E1437" s="14">
        <v>3.4700000000000002E-2</v>
      </c>
      <c r="F1437" s="15">
        <f t="shared" ref="F1437:F1442" si="40">E1437/D1437</f>
        <v>0.29991356957649096</v>
      </c>
      <c r="G1437" s="17"/>
    </row>
    <row r="1438" spans="1:7" x14ac:dyDescent="0.25">
      <c r="A1438" s="22">
        <v>44132</v>
      </c>
      <c r="B1438" s="15" t="s">
        <v>49</v>
      </c>
      <c r="C1438" s="23" t="s">
        <v>47</v>
      </c>
      <c r="D1438" s="14">
        <v>0.1222</v>
      </c>
      <c r="E1438" s="14">
        <v>4.07E-2</v>
      </c>
      <c r="F1438" s="15">
        <f t="shared" si="40"/>
        <v>0.33306055646481175</v>
      </c>
      <c r="G1438" s="14"/>
    </row>
    <row r="1439" spans="1:7" x14ac:dyDescent="0.25">
      <c r="A1439" s="22">
        <v>44132</v>
      </c>
      <c r="B1439" s="15" t="s">
        <v>49</v>
      </c>
      <c r="C1439" s="23" t="s">
        <v>48</v>
      </c>
      <c r="D1439" s="14">
        <v>7.8599999999999989E-2</v>
      </c>
      <c r="E1439" s="14">
        <v>3.5000000000000003E-2</v>
      </c>
      <c r="F1439" s="15">
        <f t="shared" si="40"/>
        <v>0.44529262086514004</v>
      </c>
      <c r="G1439" s="14"/>
    </row>
    <row r="1440" spans="1:7" x14ac:dyDescent="0.25">
      <c r="A1440" s="22">
        <v>44132</v>
      </c>
      <c r="B1440" s="15" t="s">
        <v>50</v>
      </c>
      <c r="C1440" s="23" t="s">
        <v>45</v>
      </c>
      <c r="D1440" s="14">
        <v>0.10479999999999999</v>
      </c>
      <c r="E1440" s="14">
        <v>3.3100000000000004E-2</v>
      </c>
      <c r="F1440" s="15">
        <f t="shared" si="40"/>
        <v>0.31583969465648865</v>
      </c>
      <c r="G1440" s="14">
        <f>AVERAGE(F1440:F1442)</f>
        <v>0.34768631155110952</v>
      </c>
    </row>
    <row r="1441" spans="1:7" x14ac:dyDescent="0.25">
      <c r="A1441" s="22">
        <v>44132</v>
      </c>
      <c r="B1441" s="15" t="s">
        <v>50</v>
      </c>
      <c r="C1441" s="23" t="s">
        <v>46</v>
      </c>
      <c r="D1441" s="14">
        <v>7.9899999999999999E-2</v>
      </c>
      <c r="E1441" s="14">
        <v>3.0100000000000002E-2</v>
      </c>
      <c r="F1441" s="15">
        <f t="shared" si="40"/>
        <v>0.37672090112640805</v>
      </c>
      <c r="G1441" s="17"/>
    </row>
    <row r="1442" spans="1:7" x14ac:dyDescent="0.25">
      <c r="A1442" s="22">
        <v>44132</v>
      </c>
      <c r="B1442" s="15" t="s">
        <v>50</v>
      </c>
      <c r="C1442" s="23" t="s">
        <v>47</v>
      </c>
      <c r="D1442" s="14">
        <v>6.0200000000000004E-2</v>
      </c>
      <c r="E1442" s="14">
        <v>2.1100000000000001E-2</v>
      </c>
      <c r="F1442" s="15">
        <f t="shared" si="40"/>
        <v>0.35049833887043186</v>
      </c>
      <c r="G1442" s="14"/>
    </row>
    <row r="1443" spans="1:7" x14ac:dyDescent="0.25">
      <c r="A1443" s="22">
        <v>44132</v>
      </c>
      <c r="B1443" s="15" t="s">
        <v>50</v>
      </c>
      <c r="C1443" s="23" t="s">
        <v>48</v>
      </c>
      <c r="D1443" s="14" t="s">
        <v>18</v>
      </c>
      <c r="E1443" s="14" t="s">
        <v>18</v>
      </c>
      <c r="F1443" s="14" t="s">
        <v>18</v>
      </c>
      <c r="G1443" s="14"/>
    </row>
    <row r="1444" spans="1:7" x14ac:dyDescent="0.25">
      <c r="A1444" s="22">
        <v>44132</v>
      </c>
      <c r="B1444" s="15" t="s">
        <v>51</v>
      </c>
      <c r="C1444" s="23" t="s">
        <v>45</v>
      </c>
      <c r="D1444" s="14">
        <v>0.1187</v>
      </c>
      <c r="E1444" s="14">
        <v>3.39E-2</v>
      </c>
      <c r="F1444" s="15">
        <f t="shared" ref="F1444:F1462" si="41">E1444/D1444</f>
        <v>0.2855939342881213</v>
      </c>
      <c r="G1444" s="14">
        <f>AVERAGE(F1444:F1447)</f>
        <v>0.39212568575289053</v>
      </c>
    </row>
    <row r="1445" spans="1:7" x14ac:dyDescent="0.25">
      <c r="A1445" s="22">
        <v>44132</v>
      </c>
      <c r="B1445" s="15" t="s">
        <v>51</v>
      </c>
      <c r="C1445" s="23" t="s">
        <v>46</v>
      </c>
      <c r="D1445" s="14">
        <v>0.12440000000000001</v>
      </c>
      <c r="E1445" s="14">
        <v>4.8100000000000004E-2</v>
      </c>
      <c r="F1445" s="15">
        <f t="shared" si="41"/>
        <v>0.38665594855305468</v>
      </c>
      <c r="G1445" s="17"/>
    </row>
    <row r="1446" spans="1:7" x14ac:dyDescent="0.25">
      <c r="A1446" s="22">
        <v>44132</v>
      </c>
      <c r="B1446" s="15" t="s">
        <v>51</v>
      </c>
      <c r="C1446" s="23" t="s">
        <v>47</v>
      </c>
      <c r="D1446" s="14">
        <v>0.1221</v>
      </c>
      <c r="E1446" s="14">
        <v>5.0900000000000001E-2</v>
      </c>
      <c r="F1446" s="15">
        <f t="shared" si="41"/>
        <v>0.41687141687141688</v>
      </c>
      <c r="G1446" s="14"/>
    </row>
    <row r="1447" spans="1:7" x14ac:dyDescent="0.25">
      <c r="A1447" s="22">
        <v>44132</v>
      </c>
      <c r="B1447" s="15" t="s">
        <v>51</v>
      </c>
      <c r="C1447" s="23" t="s">
        <v>48</v>
      </c>
      <c r="D1447" s="14">
        <v>9.7000000000000003E-2</v>
      </c>
      <c r="E1447" s="14">
        <v>4.65E-2</v>
      </c>
      <c r="F1447" s="15">
        <f t="shared" si="41"/>
        <v>0.47938144329896903</v>
      </c>
      <c r="G1447" s="14"/>
    </row>
    <row r="1448" spans="1:7" x14ac:dyDescent="0.25">
      <c r="A1448" s="22">
        <v>44133</v>
      </c>
      <c r="B1448" s="15" t="s">
        <v>44</v>
      </c>
      <c r="C1448" s="23" t="s">
        <v>45</v>
      </c>
      <c r="D1448" s="14">
        <v>0.24840000000000001</v>
      </c>
      <c r="E1448" s="14">
        <v>6.7199999999999982E-2</v>
      </c>
      <c r="F1448" s="15">
        <f t="shared" si="41"/>
        <v>0.2705314009661835</v>
      </c>
      <c r="G1448" s="14">
        <f>AVERAGE(F1448:F1451)</f>
        <v>0.24022730147535326</v>
      </c>
    </row>
    <row r="1449" spans="1:7" x14ac:dyDescent="0.25">
      <c r="A1449" s="22">
        <v>44133</v>
      </c>
      <c r="B1449" s="15" t="s">
        <v>44</v>
      </c>
      <c r="C1449" s="23" t="s">
        <v>46</v>
      </c>
      <c r="D1449" s="14">
        <v>0.2243</v>
      </c>
      <c r="E1449" s="17">
        <v>5.04E-2</v>
      </c>
      <c r="F1449" s="15">
        <f t="shared" si="41"/>
        <v>0.22469906375390103</v>
      </c>
      <c r="G1449" s="17"/>
    </row>
    <row r="1450" spans="1:7" x14ac:dyDescent="0.25">
      <c r="A1450" s="22">
        <v>44133</v>
      </c>
      <c r="B1450" s="15" t="s">
        <v>44</v>
      </c>
      <c r="C1450" s="23" t="s">
        <v>47</v>
      </c>
      <c r="D1450" s="14">
        <v>0.26469999999999999</v>
      </c>
      <c r="E1450" s="14">
        <v>6.3799999999999996E-2</v>
      </c>
      <c r="F1450" s="15">
        <f t="shared" si="41"/>
        <v>0.24102757839063088</v>
      </c>
      <c r="G1450" s="14"/>
    </row>
    <row r="1451" spans="1:7" x14ac:dyDescent="0.25">
      <c r="A1451" s="22">
        <v>44133</v>
      </c>
      <c r="B1451" s="15" t="s">
        <v>44</v>
      </c>
      <c r="C1451" s="23" t="s">
        <v>48</v>
      </c>
      <c r="D1451" s="14">
        <v>0.215</v>
      </c>
      <c r="E1451" s="17">
        <v>4.8299999999999996E-2</v>
      </c>
      <c r="F1451" s="15">
        <f t="shared" si="41"/>
        <v>0.22465116279069766</v>
      </c>
      <c r="G1451" s="14"/>
    </row>
    <row r="1452" spans="1:7" x14ac:dyDescent="0.25">
      <c r="A1452" s="22">
        <v>44133</v>
      </c>
      <c r="B1452" s="15" t="s">
        <v>49</v>
      </c>
      <c r="C1452" s="23" t="s">
        <v>45</v>
      </c>
      <c r="D1452" s="14">
        <v>0.13350000000000001</v>
      </c>
      <c r="E1452" s="14">
        <v>3.5099999999999999E-2</v>
      </c>
      <c r="F1452" s="15">
        <f t="shared" si="41"/>
        <v>0.26292134831460673</v>
      </c>
      <c r="G1452" s="14">
        <f>AVERAGE(F1452:F1455)</f>
        <v>0.30831701313308679</v>
      </c>
    </row>
    <row r="1453" spans="1:7" x14ac:dyDescent="0.25">
      <c r="A1453" s="22">
        <v>44133</v>
      </c>
      <c r="B1453" s="15" t="s">
        <v>49</v>
      </c>
      <c r="C1453" s="23" t="s">
        <v>46</v>
      </c>
      <c r="D1453" s="14">
        <v>0.154</v>
      </c>
      <c r="E1453" s="14">
        <v>5.2999999999999999E-2</v>
      </c>
      <c r="F1453" s="15">
        <f t="shared" si="41"/>
        <v>0.34415584415584416</v>
      </c>
      <c r="G1453" s="17"/>
    </row>
    <row r="1454" spans="1:7" x14ac:dyDescent="0.25">
      <c r="A1454" s="22">
        <v>44133</v>
      </c>
      <c r="B1454" s="15" t="s">
        <v>49</v>
      </c>
      <c r="C1454" s="23" t="s">
        <v>47</v>
      </c>
      <c r="D1454" s="14">
        <v>0.13369999999999999</v>
      </c>
      <c r="E1454" s="14">
        <v>4.3200000000000002E-2</v>
      </c>
      <c r="F1454" s="15">
        <f t="shared" si="41"/>
        <v>0.32311144353029175</v>
      </c>
      <c r="G1454" s="14"/>
    </row>
    <row r="1455" spans="1:7" x14ac:dyDescent="0.25">
      <c r="A1455" s="22">
        <v>44133</v>
      </c>
      <c r="B1455" s="15" t="s">
        <v>49</v>
      </c>
      <c r="C1455" s="23" t="s">
        <v>48</v>
      </c>
      <c r="D1455" s="14">
        <v>0.12340000000000001</v>
      </c>
      <c r="E1455" s="14">
        <v>3.7399999999999996E-2</v>
      </c>
      <c r="F1455" s="15">
        <f t="shared" si="41"/>
        <v>0.30307941653160447</v>
      </c>
      <c r="G1455" s="14"/>
    </row>
    <row r="1456" spans="1:7" x14ac:dyDescent="0.25">
      <c r="A1456" s="22">
        <v>44133</v>
      </c>
      <c r="B1456" s="15" t="s">
        <v>50</v>
      </c>
      <c r="C1456" s="23" t="s">
        <v>45</v>
      </c>
      <c r="D1456" s="14">
        <v>0.1295</v>
      </c>
      <c r="E1456" s="14">
        <v>4.1399999999999999E-2</v>
      </c>
      <c r="F1456" s="15">
        <f t="shared" si="41"/>
        <v>0.31969111969111969</v>
      </c>
      <c r="G1456" s="14">
        <f>AVERAGE(F1456:F1458)</f>
        <v>0.33640982035293182</v>
      </c>
    </row>
    <row r="1457" spans="1:7" x14ac:dyDescent="0.25">
      <c r="A1457" s="22">
        <v>44133</v>
      </c>
      <c r="B1457" s="15" t="s">
        <v>50</v>
      </c>
      <c r="C1457" s="23" t="s">
        <v>46</v>
      </c>
      <c r="D1457" s="14">
        <v>0.1057</v>
      </c>
      <c r="E1457" s="14">
        <v>3.2399999999999998E-2</v>
      </c>
      <c r="F1457" s="15">
        <f t="shared" si="41"/>
        <v>0.3065279091769158</v>
      </c>
      <c r="G1457" s="17"/>
    </row>
    <row r="1458" spans="1:7" x14ac:dyDescent="0.25">
      <c r="A1458" s="22">
        <v>44133</v>
      </c>
      <c r="B1458" s="15" t="s">
        <v>50</v>
      </c>
      <c r="C1458" s="23" t="s">
        <v>47</v>
      </c>
      <c r="D1458" s="14">
        <v>0.13419999999999999</v>
      </c>
      <c r="E1458" s="14">
        <v>5.1400000000000001E-2</v>
      </c>
      <c r="F1458" s="15">
        <f t="shared" si="41"/>
        <v>0.38301043219076009</v>
      </c>
      <c r="G1458" s="14"/>
    </row>
    <row r="1459" spans="1:7" x14ac:dyDescent="0.25">
      <c r="A1459" s="22">
        <v>44133</v>
      </c>
      <c r="B1459" s="15" t="s">
        <v>50</v>
      </c>
      <c r="C1459" s="23" t="s">
        <v>48</v>
      </c>
      <c r="D1459" s="14" t="s">
        <v>18</v>
      </c>
      <c r="E1459" s="14" t="s">
        <v>18</v>
      </c>
      <c r="F1459" s="14" t="s">
        <v>18</v>
      </c>
      <c r="G1459" s="14"/>
    </row>
    <row r="1460" spans="1:7" x14ac:dyDescent="0.25">
      <c r="A1460" s="22">
        <v>44133</v>
      </c>
      <c r="B1460" s="15" t="s">
        <v>51</v>
      </c>
      <c r="C1460" s="23" t="s">
        <v>45</v>
      </c>
      <c r="D1460" s="14">
        <v>6.2E-2</v>
      </c>
      <c r="E1460" s="14">
        <v>2.5999999999999999E-2</v>
      </c>
      <c r="F1460" s="15">
        <f t="shared" si="41"/>
        <v>0.41935483870967738</v>
      </c>
      <c r="G1460" s="14">
        <f>AVERAGE(F1460:F1462)</f>
        <v>0.36724567617779935</v>
      </c>
    </row>
    <row r="1461" spans="1:7" x14ac:dyDescent="0.25">
      <c r="A1461" s="22">
        <v>44133</v>
      </c>
      <c r="B1461" s="15" t="s">
        <v>51</v>
      </c>
      <c r="C1461" s="23" t="s">
        <v>46</v>
      </c>
      <c r="D1461" s="14">
        <v>9.1799999999999993E-2</v>
      </c>
      <c r="E1461" s="14">
        <v>3.1199999999999999E-2</v>
      </c>
      <c r="F1461" s="15">
        <f t="shared" si="41"/>
        <v>0.33986928104575165</v>
      </c>
      <c r="G1461" s="17"/>
    </row>
    <row r="1462" spans="1:7" x14ac:dyDescent="0.25">
      <c r="A1462" s="22">
        <v>44133</v>
      </c>
      <c r="B1462" s="15" t="s">
        <v>51</v>
      </c>
      <c r="C1462" s="23" t="s">
        <v>47</v>
      </c>
      <c r="D1462" s="14">
        <v>5.8099999999999999E-2</v>
      </c>
      <c r="E1462" s="14">
        <v>1.9899999999999998E-2</v>
      </c>
      <c r="F1462" s="15">
        <f t="shared" si="41"/>
        <v>0.34251290877796897</v>
      </c>
      <c r="G1462" s="14"/>
    </row>
    <row r="1463" spans="1:7" x14ac:dyDescent="0.25">
      <c r="A1463" s="22">
        <v>44133</v>
      </c>
      <c r="B1463" s="15" t="s">
        <v>51</v>
      </c>
      <c r="C1463" s="23" t="s">
        <v>48</v>
      </c>
      <c r="D1463" s="14" t="s">
        <v>18</v>
      </c>
      <c r="E1463" s="14" t="s">
        <v>18</v>
      </c>
      <c r="F1463" s="14" t="s">
        <v>18</v>
      </c>
      <c r="G1463" s="14"/>
    </row>
    <row r="1464" spans="1:7" x14ac:dyDescent="0.25">
      <c r="A1464" s="22" t="s">
        <v>175</v>
      </c>
      <c r="B1464" s="15" t="s">
        <v>44</v>
      </c>
      <c r="C1464" s="23" t="s">
        <v>45</v>
      </c>
      <c r="D1464" s="14">
        <v>0.24960000000000002</v>
      </c>
      <c r="E1464" s="14">
        <v>8.5800000000000001E-2</v>
      </c>
      <c r="F1464" s="15">
        <f>E1464/D1464</f>
        <v>0.34375</v>
      </c>
      <c r="G1464" s="14">
        <f>AVERAGE(F1464:F1467)</f>
        <v>0.34632154376779051</v>
      </c>
    </row>
    <row r="1465" spans="1:7" x14ac:dyDescent="0.25">
      <c r="A1465" s="22" t="s">
        <v>175</v>
      </c>
      <c r="B1465" s="15" t="s">
        <v>44</v>
      </c>
      <c r="C1465" s="23" t="s">
        <v>46</v>
      </c>
      <c r="D1465" s="14">
        <v>0.22040000000000001</v>
      </c>
      <c r="E1465" s="14">
        <v>8.2000000000000003E-2</v>
      </c>
      <c r="F1465" s="15">
        <f t="shared" ref="F1465:F1479" si="42">E1465/D1465</f>
        <v>0.3720508166969147</v>
      </c>
      <c r="G1465" s="17"/>
    </row>
    <row r="1466" spans="1:7" x14ac:dyDescent="0.25">
      <c r="A1466" s="22" t="s">
        <v>175</v>
      </c>
      <c r="B1466" s="15" t="s">
        <v>44</v>
      </c>
      <c r="C1466" s="23" t="s">
        <v>47</v>
      </c>
      <c r="D1466" s="14">
        <v>0.2331</v>
      </c>
      <c r="E1466" s="14">
        <v>7.9700000000000007E-2</v>
      </c>
      <c r="F1466" s="15">
        <f t="shared" si="42"/>
        <v>0.34191334191334194</v>
      </c>
      <c r="G1466" s="14"/>
    </row>
    <row r="1467" spans="1:7" x14ac:dyDescent="0.25">
      <c r="A1467" s="22" t="s">
        <v>175</v>
      </c>
      <c r="B1467" s="15" t="s">
        <v>44</v>
      </c>
      <c r="C1467" s="23" t="s">
        <v>48</v>
      </c>
      <c r="D1467" s="14">
        <v>0.24299999999999999</v>
      </c>
      <c r="E1467" s="14">
        <v>7.959999999999999E-2</v>
      </c>
      <c r="F1467" s="15">
        <f t="shared" si="42"/>
        <v>0.32757201646090534</v>
      </c>
      <c r="G1467" s="14"/>
    </row>
    <row r="1468" spans="1:7" x14ac:dyDescent="0.25">
      <c r="A1468" s="22" t="s">
        <v>175</v>
      </c>
      <c r="B1468" s="15" t="s">
        <v>49</v>
      </c>
      <c r="C1468" s="23" t="s">
        <v>45</v>
      </c>
      <c r="D1468" s="14">
        <v>0.24210000000000001</v>
      </c>
      <c r="E1468" s="14">
        <v>0.11294999999999999</v>
      </c>
      <c r="F1468" s="15">
        <f t="shared" ref="F1468:F1471" si="43">E1468/D1468</f>
        <v>0.46654275092936798</v>
      </c>
      <c r="G1468" s="14">
        <f>AVERAGE(F1468:F1471)</f>
        <v>0.40596701771269239</v>
      </c>
    </row>
    <row r="1469" spans="1:7" x14ac:dyDescent="0.25">
      <c r="A1469" s="22" t="s">
        <v>175</v>
      </c>
      <c r="B1469" s="15" t="s">
        <v>49</v>
      </c>
      <c r="C1469" s="23" t="s">
        <v>46</v>
      </c>
      <c r="D1469" s="14">
        <v>0.23489999999999997</v>
      </c>
      <c r="E1469" s="14">
        <v>9.2550000000000007E-2</v>
      </c>
      <c r="F1469" s="15">
        <f t="shared" si="43"/>
        <v>0.39399744572158374</v>
      </c>
      <c r="G1469" s="17"/>
    </row>
    <row r="1470" spans="1:7" x14ac:dyDescent="0.25">
      <c r="A1470" s="22" t="s">
        <v>175</v>
      </c>
      <c r="B1470" s="15" t="s">
        <v>49</v>
      </c>
      <c r="C1470" s="23" t="s">
        <v>47</v>
      </c>
      <c r="D1470" s="14">
        <v>0.27420000000000005</v>
      </c>
      <c r="E1470" s="14">
        <v>9.0300000000000005E-2</v>
      </c>
      <c r="F1470" s="15">
        <f t="shared" si="43"/>
        <v>0.32932166301969362</v>
      </c>
      <c r="G1470" s="14"/>
    </row>
    <row r="1471" spans="1:7" x14ac:dyDescent="0.25">
      <c r="A1471" s="22" t="s">
        <v>175</v>
      </c>
      <c r="B1471" s="15" t="s">
        <v>49</v>
      </c>
      <c r="C1471" s="23" t="s">
        <v>48</v>
      </c>
      <c r="D1471" s="14">
        <v>0.2576</v>
      </c>
      <c r="E1471" s="14">
        <v>0.1118</v>
      </c>
      <c r="F1471" s="15">
        <f t="shared" si="43"/>
        <v>0.43400621118012422</v>
      </c>
      <c r="G1471" s="14"/>
    </row>
    <row r="1472" spans="1:7" x14ac:dyDescent="0.25">
      <c r="A1472" s="22" t="s">
        <v>175</v>
      </c>
      <c r="B1472" s="15" t="s">
        <v>50</v>
      </c>
      <c r="C1472" s="23" t="s">
        <v>45</v>
      </c>
      <c r="D1472" s="14">
        <v>0.1968</v>
      </c>
      <c r="E1472" s="14">
        <v>7.0900000000000005E-2</v>
      </c>
      <c r="F1472" s="15">
        <f t="shared" si="42"/>
        <v>0.36026422764227645</v>
      </c>
      <c r="G1472" s="14">
        <f>AVERAGE(F1472:F1475)</f>
        <v>0.41777994674217178</v>
      </c>
    </row>
    <row r="1473" spans="1:7" x14ac:dyDescent="0.25">
      <c r="A1473" s="22" t="s">
        <v>175</v>
      </c>
      <c r="B1473" s="15" t="s">
        <v>50</v>
      </c>
      <c r="C1473" s="23" t="s">
        <v>46</v>
      </c>
      <c r="D1473" s="14">
        <v>0.2041</v>
      </c>
      <c r="E1473" s="17">
        <v>8.77E-2</v>
      </c>
      <c r="F1473" s="15">
        <f t="shared" si="42"/>
        <v>0.42969132778049973</v>
      </c>
      <c r="G1473" s="17"/>
    </row>
    <row r="1474" spans="1:7" x14ac:dyDescent="0.25">
      <c r="A1474" s="22" t="s">
        <v>175</v>
      </c>
      <c r="B1474" s="15" t="s">
        <v>50</v>
      </c>
      <c r="C1474" s="23" t="s">
        <v>47</v>
      </c>
      <c r="D1474" s="14">
        <v>0.19650000000000001</v>
      </c>
      <c r="E1474" s="14">
        <v>8.8900000000000007E-2</v>
      </c>
      <c r="F1474" s="15">
        <f t="shared" si="42"/>
        <v>0.45241730279898218</v>
      </c>
      <c r="G1474" s="14"/>
    </row>
    <row r="1475" spans="1:7" x14ac:dyDescent="0.25">
      <c r="A1475" s="22" t="s">
        <v>175</v>
      </c>
      <c r="B1475" s="15" t="s">
        <v>50</v>
      </c>
      <c r="C1475" s="23" t="s">
        <v>48</v>
      </c>
      <c r="D1475" s="14">
        <v>0.1628</v>
      </c>
      <c r="E1475" s="14">
        <v>6.9800000000000001E-2</v>
      </c>
      <c r="F1475" s="15">
        <f t="shared" si="42"/>
        <v>0.42874692874692877</v>
      </c>
      <c r="G1475" s="14"/>
    </row>
    <row r="1476" spans="1:7" x14ac:dyDescent="0.25">
      <c r="A1476" s="22" t="s">
        <v>175</v>
      </c>
      <c r="B1476" s="15" t="s">
        <v>51</v>
      </c>
      <c r="C1476" s="23" t="s">
        <v>45</v>
      </c>
      <c r="D1476" s="14">
        <v>0.24299999999999999</v>
      </c>
      <c r="E1476" s="14">
        <v>0.1164</v>
      </c>
      <c r="F1476" s="15">
        <f t="shared" si="42"/>
        <v>0.47901234567901235</v>
      </c>
      <c r="G1476" s="14">
        <f>AVERAGE(F1476:F1479)</f>
        <v>0.42655983168720452</v>
      </c>
    </row>
    <row r="1477" spans="1:7" x14ac:dyDescent="0.25">
      <c r="A1477" s="22" t="s">
        <v>175</v>
      </c>
      <c r="B1477" s="15" t="s">
        <v>51</v>
      </c>
      <c r="C1477" s="23" t="s">
        <v>46</v>
      </c>
      <c r="D1477" s="14">
        <v>0.17399999999999999</v>
      </c>
      <c r="E1477" s="14">
        <v>6.9699999999999998E-2</v>
      </c>
      <c r="F1477" s="15">
        <f t="shared" si="42"/>
        <v>0.40057471264367817</v>
      </c>
      <c r="G1477" s="17"/>
    </row>
    <row r="1478" spans="1:7" x14ac:dyDescent="0.25">
      <c r="A1478" s="22" t="s">
        <v>175</v>
      </c>
      <c r="B1478" s="15" t="s">
        <v>51</v>
      </c>
      <c r="C1478" s="23" t="s">
        <v>47</v>
      </c>
      <c r="D1478" s="14">
        <v>0.22180000000000002</v>
      </c>
      <c r="E1478" s="14">
        <v>9.5899999999999999E-2</v>
      </c>
      <c r="F1478" s="15">
        <f t="shared" si="42"/>
        <v>0.4323715058611361</v>
      </c>
      <c r="G1478" s="14"/>
    </row>
    <row r="1479" spans="1:7" x14ac:dyDescent="0.25">
      <c r="A1479" s="22" t="s">
        <v>175</v>
      </c>
      <c r="B1479" s="15" t="s">
        <v>51</v>
      </c>
      <c r="C1479" s="23" t="s">
        <v>48</v>
      </c>
      <c r="D1479" s="14">
        <v>0.23080000000000001</v>
      </c>
      <c r="E1479" s="14">
        <v>9.0999999999999998E-2</v>
      </c>
      <c r="F1479" s="15">
        <f t="shared" si="42"/>
        <v>0.39428076256499134</v>
      </c>
      <c r="G1479" s="14"/>
    </row>
    <row r="1480" spans="1:7" x14ac:dyDescent="0.25">
      <c r="A1480" s="22" t="s">
        <v>176</v>
      </c>
      <c r="B1480" s="15" t="s">
        <v>44</v>
      </c>
      <c r="C1480" s="23" t="s">
        <v>45</v>
      </c>
      <c r="D1480" s="14">
        <v>0.2477</v>
      </c>
      <c r="E1480" s="14">
        <v>8.5400000000000004E-2</v>
      </c>
      <c r="F1480" s="15">
        <f>E1480/D1480</f>
        <v>0.34477190149374243</v>
      </c>
      <c r="G1480" s="14">
        <f>AVERAGE(F1480:F1483)</f>
        <v>0.32101669683395018</v>
      </c>
    </row>
    <row r="1481" spans="1:7" x14ac:dyDescent="0.25">
      <c r="A1481" s="22" t="s">
        <v>176</v>
      </c>
      <c r="B1481" s="15" t="s">
        <v>44</v>
      </c>
      <c r="C1481" s="23" t="s">
        <v>46</v>
      </c>
      <c r="D1481" s="14">
        <v>0.2356</v>
      </c>
      <c r="E1481" s="14">
        <v>6.88E-2</v>
      </c>
      <c r="F1481" s="15">
        <f t="shared" ref="F1481:F1495" si="44">E1481/D1481</f>
        <v>0.29202037351443122</v>
      </c>
      <c r="G1481" s="17"/>
    </row>
    <row r="1482" spans="1:7" x14ac:dyDescent="0.25">
      <c r="A1482" s="22" t="s">
        <v>176</v>
      </c>
      <c r="B1482" s="15" t="s">
        <v>44</v>
      </c>
      <c r="C1482" s="23" t="s">
        <v>47</v>
      </c>
      <c r="D1482" s="14">
        <v>0.2487</v>
      </c>
      <c r="E1482" s="14">
        <v>7.8899999999999998E-2</v>
      </c>
      <c r="F1482" s="15">
        <f t="shared" si="44"/>
        <v>0.31724969843184558</v>
      </c>
      <c r="G1482" s="14"/>
    </row>
    <row r="1483" spans="1:7" x14ac:dyDescent="0.25">
      <c r="A1483" s="22" t="s">
        <v>176</v>
      </c>
      <c r="B1483" s="15" t="s">
        <v>44</v>
      </c>
      <c r="C1483" s="23" t="s">
        <v>48</v>
      </c>
      <c r="D1483" s="14">
        <v>0.24179999999999999</v>
      </c>
      <c r="E1483" s="14">
        <v>7.9799999999999996E-2</v>
      </c>
      <c r="F1483" s="15">
        <f t="shared" si="44"/>
        <v>0.33002481389578164</v>
      </c>
      <c r="G1483" s="14"/>
    </row>
    <row r="1484" spans="1:7" x14ac:dyDescent="0.25">
      <c r="A1484" s="22" t="s">
        <v>176</v>
      </c>
      <c r="B1484" s="15" t="s">
        <v>49</v>
      </c>
      <c r="C1484" s="23" t="s">
        <v>45</v>
      </c>
      <c r="D1484" s="14">
        <v>0.16420000000000001</v>
      </c>
      <c r="E1484" s="14">
        <v>8.1900000000000001E-2</v>
      </c>
      <c r="F1484" s="15">
        <f t="shared" si="44"/>
        <v>0.49878197320341044</v>
      </c>
      <c r="G1484" s="14">
        <f>AVERAGE(F1484:F1487)</f>
        <v>0.41378672945154737</v>
      </c>
    </row>
    <row r="1485" spans="1:7" x14ac:dyDescent="0.25">
      <c r="A1485" s="22" t="s">
        <v>176</v>
      </c>
      <c r="B1485" s="15" t="s">
        <v>49</v>
      </c>
      <c r="C1485" s="23" t="s">
        <v>46</v>
      </c>
      <c r="D1485" s="14">
        <v>0.17949999999999999</v>
      </c>
      <c r="E1485" s="14">
        <v>7.5499999999999998E-2</v>
      </c>
      <c r="F1485" s="15">
        <f t="shared" si="44"/>
        <v>0.42061281337047352</v>
      </c>
      <c r="G1485" s="17"/>
    </row>
    <row r="1486" spans="1:7" x14ac:dyDescent="0.25">
      <c r="A1486" s="22" t="s">
        <v>176</v>
      </c>
      <c r="B1486" s="15" t="s">
        <v>49</v>
      </c>
      <c r="C1486" s="23" t="s">
        <v>47</v>
      </c>
      <c r="D1486" s="14">
        <v>0.19620000000000001</v>
      </c>
      <c r="E1486" s="14">
        <v>7.0400000000000004E-2</v>
      </c>
      <c r="F1486" s="15">
        <f t="shared" si="44"/>
        <v>0.35881753312945974</v>
      </c>
      <c r="G1486" s="14"/>
    </row>
    <row r="1487" spans="1:7" x14ac:dyDescent="0.25">
      <c r="A1487" s="22" t="s">
        <v>176</v>
      </c>
      <c r="B1487" s="15" t="s">
        <v>49</v>
      </c>
      <c r="C1487" s="23" t="s">
        <v>48</v>
      </c>
      <c r="D1487" s="14">
        <v>0.20030000000000001</v>
      </c>
      <c r="E1487" s="14">
        <v>7.5499999999999998E-2</v>
      </c>
      <c r="F1487" s="15">
        <f t="shared" si="44"/>
        <v>0.37693459810284569</v>
      </c>
      <c r="G1487" s="14"/>
    </row>
    <row r="1488" spans="1:7" x14ac:dyDescent="0.25">
      <c r="A1488" s="22" t="s">
        <v>176</v>
      </c>
      <c r="B1488" s="15" t="s">
        <v>50</v>
      </c>
      <c r="C1488" s="23" t="s">
        <v>45</v>
      </c>
      <c r="D1488" s="14">
        <v>0.24359999999999998</v>
      </c>
      <c r="E1488" s="14">
        <v>9.0200000000000002E-2</v>
      </c>
      <c r="F1488" s="15">
        <f t="shared" si="44"/>
        <v>0.37027914614121515</v>
      </c>
      <c r="G1488" s="14">
        <f>AVERAGE(F1488:F1491)</f>
        <v>0.4054380092957296</v>
      </c>
    </row>
    <row r="1489" spans="1:7" x14ac:dyDescent="0.25">
      <c r="A1489" s="22" t="s">
        <v>176</v>
      </c>
      <c r="B1489" s="15" t="s">
        <v>50</v>
      </c>
      <c r="C1489" s="23" t="s">
        <v>46</v>
      </c>
      <c r="D1489" s="14">
        <v>0.1991</v>
      </c>
      <c r="E1489" s="17">
        <v>7.7499999999999999E-2</v>
      </c>
      <c r="F1489" s="15">
        <f t="shared" si="44"/>
        <v>0.38925163234555499</v>
      </c>
      <c r="G1489" s="17"/>
    </row>
    <row r="1490" spans="1:7" x14ac:dyDescent="0.25">
      <c r="A1490" s="22" t="s">
        <v>176</v>
      </c>
      <c r="B1490" s="15" t="s">
        <v>50</v>
      </c>
      <c r="C1490" s="23" t="s">
        <v>47</v>
      </c>
      <c r="D1490" s="14">
        <v>0.2122</v>
      </c>
      <c r="E1490" s="14">
        <v>9.1499999999999998E-2</v>
      </c>
      <c r="F1490" s="15">
        <f t="shared" si="44"/>
        <v>0.43119698397737982</v>
      </c>
      <c r="G1490" s="14"/>
    </row>
    <row r="1491" spans="1:7" x14ac:dyDescent="0.25">
      <c r="A1491" s="22" t="s">
        <v>176</v>
      </c>
      <c r="B1491" s="15" t="s">
        <v>50</v>
      </c>
      <c r="C1491" s="23" t="s">
        <v>48</v>
      </c>
      <c r="D1491" s="14">
        <v>0.16889999999999999</v>
      </c>
      <c r="E1491" s="14">
        <v>7.2800000000000004E-2</v>
      </c>
      <c r="F1491" s="15">
        <f t="shared" si="44"/>
        <v>0.43102427471876853</v>
      </c>
      <c r="G1491" s="14"/>
    </row>
    <row r="1492" spans="1:7" x14ac:dyDescent="0.25">
      <c r="A1492" s="22" t="s">
        <v>176</v>
      </c>
      <c r="B1492" s="15" t="s">
        <v>51</v>
      </c>
      <c r="C1492" s="23" t="s">
        <v>45</v>
      </c>
      <c r="D1492" s="14">
        <v>0.17349999999999999</v>
      </c>
      <c r="E1492" s="14">
        <v>8.0299999999999996E-2</v>
      </c>
      <c r="F1492" s="15">
        <f t="shared" si="44"/>
        <v>0.4628242074927954</v>
      </c>
      <c r="G1492" s="14">
        <f>AVERAGE(F1492:F1495)</f>
        <v>0.46338657507398495</v>
      </c>
    </row>
    <row r="1493" spans="1:7" x14ac:dyDescent="0.25">
      <c r="A1493" s="22" t="s">
        <v>176</v>
      </c>
      <c r="B1493" s="15" t="s">
        <v>51</v>
      </c>
      <c r="C1493" s="23" t="s">
        <v>46</v>
      </c>
      <c r="D1493" s="14">
        <v>0.1411</v>
      </c>
      <c r="E1493" s="14">
        <v>6.4600000000000005E-2</v>
      </c>
      <c r="F1493" s="15">
        <f t="shared" si="44"/>
        <v>0.45783132530120485</v>
      </c>
      <c r="G1493" s="17"/>
    </row>
    <row r="1494" spans="1:7" x14ac:dyDescent="0.25">
      <c r="A1494" s="22" t="s">
        <v>176</v>
      </c>
      <c r="B1494" s="15" t="s">
        <v>51</v>
      </c>
      <c r="C1494" s="23" t="s">
        <v>47</v>
      </c>
      <c r="D1494" s="14">
        <v>0.1079</v>
      </c>
      <c r="E1494" s="14">
        <v>4.6899999999999997E-2</v>
      </c>
      <c r="F1494" s="15">
        <f t="shared" si="44"/>
        <v>0.43466172381835033</v>
      </c>
      <c r="G1494" s="14"/>
    </row>
    <row r="1495" spans="1:7" x14ac:dyDescent="0.25">
      <c r="A1495" s="22" t="s">
        <v>176</v>
      </c>
      <c r="B1495" s="15" t="s">
        <v>51</v>
      </c>
      <c r="C1495" s="23" t="s">
        <v>48</v>
      </c>
      <c r="D1495" s="14">
        <v>8.4700000000000011E-2</v>
      </c>
      <c r="E1495" s="14">
        <v>4.2200000000000001E-2</v>
      </c>
      <c r="F1495" s="15">
        <f t="shared" si="44"/>
        <v>0.49822904368358911</v>
      </c>
      <c r="G1495" s="14"/>
    </row>
    <row r="1496" spans="1:7" x14ac:dyDescent="0.25">
      <c r="A1496" s="22">
        <v>44434</v>
      </c>
      <c r="B1496" s="15" t="s">
        <v>44</v>
      </c>
      <c r="C1496" s="23" t="s">
        <v>45</v>
      </c>
      <c r="D1496" s="14">
        <v>0.1237</v>
      </c>
      <c r="E1496" s="14">
        <v>3.2100000000000004E-2</v>
      </c>
      <c r="F1496" s="15">
        <f>E1496/D1496</f>
        <v>0.25949878738884402</v>
      </c>
      <c r="G1496" s="14">
        <f>AVERAGE(F1496:F1497)</f>
        <v>0.25716429709828581</v>
      </c>
    </row>
    <row r="1497" spans="1:7" x14ac:dyDescent="0.25">
      <c r="A1497" s="22">
        <v>44434</v>
      </c>
      <c r="B1497" s="15" t="s">
        <v>44</v>
      </c>
      <c r="C1497" s="23" t="s">
        <v>46</v>
      </c>
      <c r="D1497" s="14">
        <v>0.1087</v>
      </c>
      <c r="E1497" s="14">
        <v>2.7699999999999999E-2</v>
      </c>
      <c r="F1497" s="15">
        <f>E1497/D1497</f>
        <v>0.25482980680772765</v>
      </c>
      <c r="G1497" s="17"/>
    </row>
    <row r="1498" spans="1:7" x14ac:dyDescent="0.25">
      <c r="A1498" s="22">
        <v>44434</v>
      </c>
      <c r="B1498" s="15" t="s">
        <v>44</v>
      </c>
      <c r="C1498" s="23" t="s">
        <v>47</v>
      </c>
      <c r="D1498" s="14" t="s">
        <v>18</v>
      </c>
      <c r="E1498" s="14" t="s">
        <v>18</v>
      </c>
      <c r="F1498" s="14" t="s">
        <v>18</v>
      </c>
      <c r="G1498" s="14"/>
    </row>
    <row r="1499" spans="1:7" x14ac:dyDescent="0.25">
      <c r="A1499" s="22">
        <v>44434</v>
      </c>
      <c r="B1499" s="15" t="s">
        <v>44</v>
      </c>
      <c r="C1499" s="23" t="s">
        <v>48</v>
      </c>
      <c r="D1499" s="14" t="s">
        <v>18</v>
      </c>
      <c r="E1499" s="14" t="s">
        <v>18</v>
      </c>
      <c r="F1499" s="14" t="s">
        <v>18</v>
      </c>
      <c r="G1499" s="14"/>
    </row>
    <row r="1500" spans="1:7" x14ac:dyDescent="0.25">
      <c r="A1500" s="22">
        <v>44434</v>
      </c>
      <c r="B1500" s="15" t="s">
        <v>49</v>
      </c>
      <c r="C1500" s="23" t="s">
        <v>45</v>
      </c>
      <c r="D1500" s="14">
        <v>8.0999999999999996E-3</v>
      </c>
      <c r="E1500" s="14">
        <v>3.0999999999999999E-3</v>
      </c>
      <c r="F1500" s="15">
        <f>E1500/D1500</f>
        <v>0.38271604938271608</v>
      </c>
      <c r="G1500" s="14">
        <f>F1500</f>
        <v>0.38271604938271608</v>
      </c>
    </row>
    <row r="1501" spans="1:7" x14ac:dyDescent="0.25">
      <c r="A1501" s="22">
        <v>44434</v>
      </c>
      <c r="B1501" s="15" t="s">
        <v>49</v>
      </c>
      <c r="C1501" s="23" t="s">
        <v>46</v>
      </c>
      <c r="D1501" s="14" t="s">
        <v>18</v>
      </c>
      <c r="E1501" s="14" t="s">
        <v>18</v>
      </c>
      <c r="F1501" s="14" t="s">
        <v>18</v>
      </c>
      <c r="G1501" s="17"/>
    </row>
    <row r="1502" spans="1:7" x14ac:dyDescent="0.25">
      <c r="A1502" s="22">
        <v>44434</v>
      </c>
      <c r="B1502" s="15" t="s">
        <v>49</v>
      </c>
      <c r="C1502" s="23" t="s">
        <v>47</v>
      </c>
      <c r="D1502" s="14" t="s">
        <v>18</v>
      </c>
      <c r="E1502" s="14" t="s">
        <v>18</v>
      </c>
      <c r="F1502" s="14" t="s">
        <v>18</v>
      </c>
      <c r="G1502" s="14"/>
    </row>
    <row r="1503" spans="1:7" x14ac:dyDescent="0.25">
      <c r="A1503" s="22">
        <v>44434</v>
      </c>
      <c r="B1503" s="15" t="s">
        <v>49</v>
      </c>
      <c r="C1503" s="23" t="s">
        <v>48</v>
      </c>
      <c r="D1503" s="14" t="s">
        <v>18</v>
      </c>
      <c r="E1503" s="14" t="s">
        <v>18</v>
      </c>
      <c r="F1503" s="14" t="s">
        <v>18</v>
      </c>
      <c r="G1503" s="14"/>
    </row>
    <row r="1504" spans="1:7" x14ac:dyDescent="0.25">
      <c r="A1504" s="22">
        <v>44434</v>
      </c>
      <c r="B1504" s="15" t="s">
        <v>50</v>
      </c>
      <c r="C1504" s="23" t="s">
        <v>45</v>
      </c>
      <c r="D1504" s="14">
        <v>3.7700000000000004E-2</v>
      </c>
      <c r="E1504" s="14">
        <v>9.9000000000000008E-3</v>
      </c>
      <c r="F1504" s="15">
        <f>E1504/D1504</f>
        <v>0.2625994694960212</v>
      </c>
      <c r="G1504" s="14">
        <f>F1504</f>
        <v>0.2625994694960212</v>
      </c>
    </row>
    <row r="1505" spans="1:7" x14ac:dyDescent="0.25">
      <c r="A1505" s="22">
        <v>44434</v>
      </c>
      <c r="B1505" s="15" t="s">
        <v>50</v>
      </c>
      <c r="C1505" s="23" t="s">
        <v>46</v>
      </c>
      <c r="D1505" s="14" t="s">
        <v>18</v>
      </c>
      <c r="E1505" s="14" t="s">
        <v>18</v>
      </c>
      <c r="F1505" s="14" t="s">
        <v>18</v>
      </c>
      <c r="G1505" s="17"/>
    </row>
    <row r="1506" spans="1:7" x14ac:dyDescent="0.25">
      <c r="A1506" s="22">
        <v>44434</v>
      </c>
      <c r="B1506" s="15" t="s">
        <v>50</v>
      </c>
      <c r="C1506" s="23" t="s">
        <v>47</v>
      </c>
      <c r="D1506" s="14" t="s">
        <v>18</v>
      </c>
      <c r="E1506" s="14" t="s">
        <v>18</v>
      </c>
      <c r="F1506" s="14" t="s">
        <v>18</v>
      </c>
      <c r="G1506" s="14"/>
    </row>
    <row r="1507" spans="1:7" x14ac:dyDescent="0.25">
      <c r="A1507" s="22">
        <v>44434</v>
      </c>
      <c r="B1507" s="15" t="s">
        <v>50</v>
      </c>
      <c r="C1507" s="23" t="s">
        <v>48</v>
      </c>
      <c r="D1507" s="14" t="s">
        <v>18</v>
      </c>
      <c r="E1507" s="14" t="s">
        <v>18</v>
      </c>
      <c r="F1507" s="14" t="s">
        <v>18</v>
      </c>
      <c r="G1507" s="14"/>
    </row>
    <row r="1508" spans="1:7" x14ac:dyDescent="0.25">
      <c r="A1508" s="22">
        <v>44434</v>
      </c>
      <c r="B1508" s="15" t="s">
        <v>51</v>
      </c>
      <c r="C1508" s="23" t="s">
        <v>45</v>
      </c>
      <c r="D1508" s="14">
        <v>7.1999999999999998E-3</v>
      </c>
      <c r="E1508" s="14">
        <v>3.7000000000000002E-3</v>
      </c>
      <c r="F1508" s="15">
        <f>E1508/D1508</f>
        <v>0.51388888888888895</v>
      </c>
      <c r="G1508" s="14">
        <f>F1508</f>
        <v>0.51388888888888895</v>
      </c>
    </row>
    <row r="1509" spans="1:7" x14ac:dyDescent="0.25">
      <c r="A1509" s="22">
        <v>44434</v>
      </c>
      <c r="B1509" s="15" t="s">
        <v>51</v>
      </c>
      <c r="C1509" s="23" t="s">
        <v>46</v>
      </c>
      <c r="D1509" s="14" t="s">
        <v>18</v>
      </c>
      <c r="E1509" s="14" t="s">
        <v>18</v>
      </c>
      <c r="F1509" s="14" t="s">
        <v>18</v>
      </c>
      <c r="G1509" s="17"/>
    </row>
    <row r="1510" spans="1:7" x14ac:dyDescent="0.25">
      <c r="A1510" s="22">
        <v>44434</v>
      </c>
      <c r="B1510" s="15" t="s">
        <v>51</v>
      </c>
      <c r="C1510" s="23" t="s">
        <v>47</v>
      </c>
      <c r="D1510" s="14" t="s">
        <v>18</v>
      </c>
      <c r="E1510" s="14" t="s">
        <v>18</v>
      </c>
      <c r="F1510" s="14" t="s">
        <v>18</v>
      </c>
      <c r="G1510" s="14"/>
    </row>
    <row r="1511" spans="1:7" x14ac:dyDescent="0.25">
      <c r="A1511" s="22">
        <v>44434</v>
      </c>
      <c r="B1511" s="15" t="s">
        <v>51</v>
      </c>
      <c r="C1511" s="23" t="s">
        <v>48</v>
      </c>
      <c r="D1511" s="14" t="s">
        <v>18</v>
      </c>
      <c r="E1511" s="14" t="s">
        <v>18</v>
      </c>
      <c r="F1511" s="14" t="s">
        <v>18</v>
      </c>
      <c r="G1511" s="14"/>
    </row>
    <row r="1512" spans="1:7" x14ac:dyDescent="0.25">
      <c r="A1512" s="22">
        <v>44435</v>
      </c>
      <c r="B1512" s="15" t="s">
        <v>44</v>
      </c>
      <c r="C1512" s="23" t="s">
        <v>45</v>
      </c>
      <c r="D1512" s="14">
        <v>0.26090000000000002</v>
      </c>
      <c r="E1512" s="14">
        <v>5.9800000000000006E-2</v>
      </c>
      <c r="F1512" s="15">
        <f t="shared" ref="F1512:F1518" si="45">E1512/D1512</f>
        <v>0.22920659256420084</v>
      </c>
      <c r="G1512" s="14">
        <f>AVERAGE(F1512:F1515)</f>
        <v>0.23145417590814887</v>
      </c>
    </row>
    <row r="1513" spans="1:7" x14ac:dyDescent="0.25">
      <c r="A1513" s="22">
        <v>44435</v>
      </c>
      <c r="B1513" s="15" t="s">
        <v>44</v>
      </c>
      <c r="C1513" s="23" t="s">
        <v>46</v>
      </c>
      <c r="D1513" s="14">
        <v>0.23519999999999999</v>
      </c>
      <c r="E1513" s="14">
        <v>4.7699999999999999E-2</v>
      </c>
      <c r="F1513" s="15">
        <f t="shared" si="45"/>
        <v>0.20280612244897961</v>
      </c>
      <c r="G1513" s="17"/>
    </row>
    <row r="1514" spans="1:7" x14ac:dyDescent="0.25">
      <c r="A1514" s="22">
        <v>44435</v>
      </c>
      <c r="B1514" s="15" t="s">
        <v>44</v>
      </c>
      <c r="C1514" s="23" t="s">
        <v>47</v>
      </c>
      <c r="D1514" s="14">
        <v>0.23830000000000001</v>
      </c>
      <c r="E1514" s="17">
        <v>6.1400000000000003E-2</v>
      </c>
      <c r="F1514" s="15">
        <f t="shared" si="45"/>
        <v>0.25765841376416282</v>
      </c>
      <c r="G1514" s="14"/>
    </row>
    <row r="1515" spans="1:7" x14ac:dyDescent="0.25">
      <c r="A1515" s="22">
        <v>44435</v>
      </c>
      <c r="B1515" s="15" t="s">
        <v>44</v>
      </c>
      <c r="C1515" s="23" t="s">
        <v>48</v>
      </c>
      <c r="D1515" s="14">
        <v>0.24180000000000001</v>
      </c>
      <c r="E1515" s="14">
        <v>5.7099999999999998E-2</v>
      </c>
      <c r="F1515" s="15">
        <f t="shared" si="45"/>
        <v>0.23614557485525225</v>
      </c>
      <c r="G1515" s="14"/>
    </row>
    <row r="1516" spans="1:7" x14ac:dyDescent="0.25">
      <c r="A1516" s="22">
        <v>44435</v>
      </c>
      <c r="B1516" s="15" t="s">
        <v>49</v>
      </c>
      <c r="C1516" s="23" t="s">
        <v>45</v>
      </c>
      <c r="D1516" s="14">
        <v>6.4799999999999996E-2</v>
      </c>
      <c r="E1516" s="14">
        <v>2.1600000000000001E-2</v>
      </c>
      <c r="F1516" s="15">
        <f t="shared" si="45"/>
        <v>0.33333333333333337</v>
      </c>
      <c r="G1516" s="14">
        <f>AVERAGE(F1516:F1518)</f>
        <v>0.3123684115154412</v>
      </c>
    </row>
    <row r="1517" spans="1:7" x14ac:dyDescent="0.25">
      <c r="A1517" s="22">
        <v>44435</v>
      </c>
      <c r="B1517" s="15" t="s">
        <v>49</v>
      </c>
      <c r="C1517" s="23" t="s">
        <v>46</v>
      </c>
      <c r="D1517" s="14">
        <v>0.1946</v>
      </c>
      <c r="E1517" s="14">
        <v>5.6899999999999999E-2</v>
      </c>
      <c r="F1517" s="15">
        <f t="shared" si="45"/>
        <v>0.29239465570400824</v>
      </c>
      <c r="G1517" s="17"/>
    </row>
    <row r="1518" spans="1:7" x14ac:dyDescent="0.25">
      <c r="A1518" s="22">
        <v>44435</v>
      </c>
      <c r="B1518" s="15" t="s">
        <v>49</v>
      </c>
      <c r="C1518" s="23" t="s">
        <v>47</v>
      </c>
      <c r="D1518" s="14">
        <v>0.20039999999999999</v>
      </c>
      <c r="E1518" s="14">
        <v>6.2399999999999997E-2</v>
      </c>
      <c r="F1518" s="15">
        <f t="shared" si="45"/>
        <v>0.31137724550898205</v>
      </c>
      <c r="G1518" s="14"/>
    </row>
    <row r="1519" spans="1:7" x14ac:dyDescent="0.25">
      <c r="A1519" s="22">
        <v>44435</v>
      </c>
      <c r="B1519" s="15" t="s">
        <v>49</v>
      </c>
      <c r="C1519" s="23" t="s">
        <v>48</v>
      </c>
      <c r="D1519" s="14" t="s">
        <v>18</v>
      </c>
      <c r="E1519" s="14" t="s">
        <v>18</v>
      </c>
      <c r="F1519" s="14" t="s">
        <v>18</v>
      </c>
      <c r="G1519" s="14"/>
    </row>
    <row r="1520" spans="1:7" x14ac:dyDescent="0.25">
      <c r="A1520" s="22">
        <v>44435</v>
      </c>
      <c r="B1520" s="15" t="s">
        <v>50</v>
      </c>
      <c r="C1520" s="23" t="s">
        <v>45</v>
      </c>
      <c r="D1520" s="14">
        <v>0.19440000000000002</v>
      </c>
      <c r="E1520" s="14">
        <v>5.4100000000000002E-2</v>
      </c>
      <c r="F1520" s="15">
        <f>E1520/D1520</f>
        <v>0.27829218106995884</v>
      </c>
      <c r="G1520" s="14">
        <f>AVERAGE(F1520:F1522)</f>
        <v>0.28512222642118995</v>
      </c>
    </row>
    <row r="1521" spans="1:7" x14ac:dyDescent="0.25">
      <c r="A1521" s="22">
        <v>44435</v>
      </c>
      <c r="B1521" s="15" t="s">
        <v>50</v>
      </c>
      <c r="C1521" s="23" t="s">
        <v>46</v>
      </c>
      <c r="D1521" s="14">
        <v>0.1691</v>
      </c>
      <c r="E1521" s="17">
        <v>4.87E-2</v>
      </c>
      <c r="F1521" s="15">
        <f>E1521/D1521</f>
        <v>0.28799526907155532</v>
      </c>
      <c r="G1521" s="17"/>
    </row>
    <row r="1522" spans="1:7" x14ac:dyDescent="0.25">
      <c r="A1522" s="22">
        <v>44435</v>
      </c>
      <c r="B1522" s="15" t="s">
        <v>50</v>
      </c>
      <c r="C1522" s="23" t="s">
        <v>47</v>
      </c>
      <c r="D1522" s="14">
        <v>4.6699999999999998E-2</v>
      </c>
      <c r="E1522" s="14">
        <v>1.35E-2</v>
      </c>
      <c r="F1522" s="15">
        <f>E1522/D1522</f>
        <v>0.28907922912205569</v>
      </c>
      <c r="G1522" s="14"/>
    </row>
    <row r="1523" spans="1:7" x14ac:dyDescent="0.25">
      <c r="A1523" s="22">
        <v>44435</v>
      </c>
      <c r="B1523" s="15" t="s">
        <v>50</v>
      </c>
      <c r="C1523" s="23" t="s">
        <v>48</v>
      </c>
      <c r="D1523" s="14" t="s">
        <v>18</v>
      </c>
      <c r="E1523" s="14" t="s">
        <v>18</v>
      </c>
      <c r="F1523" s="14" t="s">
        <v>18</v>
      </c>
      <c r="G1523" s="14"/>
    </row>
    <row r="1524" spans="1:7" x14ac:dyDescent="0.25">
      <c r="A1524" s="22">
        <v>44435</v>
      </c>
      <c r="B1524" s="15" t="s">
        <v>51</v>
      </c>
      <c r="C1524" s="23" t="s">
        <v>45</v>
      </c>
      <c r="D1524" s="14">
        <v>0.1741</v>
      </c>
      <c r="E1524" s="14">
        <v>6.1899999999999997E-2</v>
      </c>
      <c r="F1524" s="15">
        <f>E1524/D1524</f>
        <v>0.35554279149913842</v>
      </c>
      <c r="G1524" s="14">
        <f>AVERAGE(F1524:F1525)</f>
        <v>0.34132279761872808</v>
      </c>
    </row>
    <row r="1525" spans="1:7" x14ac:dyDescent="0.25">
      <c r="A1525" s="22">
        <v>44435</v>
      </c>
      <c r="B1525" s="15" t="s">
        <v>51</v>
      </c>
      <c r="C1525" s="23" t="s">
        <v>46</v>
      </c>
      <c r="D1525" s="14">
        <v>0.12840000000000001</v>
      </c>
      <c r="E1525" s="14">
        <v>4.2000000000000003E-2</v>
      </c>
      <c r="F1525" s="15">
        <f>E1525/D1525</f>
        <v>0.32710280373831774</v>
      </c>
      <c r="G1525" s="17"/>
    </row>
    <row r="1526" spans="1:7" x14ac:dyDescent="0.25">
      <c r="A1526" s="22">
        <v>44435</v>
      </c>
      <c r="B1526" s="15" t="s">
        <v>51</v>
      </c>
      <c r="C1526" s="23" t="s">
        <v>47</v>
      </c>
      <c r="D1526" s="14" t="s">
        <v>18</v>
      </c>
      <c r="E1526" s="14" t="s">
        <v>18</v>
      </c>
      <c r="F1526" s="14" t="s">
        <v>18</v>
      </c>
      <c r="G1526" s="14"/>
    </row>
    <row r="1527" spans="1:7" x14ac:dyDescent="0.25">
      <c r="A1527" s="22">
        <v>44435</v>
      </c>
      <c r="B1527" s="15" t="s">
        <v>51</v>
      </c>
      <c r="C1527" s="23" t="s">
        <v>48</v>
      </c>
      <c r="D1527" s="14" t="s">
        <v>18</v>
      </c>
      <c r="E1527" s="14" t="s">
        <v>18</v>
      </c>
      <c r="F1527" s="14" t="s">
        <v>18</v>
      </c>
      <c r="G1527" s="14"/>
    </row>
    <row r="1528" spans="1:7" x14ac:dyDescent="0.25">
      <c r="A1528" s="22">
        <v>44436</v>
      </c>
      <c r="B1528" s="15" t="s">
        <v>44</v>
      </c>
      <c r="C1528" s="23" t="s">
        <v>45</v>
      </c>
      <c r="D1528" s="14">
        <v>0.13300000000000001</v>
      </c>
      <c r="E1528" s="14">
        <v>4.1000000000000002E-2</v>
      </c>
      <c r="F1528" s="15">
        <f>E1528/D1528</f>
        <v>0.30827067669172931</v>
      </c>
      <c r="G1528" s="14">
        <f>AVERAGE(F1528:F1531)</f>
        <v>0.29667230694340835</v>
      </c>
    </row>
    <row r="1529" spans="1:7" x14ac:dyDescent="0.25">
      <c r="A1529" s="22">
        <v>44436</v>
      </c>
      <c r="B1529" s="15" t="s">
        <v>44</v>
      </c>
      <c r="C1529" s="23" t="s">
        <v>46</v>
      </c>
      <c r="D1529" s="14">
        <v>0.14859999999999998</v>
      </c>
      <c r="E1529" s="14">
        <v>4.4400000000000002E-2</v>
      </c>
      <c r="F1529" s="15">
        <f>E1529/D1529</f>
        <v>0.29878869448183049</v>
      </c>
      <c r="G1529" s="17"/>
    </row>
    <row r="1530" spans="1:7" x14ac:dyDescent="0.25">
      <c r="A1530" s="22">
        <v>44436</v>
      </c>
      <c r="B1530" s="15" t="s">
        <v>44</v>
      </c>
      <c r="C1530" s="23" t="s">
        <v>47</v>
      </c>
      <c r="D1530" s="14">
        <v>0.20499999999999999</v>
      </c>
      <c r="E1530" s="14">
        <v>5.6500000000000002E-2</v>
      </c>
      <c r="F1530" s="15">
        <f>E1530/D1530</f>
        <v>0.275609756097561</v>
      </c>
      <c r="G1530" s="14"/>
    </row>
    <row r="1531" spans="1:7" x14ac:dyDescent="0.25">
      <c r="A1531" s="22">
        <v>44436</v>
      </c>
      <c r="B1531" s="15" t="s">
        <v>44</v>
      </c>
      <c r="C1531" s="23" t="s">
        <v>48</v>
      </c>
      <c r="D1531" s="14">
        <v>0.15919999999999998</v>
      </c>
      <c r="E1531" s="14">
        <v>4.8399999999999999E-2</v>
      </c>
      <c r="F1531" s="15">
        <f>E1531/D1531</f>
        <v>0.3040201005025126</v>
      </c>
      <c r="G1531" s="14"/>
    </row>
    <row r="1532" spans="1:7" x14ac:dyDescent="0.25">
      <c r="A1532" s="22">
        <v>44436</v>
      </c>
      <c r="B1532" s="15" t="s">
        <v>49</v>
      </c>
      <c r="C1532" s="23" t="s">
        <v>45</v>
      </c>
      <c r="D1532" s="14">
        <v>3.4000000000000002E-2</v>
      </c>
      <c r="E1532" s="14">
        <v>1.49E-2</v>
      </c>
      <c r="F1532" s="15">
        <f>E1532/D1532</f>
        <v>0.43823529411764706</v>
      </c>
      <c r="G1532" s="14">
        <f>F1532</f>
        <v>0.43823529411764706</v>
      </c>
    </row>
    <row r="1533" spans="1:7" x14ac:dyDescent="0.25">
      <c r="A1533" s="22">
        <v>44436</v>
      </c>
      <c r="B1533" s="15" t="s">
        <v>49</v>
      </c>
      <c r="C1533" s="23" t="s">
        <v>46</v>
      </c>
      <c r="D1533" s="14" t="s">
        <v>18</v>
      </c>
      <c r="E1533" s="14" t="s">
        <v>18</v>
      </c>
      <c r="F1533" s="14" t="s">
        <v>18</v>
      </c>
      <c r="G1533" s="17"/>
    </row>
    <row r="1534" spans="1:7" x14ac:dyDescent="0.25">
      <c r="A1534" s="22">
        <v>44436</v>
      </c>
      <c r="B1534" s="15" t="s">
        <v>49</v>
      </c>
      <c r="C1534" s="23" t="s">
        <v>47</v>
      </c>
      <c r="D1534" s="14" t="s">
        <v>18</v>
      </c>
      <c r="E1534" s="14" t="s">
        <v>18</v>
      </c>
      <c r="F1534" s="14" t="s">
        <v>18</v>
      </c>
      <c r="G1534" s="14"/>
    </row>
    <row r="1535" spans="1:7" x14ac:dyDescent="0.25">
      <c r="A1535" s="22">
        <v>44436</v>
      </c>
      <c r="B1535" s="15" t="s">
        <v>49</v>
      </c>
      <c r="C1535" s="23" t="s">
        <v>48</v>
      </c>
      <c r="D1535" s="14" t="s">
        <v>18</v>
      </c>
      <c r="E1535" s="14" t="s">
        <v>18</v>
      </c>
      <c r="F1535" s="14" t="s">
        <v>18</v>
      </c>
      <c r="G1535" s="14"/>
    </row>
    <row r="1536" spans="1:7" x14ac:dyDescent="0.25">
      <c r="A1536" s="22">
        <v>44436</v>
      </c>
      <c r="B1536" s="15" t="s">
        <v>50</v>
      </c>
      <c r="C1536" s="23" t="s">
        <v>45</v>
      </c>
      <c r="D1536" s="14">
        <v>0.12940000000000002</v>
      </c>
      <c r="E1536" s="14">
        <v>4.2700000000000002E-2</v>
      </c>
      <c r="F1536" s="15">
        <f>E1536/D1536</f>
        <v>0.32998454404945904</v>
      </c>
      <c r="G1536" s="14">
        <f>F1536</f>
        <v>0.32998454404945904</v>
      </c>
    </row>
    <row r="1537" spans="1:7" x14ac:dyDescent="0.25">
      <c r="A1537" s="22">
        <v>44436</v>
      </c>
      <c r="B1537" s="15" t="s">
        <v>50</v>
      </c>
      <c r="C1537" s="23" t="s">
        <v>46</v>
      </c>
      <c r="D1537" s="14" t="s">
        <v>18</v>
      </c>
      <c r="E1537" s="14" t="s">
        <v>18</v>
      </c>
      <c r="F1537" s="14" t="s">
        <v>18</v>
      </c>
      <c r="G1537" s="17"/>
    </row>
    <row r="1538" spans="1:7" x14ac:dyDescent="0.25">
      <c r="A1538" s="22">
        <v>44436</v>
      </c>
      <c r="B1538" s="15" t="s">
        <v>50</v>
      </c>
      <c r="C1538" s="23" t="s">
        <v>47</v>
      </c>
      <c r="D1538" s="14" t="s">
        <v>18</v>
      </c>
      <c r="E1538" s="14" t="s">
        <v>18</v>
      </c>
      <c r="F1538" s="14" t="s">
        <v>18</v>
      </c>
      <c r="G1538" s="14"/>
    </row>
    <row r="1539" spans="1:7" x14ac:dyDescent="0.25">
      <c r="A1539" s="22">
        <v>44436</v>
      </c>
      <c r="B1539" s="15" t="s">
        <v>50</v>
      </c>
      <c r="C1539" s="23" t="s">
        <v>48</v>
      </c>
      <c r="D1539" s="14" t="s">
        <v>18</v>
      </c>
      <c r="E1539" s="14" t="s">
        <v>18</v>
      </c>
      <c r="F1539" s="14" t="s">
        <v>18</v>
      </c>
      <c r="G1539" s="14"/>
    </row>
    <row r="1540" spans="1:7" x14ac:dyDescent="0.25">
      <c r="A1540" s="22">
        <v>44436</v>
      </c>
      <c r="B1540" s="15" t="s">
        <v>51</v>
      </c>
      <c r="C1540" s="23" t="s">
        <v>45</v>
      </c>
      <c r="D1540" s="14">
        <v>3.5000000000000001E-3</v>
      </c>
      <c r="E1540" s="14">
        <v>1.8E-3</v>
      </c>
      <c r="F1540" s="15">
        <f>E1540/D1540</f>
        <v>0.51428571428571423</v>
      </c>
      <c r="G1540" s="14">
        <f>F1540</f>
        <v>0.51428571428571423</v>
      </c>
    </row>
    <row r="1541" spans="1:7" x14ac:dyDescent="0.25">
      <c r="A1541" s="22">
        <v>44436</v>
      </c>
      <c r="B1541" s="15" t="s">
        <v>51</v>
      </c>
      <c r="C1541" s="23" t="s">
        <v>46</v>
      </c>
      <c r="D1541" s="14" t="s">
        <v>18</v>
      </c>
      <c r="E1541" s="14" t="s">
        <v>18</v>
      </c>
      <c r="F1541" s="14" t="s">
        <v>18</v>
      </c>
      <c r="G1541" s="17"/>
    </row>
    <row r="1542" spans="1:7" x14ac:dyDescent="0.25">
      <c r="A1542" s="22">
        <v>44436</v>
      </c>
      <c r="B1542" s="15" t="s">
        <v>51</v>
      </c>
      <c r="C1542" s="23" t="s">
        <v>47</v>
      </c>
      <c r="D1542" s="14" t="s">
        <v>18</v>
      </c>
      <c r="E1542" s="14" t="s">
        <v>18</v>
      </c>
      <c r="F1542" s="14" t="s">
        <v>18</v>
      </c>
      <c r="G1542" s="14"/>
    </row>
    <row r="1543" spans="1:7" x14ac:dyDescent="0.25">
      <c r="A1543" s="22">
        <v>44436</v>
      </c>
      <c r="B1543" s="15" t="s">
        <v>51</v>
      </c>
      <c r="C1543" s="23" t="s">
        <v>48</v>
      </c>
      <c r="D1543" s="14" t="s">
        <v>18</v>
      </c>
      <c r="E1543" s="14" t="s">
        <v>18</v>
      </c>
      <c r="F1543" s="14" t="s">
        <v>18</v>
      </c>
      <c r="G1543" s="14"/>
    </row>
    <row r="1544" spans="1:7" x14ac:dyDescent="0.25">
      <c r="A1544" s="22">
        <v>44509</v>
      </c>
      <c r="B1544" s="15" t="s">
        <v>44</v>
      </c>
      <c r="C1544" s="23" t="s">
        <v>45</v>
      </c>
      <c r="D1544" s="14">
        <v>0.21809999999999999</v>
      </c>
      <c r="E1544" s="14">
        <v>7.0199999999999999E-2</v>
      </c>
      <c r="F1544" s="15">
        <f t="shared" ref="F1544:F1557" si="46">E1544/D1544</f>
        <v>0.3218707015130674</v>
      </c>
      <c r="G1544" s="14">
        <f>AVERAGE(F1544:F1547)</f>
        <v>0.33441504719154858</v>
      </c>
    </row>
    <row r="1545" spans="1:7" x14ac:dyDescent="0.25">
      <c r="A1545" s="22">
        <v>44509</v>
      </c>
      <c r="B1545" s="15" t="s">
        <v>44</v>
      </c>
      <c r="C1545" s="23" t="s">
        <v>46</v>
      </c>
      <c r="D1545" s="14">
        <v>0.22190000000000001</v>
      </c>
      <c r="E1545" s="14">
        <v>7.5299999999999992E-2</v>
      </c>
      <c r="F1545" s="15">
        <f t="shared" si="46"/>
        <v>0.33934204596665157</v>
      </c>
      <c r="G1545" s="17"/>
    </row>
    <row r="1546" spans="1:7" x14ac:dyDescent="0.25">
      <c r="A1546" s="22">
        <v>44509</v>
      </c>
      <c r="B1546" s="15" t="s">
        <v>44</v>
      </c>
      <c r="C1546" s="23" t="s">
        <v>47</v>
      </c>
      <c r="D1546" s="14">
        <v>0.24909999999999999</v>
      </c>
      <c r="E1546" s="14">
        <v>9.3900000000000011E-2</v>
      </c>
      <c r="F1546" s="15">
        <f t="shared" si="46"/>
        <v>0.37695704536330799</v>
      </c>
      <c r="G1546" s="14"/>
    </row>
    <row r="1547" spans="1:7" x14ac:dyDescent="0.25">
      <c r="A1547" s="22">
        <v>44509</v>
      </c>
      <c r="B1547" s="15" t="s">
        <v>44</v>
      </c>
      <c r="C1547" s="23" t="s">
        <v>48</v>
      </c>
      <c r="D1547" s="14">
        <v>0.25509999999999999</v>
      </c>
      <c r="E1547" s="14">
        <v>7.640000000000001E-2</v>
      </c>
      <c r="F1547" s="15">
        <f t="shared" si="46"/>
        <v>0.29949039592316745</v>
      </c>
      <c r="G1547" s="14"/>
    </row>
    <row r="1548" spans="1:7" x14ac:dyDescent="0.25">
      <c r="A1548" s="22">
        <v>44509</v>
      </c>
      <c r="B1548" s="15" t="s">
        <v>49</v>
      </c>
      <c r="C1548" s="23" t="s">
        <v>45</v>
      </c>
      <c r="D1548" s="14">
        <v>0.12670000000000001</v>
      </c>
      <c r="E1548" s="14">
        <v>4.4899999999999995E-2</v>
      </c>
      <c r="F1548" s="15">
        <f t="shared" si="46"/>
        <v>0.35438042620363058</v>
      </c>
      <c r="G1548" s="14">
        <f>AVERAGE(F1548:F1551)</f>
        <v>0.34431123039172895</v>
      </c>
    </row>
    <row r="1549" spans="1:7" x14ac:dyDescent="0.25">
      <c r="A1549" s="22">
        <v>44509</v>
      </c>
      <c r="B1549" s="15" t="s">
        <v>49</v>
      </c>
      <c r="C1549" s="23" t="s">
        <v>46</v>
      </c>
      <c r="D1549" s="14">
        <v>0.18280000000000002</v>
      </c>
      <c r="E1549" s="14">
        <v>6.2399999999999997E-2</v>
      </c>
      <c r="F1549" s="15">
        <f t="shared" si="46"/>
        <v>0.34135667396061264</v>
      </c>
      <c r="G1549" s="17"/>
    </row>
    <row r="1550" spans="1:7" x14ac:dyDescent="0.25">
      <c r="A1550" s="22">
        <v>44509</v>
      </c>
      <c r="B1550" s="15" t="s">
        <v>49</v>
      </c>
      <c r="C1550" s="23" t="s">
        <v>47</v>
      </c>
      <c r="D1550" s="14">
        <v>0.15759999999999999</v>
      </c>
      <c r="E1550" s="14">
        <v>5.3499999999999999E-2</v>
      </c>
      <c r="F1550" s="15">
        <f t="shared" si="46"/>
        <v>0.33946700507614214</v>
      </c>
      <c r="G1550" s="14"/>
    </row>
    <row r="1551" spans="1:7" x14ac:dyDescent="0.25">
      <c r="A1551" s="22">
        <v>44509</v>
      </c>
      <c r="B1551" s="15" t="s">
        <v>49</v>
      </c>
      <c r="C1551" s="23" t="s">
        <v>48</v>
      </c>
      <c r="D1551" s="14">
        <v>0.1225</v>
      </c>
      <c r="E1551" s="14">
        <v>4.19E-2</v>
      </c>
      <c r="F1551" s="15">
        <f t="shared" si="46"/>
        <v>0.34204081632653061</v>
      </c>
      <c r="G1551" s="14"/>
    </row>
    <row r="1552" spans="1:7" x14ac:dyDescent="0.25">
      <c r="A1552" s="22">
        <v>44509</v>
      </c>
      <c r="B1552" s="15" t="s">
        <v>50</v>
      </c>
      <c r="C1552" s="23" t="s">
        <v>45</v>
      </c>
      <c r="D1552" s="14">
        <v>0.1905</v>
      </c>
      <c r="E1552" s="14">
        <v>6.93E-2</v>
      </c>
      <c r="F1552" s="15">
        <f t="shared" si="46"/>
        <v>0.36377952755905513</v>
      </c>
      <c r="G1552" s="14">
        <f>AVERAGE(F1552:F1555)</f>
        <v>0.36116552956860448</v>
      </c>
    </row>
    <row r="1553" spans="1:7" x14ac:dyDescent="0.25">
      <c r="A1553" s="22">
        <v>44509</v>
      </c>
      <c r="B1553" s="15" t="s">
        <v>50</v>
      </c>
      <c r="C1553" s="23" t="s">
        <v>46</v>
      </c>
      <c r="D1553" s="14">
        <v>0.1784</v>
      </c>
      <c r="E1553" s="14">
        <v>6.0999999999999999E-2</v>
      </c>
      <c r="F1553" s="15">
        <f t="shared" si="46"/>
        <v>0.34192825112107622</v>
      </c>
      <c r="G1553" s="17"/>
    </row>
    <row r="1554" spans="1:7" x14ac:dyDescent="0.25">
      <c r="A1554" s="22">
        <v>44509</v>
      </c>
      <c r="B1554" s="15" t="s">
        <v>50</v>
      </c>
      <c r="C1554" s="23" t="s">
        <v>47</v>
      </c>
      <c r="D1554" s="14">
        <v>0.18280000000000002</v>
      </c>
      <c r="E1554" s="14">
        <v>6.4700000000000008E-2</v>
      </c>
      <c r="F1554" s="15">
        <f t="shared" si="46"/>
        <v>0.35393873085339167</v>
      </c>
      <c r="G1554" s="14"/>
    </row>
    <row r="1555" spans="1:7" x14ac:dyDescent="0.25">
      <c r="A1555" s="22">
        <v>44509</v>
      </c>
      <c r="B1555" s="15" t="s">
        <v>50</v>
      </c>
      <c r="C1555" s="23" t="s">
        <v>48</v>
      </c>
      <c r="D1555" s="14">
        <v>0.19219999999999998</v>
      </c>
      <c r="E1555" s="14">
        <v>7.3999999999999996E-2</v>
      </c>
      <c r="F1555" s="15">
        <f t="shared" si="46"/>
        <v>0.38501560874089491</v>
      </c>
      <c r="G1555" s="14"/>
    </row>
    <row r="1556" spans="1:7" x14ac:dyDescent="0.25">
      <c r="A1556" s="22">
        <v>44509</v>
      </c>
      <c r="B1556" s="15" t="s">
        <v>51</v>
      </c>
      <c r="C1556" s="23" t="s">
        <v>45</v>
      </c>
      <c r="D1556" s="14">
        <v>7.0900000000000005E-2</v>
      </c>
      <c r="E1556" s="14">
        <v>3.1699999999999999E-2</v>
      </c>
      <c r="F1556" s="15">
        <f t="shared" si="46"/>
        <v>0.44710860366713678</v>
      </c>
      <c r="G1556" s="14">
        <f>AVERAGE(F1556:F1557)</f>
        <v>0.37503311878001122</v>
      </c>
    </row>
    <row r="1557" spans="1:7" x14ac:dyDescent="0.25">
      <c r="A1557" s="22">
        <v>44509</v>
      </c>
      <c r="B1557" s="15" t="s">
        <v>51</v>
      </c>
      <c r="C1557" s="23" t="s">
        <v>46</v>
      </c>
      <c r="D1557" s="14">
        <v>0.12509999999999999</v>
      </c>
      <c r="E1557" s="14">
        <v>3.7899999999999996E-2</v>
      </c>
      <c r="F1557" s="15">
        <f t="shared" si="46"/>
        <v>0.30295763389288571</v>
      </c>
      <c r="G1557" s="17"/>
    </row>
    <row r="1558" spans="1:7" x14ac:dyDescent="0.25">
      <c r="A1558" s="22">
        <v>44509</v>
      </c>
      <c r="B1558" s="15" t="s">
        <v>51</v>
      </c>
      <c r="C1558" s="23" t="s">
        <v>47</v>
      </c>
      <c r="D1558" s="14" t="s">
        <v>18</v>
      </c>
      <c r="E1558" s="14" t="s">
        <v>18</v>
      </c>
      <c r="F1558" s="14" t="s">
        <v>18</v>
      </c>
      <c r="G1558" s="14"/>
    </row>
    <row r="1559" spans="1:7" x14ac:dyDescent="0.25">
      <c r="A1559" s="22">
        <v>44509</v>
      </c>
      <c r="B1559" s="15" t="s">
        <v>51</v>
      </c>
      <c r="C1559" s="23" t="s">
        <v>48</v>
      </c>
      <c r="D1559" s="14" t="s">
        <v>18</v>
      </c>
      <c r="E1559" s="14" t="s">
        <v>18</v>
      </c>
      <c r="F1559" s="14" t="s">
        <v>18</v>
      </c>
      <c r="G1559" s="14"/>
    </row>
    <row r="1560" spans="1:7" x14ac:dyDescent="0.25">
      <c r="A1560" s="22">
        <v>44511</v>
      </c>
      <c r="B1560" s="15" t="s">
        <v>44</v>
      </c>
      <c r="C1560" s="23" t="s">
        <v>45</v>
      </c>
      <c r="D1560" s="14">
        <v>0.23400000000000001</v>
      </c>
      <c r="E1560" s="14">
        <v>8.5999999999999993E-2</v>
      </c>
      <c r="F1560" s="15">
        <f>E1560/D1560</f>
        <v>0.36752136752136749</v>
      </c>
      <c r="G1560" s="14">
        <f>AVERAGE(F1560:F1563)</f>
        <v>0.30597277057975492</v>
      </c>
    </row>
    <row r="1561" spans="1:7" x14ac:dyDescent="0.25">
      <c r="A1561" s="22">
        <v>44511</v>
      </c>
      <c r="B1561" s="15" t="s">
        <v>44</v>
      </c>
      <c r="C1561" s="23" t="s">
        <v>46</v>
      </c>
      <c r="D1561" s="14">
        <v>0.20599999999999999</v>
      </c>
      <c r="E1561" s="14">
        <v>6.8400000000000002E-2</v>
      </c>
      <c r="F1561" s="15">
        <f>E1561/D1561</f>
        <v>0.33203883495145636</v>
      </c>
      <c r="G1561" s="17"/>
    </row>
    <row r="1562" spans="1:7" x14ac:dyDescent="0.25">
      <c r="A1562" s="22">
        <v>44511</v>
      </c>
      <c r="B1562" s="15" t="s">
        <v>44</v>
      </c>
      <c r="C1562" s="23" t="s">
        <v>47</v>
      </c>
      <c r="D1562" s="14">
        <v>0.22090000000000001</v>
      </c>
      <c r="E1562" s="17">
        <v>5.3100000000000001E-2</v>
      </c>
      <c r="F1562" s="15">
        <f>E1562/D1562</f>
        <v>0.24038026256224534</v>
      </c>
      <c r="G1562" s="14"/>
    </row>
    <row r="1563" spans="1:7" x14ac:dyDescent="0.25">
      <c r="A1563" s="22">
        <v>44511</v>
      </c>
      <c r="B1563" s="15" t="s">
        <v>44</v>
      </c>
      <c r="C1563" s="23" t="s">
        <v>48</v>
      </c>
      <c r="D1563" s="14">
        <v>0.2268</v>
      </c>
      <c r="E1563" s="14">
        <v>6.4399999999999999E-2</v>
      </c>
      <c r="F1563" s="15">
        <f>E1563/D1563</f>
        <v>0.2839506172839506</v>
      </c>
      <c r="G1563" s="14"/>
    </row>
    <row r="1564" spans="1:7" x14ac:dyDescent="0.25">
      <c r="A1564" s="22">
        <v>44511</v>
      </c>
      <c r="B1564" s="15" t="s">
        <v>49</v>
      </c>
      <c r="C1564" s="23" t="s">
        <v>45</v>
      </c>
      <c r="D1564" s="14">
        <v>4.1599999999999998E-2</v>
      </c>
      <c r="E1564" s="14">
        <v>1.83E-2</v>
      </c>
      <c r="F1564" s="15">
        <f>E1564/D1564</f>
        <v>0.4399038461538462</v>
      </c>
      <c r="G1564" s="14">
        <f>F1564</f>
        <v>0.4399038461538462</v>
      </c>
    </row>
    <row r="1565" spans="1:7" x14ac:dyDescent="0.25">
      <c r="A1565" s="22">
        <v>44511</v>
      </c>
      <c r="B1565" s="15" t="s">
        <v>49</v>
      </c>
      <c r="C1565" s="23" t="s">
        <v>46</v>
      </c>
      <c r="D1565" s="14" t="s">
        <v>18</v>
      </c>
      <c r="E1565" s="14" t="s">
        <v>18</v>
      </c>
      <c r="F1565" s="14" t="s">
        <v>18</v>
      </c>
      <c r="G1565" s="17"/>
    </row>
    <row r="1566" spans="1:7" x14ac:dyDescent="0.25">
      <c r="A1566" s="22">
        <v>44511</v>
      </c>
      <c r="B1566" s="15" t="s">
        <v>49</v>
      </c>
      <c r="C1566" s="23" t="s">
        <v>47</v>
      </c>
      <c r="D1566" s="14" t="s">
        <v>18</v>
      </c>
      <c r="E1566" s="14" t="s">
        <v>18</v>
      </c>
      <c r="F1566" s="14" t="s">
        <v>18</v>
      </c>
      <c r="G1566" s="14"/>
    </row>
    <row r="1567" spans="1:7" x14ac:dyDescent="0.25">
      <c r="A1567" s="22">
        <v>44511</v>
      </c>
      <c r="B1567" s="15" t="s">
        <v>49</v>
      </c>
      <c r="C1567" s="23" t="s">
        <v>48</v>
      </c>
      <c r="D1567" s="14" t="s">
        <v>18</v>
      </c>
      <c r="E1567" s="14" t="s">
        <v>18</v>
      </c>
      <c r="F1567" s="14" t="s">
        <v>18</v>
      </c>
      <c r="G1567" s="14"/>
    </row>
    <row r="1568" spans="1:7" x14ac:dyDescent="0.25">
      <c r="A1568" s="22">
        <v>44511</v>
      </c>
      <c r="B1568" s="15" t="s">
        <v>50</v>
      </c>
      <c r="C1568" s="23" t="s">
        <v>45</v>
      </c>
      <c r="D1568" s="14">
        <v>9.2700000000000005E-2</v>
      </c>
      <c r="E1568" s="14">
        <v>3.2899999999999999E-2</v>
      </c>
      <c r="F1568" s="15">
        <f>E1568/D1568</f>
        <v>0.35490830636461701</v>
      </c>
      <c r="G1568" s="14">
        <f>AVERAGE(F1568:F1570)</f>
        <v>0.37553715316387098</v>
      </c>
    </row>
    <row r="1569" spans="1:7" x14ac:dyDescent="0.25">
      <c r="A1569" s="22">
        <v>44511</v>
      </c>
      <c r="B1569" s="15" t="s">
        <v>50</v>
      </c>
      <c r="C1569" s="23" t="s">
        <v>46</v>
      </c>
      <c r="D1569" s="14">
        <v>9.8599999999999993E-2</v>
      </c>
      <c r="E1569" s="17">
        <v>3.1899999999999998E-2</v>
      </c>
      <c r="F1569" s="15">
        <f>E1569/D1569</f>
        <v>0.3235294117647059</v>
      </c>
      <c r="G1569" s="17"/>
    </row>
    <row r="1570" spans="1:7" x14ac:dyDescent="0.25">
      <c r="A1570" s="22">
        <v>44511</v>
      </c>
      <c r="B1570" s="15" t="s">
        <v>50</v>
      </c>
      <c r="C1570" s="23" t="s">
        <v>47</v>
      </c>
      <c r="D1570" s="14">
        <v>0.1013</v>
      </c>
      <c r="E1570" s="14">
        <v>4.5399999999999996E-2</v>
      </c>
      <c r="F1570" s="15">
        <f>E1570/D1570</f>
        <v>0.44817374136229016</v>
      </c>
      <c r="G1570" s="14"/>
    </row>
    <row r="1571" spans="1:7" x14ac:dyDescent="0.25">
      <c r="A1571" s="22">
        <v>44511</v>
      </c>
      <c r="B1571" s="15" t="s">
        <v>50</v>
      </c>
      <c r="C1571" s="23" t="s">
        <v>48</v>
      </c>
      <c r="D1571" s="14" t="s">
        <v>18</v>
      </c>
      <c r="E1571" s="14" t="s">
        <v>18</v>
      </c>
      <c r="F1571" s="14" t="s">
        <v>18</v>
      </c>
      <c r="G1571" s="14"/>
    </row>
    <row r="1572" spans="1:7" x14ac:dyDescent="0.25">
      <c r="A1572" s="22">
        <v>44511</v>
      </c>
      <c r="B1572" s="15" t="s">
        <v>51</v>
      </c>
      <c r="C1572" s="23" t="s">
        <v>45</v>
      </c>
      <c r="D1572" s="14">
        <v>7.4499999999999997E-2</v>
      </c>
      <c r="E1572" s="14">
        <v>1.8200000000000001E-2</v>
      </c>
      <c r="F1572" s="15">
        <f>E1572/D1572</f>
        <v>0.24429530201342284</v>
      </c>
      <c r="G1572" s="14">
        <f>AVERAGE(F1572:F1573)</f>
        <v>0.32814765100671139</v>
      </c>
    </row>
    <row r="1573" spans="1:7" x14ac:dyDescent="0.25">
      <c r="A1573" s="22">
        <v>44511</v>
      </c>
      <c r="B1573" s="15" t="s">
        <v>51</v>
      </c>
      <c r="C1573" s="23" t="s">
        <v>46</v>
      </c>
      <c r="D1573" s="14">
        <v>2.5000000000000001E-2</v>
      </c>
      <c r="E1573" s="14">
        <v>1.03E-2</v>
      </c>
      <c r="F1573" s="15">
        <f>E1573/D1573</f>
        <v>0.41199999999999998</v>
      </c>
      <c r="G1573" s="17"/>
    </row>
    <row r="1574" spans="1:7" x14ac:dyDescent="0.25">
      <c r="A1574" s="22">
        <v>44511</v>
      </c>
      <c r="B1574" s="15" t="s">
        <v>51</v>
      </c>
      <c r="C1574" s="23" t="s">
        <v>47</v>
      </c>
      <c r="D1574" s="14" t="s">
        <v>18</v>
      </c>
      <c r="E1574" s="14" t="s">
        <v>18</v>
      </c>
      <c r="F1574" s="14" t="s">
        <v>18</v>
      </c>
      <c r="G1574" s="14"/>
    </row>
    <row r="1575" spans="1:7" x14ac:dyDescent="0.25">
      <c r="A1575" s="22">
        <v>44511</v>
      </c>
      <c r="B1575" s="15" t="s">
        <v>51</v>
      </c>
      <c r="C1575" s="23" t="s">
        <v>48</v>
      </c>
      <c r="D1575" s="14" t="s">
        <v>18</v>
      </c>
      <c r="E1575" s="14" t="s">
        <v>18</v>
      </c>
      <c r="F1575" s="14" t="s">
        <v>18</v>
      </c>
      <c r="G1575" s="14"/>
    </row>
    <row r="1576" spans="1:7" x14ac:dyDescent="0.25">
      <c r="A1576" s="22" t="s">
        <v>179</v>
      </c>
      <c r="B1576" s="15" t="s">
        <v>44</v>
      </c>
      <c r="C1576" s="23" t="s">
        <v>45</v>
      </c>
      <c r="D1576" s="14">
        <v>0.12840000000000001</v>
      </c>
      <c r="E1576" s="14">
        <v>5.91E-2</v>
      </c>
      <c r="F1576" s="15">
        <f t="shared" ref="F1576:F1639" si="47">E1576/D1576</f>
        <v>0.46028037383177567</v>
      </c>
      <c r="G1576" s="14">
        <f>AVERAGE(F1576:F1579)</f>
        <v>0.42817003966020395</v>
      </c>
    </row>
    <row r="1577" spans="1:7" x14ac:dyDescent="0.25">
      <c r="A1577" s="22" t="s">
        <v>179</v>
      </c>
      <c r="B1577" s="15" t="s">
        <v>44</v>
      </c>
      <c r="C1577" s="23" t="s">
        <v>46</v>
      </c>
      <c r="D1577" s="14">
        <v>0.1231</v>
      </c>
      <c r="E1577" s="14">
        <v>5.0599999999999999E-2</v>
      </c>
      <c r="F1577" s="15">
        <f t="shared" si="47"/>
        <v>0.41104792851340372</v>
      </c>
      <c r="G1577" s="17"/>
    </row>
    <row r="1578" spans="1:7" x14ac:dyDescent="0.25">
      <c r="A1578" s="22" t="s">
        <v>179</v>
      </c>
      <c r="B1578" s="15" t="s">
        <v>44</v>
      </c>
      <c r="C1578" s="23" t="s">
        <v>47</v>
      </c>
      <c r="D1578" s="14">
        <v>9.4099999999999989E-2</v>
      </c>
      <c r="E1578" s="14">
        <v>4.1000000000000002E-2</v>
      </c>
      <c r="F1578" s="15">
        <f t="shared" si="47"/>
        <v>0.43570669500531356</v>
      </c>
      <c r="G1578" s="14"/>
    </row>
    <row r="1579" spans="1:7" x14ac:dyDescent="0.25">
      <c r="A1579" s="22" t="s">
        <v>179</v>
      </c>
      <c r="B1579" s="15" t="s">
        <v>44</v>
      </c>
      <c r="C1579" s="23" t="s">
        <v>48</v>
      </c>
      <c r="D1579" s="14">
        <v>0.124</v>
      </c>
      <c r="E1579" s="14">
        <v>5.0299999999999997E-2</v>
      </c>
      <c r="F1579" s="15">
        <f t="shared" si="47"/>
        <v>0.40564516129032258</v>
      </c>
      <c r="G1579" s="14"/>
    </row>
    <row r="1580" spans="1:7" x14ac:dyDescent="0.25">
      <c r="A1580" s="22" t="s">
        <v>179</v>
      </c>
      <c r="B1580" s="15" t="s">
        <v>49</v>
      </c>
      <c r="C1580" s="23" t="s">
        <v>45</v>
      </c>
      <c r="D1580" s="14">
        <v>6.5200000000000008E-2</v>
      </c>
      <c r="E1580" s="14">
        <v>2.86E-2</v>
      </c>
      <c r="F1580" s="15">
        <f t="shared" si="47"/>
        <v>0.43865030674846622</v>
      </c>
      <c r="G1580" s="14">
        <f>AVERAGE(F1580:F1581)</f>
        <v>0.43475601509768003</v>
      </c>
    </row>
    <row r="1581" spans="1:7" x14ac:dyDescent="0.25">
      <c r="A1581" s="22" t="s">
        <v>179</v>
      </c>
      <c r="B1581" s="15" t="s">
        <v>49</v>
      </c>
      <c r="C1581" s="23" t="s">
        <v>46</v>
      </c>
      <c r="D1581" s="14">
        <v>4.99E-2</v>
      </c>
      <c r="E1581" s="14">
        <v>2.1499999999999998E-2</v>
      </c>
      <c r="F1581" s="15">
        <f t="shared" si="47"/>
        <v>0.43086172344689377</v>
      </c>
      <c r="G1581" s="17"/>
    </row>
    <row r="1582" spans="1:7" x14ac:dyDescent="0.25">
      <c r="A1582" s="22" t="s">
        <v>179</v>
      </c>
      <c r="B1582" s="15" t="s">
        <v>49</v>
      </c>
      <c r="C1582" s="23" t="s">
        <v>47</v>
      </c>
      <c r="D1582" s="14" t="s">
        <v>18</v>
      </c>
      <c r="E1582" s="14" t="s">
        <v>18</v>
      </c>
      <c r="F1582" s="14" t="s">
        <v>18</v>
      </c>
      <c r="G1582" s="14"/>
    </row>
    <row r="1583" spans="1:7" x14ac:dyDescent="0.25">
      <c r="A1583" s="22" t="s">
        <v>179</v>
      </c>
      <c r="B1583" s="15" t="s">
        <v>49</v>
      </c>
      <c r="C1583" s="23" t="s">
        <v>48</v>
      </c>
      <c r="D1583" s="14" t="s">
        <v>18</v>
      </c>
      <c r="E1583" s="14" t="s">
        <v>18</v>
      </c>
      <c r="F1583" s="14" t="s">
        <v>18</v>
      </c>
      <c r="G1583" s="14"/>
    </row>
    <row r="1584" spans="1:7" x14ac:dyDescent="0.25">
      <c r="A1584" s="22" t="s">
        <v>179</v>
      </c>
      <c r="B1584" s="15" t="s">
        <v>50</v>
      </c>
      <c r="C1584" s="23" t="s">
        <v>45</v>
      </c>
      <c r="D1584" s="14">
        <v>7.0699999999999999E-2</v>
      </c>
      <c r="E1584" s="14">
        <v>3.3799999999999997E-2</v>
      </c>
      <c r="F1584" s="15">
        <f t="shared" si="47"/>
        <v>0.47807637906647804</v>
      </c>
      <c r="G1584" s="14">
        <f>AVERAGE(F1584:F1585)</f>
        <v>0.46371351420856366</v>
      </c>
    </row>
    <row r="1585" spans="1:7" x14ac:dyDescent="0.25">
      <c r="A1585" s="22" t="s">
        <v>179</v>
      </c>
      <c r="B1585" s="15" t="s">
        <v>50</v>
      </c>
      <c r="C1585" s="23" t="s">
        <v>46</v>
      </c>
      <c r="D1585" s="14">
        <v>3.85E-2</v>
      </c>
      <c r="E1585" s="14">
        <v>1.7299999999999999E-2</v>
      </c>
      <c r="F1585" s="15">
        <f t="shared" si="47"/>
        <v>0.44935064935064933</v>
      </c>
      <c r="G1585" s="17"/>
    </row>
    <row r="1586" spans="1:7" x14ac:dyDescent="0.25">
      <c r="A1586" s="22" t="s">
        <v>179</v>
      </c>
      <c r="B1586" s="15" t="s">
        <v>50</v>
      </c>
      <c r="C1586" s="23" t="s">
        <v>47</v>
      </c>
      <c r="D1586" s="14" t="s">
        <v>18</v>
      </c>
      <c r="E1586" s="14" t="s">
        <v>18</v>
      </c>
      <c r="F1586" s="14" t="s">
        <v>18</v>
      </c>
      <c r="G1586" s="14"/>
    </row>
    <row r="1587" spans="1:7" x14ac:dyDescent="0.25">
      <c r="A1587" s="22" t="s">
        <v>179</v>
      </c>
      <c r="B1587" s="15" t="s">
        <v>50</v>
      </c>
      <c r="C1587" s="23" t="s">
        <v>48</v>
      </c>
      <c r="D1587" s="14" t="s">
        <v>18</v>
      </c>
      <c r="E1587" s="14" t="s">
        <v>18</v>
      </c>
      <c r="F1587" s="14" t="s">
        <v>18</v>
      </c>
      <c r="G1587" s="14"/>
    </row>
    <row r="1588" spans="1:7" x14ac:dyDescent="0.25">
      <c r="A1588" s="22" t="s">
        <v>179</v>
      </c>
      <c r="B1588" s="15" t="s">
        <v>51</v>
      </c>
      <c r="C1588" s="23" t="s">
        <v>45</v>
      </c>
      <c r="D1588" s="14">
        <v>8.8200000000000001E-2</v>
      </c>
      <c r="E1588" s="14">
        <v>4.07E-2</v>
      </c>
      <c r="F1588" s="15">
        <f t="shared" si="47"/>
        <v>0.46145124716553287</v>
      </c>
      <c r="G1588" s="14">
        <f>AVERAGE(F1588:F1589)</f>
        <v>0.45689808954343214</v>
      </c>
    </row>
    <row r="1589" spans="1:7" x14ac:dyDescent="0.25">
      <c r="A1589" s="22" t="s">
        <v>179</v>
      </c>
      <c r="B1589" s="15" t="s">
        <v>51</v>
      </c>
      <c r="C1589" s="23" t="s">
        <v>46</v>
      </c>
      <c r="D1589" s="14">
        <v>6.6099999999999992E-2</v>
      </c>
      <c r="E1589" s="14">
        <v>2.9899999999999999E-2</v>
      </c>
      <c r="F1589" s="15">
        <f t="shared" si="47"/>
        <v>0.45234493192133135</v>
      </c>
      <c r="G1589" s="17"/>
    </row>
    <row r="1590" spans="1:7" x14ac:dyDescent="0.25">
      <c r="A1590" s="22" t="s">
        <v>179</v>
      </c>
      <c r="B1590" s="15" t="s">
        <v>51</v>
      </c>
      <c r="C1590" s="23" t="s">
        <v>47</v>
      </c>
      <c r="D1590" s="14" t="s">
        <v>18</v>
      </c>
      <c r="E1590" s="14" t="s">
        <v>18</v>
      </c>
      <c r="F1590" s="14" t="s">
        <v>18</v>
      </c>
      <c r="G1590" s="14"/>
    </row>
    <row r="1591" spans="1:7" x14ac:dyDescent="0.25">
      <c r="A1591" s="22" t="s">
        <v>179</v>
      </c>
      <c r="B1591" s="15" t="s">
        <v>51</v>
      </c>
      <c r="C1591" s="23" t="s">
        <v>48</v>
      </c>
      <c r="D1591" s="14" t="s">
        <v>18</v>
      </c>
      <c r="E1591" s="14" t="s">
        <v>18</v>
      </c>
      <c r="F1591" s="14" t="s">
        <v>18</v>
      </c>
      <c r="G1591" s="14"/>
    </row>
    <row r="1592" spans="1:7" x14ac:dyDescent="0.25">
      <c r="A1592" s="22">
        <v>44609</v>
      </c>
      <c r="B1592" s="15" t="s">
        <v>44</v>
      </c>
      <c r="C1592" s="23" t="s">
        <v>45</v>
      </c>
      <c r="D1592" s="14">
        <v>0.2341</v>
      </c>
      <c r="E1592" s="14">
        <v>0.1013</v>
      </c>
      <c r="F1592" s="15">
        <f t="shared" si="47"/>
        <v>0.43272105937633493</v>
      </c>
      <c r="G1592" s="14">
        <f>AVERAGE(F1592:F1595)</f>
        <v>0.36946491627784761</v>
      </c>
    </row>
    <row r="1593" spans="1:7" x14ac:dyDescent="0.25">
      <c r="A1593" s="22">
        <v>44609</v>
      </c>
      <c r="B1593" s="15" t="s">
        <v>44</v>
      </c>
      <c r="C1593" s="23" t="s">
        <v>46</v>
      </c>
      <c r="D1593" s="14">
        <v>0.24859999999999999</v>
      </c>
      <c r="E1593" s="14">
        <v>8.1799999999999998E-2</v>
      </c>
      <c r="F1593" s="15">
        <f t="shared" si="47"/>
        <v>0.32904263877715206</v>
      </c>
      <c r="G1593" s="17"/>
    </row>
    <row r="1594" spans="1:7" x14ac:dyDescent="0.25">
      <c r="A1594" s="22">
        <v>44609</v>
      </c>
      <c r="B1594" s="15" t="s">
        <v>44</v>
      </c>
      <c r="C1594" s="23" t="s">
        <v>47</v>
      </c>
      <c r="D1594" s="14">
        <v>0.2311</v>
      </c>
      <c r="E1594" s="17">
        <v>9.2200000000000004E-2</v>
      </c>
      <c r="F1594" s="15">
        <f t="shared" si="47"/>
        <v>0.39896148853310259</v>
      </c>
      <c r="G1594" s="14"/>
    </row>
    <row r="1595" spans="1:7" x14ac:dyDescent="0.25">
      <c r="A1595" s="22">
        <v>44609</v>
      </c>
      <c r="B1595" s="15" t="s">
        <v>44</v>
      </c>
      <c r="C1595" s="23" t="s">
        <v>48</v>
      </c>
      <c r="D1595" s="14">
        <v>0.2387</v>
      </c>
      <c r="E1595" s="14">
        <v>7.5700000000000003E-2</v>
      </c>
      <c r="F1595" s="15">
        <f t="shared" si="47"/>
        <v>0.31713447842480103</v>
      </c>
      <c r="G1595" s="14"/>
    </row>
    <row r="1596" spans="1:7" x14ac:dyDescent="0.25">
      <c r="A1596" s="22">
        <v>44609</v>
      </c>
      <c r="B1596" s="15" t="s">
        <v>49</v>
      </c>
      <c r="C1596" s="23" t="s">
        <v>45</v>
      </c>
      <c r="D1596" s="14">
        <v>0.2419</v>
      </c>
      <c r="E1596" s="14">
        <v>0.10890000000000001</v>
      </c>
      <c r="F1596" s="15">
        <f t="shared" si="47"/>
        <v>0.4501860272840017</v>
      </c>
      <c r="G1596" s="14">
        <f>AVERAGE(F1596:F1599)</f>
        <v>0.43063246815966905</v>
      </c>
    </row>
    <row r="1597" spans="1:7" x14ac:dyDescent="0.25">
      <c r="A1597" s="22">
        <v>44609</v>
      </c>
      <c r="B1597" s="15" t="s">
        <v>49</v>
      </c>
      <c r="C1597" s="23" t="s">
        <v>46</v>
      </c>
      <c r="D1597" s="14">
        <v>0.23230000000000001</v>
      </c>
      <c r="E1597" s="14">
        <v>9.3099999999999988E-2</v>
      </c>
      <c r="F1597" s="15">
        <f t="shared" si="47"/>
        <v>0.40077486009470509</v>
      </c>
      <c r="G1597" s="17"/>
    </row>
    <row r="1598" spans="1:7" x14ac:dyDescent="0.25">
      <c r="A1598" s="22">
        <v>44609</v>
      </c>
      <c r="B1598" s="15" t="s">
        <v>49</v>
      </c>
      <c r="C1598" s="23" t="s">
        <v>47</v>
      </c>
      <c r="D1598" s="14">
        <v>0.2011</v>
      </c>
      <c r="E1598" s="14">
        <v>8.5699999999999998E-2</v>
      </c>
      <c r="F1598" s="15">
        <f t="shared" si="47"/>
        <v>0.426156141223272</v>
      </c>
      <c r="G1598" s="14"/>
    </row>
    <row r="1599" spans="1:7" x14ac:dyDescent="0.25">
      <c r="A1599" s="22">
        <v>44609</v>
      </c>
      <c r="B1599" s="15" t="s">
        <v>49</v>
      </c>
      <c r="C1599" s="23" t="s">
        <v>48</v>
      </c>
      <c r="D1599" s="14">
        <v>0.218</v>
      </c>
      <c r="E1599" s="14">
        <v>9.7099999999999992E-2</v>
      </c>
      <c r="F1599" s="15">
        <f t="shared" si="47"/>
        <v>0.44541284403669723</v>
      </c>
      <c r="G1599" s="14"/>
    </row>
    <row r="1600" spans="1:7" x14ac:dyDescent="0.25">
      <c r="A1600" s="22">
        <v>44609</v>
      </c>
      <c r="B1600" s="15" t="s">
        <v>50</v>
      </c>
      <c r="C1600" s="23" t="s">
        <v>45</v>
      </c>
      <c r="D1600" s="14">
        <v>0.22019999999999998</v>
      </c>
      <c r="E1600" s="14">
        <v>7.1199999999999999E-2</v>
      </c>
      <c r="F1600" s="15">
        <f t="shared" si="47"/>
        <v>0.32334241598546776</v>
      </c>
      <c r="G1600" s="14">
        <f>AVERAGE(F1600:F1603)</f>
        <v>0.38267830567291988</v>
      </c>
    </row>
    <row r="1601" spans="1:7" x14ac:dyDescent="0.25">
      <c r="A1601" s="22">
        <v>44609</v>
      </c>
      <c r="B1601" s="15" t="s">
        <v>50</v>
      </c>
      <c r="C1601" s="23" t="s">
        <v>46</v>
      </c>
      <c r="D1601" s="14">
        <v>0.22219999999999998</v>
      </c>
      <c r="E1601" s="14">
        <v>8.3400000000000002E-2</v>
      </c>
      <c r="F1601" s="15">
        <f t="shared" si="47"/>
        <v>0.37533753375337536</v>
      </c>
      <c r="G1601" s="17"/>
    </row>
    <row r="1602" spans="1:7" x14ac:dyDescent="0.25">
      <c r="A1602" s="22">
        <v>44609</v>
      </c>
      <c r="B1602" s="15" t="s">
        <v>50</v>
      </c>
      <c r="C1602" s="23" t="s">
        <v>47</v>
      </c>
      <c r="D1602" s="14">
        <v>0.24880000000000002</v>
      </c>
      <c r="E1602" s="14">
        <v>0.1144</v>
      </c>
      <c r="F1602" s="15">
        <f t="shared" si="47"/>
        <v>0.45980707395498388</v>
      </c>
      <c r="G1602" s="14"/>
    </row>
    <row r="1603" spans="1:7" x14ac:dyDescent="0.25">
      <c r="A1603" s="22">
        <v>44609</v>
      </c>
      <c r="B1603" s="15" t="s">
        <v>50</v>
      </c>
      <c r="C1603" s="23" t="s">
        <v>48</v>
      </c>
      <c r="D1603" s="14">
        <v>0.13969999999999999</v>
      </c>
      <c r="E1603" s="14">
        <v>5.1999999999999998E-2</v>
      </c>
      <c r="F1603" s="15">
        <f t="shared" si="47"/>
        <v>0.37222619899785253</v>
      </c>
      <c r="G1603" s="14"/>
    </row>
    <row r="1604" spans="1:7" x14ac:dyDescent="0.25">
      <c r="A1604" s="22">
        <v>44609</v>
      </c>
      <c r="B1604" s="15" t="s">
        <v>51</v>
      </c>
      <c r="C1604" s="23" t="s">
        <v>45</v>
      </c>
      <c r="D1604" s="14">
        <v>0.1598</v>
      </c>
      <c r="E1604" s="14">
        <v>8.1700000000000009E-2</v>
      </c>
      <c r="F1604" s="15">
        <f t="shared" si="47"/>
        <v>0.51126408010012525</v>
      </c>
      <c r="G1604" s="14">
        <f>AVERAGE(F1604:F1607)</f>
        <v>0.45343392288008211</v>
      </c>
    </row>
    <row r="1605" spans="1:7" x14ac:dyDescent="0.25">
      <c r="A1605" s="22">
        <v>44609</v>
      </c>
      <c r="B1605" s="15" t="s">
        <v>51</v>
      </c>
      <c r="C1605" s="23" t="s">
        <v>46</v>
      </c>
      <c r="D1605" s="14">
        <v>0.1628</v>
      </c>
      <c r="E1605" s="14">
        <v>6.9599999999999995E-2</v>
      </c>
      <c r="F1605" s="15">
        <f t="shared" si="47"/>
        <v>0.4275184275184275</v>
      </c>
      <c r="G1605" s="17"/>
    </row>
    <row r="1606" spans="1:7" x14ac:dyDescent="0.25">
      <c r="A1606" s="22">
        <v>44609</v>
      </c>
      <c r="B1606" s="15" t="s">
        <v>51</v>
      </c>
      <c r="C1606" s="23" t="s">
        <v>47</v>
      </c>
      <c r="D1606" s="14">
        <v>0.2104</v>
      </c>
      <c r="E1606" s="14">
        <v>9.7700000000000009E-2</v>
      </c>
      <c r="F1606" s="15">
        <f t="shared" si="47"/>
        <v>0.46435361216730042</v>
      </c>
      <c r="G1606" s="14"/>
    </row>
    <row r="1607" spans="1:7" x14ac:dyDescent="0.25">
      <c r="A1607" s="22">
        <v>44609</v>
      </c>
      <c r="B1607" s="15" t="s">
        <v>51</v>
      </c>
      <c r="C1607" s="23" t="s">
        <v>48</v>
      </c>
      <c r="D1607" s="14">
        <v>0.18680000000000002</v>
      </c>
      <c r="E1607" s="14">
        <v>7.6700000000000004E-2</v>
      </c>
      <c r="F1607" s="15">
        <f t="shared" si="47"/>
        <v>0.41059957173447537</v>
      </c>
      <c r="G1607" s="14"/>
    </row>
    <row r="1608" spans="1:7" x14ac:dyDescent="0.25">
      <c r="A1608" s="22">
        <v>44672</v>
      </c>
      <c r="B1608" s="15" t="s">
        <v>44</v>
      </c>
      <c r="C1608" s="23" t="s">
        <v>45</v>
      </c>
      <c r="D1608" s="14">
        <v>0.14937615000000001</v>
      </c>
      <c r="E1608" s="14">
        <v>3.9179699999999998E-2</v>
      </c>
      <c r="F1608" s="15">
        <f t="shared" si="47"/>
        <v>0.26228885936610358</v>
      </c>
      <c r="G1608" s="14">
        <f>AVERAGE(F1608:F1611)</f>
        <v>0.26848034336302418</v>
      </c>
    </row>
    <row r="1609" spans="1:7" x14ac:dyDescent="0.25">
      <c r="A1609" s="22">
        <v>44672</v>
      </c>
      <c r="B1609" s="15" t="s">
        <v>44</v>
      </c>
      <c r="C1609" s="23" t="s">
        <v>46</v>
      </c>
      <c r="D1609" s="14">
        <v>0.13065097500000003</v>
      </c>
      <c r="E1609" s="14">
        <v>3.8414250000000004E-2</v>
      </c>
      <c r="F1609" s="15">
        <f t="shared" si="47"/>
        <v>0.29402191602473687</v>
      </c>
      <c r="G1609" s="17"/>
    </row>
    <row r="1610" spans="1:7" x14ac:dyDescent="0.25">
      <c r="A1610" s="22">
        <v>44672</v>
      </c>
      <c r="B1610" s="15" t="s">
        <v>44</v>
      </c>
      <c r="C1610" s="23" t="s">
        <v>47</v>
      </c>
      <c r="D1610" s="14">
        <v>0.10198912500000001</v>
      </c>
      <c r="E1610" s="14">
        <v>2.5557525000000001E-2</v>
      </c>
      <c r="F1610" s="15">
        <f t="shared" si="47"/>
        <v>0.25059068797776229</v>
      </c>
      <c r="G1610" s="14"/>
    </row>
    <row r="1611" spans="1:7" x14ac:dyDescent="0.25">
      <c r="A1611" s="22">
        <v>44672</v>
      </c>
      <c r="B1611" s="15" t="s">
        <v>44</v>
      </c>
      <c r="C1611" s="23" t="s">
        <v>48</v>
      </c>
      <c r="D1611" s="14">
        <v>8.828190000000001E-2</v>
      </c>
      <c r="E1611" s="14">
        <v>2.3573025000000001E-2</v>
      </c>
      <c r="F1611" s="15">
        <f t="shared" si="47"/>
        <v>0.26701991008349385</v>
      </c>
      <c r="G1611" s="14"/>
    </row>
    <row r="1612" spans="1:7" x14ac:dyDescent="0.25">
      <c r="A1612" s="22">
        <v>44672</v>
      </c>
      <c r="B1612" s="15" t="s">
        <v>49</v>
      </c>
      <c r="C1612" s="23" t="s">
        <v>45</v>
      </c>
      <c r="D1612" s="14">
        <v>2.4777900000000002E-2</v>
      </c>
      <c r="E1612" s="14">
        <v>1.176525E-2</v>
      </c>
      <c r="F1612" s="15">
        <f t="shared" si="47"/>
        <v>0.47482837528604116</v>
      </c>
      <c r="G1612" s="14">
        <f>AVERAGE(F1612:F1612)</f>
        <v>0.47482837528604116</v>
      </c>
    </row>
    <row r="1613" spans="1:7" x14ac:dyDescent="0.25">
      <c r="A1613" s="22">
        <v>44672</v>
      </c>
      <c r="B1613" s="15" t="s">
        <v>49</v>
      </c>
      <c r="C1613" s="23" t="s">
        <v>46</v>
      </c>
      <c r="D1613" s="14" t="s">
        <v>18</v>
      </c>
      <c r="E1613" s="14" t="s">
        <v>18</v>
      </c>
      <c r="F1613" s="14" t="s">
        <v>18</v>
      </c>
      <c r="G1613" s="17"/>
    </row>
    <row r="1614" spans="1:7" x14ac:dyDescent="0.25">
      <c r="A1614" s="22">
        <v>44672</v>
      </c>
      <c r="B1614" s="15" t="s">
        <v>49</v>
      </c>
      <c r="C1614" s="23" t="s">
        <v>47</v>
      </c>
      <c r="D1614" s="14" t="s">
        <v>18</v>
      </c>
      <c r="E1614" s="14" t="s">
        <v>18</v>
      </c>
      <c r="F1614" s="14" t="s">
        <v>18</v>
      </c>
      <c r="G1614" s="14"/>
    </row>
    <row r="1615" spans="1:7" x14ac:dyDescent="0.25">
      <c r="A1615" s="22">
        <v>44672</v>
      </c>
      <c r="B1615" s="15" t="s">
        <v>49</v>
      </c>
      <c r="C1615" s="23" t="s">
        <v>48</v>
      </c>
      <c r="D1615" s="14" t="s">
        <v>18</v>
      </c>
      <c r="E1615" s="14" t="s">
        <v>18</v>
      </c>
      <c r="F1615" s="14" t="s">
        <v>18</v>
      </c>
      <c r="G1615" s="14"/>
    </row>
    <row r="1616" spans="1:7" x14ac:dyDescent="0.25">
      <c r="A1616" s="22">
        <v>44672</v>
      </c>
      <c r="B1616" s="15" t="s">
        <v>50</v>
      </c>
      <c r="C1616" s="23" t="s">
        <v>45</v>
      </c>
      <c r="D1616" s="14">
        <v>6.6310649999999999E-2</v>
      </c>
      <c r="E1616" s="14">
        <v>2.3870699999999998E-2</v>
      </c>
      <c r="F1616" s="15">
        <f t="shared" si="47"/>
        <v>0.35998289867464728</v>
      </c>
      <c r="G1616" s="14">
        <f>AVERAGE(F1616:F1617)</f>
        <v>0.35077633305825384</v>
      </c>
    </row>
    <row r="1617" spans="1:7" x14ac:dyDescent="0.25">
      <c r="A1617" s="22">
        <v>44672</v>
      </c>
      <c r="B1617" s="15" t="s">
        <v>50</v>
      </c>
      <c r="C1617" s="23" t="s">
        <v>46</v>
      </c>
      <c r="D1617" s="14">
        <v>8.7771600000000005E-2</v>
      </c>
      <c r="E1617" s="14">
        <v>2.9980125000000003E-2</v>
      </c>
      <c r="F1617" s="15">
        <f t="shared" si="47"/>
        <v>0.34156976744186046</v>
      </c>
      <c r="G1617" s="17"/>
    </row>
    <row r="1618" spans="1:7" x14ac:dyDescent="0.25">
      <c r="A1618" s="22">
        <v>44672</v>
      </c>
      <c r="B1618" s="15" t="s">
        <v>50</v>
      </c>
      <c r="C1618" s="23" t="s">
        <v>47</v>
      </c>
      <c r="D1618" s="14" t="s">
        <v>18</v>
      </c>
      <c r="E1618" s="14" t="s">
        <v>18</v>
      </c>
      <c r="F1618" s="14" t="s">
        <v>18</v>
      </c>
      <c r="G1618" s="14"/>
    </row>
    <row r="1619" spans="1:7" x14ac:dyDescent="0.25">
      <c r="A1619" s="22">
        <v>44672</v>
      </c>
      <c r="B1619" s="15" t="s">
        <v>50</v>
      </c>
      <c r="C1619" s="23" t="s">
        <v>48</v>
      </c>
      <c r="D1619" s="14" t="s">
        <v>18</v>
      </c>
      <c r="E1619" s="14" t="s">
        <v>18</v>
      </c>
      <c r="F1619" s="14" t="s">
        <v>18</v>
      </c>
      <c r="G1619" s="14"/>
    </row>
    <row r="1620" spans="1:7" x14ac:dyDescent="0.25">
      <c r="A1620" s="22">
        <v>44672</v>
      </c>
      <c r="B1620" s="15" t="s">
        <v>51</v>
      </c>
      <c r="C1620" s="23" t="s">
        <v>45</v>
      </c>
      <c r="D1620" s="14">
        <v>1.3962374999999999E-2</v>
      </c>
      <c r="E1620" s="14">
        <v>7.7253750000000005E-3</v>
      </c>
      <c r="F1620" s="15">
        <f t="shared" si="47"/>
        <v>0.55329949238578691</v>
      </c>
      <c r="G1620" s="14">
        <f>AVERAGE(F1620:F1620)</f>
        <v>0.55329949238578691</v>
      </c>
    </row>
    <row r="1621" spans="1:7" x14ac:dyDescent="0.25">
      <c r="A1621" s="22">
        <v>44672</v>
      </c>
      <c r="B1621" s="15" t="s">
        <v>51</v>
      </c>
      <c r="C1621" s="23" t="s">
        <v>46</v>
      </c>
      <c r="D1621" s="14" t="s">
        <v>18</v>
      </c>
      <c r="E1621" s="14" t="s">
        <v>18</v>
      </c>
      <c r="F1621" s="14" t="s">
        <v>18</v>
      </c>
      <c r="G1621" s="17"/>
    </row>
    <row r="1622" spans="1:7" x14ac:dyDescent="0.25">
      <c r="A1622" s="22">
        <v>44672</v>
      </c>
      <c r="B1622" s="15" t="s">
        <v>51</v>
      </c>
      <c r="C1622" s="23" t="s">
        <v>47</v>
      </c>
      <c r="D1622" s="14" t="s">
        <v>18</v>
      </c>
      <c r="E1622" s="14" t="s">
        <v>18</v>
      </c>
      <c r="F1622" s="14" t="s">
        <v>18</v>
      </c>
      <c r="G1622" s="14"/>
    </row>
    <row r="1623" spans="1:7" x14ac:dyDescent="0.25">
      <c r="A1623" s="22">
        <v>44672</v>
      </c>
      <c r="B1623" s="15" t="s">
        <v>51</v>
      </c>
      <c r="C1623" s="23" t="s">
        <v>48</v>
      </c>
      <c r="D1623" s="14" t="s">
        <v>18</v>
      </c>
      <c r="E1623" s="14" t="s">
        <v>18</v>
      </c>
      <c r="F1623" s="14" t="s">
        <v>18</v>
      </c>
      <c r="G1623" s="14"/>
    </row>
    <row r="1624" spans="1:7" x14ac:dyDescent="0.25">
      <c r="A1624" s="22">
        <v>44673</v>
      </c>
      <c r="B1624" s="15" t="s">
        <v>44</v>
      </c>
      <c r="C1624" s="23" t="s">
        <v>45</v>
      </c>
      <c r="D1624" s="14">
        <v>0.19764202500000003</v>
      </c>
      <c r="E1624" s="14">
        <v>5.1526124999999999E-2</v>
      </c>
      <c r="F1624" s="15">
        <f t="shared" si="47"/>
        <v>0.26070429606254031</v>
      </c>
      <c r="G1624" s="14">
        <f>AVERAGE(F1624:F1627)</f>
        <v>0.29288688788087547</v>
      </c>
    </row>
    <row r="1625" spans="1:7" x14ac:dyDescent="0.25">
      <c r="A1625" s="22">
        <v>44673</v>
      </c>
      <c r="B1625" s="15" t="s">
        <v>44</v>
      </c>
      <c r="C1625" s="23" t="s">
        <v>46</v>
      </c>
      <c r="D1625" s="14">
        <v>0.19021432499999999</v>
      </c>
      <c r="E1625" s="14">
        <v>5.5296675000000003E-2</v>
      </c>
      <c r="F1625" s="15">
        <f t="shared" si="47"/>
        <v>0.29070720620016399</v>
      </c>
      <c r="G1625" s="17"/>
    </row>
    <row r="1626" spans="1:7" x14ac:dyDescent="0.25">
      <c r="A1626" s="22">
        <v>44673</v>
      </c>
      <c r="B1626" s="15" t="s">
        <v>44</v>
      </c>
      <c r="C1626" s="23" t="s">
        <v>47</v>
      </c>
      <c r="D1626" s="14">
        <v>0.191079</v>
      </c>
      <c r="E1626" s="17">
        <v>5.2943625000000001E-2</v>
      </c>
      <c r="F1626" s="15">
        <f t="shared" si="47"/>
        <v>0.27707715133531158</v>
      </c>
      <c r="G1626" s="14"/>
    </row>
    <row r="1627" spans="1:7" x14ac:dyDescent="0.25">
      <c r="A1627" s="22">
        <v>44673</v>
      </c>
      <c r="B1627" s="15" t="s">
        <v>44</v>
      </c>
      <c r="C1627" s="23" t="s">
        <v>48</v>
      </c>
      <c r="D1627" s="14">
        <v>0.16139371500000002</v>
      </c>
      <c r="E1627" s="14">
        <v>5.5367550000000001E-2</v>
      </c>
      <c r="F1627" s="15">
        <f t="shared" si="47"/>
        <v>0.34305889792548611</v>
      </c>
      <c r="G1627" s="14"/>
    </row>
    <row r="1628" spans="1:7" x14ac:dyDescent="0.25">
      <c r="A1628" s="22">
        <v>44673</v>
      </c>
      <c r="B1628" s="15" t="s">
        <v>49</v>
      </c>
      <c r="C1628" s="23" t="s">
        <v>45</v>
      </c>
      <c r="D1628" s="14">
        <v>0.106610175</v>
      </c>
      <c r="E1628" s="14">
        <v>4.6791675000000005E-2</v>
      </c>
      <c r="F1628" s="15">
        <f t="shared" si="47"/>
        <v>0.43890440101050399</v>
      </c>
      <c r="G1628" s="14">
        <f>AVERAGE(F1628:F1631)</f>
        <v>0.47285574163232791</v>
      </c>
    </row>
    <row r="1629" spans="1:7" x14ac:dyDescent="0.25">
      <c r="A1629" s="22">
        <v>44673</v>
      </c>
      <c r="B1629" s="15" t="s">
        <v>49</v>
      </c>
      <c r="C1629" s="23" t="s">
        <v>46</v>
      </c>
      <c r="D1629" s="14">
        <v>7.7083650000000004E-2</v>
      </c>
      <c r="E1629" s="14">
        <v>3.9236399999999998E-2</v>
      </c>
      <c r="F1629" s="15">
        <f t="shared" si="47"/>
        <v>0.50901066568591391</v>
      </c>
      <c r="G1629" s="17"/>
    </row>
    <row r="1630" spans="1:7" x14ac:dyDescent="0.25">
      <c r="A1630" s="22">
        <v>44673</v>
      </c>
      <c r="B1630" s="15" t="s">
        <v>49</v>
      </c>
      <c r="C1630" s="23" t="s">
        <v>47</v>
      </c>
      <c r="D1630" s="14">
        <v>6.6126375000000015E-2</v>
      </c>
      <c r="E1630" s="14">
        <v>3.1213350000000001E-2</v>
      </c>
      <c r="F1630" s="15">
        <f t="shared" si="47"/>
        <v>0.47202572347266869</v>
      </c>
      <c r="G1630" s="14"/>
    </row>
    <row r="1631" spans="1:7" x14ac:dyDescent="0.25">
      <c r="A1631" s="22">
        <v>44673</v>
      </c>
      <c r="B1631" s="15" t="s">
        <v>49</v>
      </c>
      <c r="C1631" s="23" t="s">
        <v>48</v>
      </c>
      <c r="D1631" s="14">
        <v>7.5552750000000002E-2</v>
      </c>
      <c r="E1631" s="14">
        <v>3.5621775000000001E-2</v>
      </c>
      <c r="F1631" s="15">
        <f t="shared" si="47"/>
        <v>0.47148217636022516</v>
      </c>
      <c r="G1631" s="14"/>
    </row>
    <row r="1632" spans="1:7" x14ac:dyDescent="0.25">
      <c r="A1632" s="22">
        <v>44673</v>
      </c>
      <c r="B1632" s="15" t="s">
        <v>50</v>
      </c>
      <c r="C1632" s="23" t="s">
        <v>45</v>
      </c>
      <c r="D1632" s="14">
        <v>0.20631712500000002</v>
      </c>
      <c r="E1632" s="14">
        <v>9.1046025000000003E-2</v>
      </c>
      <c r="F1632" s="15">
        <f t="shared" si="47"/>
        <v>0.44129165235314322</v>
      </c>
      <c r="G1632" s="14">
        <f>AVERAGE(F1632:F1635)</f>
        <v>0.43919364390263771</v>
      </c>
    </row>
    <row r="1633" spans="1:7" x14ac:dyDescent="0.25">
      <c r="A1633" s="22">
        <v>44673</v>
      </c>
      <c r="B1633" s="15" t="s">
        <v>50</v>
      </c>
      <c r="C1633" s="23" t="s">
        <v>46</v>
      </c>
      <c r="D1633" s="14">
        <v>0.21487882500000002</v>
      </c>
      <c r="E1633" s="14">
        <v>8.8324425000000012E-2</v>
      </c>
      <c r="F1633" s="15">
        <f t="shared" si="47"/>
        <v>0.41104294478527609</v>
      </c>
      <c r="G1633" s="17"/>
    </row>
    <row r="1634" spans="1:7" x14ac:dyDescent="0.25">
      <c r="A1634" s="22">
        <v>44673</v>
      </c>
      <c r="B1634" s="15" t="s">
        <v>50</v>
      </c>
      <c r="C1634" s="23" t="s">
        <v>47</v>
      </c>
      <c r="D1634" s="14">
        <v>0.2084859</v>
      </c>
      <c r="E1634" s="14">
        <v>9.3002175000000006E-2</v>
      </c>
      <c r="F1634" s="15">
        <f t="shared" si="47"/>
        <v>0.44608376393799298</v>
      </c>
      <c r="G1634" s="14"/>
    </row>
    <row r="1635" spans="1:7" x14ac:dyDescent="0.25">
      <c r="A1635" s="22">
        <v>44673</v>
      </c>
      <c r="B1635" s="15" t="s">
        <v>50</v>
      </c>
      <c r="C1635" s="23" t="s">
        <v>48</v>
      </c>
      <c r="D1635" s="14">
        <v>0.23231407500000001</v>
      </c>
      <c r="E1635" s="14">
        <v>0.10648260000000001</v>
      </c>
      <c r="F1635" s="15">
        <f t="shared" si="47"/>
        <v>0.45835621453413877</v>
      </c>
      <c r="G1635" s="14"/>
    </row>
    <row r="1636" spans="1:7" x14ac:dyDescent="0.25">
      <c r="A1636" s="22">
        <v>44673</v>
      </c>
      <c r="B1636" s="15" t="s">
        <v>51</v>
      </c>
      <c r="C1636" s="23" t="s">
        <v>45</v>
      </c>
      <c r="D1636" s="14">
        <v>8.7970050000000008E-2</v>
      </c>
      <c r="E1636" s="14">
        <v>3.9449024999999999E-2</v>
      </c>
      <c r="F1636" s="15">
        <f t="shared" si="47"/>
        <v>0.44843699645504342</v>
      </c>
      <c r="G1636" s="14">
        <f>AVERAGE(F1636:F1639)</f>
        <v>0.44559764737334201</v>
      </c>
    </row>
    <row r="1637" spans="1:7" x14ac:dyDescent="0.25">
      <c r="A1637" s="22">
        <v>44673</v>
      </c>
      <c r="B1637" s="15" t="s">
        <v>51</v>
      </c>
      <c r="C1637" s="23" t="s">
        <v>46</v>
      </c>
      <c r="D1637" s="14">
        <v>6.958507500000001E-2</v>
      </c>
      <c r="E1637" s="14">
        <v>3.4785450000000002E-2</v>
      </c>
      <c r="F1637" s="15">
        <f t="shared" si="47"/>
        <v>0.49989814626196777</v>
      </c>
      <c r="G1637" s="17"/>
    </row>
    <row r="1638" spans="1:7" x14ac:dyDescent="0.25">
      <c r="A1638" s="22">
        <v>44673</v>
      </c>
      <c r="B1638" s="15" t="s">
        <v>51</v>
      </c>
      <c r="C1638" s="23" t="s">
        <v>47</v>
      </c>
      <c r="D1638" s="14">
        <v>7.6247325000000005E-2</v>
      </c>
      <c r="E1638" s="14">
        <v>3.3750675000000001E-2</v>
      </c>
      <c r="F1638" s="15">
        <f t="shared" si="47"/>
        <v>0.44264733221788433</v>
      </c>
      <c r="G1638" s="14"/>
    </row>
    <row r="1639" spans="1:7" x14ac:dyDescent="0.25">
      <c r="A1639" s="22">
        <v>44673</v>
      </c>
      <c r="B1639" s="15" t="s">
        <v>51</v>
      </c>
      <c r="C1639" s="23" t="s">
        <v>48</v>
      </c>
      <c r="D1639" s="14">
        <v>3.563595E-2</v>
      </c>
      <c r="E1639" s="14">
        <v>1.3948199999999999E-2</v>
      </c>
      <c r="F1639" s="15">
        <f t="shared" si="47"/>
        <v>0.39140811455847252</v>
      </c>
      <c r="G1639" s="14"/>
    </row>
    <row r="1640" spans="1:7" x14ac:dyDescent="0.25">
      <c r="A1640" s="22">
        <v>44781</v>
      </c>
      <c r="B1640" s="15" t="s">
        <v>44</v>
      </c>
      <c r="C1640" s="23" t="s">
        <v>45</v>
      </c>
      <c r="D1640" s="14">
        <v>0.25180734637500002</v>
      </c>
      <c r="E1640" s="14">
        <v>7.3290544874999988E-2</v>
      </c>
      <c r="F1640" s="15">
        <f t="shared" ref="F1640:F1670" si="48">E1640/D1640</f>
        <v>0.29105800895043477</v>
      </c>
      <c r="G1640" s="14">
        <f>AVERAGE(F1640:F1643)</f>
        <v>0.28453338320592098</v>
      </c>
    </row>
    <row r="1641" spans="1:7" x14ac:dyDescent="0.25">
      <c r="A1641" s="22">
        <v>44781</v>
      </c>
      <c r="B1641" s="15" t="s">
        <v>44</v>
      </c>
      <c r="C1641" s="23" t="s">
        <v>46</v>
      </c>
      <c r="D1641" s="14">
        <v>0.24115502175</v>
      </c>
      <c r="E1641" s="14">
        <v>5.8917348374999991E-2</v>
      </c>
      <c r="F1641" s="15">
        <f t="shared" si="48"/>
        <v>0.24431317228002111</v>
      </c>
      <c r="G1641" s="17"/>
    </row>
    <row r="1642" spans="1:7" x14ac:dyDescent="0.25">
      <c r="A1642" s="22">
        <v>44781</v>
      </c>
      <c r="B1642" s="15" t="s">
        <v>44</v>
      </c>
      <c r="C1642" s="23" t="s">
        <v>47</v>
      </c>
      <c r="D1642" s="14">
        <v>0.21936134362499998</v>
      </c>
      <c r="E1642" s="14">
        <v>5.9789095499999986E-2</v>
      </c>
      <c r="F1642" s="15">
        <f t="shared" si="48"/>
        <v>0.27255985267034988</v>
      </c>
      <c r="G1642" s="14"/>
    </row>
    <row r="1643" spans="1:7" x14ac:dyDescent="0.25">
      <c r="A1643" s="22">
        <v>44781</v>
      </c>
      <c r="B1643" s="15" t="s">
        <v>44</v>
      </c>
      <c r="C1643" s="23" t="s">
        <v>48</v>
      </c>
      <c r="D1643" s="14">
        <v>0.24674696062499998</v>
      </c>
      <c r="E1643" s="14">
        <v>8.1476462999999999E-2</v>
      </c>
      <c r="F1643" s="15">
        <f t="shared" si="48"/>
        <v>0.33020249892287806</v>
      </c>
      <c r="G1643" s="14"/>
    </row>
    <row r="1644" spans="1:7" x14ac:dyDescent="0.25">
      <c r="A1644" s="22">
        <v>44781</v>
      </c>
      <c r="B1644" s="15" t="s">
        <v>49</v>
      </c>
      <c r="C1644" s="23" t="s">
        <v>45</v>
      </c>
      <c r="D1644" s="14">
        <v>2.4139599250000001E-2</v>
      </c>
      <c r="E1644" s="14">
        <v>1.4699215749999999E-2</v>
      </c>
      <c r="F1644" s="15">
        <f t="shared" si="48"/>
        <v>0.60892542571931885</v>
      </c>
      <c r="G1644" s="14">
        <f>AVERAGE(F1644:F1647)</f>
        <v>0.55115836847624677</v>
      </c>
    </row>
    <row r="1645" spans="1:7" x14ac:dyDescent="0.25">
      <c r="A1645" s="22">
        <v>44781</v>
      </c>
      <c r="B1645" s="15" t="s">
        <v>49</v>
      </c>
      <c r="C1645" s="23" t="s">
        <v>46</v>
      </c>
      <c r="D1645" s="14">
        <v>3.1113576249999997E-2</v>
      </c>
      <c r="E1645" s="14">
        <v>1.7264845500000001E-2</v>
      </c>
      <c r="F1645" s="15">
        <f t="shared" si="48"/>
        <v>0.55489749430523927</v>
      </c>
      <c r="G1645" s="17"/>
    </row>
    <row r="1646" spans="1:7" x14ac:dyDescent="0.25">
      <c r="A1646" s="22">
        <v>44781</v>
      </c>
      <c r="B1646" s="15" t="s">
        <v>49</v>
      </c>
      <c r="C1646" s="23" t="s">
        <v>47</v>
      </c>
      <c r="D1646" s="14">
        <v>2.632251075E-2</v>
      </c>
      <c r="E1646" s="14">
        <v>1.3792031749999999E-2</v>
      </c>
      <c r="F1646" s="15">
        <f t="shared" si="48"/>
        <v>0.52396338179859991</v>
      </c>
      <c r="G1646" s="14"/>
    </row>
    <row r="1647" spans="1:7" x14ac:dyDescent="0.25">
      <c r="A1647" s="22">
        <v>44781</v>
      </c>
      <c r="B1647" s="15" t="s">
        <v>49</v>
      </c>
      <c r="C1647" s="23" t="s">
        <v>48</v>
      </c>
      <c r="D1647" s="14">
        <v>4.7116868999999992E-2</v>
      </c>
      <c r="E1647" s="14">
        <v>2.4352220499999997E-2</v>
      </c>
      <c r="F1647" s="15">
        <f t="shared" si="48"/>
        <v>0.51684717208182918</v>
      </c>
      <c r="G1647" s="14"/>
    </row>
    <row r="1648" spans="1:7" x14ac:dyDescent="0.25">
      <c r="A1648" s="22">
        <v>44781</v>
      </c>
      <c r="B1648" s="15" t="s">
        <v>50</v>
      </c>
      <c r="C1648" s="23" t="s">
        <v>45</v>
      </c>
      <c r="D1648" s="14">
        <v>0.1146737275</v>
      </c>
      <c r="E1648" s="14">
        <v>4.3403084500000001E-2</v>
      </c>
      <c r="F1648" s="15">
        <f t="shared" si="48"/>
        <v>0.37849196538936958</v>
      </c>
      <c r="G1648" s="14">
        <f>AVERAGE(F1648:F1651)</f>
        <v>0.37889903750570553</v>
      </c>
    </row>
    <row r="1649" spans="1:7" x14ac:dyDescent="0.25">
      <c r="A1649" s="22">
        <v>44781</v>
      </c>
      <c r="B1649" s="15" t="s">
        <v>50</v>
      </c>
      <c r="C1649" s="23" t="s">
        <v>46</v>
      </c>
      <c r="D1649" s="14">
        <v>8.388617050000001E-2</v>
      </c>
      <c r="E1649" s="14">
        <v>3.2332604750000001E-2</v>
      </c>
      <c r="F1649" s="15">
        <f t="shared" si="48"/>
        <v>0.38543426833389655</v>
      </c>
      <c r="G1649" s="17"/>
    </row>
    <row r="1650" spans="1:7" x14ac:dyDescent="0.25">
      <c r="A1650" s="22">
        <v>44781</v>
      </c>
      <c r="B1650" s="15" t="s">
        <v>50</v>
      </c>
      <c r="C1650" s="23" t="s">
        <v>47</v>
      </c>
      <c r="D1650" s="14">
        <v>5.4558612749999999E-2</v>
      </c>
      <c r="E1650" s="14">
        <v>2.1063678499999999E-2</v>
      </c>
      <c r="F1650" s="15">
        <f t="shared" si="48"/>
        <v>0.38607430501428941</v>
      </c>
      <c r="G1650" s="14"/>
    </row>
    <row r="1651" spans="1:7" x14ac:dyDescent="0.25">
      <c r="A1651" s="22">
        <v>44781</v>
      </c>
      <c r="B1651" s="15" t="s">
        <v>50</v>
      </c>
      <c r="C1651" s="23" t="s">
        <v>48</v>
      </c>
      <c r="D1651" s="14">
        <v>0.18086980999999999</v>
      </c>
      <c r="E1651" s="14">
        <v>6.6125208749999997E-2</v>
      </c>
      <c r="F1651" s="15">
        <f t="shared" si="48"/>
        <v>0.36559561128526646</v>
      </c>
      <c r="G1651" s="14"/>
    </row>
    <row r="1652" spans="1:7" x14ac:dyDescent="0.25">
      <c r="A1652" s="22">
        <v>44781</v>
      </c>
      <c r="B1652" s="15" t="s">
        <v>51</v>
      </c>
      <c r="C1652" s="23" t="s">
        <v>45</v>
      </c>
      <c r="D1652" s="14">
        <v>2.1107620225000002E-2</v>
      </c>
      <c r="E1652" s="14">
        <v>1.087203325E-2</v>
      </c>
      <c r="F1652" s="15">
        <f t="shared" si="48"/>
        <v>0.51507622053589408</v>
      </c>
      <c r="G1652" s="14">
        <f>AVERAGE(F1652:F1655)</f>
        <v>0.51530109001322888</v>
      </c>
    </row>
    <row r="1653" spans="1:7" x14ac:dyDescent="0.25">
      <c r="A1653" s="22">
        <v>44781</v>
      </c>
      <c r="B1653" s="15" t="s">
        <v>51</v>
      </c>
      <c r="C1653" s="23" t="s">
        <v>46</v>
      </c>
      <c r="D1653" s="14">
        <v>2.3459211250000001E-2</v>
      </c>
      <c r="E1653" s="14">
        <v>1.20485375E-2</v>
      </c>
      <c r="F1653" s="15">
        <f t="shared" si="48"/>
        <v>0.51359516616314194</v>
      </c>
      <c r="G1653" s="17"/>
    </row>
    <row r="1654" spans="1:7" x14ac:dyDescent="0.25">
      <c r="A1654" s="22">
        <v>44781</v>
      </c>
      <c r="B1654" s="15" t="s">
        <v>51</v>
      </c>
      <c r="C1654" s="23" t="s">
        <v>47</v>
      </c>
      <c r="D1654" s="14">
        <v>2.1120377499999999E-2</v>
      </c>
      <c r="E1654" s="14">
        <v>1.1334130099999999E-2</v>
      </c>
      <c r="F1654" s="15">
        <f t="shared" si="48"/>
        <v>0.53664429530201341</v>
      </c>
      <c r="G1654" s="14"/>
    </row>
    <row r="1655" spans="1:7" x14ac:dyDescent="0.25">
      <c r="A1655" s="62">
        <v>44781</v>
      </c>
      <c r="B1655" s="63" t="s">
        <v>51</v>
      </c>
      <c r="C1655" s="64" t="s">
        <v>48</v>
      </c>
      <c r="D1655" s="91">
        <v>2.2410279749999998E-2</v>
      </c>
      <c r="E1655" s="91">
        <v>1.1113003999999999E-2</v>
      </c>
      <c r="F1655" s="63">
        <f t="shared" si="48"/>
        <v>0.49588867805186593</v>
      </c>
      <c r="G1655" s="91"/>
    </row>
    <row r="1656" spans="1:7" x14ac:dyDescent="0.25">
      <c r="A1656" s="22">
        <v>44877</v>
      </c>
      <c r="B1656" s="15" t="s">
        <v>44</v>
      </c>
      <c r="C1656" s="23" t="s">
        <v>45</v>
      </c>
      <c r="D1656" s="14">
        <v>0.21466241399999997</v>
      </c>
      <c r="E1656" s="14">
        <v>4.9072984499999993E-2</v>
      </c>
      <c r="F1656" s="15">
        <f t="shared" si="48"/>
        <v>0.2286053882725832</v>
      </c>
      <c r="G1656" s="14">
        <f>AVERAGE(F1656:F1659)</f>
        <v>0.22662611954506237</v>
      </c>
    </row>
    <row r="1657" spans="1:7" x14ac:dyDescent="0.25">
      <c r="A1657" s="22">
        <v>44877</v>
      </c>
      <c r="B1657" s="15" t="s">
        <v>44</v>
      </c>
      <c r="C1657" s="23" t="s">
        <v>46</v>
      </c>
      <c r="D1657" s="14">
        <v>0.24640251419999998</v>
      </c>
      <c r="E1657" s="14">
        <v>4.1503668000000001E-2</v>
      </c>
      <c r="F1657" s="15">
        <f t="shared" si="48"/>
        <v>0.16843849233742925</v>
      </c>
      <c r="G1657" s="17"/>
    </row>
    <row r="1658" spans="1:7" x14ac:dyDescent="0.25">
      <c r="A1658" s="22">
        <v>44877</v>
      </c>
      <c r="B1658" s="15" t="s">
        <v>44</v>
      </c>
      <c r="C1658" s="23" t="s">
        <v>47</v>
      </c>
      <c r="D1658" s="14">
        <v>0.22216369169999997</v>
      </c>
      <c r="E1658" s="14">
        <v>6.1285949099999994E-2</v>
      </c>
      <c r="F1658" s="15">
        <f t="shared" si="48"/>
        <v>0.27585942883393311</v>
      </c>
      <c r="G1658" s="14"/>
    </row>
    <row r="1659" spans="1:7" x14ac:dyDescent="0.25">
      <c r="A1659" s="22">
        <v>44877</v>
      </c>
      <c r="B1659" s="15" t="s">
        <v>44</v>
      </c>
      <c r="C1659" s="23" t="s">
        <v>48</v>
      </c>
      <c r="D1659" s="14">
        <v>0.23286279299999996</v>
      </c>
      <c r="E1659" s="14">
        <v>5.4397020599999998E-2</v>
      </c>
      <c r="F1659" s="15">
        <f t="shared" si="48"/>
        <v>0.2336011687363039</v>
      </c>
      <c r="G1659" s="14"/>
    </row>
    <row r="1660" spans="1:7" x14ac:dyDescent="0.25">
      <c r="A1660" s="22">
        <v>44877</v>
      </c>
      <c r="B1660" s="15" t="s">
        <v>49</v>
      </c>
      <c r="C1660" s="23" t="s">
        <v>45</v>
      </c>
      <c r="D1660" s="14">
        <v>9.6289076749999994E-2</v>
      </c>
      <c r="E1660" s="14">
        <v>2.5060957999999998E-2</v>
      </c>
      <c r="F1660" s="15">
        <f>E1660/D1660</f>
        <v>0.26026792286176947</v>
      </c>
      <c r="G1660" s="14">
        <f>AVERAGE(F1660:F1663)</f>
        <v>0.29146158792698856</v>
      </c>
    </row>
    <row r="1661" spans="1:7" x14ac:dyDescent="0.25">
      <c r="A1661" s="22">
        <v>44877</v>
      </c>
      <c r="B1661" s="15" t="s">
        <v>49</v>
      </c>
      <c r="C1661" s="23" t="s">
        <v>46</v>
      </c>
      <c r="D1661" s="14">
        <v>0.10880538099999999</v>
      </c>
      <c r="E1661" s="14">
        <v>3.4047749500000002E-2</v>
      </c>
      <c r="F1661" s="15">
        <f t="shared" si="48"/>
        <v>0.31292339760291821</v>
      </c>
      <c r="G1661" s="17"/>
    </row>
    <row r="1662" spans="1:7" x14ac:dyDescent="0.25">
      <c r="A1662" s="22">
        <v>44877</v>
      </c>
      <c r="B1662" s="15" t="s">
        <v>49</v>
      </c>
      <c r="C1662" s="23" t="s">
        <v>47</v>
      </c>
      <c r="D1662" s="14">
        <v>9.036403124999999E-2</v>
      </c>
      <c r="E1662" s="14">
        <v>2.5925617749999998E-2</v>
      </c>
      <c r="F1662" s="15">
        <f t="shared" si="48"/>
        <v>0.28690196078431374</v>
      </c>
      <c r="G1662" s="14"/>
    </row>
    <row r="1663" spans="1:7" x14ac:dyDescent="0.25">
      <c r="A1663" s="22">
        <v>44877</v>
      </c>
      <c r="B1663" s="15" t="s">
        <v>49</v>
      </c>
      <c r="C1663" s="23" t="s">
        <v>48</v>
      </c>
      <c r="D1663" s="14">
        <v>0.10964169124999999</v>
      </c>
      <c r="E1663" s="14">
        <v>3.3523283750000007E-2</v>
      </c>
      <c r="F1663" s="15">
        <f t="shared" si="48"/>
        <v>0.30575307045895289</v>
      </c>
      <c r="G1663" s="14"/>
    </row>
    <row r="1664" spans="1:7" x14ac:dyDescent="0.25">
      <c r="A1664" s="22">
        <v>44877</v>
      </c>
      <c r="B1664" s="15" t="s">
        <v>50</v>
      </c>
      <c r="C1664" s="23" t="s">
        <v>45</v>
      </c>
      <c r="D1664" s="14">
        <v>0.15110283499999999</v>
      </c>
      <c r="E1664" s="14">
        <v>5.5125602749999988E-2</v>
      </c>
      <c r="F1664" s="15">
        <f t="shared" si="48"/>
        <v>0.36482176360225133</v>
      </c>
      <c r="G1664" s="14">
        <f>AVERAGE(F1664:F1667)</f>
        <v>0.32113847081645375</v>
      </c>
    </row>
    <row r="1665" spans="1:7" x14ac:dyDescent="0.25">
      <c r="A1665" s="22">
        <v>44877</v>
      </c>
      <c r="B1665" s="15" t="s">
        <v>50</v>
      </c>
      <c r="C1665" s="23" t="s">
        <v>46</v>
      </c>
      <c r="D1665" s="14">
        <v>0.15664516225</v>
      </c>
      <c r="E1665" s="14">
        <v>4.7414538749999999E-2</v>
      </c>
      <c r="F1665" s="15">
        <f t="shared" si="48"/>
        <v>0.30268753958917743</v>
      </c>
      <c r="G1665" s="17"/>
    </row>
    <row r="1666" spans="1:7" x14ac:dyDescent="0.25">
      <c r="A1666" s="22">
        <v>44877</v>
      </c>
      <c r="B1666" s="15" t="s">
        <v>50</v>
      </c>
      <c r="C1666" s="23" t="s">
        <v>47</v>
      </c>
      <c r="D1666" s="14">
        <v>0.17040884449999999</v>
      </c>
      <c r="E1666" s="14">
        <v>5.1440167750000002E-2</v>
      </c>
      <c r="F1666" s="15">
        <f t="shared" si="48"/>
        <v>0.30186325070703712</v>
      </c>
      <c r="G1666" s="14"/>
    </row>
    <row r="1667" spans="1:7" x14ac:dyDescent="0.25">
      <c r="A1667" s="22">
        <v>44877</v>
      </c>
      <c r="B1667" s="15" t="s">
        <v>50</v>
      </c>
      <c r="C1667" s="23" t="s">
        <v>48</v>
      </c>
      <c r="D1667" s="14">
        <v>0.12390148975</v>
      </c>
      <c r="E1667" s="14">
        <v>3.9051436249999995E-2</v>
      </c>
      <c r="F1667" s="15">
        <f t="shared" si="48"/>
        <v>0.31518132936734922</v>
      </c>
      <c r="G1667" s="14"/>
    </row>
    <row r="1668" spans="1:7" x14ac:dyDescent="0.25">
      <c r="A1668" s="22">
        <v>44877</v>
      </c>
      <c r="B1668" s="15" t="s">
        <v>51</v>
      </c>
      <c r="C1668" s="23" t="s">
        <v>45</v>
      </c>
      <c r="D1668" s="14">
        <v>8.6281703249999994E-2</v>
      </c>
      <c r="E1668" s="14">
        <v>3.5436875E-2</v>
      </c>
      <c r="F1668" s="15">
        <f t="shared" si="48"/>
        <v>0.41071135206177101</v>
      </c>
      <c r="G1668" s="14">
        <f>AVERAGE(F1668:F1671)</f>
        <v>0.33412431933917697</v>
      </c>
    </row>
    <row r="1669" spans="1:7" x14ac:dyDescent="0.25">
      <c r="A1669" s="22">
        <v>44877</v>
      </c>
      <c r="B1669" s="15" t="s">
        <v>51</v>
      </c>
      <c r="C1669" s="23" t="s">
        <v>46</v>
      </c>
      <c r="D1669" s="14">
        <v>6.008676525E-2</v>
      </c>
      <c r="E1669" s="14">
        <v>2.0142319749999998E-2</v>
      </c>
      <c r="F1669" s="15">
        <f t="shared" si="48"/>
        <v>0.33522057088936069</v>
      </c>
      <c r="G1669" s="17"/>
    </row>
    <row r="1670" spans="1:7" x14ac:dyDescent="0.25">
      <c r="A1670" s="22">
        <v>44877</v>
      </c>
      <c r="B1670" s="15" t="s">
        <v>51</v>
      </c>
      <c r="C1670" s="23" t="s">
        <v>47</v>
      </c>
      <c r="D1670" s="14">
        <v>6.6748897749999994E-2</v>
      </c>
      <c r="E1670" s="14">
        <v>1.7931058749999999E-2</v>
      </c>
      <c r="F1670" s="15">
        <f t="shared" si="48"/>
        <v>0.26863452962412404</v>
      </c>
      <c r="G1670" s="14"/>
    </row>
    <row r="1671" spans="1:7" x14ac:dyDescent="0.25">
      <c r="A1671" s="22">
        <v>44877</v>
      </c>
      <c r="B1671" s="15" t="s">
        <v>51</v>
      </c>
      <c r="C1671" s="23" t="s">
        <v>48</v>
      </c>
      <c r="D1671" s="14">
        <v>7.4587534499999983E-2</v>
      </c>
      <c r="E1671" s="14">
        <v>2.4012026499999999E-2</v>
      </c>
      <c r="F1671" s="15">
        <f>E1671/D1671</f>
        <v>0.32193082478145196</v>
      </c>
      <c r="G1671" s="14"/>
    </row>
    <row r="1672" spans="1:7" x14ac:dyDescent="0.25">
      <c r="A1672" s="22" t="s">
        <v>181</v>
      </c>
      <c r="B1672" s="15" t="s">
        <v>44</v>
      </c>
      <c r="C1672" s="23" t="s">
        <v>45</v>
      </c>
      <c r="D1672" s="75">
        <v>0.245386184625</v>
      </c>
      <c r="E1672" s="14">
        <v>0.10292994712499999</v>
      </c>
      <c r="F1672" s="15">
        <v>0.41946105190191485</v>
      </c>
      <c r="G1672" s="14">
        <v>0.41837052006553371</v>
      </c>
    </row>
    <row r="1673" spans="1:7" x14ac:dyDescent="0.25">
      <c r="A1673" s="22" t="s">
        <v>181</v>
      </c>
      <c r="B1673" s="15" t="s">
        <v>44</v>
      </c>
      <c r="C1673" s="23" t="s">
        <v>46</v>
      </c>
      <c r="D1673" s="14">
        <v>0.220254352875</v>
      </c>
      <c r="E1673" s="14">
        <v>8.5388694000000001E-2</v>
      </c>
      <c r="F1673" s="15">
        <v>0.38768220870740416</v>
      </c>
      <c r="G1673" s="17"/>
    </row>
    <row r="1674" spans="1:7" x14ac:dyDescent="0.25">
      <c r="A1674" s="22" t="s">
        <v>181</v>
      </c>
      <c r="B1674" s="15" t="s">
        <v>44</v>
      </c>
      <c r="C1674" s="23" t="s">
        <v>47</v>
      </c>
      <c r="D1674" s="14">
        <v>0.21544911262499997</v>
      </c>
      <c r="E1674" s="14">
        <v>9.3276942374999977E-2</v>
      </c>
      <c r="F1674" s="15">
        <v>0.43294187308793047</v>
      </c>
      <c r="G1674" s="14"/>
    </row>
    <row r="1675" spans="1:7" x14ac:dyDescent="0.25">
      <c r="A1675" s="22" t="s">
        <v>181</v>
      </c>
      <c r="B1675" s="15" t="s">
        <v>44</v>
      </c>
      <c r="C1675" s="23" t="s">
        <v>48</v>
      </c>
      <c r="D1675" s="75">
        <v>0.22282706999999999</v>
      </c>
      <c r="E1675" s="14">
        <v>9.6572571750000002E-2</v>
      </c>
      <c r="F1675" s="15">
        <v>0.43339694656488553</v>
      </c>
      <c r="G1675" s="14"/>
    </row>
    <row r="1676" spans="1:7" x14ac:dyDescent="0.25">
      <c r="A1676" s="22" t="s">
        <v>181</v>
      </c>
      <c r="B1676" s="15" t="s">
        <v>49</v>
      </c>
      <c r="C1676" s="23" t="s">
        <v>45</v>
      </c>
      <c r="D1676" s="14">
        <v>7.9378599999999994E-2</v>
      </c>
      <c r="E1676" s="14">
        <v>3.2800371499999995E-2</v>
      </c>
      <c r="F1676" s="15">
        <v>0.4132142857142857</v>
      </c>
      <c r="G1676" s="14">
        <v>0.43015023758176385</v>
      </c>
    </row>
    <row r="1677" spans="1:7" x14ac:dyDescent="0.25">
      <c r="A1677" s="22" t="s">
        <v>181</v>
      </c>
      <c r="B1677" s="15" t="s">
        <v>49</v>
      </c>
      <c r="C1677" s="23" t="s">
        <v>46</v>
      </c>
      <c r="D1677" s="14">
        <v>0.10602713</v>
      </c>
      <c r="E1677" s="14">
        <v>4.4551239249999992E-2</v>
      </c>
      <c r="F1677" s="15">
        <v>0.42018716577540099</v>
      </c>
      <c r="G1677" s="17"/>
    </row>
    <row r="1678" spans="1:7" x14ac:dyDescent="0.25">
      <c r="A1678" s="22" t="s">
        <v>181</v>
      </c>
      <c r="B1678" s="15" t="s">
        <v>49</v>
      </c>
      <c r="C1678" s="23" t="s">
        <v>47</v>
      </c>
      <c r="D1678" s="14">
        <v>9.5693737249999994E-2</v>
      </c>
      <c r="E1678" s="14">
        <v>4.3077065250000005E-2</v>
      </c>
      <c r="F1678" s="15">
        <v>0.45015553251370177</v>
      </c>
      <c r="G1678" s="14"/>
    </row>
    <row r="1679" spans="1:7" x14ac:dyDescent="0.25">
      <c r="A1679" s="22" t="s">
        <v>181</v>
      </c>
      <c r="B1679" s="15" t="s">
        <v>49</v>
      </c>
      <c r="C1679" s="23" t="s">
        <v>48</v>
      </c>
      <c r="D1679" s="14">
        <v>0.1515280775</v>
      </c>
      <c r="E1679" s="14">
        <v>6.6224432E-2</v>
      </c>
      <c r="F1679" s="15">
        <v>0.43704396632366699</v>
      </c>
      <c r="G1679" s="14"/>
    </row>
    <row r="1680" spans="1:7" x14ac:dyDescent="0.25">
      <c r="A1680" s="22" t="s">
        <v>181</v>
      </c>
      <c r="B1680" s="15" t="s">
        <v>50</v>
      </c>
      <c r="C1680" s="23" t="s">
        <v>45</v>
      </c>
      <c r="D1680" s="14">
        <v>0.14264050925000002</v>
      </c>
      <c r="E1680" s="14">
        <v>6.8931809250000003E-2</v>
      </c>
      <c r="F1680" s="15">
        <v>0.48325549041041432</v>
      </c>
      <c r="G1680" s="14">
        <v>0.50817617607168908</v>
      </c>
    </row>
    <row r="1681" spans="1:7" x14ac:dyDescent="0.25">
      <c r="A1681" s="22" t="s">
        <v>181</v>
      </c>
      <c r="B1681" s="15" t="s">
        <v>50</v>
      </c>
      <c r="C1681" s="23" t="s">
        <v>46</v>
      </c>
      <c r="D1681" s="14">
        <v>0.135057018</v>
      </c>
      <c r="E1681" s="14">
        <v>6.6266956249999995E-2</v>
      </c>
      <c r="F1681" s="15">
        <v>0.49065910999160367</v>
      </c>
      <c r="G1681" s="17"/>
    </row>
    <row r="1682" spans="1:7" x14ac:dyDescent="0.25">
      <c r="A1682" s="22" t="s">
        <v>181</v>
      </c>
      <c r="B1682" s="15" t="s">
        <v>50</v>
      </c>
      <c r="C1682" s="23" t="s">
        <v>47</v>
      </c>
      <c r="D1682" s="14">
        <v>9.2476068999999994E-2</v>
      </c>
      <c r="E1682" s="14">
        <v>4.6989296249999993E-2</v>
      </c>
      <c r="F1682" s="15">
        <v>0.50812385039852848</v>
      </c>
      <c r="G1682" s="14"/>
    </row>
    <row r="1683" spans="1:7" x14ac:dyDescent="0.25">
      <c r="A1683" s="22" t="s">
        <v>181</v>
      </c>
      <c r="B1683" s="15" t="s">
        <v>50</v>
      </c>
      <c r="C1683" s="23" t="s">
        <v>48</v>
      </c>
      <c r="D1683" s="14">
        <v>4.5741918249999999E-2</v>
      </c>
      <c r="E1683" s="14">
        <v>2.5188530749999997E-2</v>
      </c>
      <c r="F1683" s="15">
        <v>0.55066625348621001</v>
      </c>
      <c r="G1683" s="14"/>
    </row>
    <row r="1684" spans="1:7" x14ac:dyDescent="0.25">
      <c r="A1684" s="22" t="s">
        <v>181</v>
      </c>
      <c r="B1684" s="15" t="s">
        <v>51</v>
      </c>
      <c r="C1684" s="23" t="s">
        <v>45</v>
      </c>
      <c r="D1684" s="14">
        <v>0.13977720974999999</v>
      </c>
      <c r="E1684" s="14">
        <v>5.2786768999999997E-2</v>
      </c>
      <c r="F1684" s="15">
        <v>0.37764932562620424</v>
      </c>
      <c r="G1684" s="14">
        <v>0.40743453647462813</v>
      </c>
    </row>
    <row r="1685" spans="1:7" x14ac:dyDescent="0.25">
      <c r="A1685" s="22" t="s">
        <v>181</v>
      </c>
      <c r="B1685" s="15" t="s">
        <v>51</v>
      </c>
      <c r="C1685" s="23" t="s">
        <v>46</v>
      </c>
      <c r="D1685" s="14">
        <v>0.11854343425</v>
      </c>
      <c r="E1685" s="14">
        <v>4.3048715750000001E-2</v>
      </c>
      <c r="F1685" s="15">
        <v>0.36314719598230299</v>
      </c>
      <c r="G1685" s="17"/>
    </row>
    <row r="1686" spans="1:7" x14ac:dyDescent="0.25">
      <c r="A1686" s="22" t="s">
        <v>181</v>
      </c>
      <c r="B1686" s="15" t="s">
        <v>51</v>
      </c>
      <c r="C1686" s="23" t="s">
        <v>47</v>
      </c>
      <c r="D1686" s="14">
        <v>8.6664421499999991E-2</v>
      </c>
      <c r="E1686" s="14">
        <v>3.9590076750000001E-2</v>
      </c>
      <c r="F1686" s="15">
        <v>0.45682041216879299</v>
      </c>
      <c r="G1686" s="14"/>
    </row>
    <row r="1687" spans="1:7" x14ac:dyDescent="0.25">
      <c r="A1687" s="22" t="s">
        <v>181</v>
      </c>
      <c r="B1687" s="15" t="s">
        <v>51</v>
      </c>
      <c r="C1687" s="23" t="s">
        <v>48</v>
      </c>
      <c r="D1687" s="14">
        <v>9.3553349999999993E-2</v>
      </c>
      <c r="E1687" s="14">
        <v>4.0426387000000001E-2</v>
      </c>
      <c r="F1687" s="15">
        <v>0.43212121212121218</v>
      </c>
      <c r="G1687" s="14"/>
    </row>
    <row r="1688" spans="1:7" x14ac:dyDescent="0.25">
      <c r="A1688" s="62">
        <v>45046</v>
      </c>
      <c r="B1688" s="17" t="s">
        <v>44</v>
      </c>
      <c r="C1688" s="17" t="s">
        <v>45</v>
      </c>
      <c r="D1688" s="17">
        <v>0.20927969999999999</v>
      </c>
      <c r="E1688" s="17">
        <v>5.1313500000000005E-2</v>
      </c>
      <c r="F1688" s="17">
        <v>0.24519100514765652</v>
      </c>
      <c r="G1688" s="17">
        <v>0.22161557873121393</v>
      </c>
    </row>
    <row r="1689" spans="1:7" x14ac:dyDescent="0.25">
      <c r="A1689" s="62">
        <v>45046</v>
      </c>
      <c r="B1689" s="17" t="s">
        <v>44</v>
      </c>
      <c r="C1689" s="17" t="s">
        <v>46</v>
      </c>
      <c r="D1689" s="17">
        <v>0.20654392499999999</v>
      </c>
      <c r="E1689" s="17">
        <v>4.6876725000000001E-2</v>
      </c>
      <c r="F1689" s="17">
        <v>0.22695765561732209</v>
      </c>
      <c r="G1689" s="17"/>
    </row>
    <row r="1690" spans="1:7" x14ac:dyDescent="0.25">
      <c r="A1690" s="62">
        <v>45046</v>
      </c>
      <c r="B1690" s="17" t="s">
        <v>44</v>
      </c>
      <c r="C1690" s="17" t="s">
        <v>47</v>
      </c>
      <c r="D1690" s="17">
        <v>0.20353882500000001</v>
      </c>
      <c r="E1690" s="17">
        <v>4.351725E-2</v>
      </c>
      <c r="F1690" s="17">
        <v>0.21380318963716136</v>
      </c>
      <c r="G1690" s="17"/>
    </row>
    <row r="1691" spans="1:7" x14ac:dyDescent="0.25">
      <c r="A1691" s="62">
        <v>45046</v>
      </c>
      <c r="B1691" s="17" t="s">
        <v>44</v>
      </c>
      <c r="C1691" s="17" t="s">
        <v>48</v>
      </c>
      <c r="D1691" s="17">
        <v>0.27768825000000003</v>
      </c>
      <c r="E1691" s="17">
        <v>5.5679400000000004E-2</v>
      </c>
      <c r="F1691" s="17">
        <v>0.20051046452271568</v>
      </c>
      <c r="G1691" s="17"/>
    </row>
    <row r="1692" spans="1:7" x14ac:dyDescent="0.25">
      <c r="A1692" s="62">
        <v>45046</v>
      </c>
      <c r="B1692" s="17" t="s">
        <v>49</v>
      </c>
      <c r="C1692" s="17" t="s">
        <v>45</v>
      </c>
      <c r="D1692" s="17">
        <v>2.9866725000000007E-2</v>
      </c>
      <c r="E1692" s="17">
        <v>1.2544875E-2</v>
      </c>
      <c r="F1692" s="17">
        <v>0.42002847650688174</v>
      </c>
      <c r="G1692" s="17">
        <v>0.42002847650688174</v>
      </c>
    </row>
    <row r="1693" spans="1:7" x14ac:dyDescent="0.25">
      <c r="A1693" s="62">
        <v>45046</v>
      </c>
      <c r="B1693" s="17" t="s">
        <v>49</v>
      </c>
      <c r="C1693" s="17" t="s">
        <v>46</v>
      </c>
      <c r="D1693" s="17" t="s">
        <v>18</v>
      </c>
      <c r="E1693" s="17" t="s">
        <v>18</v>
      </c>
      <c r="F1693" s="17" t="s">
        <v>18</v>
      </c>
      <c r="G1693" s="17"/>
    </row>
    <row r="1694" spans="1:7" x14ac:dyDescent="0.25">
      <c r="A1694" s="62">
        <v>45046</v>
      </c>
      <c r="B1694" s="17" t="s">
        <v>49</v>
      </c>
      <c r="C1694" s="17" t="s">
        <v>47</v>
      </c>
      <c r="D1694" s="17" t="s">
        <v>18</v>
      </c>
      <c r="E1694" s="17" t="s">
        <v>18</v>
      </c>
      <c r="F1694" s="17" t="s">
        <v>18</v>
      </c>
      <c r="G1694" s="17"/>
    </row>
    <row r="1695" spans="1:7" x14ac:dyDescent="0.25">
      <c r="A1695" s="62">
        <v>45046</v>
      </c>
      <c r="B1695" s="17" t="s">
        <v>49</v>
      </c>
      <c r="C1695" s="17" t="s">
        <v>48</v>
      </c>
      <c r="D1695" s="17" t="s">
        <v>18</v>
      </c>
      <c r="E1695" s="17" t="s">
        <v>18</v>
      </c>
      <c r="F1695" s="17" t="s">
        <v>18</v>
      </c>
      <c r="G1695" s="17"/>
    </row>
    <row r="1696" spans="1:7" x14ac:dyDescent="0.25">
      <c r="A1696" s="62">
        <v>45046</v>
      </c>
      <c r="B1696" s="17" t="s">
        <v>50</v>
      </c>
      <c r="C1696" s="17" t="s">
        <v>45</v>
      </c>
      <c r="D1696" s="17">
        <v>6.9599250000000015E-2</v>
      </c>
      <c r="E1696" s="17">
        <v>2.0624625000000001E-2</v>
      </c>
      <c r="F1696" s="17">
        <v>0.2963340122199592</v>
      </c>
      <c r="G1696" s="17">
        <v>0.32359928276704009</v>
      </c>
    </row>
    <row r="1697" spans="1:7" x14ac:dyDescent="0.25">
      <c r="A1697" s="62">
        <v>45046</v>
      </c>
      <c r="B1697" s="17" t="s">
        <v>50</v>
      </c>
      <c r="C1697" s="17" t="s">
        <v>46</v>
      </c>
      <c r="D1697" s="17">
        <v>7.8699600000000008E-2</v>
      </c>
      <c r="E1697" s="17">
        <v>2.7612899999999999E-2</v>
      </c>
      <c r="F1697" s="17">
        <v>0.35086455331412097</v>
      </c>
      <c r="G1697" s="17"/>
    </row>
    <row r="1698" spans="1:7" x14ac:dyDescent="0.25">
      <c r="A1698" s="62">
        <v>45046</v>
      </c>
      <c r="B1698" s="17" t="s">
        <v>50</v>
      </c>
      <c r="C1698" s="17" t="s">
        <v>47</v>
      </c>
      <c r="D1698" s="17" t="s">
        <v>18</v>
      </c>
      <c r="E1698" s="17" t="s">
        <v>18</v>
      </c>
      <c r="F1698" s="17" t="s">
        <v>18</v>
      </c>
      <c r="G1698" s="17"/>
    </row>
    <row r="1699" spans="1:7" x14ac:dyDescent="0.25">
      <c r="A1699" s="62">
        <v>45046</v>
      </c>
      <c r="B1699" s="17" t="s">
        <v>50</v>
      </c>
      <c r="C1699" s="17" t="s">
        <v>48</v>
      </c>
      <c r="D1699" s="17" t="s">
        <v>18</v>
      </c>
      <c r="E1699" s="17" t="s">
        <v>18</v>
      </c>
      <c r="F1699" s="17" t="s">
        <v>18</v>
      </c>
      <c r="G1699" s="17"/>
    </row>
    <row r="1700" spans="1:7" x14ac:dyDescent="0.25">
      <c r="A1700" s="62">
        <v>45046</v>
      </c>
      <c r="B1700" s="17" t="s">
        <v>51</v>
      </c>
      <c r="C1700" s="17" t="s">
        <v>45</v>
      </c>
      <c r="D1700" s="17">
        <v>5.1029999999999999E-2</v>
      </c>
      <c r="E1700" s="17">
        <v>2.0823075000000003E-2</v>
      </c>
      <c r="F1700" s="17">
        <v>0.40805555555555562</v>
      </c>
      <c r="G1700" s="17">
        <v>0.46273322636442266</v>
      </c>
    </row>
    <row r="1701" spans="1:7" x14ac:dyDescent="0.25">
      <c r="A1701" s="62">
        <v>45046</v>
      </c>
      <c r="B1701" s="17" t="s">
        <v>51</v>
      </c>
      <c r="C1701" s="17" t="s">
        <v>46</v>
      </c>
      <c r="D1701" s="17">
        <v>3.4601174999999998E-2</v>
      </c>
      <c r="E1701" s="17">
        <v>1.7903024999999999E-2</v>
      </c>
      <c r="F1701" s="17">
        <v>0.5174108971732897</v>
      </c>
      <c r="G1701" s="17"/>
    </row>
    <row r="1702" spans="1:7" x14ac:dyDescent="0.25">
      <c r="A1702" s="62">
        <v>45046</v>
      </c>
      <c r="B1702" s="17" t="s">
        <v>51</v>
      </c>
      <c r="C1702" s="17" t="s">
        <v>47</v>
      </c>
      <c r="D1702" s="17" t="s">
        <v>18</v>
      </c>
      <c r="E1702" s="17" t="s">
        <v>18</v>
      </c>
      <c r="F1702" s="17" t="s">
        <v>18</v>
      </c>
      <c r="G1702" s="17"/>
    </row>
    <row r="1703" spans="1:7" x14ac:dyDescent="0.25">
      <c r="A1703" s="62">
        <v>45046</v>
      </c>
      <c r="B1703" s="17" t="s">
        <v>51</v>
      </c>
      <c r="C1703" s="17" t="s">
        <v>48</v>
      </c>
      <c r="D1703" s="17" t="s">
        <v>18</v>
      </c>
      <c r="E1703" s="17" t="s">
        <v>18</v>
      </c>
      <c r="F1703" s="17" t="s">
        <v>18</v>
      </c>
      <c r="G1703" s="17"/>
    </row>
    <row r="1704" spans="1:7" x14ac:dyDescent="0.25">
      <c r="A1704" s="62">
        <v>45047</v>
      </c>
      <c r="B1704" s="17" t="s">
        <v>44</v>
      </c>
      <c r="C1704" s="17" t="s">
        <v>45</v>
      </c>
      <c r="D1704" s="17">
        <v>0.20426175000000002</v>
      </c>
      <c r="E1704" s="17">
        <v>5.3057025000000001E-2</v>
      </c>
      <c r="F1704" s="17">
        <v>0.25975017349063151</v>
      </c>
      <c r="G1704" s="17">
        <v>0.24386852277844265</v>
      </c>
    </row>
    <row r="1705" spans="1:7" x14ac:dyDescent="0.25">
      <c r="A1705" s="62">
        <v>45047</v>
      </c>
      <c r="B1705" s="17" t="s">
        <v>44</v>
      </c>
      <c r="C1705" s="17" t="s">
        <v>46</v>
      </c>
      <c r="D1705" s="17">
        <v>0.23225737500000002</v>
      </c>
      <c r="E1705" s="17">
        <v>6.1236000000000006E-2</v>
      </c>
      <c r="F1705" s="17">
        <v>0.26365578272810497</v>
      </c>
      <c r="G1705" s="17"/>
    </row>
    <row r="1706" spans="1:7" x14ac:dyDescent="0.25">
      <c r="A1706" s="62">
        <v>45047</v>
      </c>
      <c r="B1706" s="17" t="s">
        <v>44</v>
      </c>
      <c r="C1706" s="17" t="s">
        <v>47</v>
      </c>
      <c r="D1706" s="17">
        <v>0.19721677500000001</v>
      </c>
      <c r="E1706" s="17">
        <v>4.6267200000000001E-2</v>
      </c>
      <c r="F1706" s="17">
        <v>0.23460073312729102</v>
      </c>
      <c r="G1706" s="17"/>
    </row>
    <row r="1707" spans="1:7" x14ac:dyDescent="0.25">
      <c r="A1707" s="62">
        <v>45047</v>
      </c>
      <c r="B1707" s="17" t="s">
        <v>44</v>
      </c>
      <c r="C1707" s="17" t="s">
        <v>48</v>
      </c>
      <c r="D1707" s="17">
        <v>0.16197772499999999</v>
      </c>
      <c r="E1707" s="17">
        <v>3.5224874999999996E-2</v>
      </c>
      <c r="F1707" s="17">
        <v>0.21746740176774304</v>
      </c>
      <c r="G1707" s="17"/>
    </row>
    <row r="1708" spans="1:7" x14ac:dyDescent="0.25">
      <c r="A1708" s="62">
        <v>45047</v>
      </c>
      <c r="B1708" s="17" t="s">
        <v>49</v>
      </c>
      <c r="C1708" s="17" t="s">
        <v>45</v>
      </c>
      <c r="D1708" s="17">
        <v>6.1902224999999998E-2</v>
      </c>
      <c r="E1708" s="17">
        <v>2.8151550000000001E-2</v>
      </c>
      <c r="F1708" s="17">
        <v>0.45477444469887796</v>
      </c>
      <c r="G1708" s="17">
        <v>0.43533601663345206</v>
      </c>
    </row>
    <row r="1709" spans="1:7" x14ac:dyDescent="0.25">
      <c r="A1709" s="62">
        <v>45047</v>
      </c>
      <c r="B1709" s="17" t="s">
        <v>49</v>
      </c>
      <c r="C1709" s="17" t="s">
        <v>46</v>
      </c>
      <c r="D1709" s="17">
        <v>4.7613825000000005E-2</v>
      </c>
      <c r="E1709" s="17">
        <v>1.9802475E-2</v>
      </c>
      <c r="F1709" s="17">
        <v>0.41589758856802617</v>
      </c>
      <c r="G1709" s="17"/>
    </row>
    <row r="1710" spans="1:7" x14ac:dyDescent="0.25">
      <c r="A1710" s="62">
        <v>45047</v>
      </c>
      <c r="B1710" s="17" t="s">
        <v>49</v>
      </c>
      <c r="C1710" s="17" t="s">
        <v>47</v>
      </c>
      <c r="D1710" s="17" t="s">
        <v>18</v>
      </c>
      <c r="E1710" s="17" t="s">
        <v>18</v>
      </c>
      <c r="F1710" s="17" t="s">
        <v>18</v>
      </c>
      <c r="G1710" s="17"/>
    </row>
    <row r="1711" spans="1:7" x14ac:dyDescent="0.25">
      <c r="A1711" s="62">
        <v>45047</v>
      </c>
      <c r="B1711" s="17" t="s">
        <v>49</v>
      </c>
      <c r="C1711" s="17" t="s">
        <v>48</v>
      </c>
      <c r="D1711" s="17" t="s">
        <v>18</v>
      </c>
      <c r="E1711" s="17" t="s">
        <v>18</v>
      </c>
      <c r="F1711" s="17" t="s">
        <v>18</v>
      </c>
      <c r="G1711" s="17"/>
    </row>
    <row r="1712" spans="1:7" x14ac:dyDescent="0.25">
      <c r="A1712" s="62">
        <v>45047</v>
      </c>
      <c r="B1712" s="17" t="s">
        <v>50</v>
      </c>
      <c r="C1712" s="17" t="s">
        <v>45</v>
      </c>
      <c r="D1712" s="17">
        <v>0.103293225</v>
      </c>
      <c r="E1712" s="17">
        <v>3.3651450000000006E-2</v>
      </c>
      <c r="F1712" s="17">
        <v>0.32578564567037194</v>
      </c>
      <c r="G1712" s="17">
        <v>0.33200284800918273</v>
      </c>
    </row>
    <row r="1713" spans="1:7" x14ac:dyDescent="0.25">
      <c r="A1713" s="62">
        <v>45047</v>
      </c>
      <c r="B1713" s="17" t="s">
        <v>50</v>
      </c>
      <c r="C1713" s="17" t="s">
        <v>46</v>
      </c>
      <c r="D1713" s="17">
        <v>9.5723774999999997E-2</v>
      </c>
      <c r="E1713" s="17">
        <v>3.23757E-2</v>
      </c>
      <c r="F1713" s="17">
        <v>0.33822005034799352</v>
      </c>
      <c r="G1713" s="17"/>
    </row>
    <row r="1714" spans="1:7" x14ac:dyDescent="0.25">
      <c r="A1714" s="62">
        <v>45047</v>
      </c>
      <c r="B1714" s="17" t="s">
        <v>50</v>
      </c>
      <c r="C1714" s="17" t="s">
        <v>47</v>
      </c>
      <c r="D1714" s="17" t="s">
        <v>18</v>
      </c>
      <c r="E1714" s="17" t="s">
        <v>18</v>
      </c>
      <c r="F1714" s="17" t="s">
        <v>18</v>
      </c>
      <c r="G1714" s="17"/>
    </row>
    <row r="1715" spans="1:7" x14ac:dyDescent="0.25">
      <c r="A1715" s="62">
        <v>45047</v>
      </c>
      <c r="B1715" s="17" t="s">
        <v>50</v>
      </c>
      <c r="C1715" s="17" t="s">
        <v>48</v>
      </c>
      <c r="D1715" s="17" t="s">
        <v>18</v>
      </c>
      <c r="E1715" s="17" t="s">
        <v>18</v>
      </c>
      <c r="F1715" s="17" t="s">
        <v>18</v>
      </c>
      <c r="G1715" s="17"/>
    </row>
    <row r="1716" spans="1:7" x14ac:dyDescent="0.25">
      <c r="A1716" s="62">
        <v>45047</v>
      </c>
      <c r="B1716" s="17" t="s">
        <v>51</v>
      </c>
      <c r="C1716" s="17" t="s">
        <v>45</v>
      </c>
      <c r="D1716" s="17">
        <v>6.1009200000000006E-2</v>
      </c>
      <c r="E1716" s="17">
        <v>2.9413125000000005E-2</v>
      </c>
      <c r="F1716" s="17">
        <v>0.48210966542750933</v>
      </c>
      <c r="G1716" s="17">
        <v>0.47818354558504184</v>
      </c>
    </row>
    <row r="1717" spans="1:7" x14ac:dyDescent="0.25">
      <c r="A1717" s="62">
        <v>45047</v>
      </c>
      <c r="B1717" s="17" t="s">
        <v>51</v>
      </c>
      <c r="C1717" s="17" t="s">
        <v>46</v>
      </c>
      <c r="D1717" s="17">
        <v>7.1583750000000002E-2</v>
      </c>
      <c r="E1717" s="17">
        <v>3.3949125000000004E-2</v>
      </c>
      <c r="F1717" s="17">
        <v>0.47425742574257429</v>
      </c>
      <c r="G1717" s="17"/>
    </row>
    <row r="1718" spans="1:7" x14ac:dyDescent="0.25">
      <c r="A1718" s="62">
        <v>45047</v>
      </c>
      <c r="B1718" s="17" t="s">
        <v>51</v>
      </c>
      <c r="C1718" s="17" t="s">
        <v>47</v>
      </c>
      <c r="D1718" s="17" t="s">
        <v>18</v>
      </c>
      <c r="E1718" s="17" t="s">
        <v>18</v>
      </c>
      <c r="F1718" s="17" t="s">
        <v>18</v>
      </c>
      <c r="G1718" s="17"/>
    </row>
    <row r="1719" spans="1:7" x14ac:dyDescent="0.25">
      <c r="A1719" s="62">
        <v>45047</v>
      </c>
      <c r="B1719" s="68" t="s">
        <v>51</v>
      </c>
      <c r="C1719" s="68" t="s">
        <v>48</v>
      </c>
      <c r="D1719" s="68" t="s">
        <v>18</v>
      </c>
      <c r="E1719" s="68" t="s">
        <v>18</v>
      </c>
      <c r="F1719" s="68" t="s">
        <v>18</v>
      </c>
      <c r="G1719" s="68"/>
    </row>
    <row r="1720" spans="1:7" x14ac:dyDescent="0.25">
      <c r="A1720" s="17" t="s">
        <v>187</v>
      </c>
      <c r="B1720" s="17" t="s">
        <v>44</v>
      </c>
      <c r="C1720" s="17" t="s">
        <v>45</v>
      </c>
      <c r="D1720" s="17">
        <v>0.37014514940182586</v>
      </c>
      <c r="E1720" s="17">
        <v>0.10490729715938088</v>
      </c>
      <c r="F1720" s="17">
        <v>0.28342205031976409</v>
      </c>
      <c r="G1720" s="17">
        <v>0.30260431419177242</v>
      </c>
    </row>
    <row r="1721" spans="1:7" x14ac:dyDescent="0.25">
      <c r="A1721" s="17" t="s">
        <v>187</v>
      </c>
      <c r="B1721" s="17" t="s">
        <v>44</v>
      </c>
      <c r="C1721" s="17" t="s">
        <v>46</v>
      </c>
      <c r="D1721" s="17">
        <v>0.38007597664001824</v>
      </c>
      <c r="E1721" s="17">
        <v>0.11522651244542721</v>
      </c>
      <c r="F1721" s="17">
        <v>0.30316704955694113</v>
      </c>
      <c r="G1721" s="17"/>
    </row>
    <row r="1722" spans="1:7" x14ac:dyDescent="0.25">
      <c r="A1722" s="17" t="s">
        <v>187</v>
      </c>
      <c r="B1722" s="17" t="s">
        <v>44</v>
      </c>
      <c r="C1722" s="17" t="s">
        <v>47</v>
      </c>
      <c r="D1722" s="17">
        <v>0.4208482168169192</v>
      </c>
      <c r="E1722" s="17">
        <v>0.14489425639281056</v>
      </c>
      <c r="F1722" s="17">
        <v>0.34429100707308841</v>
      </c>
      <c r="G1722" s="17"/>
    </row>
    <row r="1723" spans="1:7" x14ac:dyDescent="0.25">
      <c r="A1723" s="17" t="s">
        <v>187</v>
      </c>
      <c r="B1723" s="17" t="s">
        <v>44</v>
      </c>
      <c r="C1723" s="17" t="s">
        <v>48</v>
      </c>
      <c r="D1723" s="17">
        <v>0.2094744004082327</v>
      </c>
      <c r="E1723" s="17">
        <v>5.8555876849804393E-2</v>
      </c>
      <c r="F1723" s="17">
        <v>0.27953714981729599</v>
      </c>
      <c r="G1723" s="17"/>
    </row>
    <row r="1724" spans="1:7" x14ac:dyDescent="0.25">
      <c r="A1724" s="17" t="s">
        <v>187</v>
      </c>
      <c r="B1724" s="17" t="s">
        <v>49</v>
      </c>
      <c r="C1724" s="17" t="s">
        <v>45</v>
      </c>
      <c r="D1724" s="17">
        <v>4.800986562340534E-2</v>
      </c>
      <c r="E1724" s="17">
        <v>2.4281340364007486E-2</v>
      </c>
      <c r="F1724" s="17">
        <v>0.50575730735163871</v>
      </c>
      <c r="G1724" s="17">
        <v>0.51107640085979944</v>
      </c>
    </row>
    <row r="1725" spans="1:7" x14ac:dyDescent="0.25">
      <c r="A1725" s="17" t="s">
        <v>187</v>
      </c>
      <c r="B1725" s="17" t="s">
        <v>49</v>
      </c>
      <c r="C1725" s="17" t="s">
        <v>46</v>
      </c>
      <c r="D1725" s="17">
        <v>5.6628111356806711E-2</v>
      </c>
      <c r="E1725" s="17">
        <v>2.9242501559222093E-2</v>
      </c>
      <c r="F1725" s="17">
        <v>0.51639549436796006</v>
      </c>
      <c r="G1725" s="17"/>
    </row>
    <row r="1726" spans="1:7" x14ac:dyDescent="0.25">
      <c r="A1726" s="17" t="s">
        <v>187</v>
      </c>
      <c r="B1726" s="17" t="s">
        <v>49</v>
      </c>
      <c r="C1726" s="17" t="s">
        <v>47</v>
      </c>
      <c r="D1726" s="17" t="s">
        <v>18</v>
      </c>
      <c r="E1726" s="17" t="s">
        <v>18</v>
      </c>
      <c r="F1726" s="17" t="s">
        <v>18</v>
      </c>
      <c r="G1726" s="17"/>
    </row>
    <row r="1727" spans="1:7" x14ac:dyDescent="0.25">
      <c r="A1727" s="17" t="s">
        <v>187</v>
      </c>
      <c r="B1727" s="17" t="s">
        <v>49</v>
      </c>
      <c r="C1727" s="17" t="s">
        <v>48</v>
      </c>
      <c r="D1727" s="17" t="s">
        <v>18</v>
      </c>
      <c r="E1727" s="17" t="s">
        <v>18</v>
      </c>
      <c r="F1727" s="17" t="s">
        <v>18</v>
      </c>
      <c r="G1727" s="17"/>
    </row>
    <row r="1728" spans="1:7" x14ac:dyDescent="0.25">
      <c r="A1728" s="17" t="s">
        <v>187</v>
      </c>
      <c r="B1728" s="17" t="s">
        <v>50</v>
      </c>
      <c r="C1728" s="17" t="s">
        <v>45</v>
      </c>
      <c r="D1728" s="17">
        <v>9.4800703067415087E-2</v>
      </c>
      <c r="E1728" s="17">
        <v>3.4643079888869985E-2</v>
      </c>
      <c r="F1728" s="17">
        <v>0.36543062200956933</v>
      </c>
      <c r="G1728" s="17">
        <v>0.37854615844282435</v>
      </c>
    </row>
    <row r="1729" spans="1:7" x14ac:dyDescent="0.25">
      <c r="A1729" s="17" t="s">
        <v>187</v>
      </c>
      <c r="B1729" s="17" t="s">
        <v>50</v>
      </c>
      <c r="C1729" s="17" t="s">
        <v>46</v>
      </c>
      <c r="D1729" s="17">
        <v>9.1143618529228324E-2</v>
      </c>
      <c r="E1729" s="17">
        <v>3.2715314395872309E-2</v>
      </c>
      <c r="F1729" s="17">
        <v>0.35894245723172624</v>
      </c>
      <c r="G1729" s="17"/>
    </row>
    <row r="1730" spans="1:7" x14ac:dyDescent="0.25">
      <c r="A1730" s="17" t="s">
        <v>187</v>
      </c>
      <c r="B1730" s="17" t="s">
        <v>50</v>
      </c>
      <c r="C1730" s="17" t="s">
        <v>47</v>
      </c>
      <c r="D1730" s="17">
        <v>8.6579350229630883E-2</v>
      </c>
      <c r="E1730" s="17">
        <v>3.1567159947836931E-2</v>
      </c>
      <c r="F1730" s="17">
        <v>0.36460379829731498</v>
      </c>
      <c r="G1730" s="17"/>
    </row>
    <row r="1731" spans="1:7" x14ac:dyDescent="0.25">
      <c r="A1731" s="17" t="s">
        <v>187</v>
      </c>
      <c r="B1731" s="17" t="s">
        <v>50</v>
      </c>
      <c r="C1731" s="17" t="s">
        <v>48</v>
      </c>
      <c r="D1731" s="17">
        <v>9.2107501275727172E-2</v>
      </c>
      <c r="E1731" s="17">
        <v>3.9164823949651296E-2</v>
      </c>
      <c r="F1731" s="17">
        <v>0.42520775623268692</v>
      </c>
      <c r="G1731" s="17"/>
    </row>
    <row r="1732" spans="1:7" x14ac:dyDescent="0.25">
      <c r="A1732" s="17" t="s">
        <v>187</v>
      </c>
      <c r="B1732" s="17" t="s">
        <v>51</v>
      </c>
      <c r="C1732" s="17" t="s">
        <v>45</v>
      </c>
      <c r="D1732" s="17">
        <v>4.594035266768725E-2</v>
      </c>
      <c r="E1732" s="17">
        <v>2.4947553438793447E-2</v>
      </c>
      <c r="F1732" s="17">
        <v>0.543042270904042</v>
      </c>
      <c r="G1732" s="17">
        <v>0.5142452332401467</v>
      </c>
    </row>
    <row r="1733" spans="1:7" x14ac:dyDescent="0.25">
      <c r="A1733" s="17" t="s">
        <v>187</v>
      </c>
      <c r="B1733" s="17" t="s">
        <v>51</v>
      </c>
      <c r="C1733" s="17" t="s">
        <v>46</v>
      </c>
      <c r="D1733" s="17">
        <v>3.6528321143051538E-2</v>
      </c>
      <c r="E1733" s="17">
        <v>1.7732607586324202E-2</v>
      </c>
      <c r="F1733" s="17">
        <v>0.48544819557625141</v>
      </c>
      <c r="G1733" s="17"/>
    </row>
    <row r="1734" spans="1:7" x14ac:dyDescent="0.25">
      <c r="A1734" s="17" t="s">
        <v>187</v>
      </c>
      <c r="B1734" s="17" t="s">
        <v>51</v>
      </c>
      <c r="C1734" s="17" t="s">
        <v>47</v>
      </c>
      <c r="D1734" s="17" t="s">
        <v>18</v>
      </c>
      <c r="E1734" s="17" t="s">
        <v>18</v>
      </c>
      <c r="F1734" s="17" t="s">
        <v>18</v>
      </c>
      <c r="G1734" s="17"/>
    </row>
    <row r="1735" spans="1:7" x14ac:dyDescent="0.25">
      <c r="A1735" s="17" t="s">
        <v>187</v>
      </c>
      <c r="B1735" s="17" t="s">
        <v>51</v>
      </c>
      <c r="C1735" s="17" t="s">
        <v>48</v>
      </c>
      <c r="D1735" s="17" t="s">
        <v>18</v>
      </c>
      <c r="E1735" s="17" t="s">
        <v>18</v>
      </c>
      <c r="F1735" s="17" t="s">
        <v>18</v>
      </c>
      <c r="G1735" s="17"/>
    </row>
    <row r="1736" spans="1:7" x14ac:dyDescent="0.25">
      <c r="A1736" s="22">
        <v>45595</v>
      </c>
      <c r="B1736" s="15" t="s">
        <v>44</v>
      </c>
      <c r="C1736" s="23" t="s">
        <v>45</v>
      </c>
      <c r="D1736" s="75">
        <v>0.27319697227419626</v>
      </c>
      <c r="E1736" s="14">
        <v>8.181663548222487E-2</v>
      </c>
      <c r="F1736" s="15">
        <f t="shared" ref="F1736:F1764" si="49">E1736/D1736</f>
        <v>0.29947855864269596</v>
      </c>
      <c r="G1736" s="14">
        <f>AVERAGE(F1736:F1739)</f>
        <v>0.30677859632292226</v>
      </c>
    </row>
    <row r="1737" spans="1:7" x14ac:dyDescent="0.25">
      <c r="A1737" s="22">
        <v>45595</v>
      </c>
      <c r="B1737" s="15" t="s">
        <v>44</v>
      </c>
      <c r="C1737" s="23" t="s">
        <v>46</v>
      </c>
      <c r="D1737" s="14">
        <v>0.27132590576628679</v>
      </c>
      <c r="E1737" s="14">
        <v>8.3857798945398881E-2</v>
      </c>
      <c r="F1737" s="15">
        <f t="shared" si="49"/>
        <v>0.30906668756367056</v>
      </c>
      <c r="G1737" s="17"/>
    </row>
    <row r="1738" spans="1:7" x14ac:dyDescent="0.25">
      <c r="A1738" s="22">
        <v>45595</v>
      </c>
      <c r="B1738" s="15" t="s">
        <v>44</v>
      </c>
      <c r="C1738" s="23" t="s">
        <v>47</v>
      </c>
      <c r="D1738" s="14">
        <v>0.26422435788399384</v>
      </c>
      <c r="E1738" s="14">
        <v>8.4538186766456871E-2</v>
      </c>
      <c r="F1738" s="15">
        <f t="shared" si="49"/>
        <v>0.31994849923553553</v>
      </c>
      <c r="G1738" s="14"/>
    </row>
    <row r="1739" spans="1:7" x14ac:dyDescent="0.25">
      <c r="A1739" s="22">
        <v>45595</v>
      </c>
      <c r="B1739" s="15" t="s">
        <v>44</v>
      </c>
      <c r="C1739" s="23" t="s">
        <v>48</v>
      </c>
      <c r="D1739" s="14">
        <v>0.29441656744344274</v>
      </c>
      <c r="E1739" s="14">
        <v>8.791886375233883E-2</v>
      </c>
      <c r="F1739" s="15">
        <f t="shared" si="49"/>
        <v>0.29862063984978698</v>
      </c>
      <c r="G1739" s="14"/>
    </row>
    <row r="1740" spans="1:7" x14ac:dyDescent="0.25">
      <c r="A1740" s="22">
        <v>45595</v>
      </c>
      <c r="B1740" s="15" t="s">
        <v>49</v>
      </c>
      <c r="C1740" s="23" t="s">
        <v>45</v>
      </c>
      <c r="D1740" s="14">
        <v>7.4474116913307242E-2</v>
      </c>
      <c r="E1740" s="14">
        <v>2.67335714690707E-2</v>
      </c>
      <c r="F1740" s="15">
        <f t="shared" si="49"/>
        <v>0.35896459840121814</v>
      </c>
      <c r="G1740" s="14">
        <f>AVERAGE(F1740:F1742)</f>
        <v>0.33506771339606928</v>
      </c>
    </row>
    <row r="1741" spans="1:7" x14ac:dyDescent="0.25">
      <c r="A1741" s="22">
        <v>45595</v>
      </c>
      <c r="B1741" s="15" t="s">
        <v>49</v>
      </c>
      <c r="C1741" s="23" t="s">
        <v>46</v>
      </c>
      <c r="D1741" s="14">
        <v>6.8024607359528269E-2</v>
      </c>
      <c r="E1741" s="14">
        <v>2.5358621080682653E-2</v>
      </c>
      <c r="F1741" s="15">
        <f t="shared" si="49"/>
        <v>0.37278599708272547</v>
      </c>
      <c r="G1741" s="17"/>
    </row>
    <row r="1742" spans="1:7" x14ac:dyDescent="0.25">
      <c r="A1742" s="22">
        <v>45595</v>
      </c>
      <c r="B1742" s="15" t="s">
        <v>49</v>
      </c>
      <c r="C1742" s="23" t="s">
        <v>47</v>
      </c>
      <c r="D1742" s="14">
        <v>0.10305040539774338</v>
      </c>
      <c r="E1742" s="14">
        <v>2.8179395588818958E-2</v>
      </c>
      <c r="F1742" s="15">
        <f t="shared" si="49"/>
        <v>0.27345254470426411</v>
      </c>
      <c r="G1742" s="14"/>
    </row>
    <row r="1743" spans="1:7" x14ac:dyDescent="0.25">
      <c r="A1743" s="22">
        <v>45595</v>
      </c>
      <c r="B1743" s="15" t="s">
        <v>49</v>
      </c>
      <c r="C1743" s="23" t="s">
        <v>48</v>
      </c>
      <c r="D1743" s="14" t="s">
        <v>18</v>
      </c>
      <c r="E1743" s="14" t="s">
        <v>18</v>
      </c>
      <c r="F1743" s="14" t="s">
        <v>18</v>
      </c>
      <c r="G1743" s="14"/>
    </row>
    <row r="1744" spans="1:7" x14ac:dyDescent="0.25">
      <c r="A1744" s="22">
        <v>45595</v>
      </c>
      <c r="B1744" s="15" t="s">
        <v>50</v>
      </c>
      <c r="C1744" s="23" t="s">
        <v>45</v>
      </c>
      <c r="D1744" s="14">
        <v>0.10262516300958213</v>
      </c>
      <c r="E1744" s="14">
        <v>3.4472982933605484E-2</v>
      </c>
      <c r="F1744" s="15">
        <f t="shared" si="49"/>
        <v>0.3359116022099447</v>
      </c>
      <c r="G1744" s="14">
        <f>AVERAGE(F1744:F1745)</f>
        <v>0.34958149220013768</v>
      </c>
    </row>
    <row r="1745" spans="1:7" x14ac:dyDescent="0.25">
      <c r="A1745" s="22">
        <v>45595</v>
      </c>
      <c r="B1745" s="15" t="s">
        <v>50</v>
      </c>
      <c r="C1745" s="23" t="s">
        <v>46</v>
      </c>
      <c r="D1745" s="14">
        <v>0.12049951805862674</v>
      </c>
      <c r="E1745" s="14">
        <v>4.3771616488064866E-2</v>
      </c>
      <c r="F1745" s="15">
        <f t="shared" si="49"/>
        <v>0.3632513821903306</v>
      </c>
      <c r="G1745" s="17"/>
    </row>
    <row r="1746" spans="1:7" x14ac:dyDescent="0.25">
      <c r="A1746" s="22">
        <v>45595</v>
      </c>
      <c r="B1746" s="15" t="s">
        <v>50</v>
      </c>
      <c r="C1746" s="23" t="s">
        <v>47</v>
      </c>
      <c r="D1746" s="14" t="s">
        <v>18</v>
      </c>
      <c r="E1746" s="14" t="s">
        <v>18</v>
      </c>
      <c r="F1746" s="14" t="s">
        <v>18</v>
      </c>
      <c r="G1746" s="14"/>
    </row>
    <row r="1747" spans="1:7" x14ac:dyDescent="0.25">
      <c r="A1747" s="22">
        <v>45595</v>
      </c>
      <c r="B1747" s="15" t="s">
        <v>50</v>
      </c>
      <c r="C1747" s="23" t="s">
        <v>48</v>
      </c>
      <c r="D1747" s="14" t="s">
        <v>18</v>
      </c>
      <c r="E1747" s="14" t="s">
        <v>18</v>
      </c>
      <c r="F1747" s="14" t="s">
        <v>18</v>
      </c>
      <c r="G1747" s="14"/>
    </row>
    <row r="1748" spans="1:7" x14ac:dyDescent="0.25">
      <c r="A1748" s="22">
        <v>45595</v>
      </c>
      <c r="B1748" s="15" t="s">
        <v>51</v>
      </c>
      <c r="C1748" s="23" t="s">
        <v>45</v>
      </c>
      <c r="D1748" s="14">
        <v>6.7641889210183145E-2</v>
      </c>
      <c r="E1748" s="14">
        <v>2.7116289618415831E-2</v>
      </c>
      <c r="F1748" s="15">
        <f t="shared" si="49"/>
        <v>0.40088013411567475</v>
      </c>
      <c r="G1748" s="14">
        <f>AVERAGE(F1748:F1748)</f>
        <v>0.40088013411567475</v>
      </c>
    </row>
    <row r="1749" spans="1:7" x14ac:dyDescent="0.25">
      <c r="A1749" s="22">
        <v>45595</v>
      </c>
      <c r="B1749" s="15" t="s">
        <v>51</v>
      </c>
      <c r="C1749" s="23" t="s">
        <v>46</v>
      </c>
      <c r="D1749" s="14" t="s">
        <v>18</v>
      </c>
      <c r="E1749" s="14" t="s">
        <v>18</v>
      </c>
      <c r="F1749" s="14" t="s">
        <v>18</v>
      </c>
      <c r="G1749" s="17"/>
    </row>
    <row r="1750" spans="1:7" x14ac:dyDescent="0.25">
      <c r="A1750" s="22">
        <v>45595</v>
      </c>
      <c r="B1750" s="15" t="s">
        <v>51</v>
      </c>
      <c r="C1750" s="23" t="s">
        <v>47</v>
      </c>
      <c r="D1750" s="14" t="s">
        <v>18</v>
      </c>
      <c r="E1750" s="14" t="s">
        <v>18</v>
      </c>
      <c r="F1750" s="14" t="s">
        <v>18</v>
      </c>
      <c r="G1750" s="14"/>
    </row>
    <row r="1751" spans="1:7" x14ac:dyDescent="0.25">
      <c r="A1751" s="22">
        <v>45595</v>
      </c>
      <c r="B1751" s="15" t="s">
        <v>51</v>
      </c>
      <c r="C1751" s="23" t="s">
        <v>48</v>
      </c>
      <c r="D1751" s="14" t="s">
        <v>18</v>
      </c>
      <c r="E1751" s="14" t="s">
        <v>18</v>
      </c>
      <c r="F1751" s="14" t="s">
        <v>18</v>
      </c>
      <c r="G1751" s="14"/>
    </row>
    <row r="1752" spans="1:7" x14ac:dyDescent="0.25">
      <c r="A1752" s="22">
        <v>45596</v>
      </c>
      <c r="B1752" s="15" t="s">
        <v>44</v>
      </c>
      <c r="C1752" s="23" t="s">
        <v>45</v>
      </c>
      <c r="D1752" s="75">
        <v>0.18334750807960534</v>
      </c>
      <c r="E1752" s="14">
        <v>6.4313658785507738E-2</v>
      </c>
      <c r="F1752" s="15">
        <f t="shared" si="49"/>
        <v>0.35077465442063277</v>
      </c>
      <c r="G1752" s="14">
        <f>AVERAGE(F1752:F1755)</f>
        <v>0.29599646154380971</v>
      </c>
    </row>
    <row r="1753" spans="1:7" x14ac:dyDescent="0.25">
      <c r="A1753" s="22">
        <v>45596</v>
      </c>
      <c r="B1753" s="15" t="s">
        <v>44</v>
      </c>
      <c r="C1753" s="23" t="s">
        <v>46</v>
      </c>
      <c r="D1753" s="14">
        <v>0.19656404150365706</v>
      </c>
      <c r="E1753" s="14">
        <v>6.1966320802857619E-2</v>
      </c>
      <c r="F1753" s="15">
        <f t="shared" si="49"/>
        <v>0.31524749048113532</v>
      </c>
      <c r="G1753" s="17"/>
    </row>
    <row r="1754" spans="1:7" x14ac:dyDescent="0.25">
      <c r="A1754" s="22">
        <v>45596</v>
      </c>
      <c r="B1754" s="15" t="s">
        <v>44</v>
      </c>
      <c r="C1754" s="23" t="s">
        <v>47</v>
      </c>
      <c r="D1754" s="14">
        <v>0.21573396836196632</v>
      </c>
      <c r="E1754" s="14">
        <v>5.8938594999149503E-2</v>
      </c>
      <c r="F1754" s="15">
        <f t="shared" si="49"/>
        <v>0.27320034692107542</v>
      </c>
      <c r="G1754" s="14"/>
    </row>
    <row r="1755" spans="1:7" x14ac:dyDescent="0.25">
      <c r="A1755" s="22">
        <v>45596</v>
      </c>
      <c r="B1755" s="15" t="s">
        <v>44</v>
      </c>
      <c r="C1755" s="23" t="s">
        <v>48</v>
      </c>
      <c r="D1755" s="14">
        <v>0.23468276917843167</v>
      </c>
      <c r="E1755" s="14">
        <v>5.7441741792821896E-2</v>
      </c>
      <c r="F1755" s="15">
        <f t="shared" si="49"/>
        <v>0.24476335435239543</v>
      </c>
      <c r="G1755" s="14"/>
    </row>
    <row r="1756" spans="1:7" x14ac:dyDescent="0.25">
      <c r="A1756" s="22">
        <v>45596</v>
      </c>
      <c r="B1756" s="15" t="s">
        <v>49</v>
      </c>
      <c r="C1756" s="23" t="s">
        <v>45</v>
      </c>
      <c r="D1756" s="14">
        <v>8.9570221693031693E-2</v>
      </c>
      <c r="E1756" s="14">
        <v>3.3750070873731358E-2</v>
      </c>
      <c r="F1756" s="15">
        <f t="shared" si="49"/>
        <v>0.37680012660231049</v>
      </c>
      <c r="G1756" s="14">
        <f>AVERAGE(F1756:F1757)</f>
        <v>0.39451460327531918</v>
      </c>
    </row>
    <row r="1757" spans="1:7" x14ac:dyDescent="0.25">
      <c r="A1757" s="22">
        <v>45596</v>
      </c>
      <c r="B1757" s="15" t="s">
        <v>49</v>
      </c>
      <c r="C1757" s="23" t="s">
        <v>46</v>
      </c>
      <c r="D1757" s="14">
        <v>9.8755457277314732E-2</v>
      </c>
      <c r="E1757" s="14">
        <v>4.0709871293303848E-2</v>
      </c>
      <c r="F1757" s="15">
        <f t="shared" si="49"/>
        <v>0.41222907994832786</v>
      </c>
      <c r="G1757" s="17"/>
    </row>
    <row r="1758" spans="1:7" x14ac:dyDescent="0.25">
      <c r="A1758" s="22">
        <v>45596</v>
      </c>
      <c r="B1758" s="15" t="s">
        <v>49</v>
      </c>
      <c r="C1758" s="23" t="s">
        <v>47</v>
      </c>
      <c r="D1758" s="14" t="s">
        <v>18</v>
      </c>
      <c r="E1758" s="14" t="s">
        <v>18</v>
      </c>
      <c r="F1758" s="14" t="s">
        <v>18</v>
      </c>
      <c r="G1758" s="14"/>
    </row>
    <row r="1759" spans="1:7" x14ac:dyDescent="0.25">
      <c r="A1759" s="22">
        <v>45596</v>
      </c>
      <c r="B1759" s="15" t="s">
        <v>49</v>
      </c>
      <c r="C1759" s="23" t="s">
        <v>48</v>
      </c>
      <c r="D1759" s="14" t="s">
        <v>18</v>
      </c>
      <c r="E1759" s="14" t="s">
        <v>18</v>
      </c>
      <c r="F1759" s="14" t="s">
        <v>18</v>
      </c>
      <c r="G1759" s="14"/>
    </row>
    <row r="1760" spans="1:7" x14ac:dyDescent="0.25">
      <c r="A1760" s="22">
        <v>45596</v>
      </c>
      <c r="B1760" s="15" t="s">
        <v>50</v>
      </c>
      <c r="C1760" s="23" t="s">
        <v>45</v>
      </c>
      <c r="D1760" s="14">
        <v>9.1852355842830413E-2</v>
      </c>
      <c r="E1760" s="14">
        <v>3.9760163293077057E-2</v>
      </c>
      <c r="F1760" s="15">
        <f t="shared" si="49"/>
        <v>0.43287037037037041</v>
      </c>
      <c r="G1760" s="14">
        <f>AVERAGE(F1760:F1761)</f>
        <v>0.43514083378013269</v>
      </c>
    </row>
    <row r="1761" spans="1:7" x14ac:dyDescent="0.25">
      <c r="A1761" s="22">
        <v>45596</v>
      </c>
      <c r="B1761" s="15" t="s">
        <v>50</v>
      </c>
      <c r="C1761" s="23" t="s">
        <v>46</v>
      </c>
      <c r="D1761" s="14">
        <v>9.9875262232806031E-2</v>
      </c>
      <c r="E1761" s="14">
        <v>4.3686568010432608E-2</v>
      </c>
      <c r="F1761" s="15">
        <f t="shared" si="49"/>
        <v>0.43741129718989491</v>
      </c>
      <c r="G1761" s="17"/>
    </row>
    <row r="1762" spans="1:7" x14ac:dyDescent="0.25">
      <c r="A1762" s="22">
        <v>45596</v>
      </c>
      <c r="B1762" s="15" t="s">
        <v>50</v>
      </c>
      <c r="C1762" s="23" t="s">
        <v>47</v>
      </c>
      <c r="D1762" s="14" t="s">
        <v>18</v>
      </c>
      <c r="E1762" s="14" t="s">
        <v>18</v>
      </c>
      <c r="F1762" s="14" t="s">
        <v>18</v>
      </c>
      <c r="G1762" s="14"/>
    </row>
    <row r="1763" spans="1:7" x14ac:dyDescent="0.25">
      <c r="A1763" s="22">
        <v>45596</v>
      </c>
      <c r="B1763" s="15" t="s">
        <v>50</v>
      </c>
      <c r="C1763" s="23" t="s">
        <v>48</v>
      </c>
      <c r="D1763" s="14" t="s">
        <v>18</v>
      </c>
      <c r="E1763" s="14" t="s">
        <v>18</v>
      </c>
      <c r="F1763" s="14" t="s">
        <v>18</v>
      </c>
      <c r="G1763" s="14"/>
    </row>
    <row r="1764" spans="1:7" x14ac:dyDescent="0.25">
      <c r="A1764" s="22">
        <v>45596</v>
      </c>
      <c r="B1764" s="15" t="s">
        <v>51</v>
      </c>
      <c r="C1764" s="23" t="s">
        <v>45</v>
      </c>
      <c r="D1764" s="14">
        <v>5.7832964789930261E-2</v>
      </c>
      <c r="E1764" s="14">
        <v>2.9837840902647843E-2</v>
      </c>
      <c r="F1764" s="15">
        <f t="shared" si="49"/>
        <v>0.51593137254901966</v>
      </c>
      <c r="G1764" s="14">
        <f>AVERAGE(F1764:F1764)</f>
        <v>0.51593137254901966</v>
      </c>
    </row>
    <row r="1765" spans="1:7" x14ac:dyDescent="0.25">
      <c r="A1765" s="22">
        <v>45596</v>
      </c>
      <c r="B1765" s="15" t="s">
        <v>51</v>
      </c>
      <c r="C1765" s="23" t="s">
        <v>46</v>
      </c>
      <c r="D1765" s="14" t="s">
        <v>18</v>
      </c>
      <c r="E1765" s="14" t="s">
        <v>18</v>
      </c>
      <c r="F1765" s="14" t="s">
        <v>18</v>
      </c>
      <c r="G1765" s="17"/>
    </row>
    <row r="1766" spans="1:7" x14ac:dyDescent="0.25">
      <c r="A1766" s="22">
        <v>45596</v>
      </c>
      <c r="B1766" s="15" t="s">
        <v>51</v>
      </c>
      <c r="C1766" s="23" t="s">
        <v>47</v>
      </c>
      <c r="D1766" s="14" t="s">
        <v>18</v>
      </c>
      <c r="E1766" s="14" t="s">
        <v>18</v>
      </c>
      <c r="F1766" s="14" t="s">
        <v>18</v>
      </c>
      <c r="G1766" s="14"/>
    </row>
    <row r="1767" spans="1:7" x14ac:dyDescent="0.25">
      <c r="A1767" s="22">
        <v>45596</v>
      </c>
      <c r="B1767" s="15" t="s">
        <v>51</v>
      </c>
      <c r="C1767" s="23" t="s">
        <v>48</v>
      </c>
      <c r="D1767" s="14" t="s">
        <v>18</v>
      </c>
      <c r="E1767" s="14" t="s">
        <v>18</v>
      </c>
      <c r="F1767" s="14" t="s">
        <v>18</v>
      </c>
      <c r="G1767" s="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7"/>
  <sheetViews>
    <sheetView workbookViewId="0"/>
  </sheetViews>
  <sheetFormatPr defaultColWidth="8.88671875" defaultRowHeight="14.4" x14ac:dyDescent="0.3"/>
  <cols>
    <col min="4" max="4" width="11.44140625" customWidth="1"/>
  </cols>
  <sheetData>
    <row r="1" spans="1:4" x14ac:dyDescent="0.3">
      <c r="A1" s="1" t="s">
        <v>0</v>
      </c>
      <c r="B1" s="2" t="s">
        <v>1</v>
      </c>
      <c r="C1" s="2" t="s">
        <v>2</v>
      </c>
      <c r="D1" s="3" t="s">
        <v>16</v>
      </c>
    </row>
    <row r="2" spans="1:4" x14ac:dyDescent="0.3">
      <c r="A2" s="6">
        <v>1</v>
      </c>
      <c r="B2" s="7">
        <v>437930.10856199998</v>
      </c>
      <c r="C2" s="7">
        <v>5688036.3324180003</v>
      </c>
      <c r="D2" s="8">
        <v>39842</v>
      </c>
    </row>
    <row r="3" spans="1:4" x14ac:dyDescent="0.3">
      <c r="A3" s="6">
        <v>2</v>
      </c>
      <c r="B3" s="7">
        <v>437811.10856199998</v>
      </c>
      <c r="C3" s="7">
        <v>5688155.3324180003</v>
      </c>
      <c r="D3" s="8">
        <v>39842</v>
      </c>
    </row>
    <row r="4" spans="1:4" x14ac:dyDescent="0.3">
      <c r="A4" s="6">
        <v>3</v>
      </c>
      <c r="B4" s="7">
        <v>437930.10856199998</v>
      </c>
      <c r="C4" s="7">
        <v>5688155.3324180003</v>
      </c>
      <c r="D4" s="8">
        <v>39842</v>
      </c>
    </row>
    <row r="5" spans="1:4" x14ac:dyDescent="0.3">
      <c r="A5" s="6">
        <v>4</v>
      </c>
      <c r="B5" s="7">
        <v>438049.10856199998</v>
      </c>
      <c r="C5" s="7">
        <v>5688155.3324180003</v>
      </c>
      <c r="D5" s="8">
        <v>39842</v>
      </c>
    </row>
    <row r="6" spans="1:4" x14ac:dyDescent="0.3">
      <c r="A6" s="6">
        <v>5</v>
      </c>
      <c r="B6" s="7">
        <v>437573.10856199998</v>
      </c>
      <c r="C6" s="7">
        <v>5688274.3324180003</v>
      </c>
      <c r="D6" s="8">
        <v>39842</v>
      </c>
    </row>
    <row r="7" spans="1:4" x14ac:dyDescent="0.3">
      <c r="A7" s="6">
        <v>6</v>
      </c>
      <c r="B7" s="7">
        <v>437692.10856199998</v>
      </c>
      <c r="C7" s="7">
        <v>5688274.3324180003</v>
      </c>
      <c r="D7" s="8">
        <v>39842</v>
      </c>
    </row>
    <row r="8" spans="1:4" x14ac:dyDescent="0.3">
      <c r="A8" s="6">
        <v>7</v>
      </c>
      <c r="B8" s="7">
        <v>437811.10856199998</v>
      </c>
      <c r="C8" s="7">
        <v>5688274.3324180003</v>
      </c>
      <c r="D8" s="8">
        <v>39842</v>
      </c>
    </row>
    <row r="9" spans="1:4" x14ac:dyDescent="0.3">
      <c r="A9" s="6">
        <v>8</v>
      </c>
      <c r="B9" s="7">
        <v>437930.10856199998</v>
      </c>
      <c r="C9" s="7">
        <v>5688274.3324180003</v>
      </c>
      <c r="D9" s="8">
        <v>39842</v>
      </c>
    </row>
    <row r="10" spans="1:4" x14ac:dyDescent="0.3">
      <c r="A10" s="6">
        <v>9</v>
      </c>
      <c r="B10" s="7">
        <v>438287.10856199998</v>
      </c>
      <c r="C10" s="7">
        <v>5688274.3324180003</v>
      </c>
      <c r="D10" s="8">
        <v>39842</v>
      </c>
    </row>
    <row r="11" spans="1:4" x14ac:dyDescent="0.3">
      <c r="A11" s="6">
        <v>10</v>
      </c>
      <c r="B11" s="7">
        <v>438406.10856199998</v>
      </c>
      <c r="C11" s="7">
        <v>5688274.3324180003</v>
      </c>
      <c r="D11" s="8">
        <v>39842</v>
      </c>
    </row>
    <row r="12" spans="1:4" x14ac:dyDescent="0.3">
      <c r="A12" s="6">
        <v>11</v>
      </c>
      <c r="B12" s="7">
        <v>437454.10856199998</v>
      </c>
      <c r="C12" s="7">
        <v>5688393.3324180003</v>
      </c>
      <c r="D12" s="8">
        <v>39842</v>
      </c>
    </row>
    <row r="13" spans="1:4" x14ac:dyDescent="0.3">
      <c r="A13" s="6">
        <v>12</v>
      </c>
      <c r="B13" s="7">
        <v>437573.10856199998</v>
      </c>
      <c r="C13" s="7">
        <v>5688393.3324180003</v>
      </c>
      <c r="D13" s="8">
        <v>39842</v>
      </c>
    </row>
    <row r="14" spans="1:4" x14ac:dyDescent="0.3">
      <c r="A14" s="6">
        <v>13</v>
      </c>
      <c r="B14" s="7">
        <v>437692.10856199998</v>
      </c>
      <c r="C14" s="7">
        <v>5688393.3324180003</v>
      </c>
      <c r="D14" s="8">
        <v>39842</v>
      </c>
    </row>
    <row r="15" spans="1:4" x14ac:dyDescent="0.3">
      <c r="A15" s="10">
        <v>14</v>
      </c>
      <c r="B15" s="11">
        <v>437811.10856199998</v>
      </c>
      <c r="C15" s="11">
        <v>5688393.3324180003</v>
      </c>
      <c r="D15" s="12" t="s">
        <v>21</v>
      </c>
    </row>
    <row r="16" spans="1:4" x14ac:dyDescent="0.3">
      <c r="A16" s="6">
        <v>15</v>
      </c>
      <c r="B16" s="7">
        <v>437930.10856199998</v>
      </c>
      <c r="C16" s="7">
        <v>5688393.3324180003</v>
      </c>
      <c r="D16" s="8">
        <v>39842</v>
      </c>
    </row>
    <row r="17" spans="1:4" x14ac:dyDescent="0.3">
      <c r="A17" s="6">
        <v>16</v>
      </c>
      <c r="B17" s="7">
        <v>438049.10856199998</v>
      </c>
      <c r="C17" s="7">
        <v>5688393.3324180003</v>
      </c>
      <c r="D17" s="8">
        <v>39842</v>
      </c>
    </row>
    <row r="18" spans="1:4" x14ac:dyDescent="0.3">
      <c r="A18" s="6">
        <v>17</v>
      </c>
      <c r="B18" s="7">
        <v>438168.10856199998</v>
      </c>
      <c r="C18" s="7">
        <v>5688393.3324180003</v>
      </c>
      <c r="D18" s="8">
        <v>39842</v>
      </c>
    </row>
    <row r="19" spans="1:4" x14ac:dyDescent="0.3">
      <c r="A19" s="6">
        <v>18</v>
      </c>
      <c r="B19" s="7">
        <v>438287.10856199998</v>
      </c>
      <c r="C19" s="7">
        <v>5688393.3324180003</v>
      </c>
      <c r="D19" s="8">
        <v>39842</v>
      </c>
    </row>
    <row r="20" spans="1:4" x14ac:dyDescent="0.3">
      <c r="A20" s="6">
        <v>19</v>
      </c>
      <c r="B20" s="7">
        <v>438406.10856199998</v>
      </c>
      <c r="C20" s="7">
        <v>5688393.3324180003</v>
      </c>
      <c r="D20" s="8">
        <v>39842</v>
      </c>
    </row>
    <row r="21" spans="1:4" x14ac:dyDescent="0.3">
      <c r="A21" s="6">
        <v>20</v>
      </c>
      <c r="B21" s="7">
        <v>437335.10856199998</v>
      </c>
      <c r="C21" s="7">
        <v>5688512.3324180003</v>
      </c>
      <c r="D21" s="8">
        <v>39842</v>
      </c>
    </row>
    <row r="22" spans="1:4" x14ac:dyDescent="0.3">
      <c r="A22" s="6">
        <v>21</v>
      </c>
      <c r="B22" s="7">
        <v>437454.10856199998</v>
      </c>
      <c r="C22" s="7">
        <v>5688512.3324180003</v>
      </c>
      <c r="D22" s="8">
        <v>39842</v>
      </c>
    </row>
    <row r="23" spans="1:4" x14ac:dyDescent="0.3">
      <c r="A23" s="6">
        <v>22</v>
      </c>
      <c r="B23" s="7">
        <v>437573.10856199998</v>
      </c>
      <c r="C23" s="7">
        <v>5688512.3324180003</v>
      </c>
      <c r="D23" s="8">
        <v>39842</v>
      </c>
    </row>
    <row r="24" spans="1:4" x14ac:dyDescent="0.3">
      <c r="A24" s="6">
        <v>23</v>
      </c>
      <c r="B24" s="7">
        <v>437692.10856199998</v>
      </c>
      <c r="C24" s="7">
        <v>5688512.3324180003</v>
      </c>
      <c r="D24" s="8">
        <v>39842</v>
      </c>
    </row>
    <row r="25" spans="1:4" x14ac:dyDescent="0.3">
      <c r="A25" s="6">
        <v>24</v>
      </c>
      <c r="B25" s="7">
        <v>437811.10856199998</v>
      </c>
      <c r="C25" s="7">
        <v>5688512.3324180003</v>
      </c>
      <c r="D25" s="8">
        <v>39842</v>
      </c>
    </row>
    <row r="26" spans="1:4" x14ac:dyDescent="0.3">
      <c r="A26" s="6">
        <v>25</v>
      </c>
      <c r="B26" s="13">
        <v>437995</v>
      </c>
      <c r="C26" s="13">
        <v>5688493</v>
      </c>
      <c r="D26" s="8">
        <v>39842</v>
      </c>
    </row>
    <row r="27" spans="1:4" x14ac:dyDescent="0.3">
      <c r="A27" s="6">
        <v>26</v>
      </c>
      <c r="B27" s="13">
        <v>438112</v>
      </c>
      <c r="C27" s="13">
        <v>5688567</v>
      </c>
      <c r="D27" s="8">
        <v>39842</v>
      </c>
    </row>
    <row r="28" spans="1:4" x14ac:dyDescent="0.3">
      <c r="A28" s="10">
        <v>27</v>
      </c>
      <c r="B28" s="11">
        <v>438168.10856199998</v>
      </c>
      <c r="C28" s="11">
        <v>5688512.3324180003</v>
      </c>
      <c r="D28" s="12" t="s">
        <v>21</v>
      </c>
    </row>
    <row r="29" spans="1:4" x14ac:dyDescent="0.3">
      <c r="A29" s="10">
        <v>28</v>
      </c>
      <c r="B29" s="11">
        <v>438287.10856199998</v>
      </c>
      <c r="C29" s="11">
        <v>5688512.3324180003</v>
      </c>
      <c r="D29" s="12" t="s">
        <v>21</v>
      </c>
    </row>
    <row r="30" spans="1:4" x14ac:dyDescent="0.3">
      <c r="A30" s="6">
        <v>29</v>
      </c>
      <c r="B30" s="7">
        <v>438381</v>
      </c>
      <c r="C30" s="7">
        <v>5688526</v>
      </c>
      <c r="D30" s="8">
        <v>39842</v>
      </c>
    </row>
    <row r="31" spans="1:4" x14ac:dyDescent="0.3">
      <c r="A31" s="6">
        <v>30</v>
      </c>
      <c r="B31" s="7">
        <v>438525.10856199998</v>
      </c>
      <c r="C31" s="7">
        <v>5688512.3324180003</v>
      </c>
      <c r="D31" s="8">
        <v>39842</v>
      </c>
    </row>
    <row r="32" spans="1:4" x14ac:dyDescent="0.3">
      <c r="A32" s="6">
        <v>31</v>
      </c>
      <c r="B32" s="7">
        <v>437335.10856199998</v>
      </c>
      <c r="C32" s="7">
        <v>5688631.3324180003</v>
      </c>
      <c r="D32" s="8">
        <v>39842</v>
      </c>
    </row>
    <row r="33" spans="1:4" x14ac:dyDescent="0.3">
      <c r="A33" s="6">
        <v>32</v>
      </c>
      <c r="B33" s="7">
        <v>437454.10856199998</v>
      </c>
      <c r="C33" s="7">
        <v>5688631.3324180003</v>
      </c>
      <c r="D33" s="8">
        <v>39842</v>
      </c>
    </row>
    <row r="34" spans="1:4" x14ac:dyDescent="0.3">
      <c r="A34" s="6">
        <v>33</v>
      </c>
      <c r="B34" s="7">
        <v>437573.10856199998</v>
      </c>
      <c r="C34" s="7">
        <v>5688631.3324180003</v>
      </c>
      <c r="D34" s="8">
        <v>39842</v>
      </c>
    </row>
    <row r="35" spans="1:4" x14ac:dyDescent="0.3">
      <c r="A35" s="6">
        <v>34</v>
      </c>
      <c r="B35" s="7">
        <v>437692.10856199998</v>
      </c>
      <c r="C35" s="7">
        <v>5688631.3324180003</v>
      </c>
      <c r="D35" s="8">
        <v>39842</v>
      </c>
    </row>
    <row r="36" spans="1:4" x14ac:dyDescent="0.3">
      <c r="A36" s="6">
        <v>35</v>
      </c>
      <c r="B36" s="7">
        <v>437811.10856199998</v>
      </c>
      <c r="C36" s="7">
        <v>5688631.3324180003</v>
      </c>
      <c r="D36" s="8">
        <v>39842</v>
      </c>
    </row>
    <row r="37" spans="1:4" x14ac:dyDescent="0.3">
      <c r="A37" s="6">
        <v>36</v>
      </c>
      <c r="B37" s="7">
        <v>437930.10856199998</v>
      </c>
      <c r="C37" s="7">
        <v>5688631.3324180003</v>
      </c>
      <c r="D37" s="8">
        <v>39842</v>
      </c>
    </row>
    <row r="38" spans="1:4" x14ac:dyDescent="0.3">
      <c r="A38" s="10">
        <v>37</v>
      </c>
      <c r="B38" s="11">
        <v>438049.10856199998</v>
      </c>
      <c r="C38" s="11">
        <v>5688631.3324180003</v>
      </c>
      <c r="D38" s="12" t="s">
        <v>21</v>
      </c>
    </row>
    <row r="39" spans="1:4" x14ac:dyDescent="0.3">
      <c r="A39" s="6">
        <v>38</v>
      </c>
      <c r="B39" s="7">
        <v>438168.10856199998</v>
      </c>
      <c r="C39" s="7">
        <v>5688631.3324180003</v>
      </c>
      <c r="D39" s="8">
        <v>39842</v>
      </c>
    </row>
    <row r="40" spans="1:4" x14ac:dyDescent="0.3">
      <c r="A40" s="10">
        <v>39</v>
      </c>
      <c r="B40" s="11">
        <v>438287.10856199998</v>
      </c>
      <c r="C40" s="11">
        <v>5688631.3324180003</v>
      </c>
      <c r="D40" s="12" t="s">
        <v>22</v>
      </c>
    </row>
    <row r="41" spans="1:4" x14ac:dyDescent="0.3">
      <c r="A41" s="6">
        <v>40</v>
      </c>
      <c r="B41" s="7">
        <v>438406.10856199998</v>
      </c>
      <c r="C41" s="7">
        <v>5688631.3324180003</v>
      </c>
      <c r="D41" s="8">
        <v>39842</v>
      </c>
    </row>
    <row r="42" spans="1:4" x14ac:dyDescent="0.3">
      <c r="A42" s="6">
        <v>41</v>
      </c>
      <c r="B42" s="7">
        <v>437310</v>
      </c>
      <c r="C42" s="7">
        <v>5688729</v>
      </c>
      <c r="D42" s="8">
        <v>39842</v>
      </c>
    </row>
    <row r="43" spans="1:4" x14ac:dyDescent="0.3">
      <c r="A43" s="6">
        <v>42</v>
      </c>
      <c r="B43" s="7">
        <v>437454.10856199998</v>
      </c>
      <c r="C43" s="7">
        <v>5688750.3324180003</v>
      </c>
      <c r="D43" s="8">
        <v>39842</v>
      </c>
    </row>
    <row r="44" spans="1:4" x14ac:dyDescent="0.3">
      <c r="A44" s="6">
        <v>43</v>
      </c>
      <c r="B44" s="7">
        <v>437573.10856199998</v>
      </c>
      <c r="C44" s="7">
        <v>5688750.3324180003</v>
      </c>
      <c r="D44" s="8">
        <v>39842</v>
      </c>
    </row>
    <row r="45" spans="1:4" x14ac:dyDescent="0.3">
      <c r="A45" s="6">
        <v>44</v>
      </c>
      <c r="B45" s="7">
        <v>437692.10856199998</v>
      </c>
      <c r="C45" s="7">
        <v>5688750.3324180003</v>
      </c>
      <c r="D45" s="8">
        <v>39842</v>
      </c>
    </row>
    <row r="46" spans="1:4" x14ac:dyDescent="0.3">
      <c r="A46" s="6">
        <v>45</v>
      </c>
      <c r="B46" s="7">
        <v>437811.10856199998</v>
      </c>
      <c r="C46" s="7">
        <v>5688750.3324180003</v>
      </c>
      <c r="D46" s="8">
        <v>39842</v>
      </c>
    </row>
    <row r="47" spans="1:4" x14ac:dyDescent="0.3">
      <c r="A47" s="6">
        <v>46</v>
      </c>
      <c r="B47" s="7">
        <v>437930.10856199998</v>
      </c>
      <c r="C47" s="7">
        <v>5688750.3324180003</v>
      </c>
      <c r="D47" s="8">
        <v>39842</v>
      </c>
    </row>
    <row r="48" spans="1:4" x14ac:dyDescent="0.3">
      <c r="A48" s="6">
        <v>47</v>
      </c>
      <c r="B48" s="7">
        <v>438049.10856199998</v>
      </c>
      <c r="C48" s="7">
        <v>5688750.3324180003</v>
      </c>
      <c r="D48" s="8">
        <v>39842</v>
      </c>
    </row>
    <row r="49" spans="1:4" x14ac:dyDescent="0.3">
      <c r="A49" s="10">
        <v>48</v>
      </c>
      <c r="B49" s="11">
        <v>438168.10856199998</v>
      </c>
      <c r="C49" s="11">
        <v>5688750.3324180003</v>
      </c>
      <c r="D49" s="12" t="s">
        <v>21</v>
      </c>
    </row>
    <row r="50" spans="1:4" x14ac:dyDescent="0.3">
      <c r="A50" s="6">
        <v>49</v>
      </c>
      <c r="B50" s="7">
        <v>437454.10856199998</v>
      </c>
      <c r="C50" s="7">
        <v>5688869.3324180003</v>
      </c>
      <c r="D50" s="8">
        <v>39842</v>
      </c>
    </row>
    <row r="51" spans="1:4" x14ac:dyDescent="0.3">
      <c r="A51" s="6">
        <v>50</v>
      </c>
      <c r="B51" s="7">
        <v>437811.10856199998</v>
      </c>
      <c r="C51" s="7">
        <v>5688869.3324180003</v>
      </c>
      <c r="D51" s="8">
        <v>39842</v>
      </c>
    </row>
    <row r="52" spans="1:4" x14ac:dyDescent="0.3">
      <c r="A52" s="6">
        <v>51</v>
      </c>
      <c r="B52" s="7">
        <v>437930.10856199998</v>
      </c>
      <c r="C52" s="7">
        <v>5688869.3324180003</v>
      </c>
      <c r="D52" s="8">
        <v>39842</v>
      </c>
    </row>
    <row r="53" spans="1:4" x14ac:dyDescent="0.3">
      <c r="A53" s="6">
        <v>52</v>
      </c>
      <c r="B53" s="7">
        <v>438049.10856199998</v>
      </c>
      <c r="C53" s="7">
        <v>5688869.3324180003</v>
      </c>
      <c r="D53" s="8">
        <v>39842</v>
      </c>
    </row>
    <row r="54" spans="1:4" x14ac:dyDescent="0.3">
      <c r="A54" s="6">
        <v>53</v>
      </c>
      <c r="B54" s="7">
        <v>438287.10856199998</v>
      </c>
      <c r="C54" s="7">
        <v>5688869.3324180003</v>
      </c>
      <c r="D54" s="8">
        <v>39842</v>
      </c>
    </row>
    <row r="55" spans="1:4" x14ac:dyDescent="0.3">
      <c r="A55" s="6">
        <v>54</v>
      </c>
      <c r="B55" s="7">
        <v>437454.10856199998</v>
      </c>
      <c r="C55" s="7">
        <v>5688988.3324180003</v>
      </c>
      <c r="D55" s="8">
        <v>39842</v>
      </c>
    </row>
    <row r="56" spans="1:4" x14ac:dyDescent="0.3">
      <c r="A56" s="6">
        <v>55</v>
      </c>
      <c r="B56" s="7">
        <v>438049.10856199998</v>
      </c>
      <c r="C56" s="7">
        <v>5688988.3324180003</v>
      </c>
      <c r="D56" s="8">
        <v>39842</v>
      </c>
    </row>
    <row r="57" spans="1:4" x14ac:dyDescent="0.3">
      <c r="A57" s="6">
        <v>56</v>
      </c>
      <c r="B57" s="7">
        <v>438168.10856199998</v>
      </c>
      <c r="C57" s="7">
        <v>5688988.3324180003</v>
      </c>
      <c r="D57" s="8">
        <v>39842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0"/>
  <sheetViews>
    <sheetView workbookViewId="0">
      <selection activeCell="B6" sqref="B6"/>
    </sheetView>
  </sheetViews>
  <sheetFormatPr defaultColWidth="8.88671875" defaultRowHeight="14.4" x14ac:dyDescent="0.3"/>
  <sheetData>
    <row r="1" spans="1:2" x14ac:dyDescent="0.3">
      <c r="A1" t="s">
        <v>26</v>
      </c>
    </row>
    <row r="2" spans="1:2" x14ac:dyDescent="0.3">
      <c r="A2">
        <v>1</v>
      </c>
      <c r="B2" t="s">
        <v>90</v>
      </c>
    </row>
    <row r="3" spans="1:2" x14ac:dyDescent="0.3">
      <c r="A3">
        <v>2</v>
      </c>
      <c r="B3" t="s">
        <v>134</v>
      </c>
    </row>
    <row r="4" spans="1:2" x14ac:dyDescent="0.3">
      <c r="A4">
        <v>3</v>
      </c>
      <c r="B4" t="s">
        <v>135</v>
      </c>
    </row>
    <row r="5" spans="1:2" x14ac:dyDescent="0.3">
      <c r="A5">
        <v>4</v>
      </c>
      <c r="B5" t="s">
        <v>164</v>
      </c>
    </row>
    <row r="6" spans="1:2" x14ac:dyDescent="0.3">
      <c r="A6">
        <v>5</v>
      </c>
      <c r="B6" t="s">
        <v>139</v>
      </c>
    </row>
    <row r="8" spans="1:2" x14ac:dyDescent="0.3">
      <c r="A8" t="s">
        <v>28</v>
      </c>
    </row>
    <row r="9" spans="1:2" x14ac:dyDescent="0.3">
      <c r="A9">
        <v>1</v>
      </c>
      <c r="B9" t="s">
        <v>27</v>
      </c>
    </row>
    <row r="10" spans="1:2" x14ac:dyDescent="0.3">
      <c r="A10">
        <v>2</v>
      </c>
      <c r="B10" t="s">
        <v>136</v>
      </c>
    </row>
    <row r="11" spans="1:2" x14ac:dyDescent="0.3">
      <c r="A11">
        <v>3</v>
      </c>
      <c r="B11" t="s">
        <v>76</v>
      </c>
    </row>
    <row r="12" spans="1:2" x14ac:dyDescent="0.3">
      <c r="A12">
        <v>4</v>
      </c>
      <c r="B12" t="s">
        <v>137</v>
      </c>
    </row>
    <row r="14" spans="1:2" x14ac:dyDescent="0.3">
      <c r="A14" t="s">
        <v>133</v>
      </c>
      <c r="B14" t="s">
        <v>29</v>
      </c>
    </row>
    <row r="15" spans="1:2" x14ac:dyDescent="0.3">
      <c r="B15" t="s">
        <v>32</v>
      </c>
    </row>
    <row r="16" spans="1:2" x14ac:dyDescent="0.3">
      <c r="B16" t="s">
        <v>79</v>
      </c>
    </row>
    <row r="17" spans="2:2" x14ac:dyDescent="0.3">
      <c r="B17" s="9" t="s">
        <v>37</v>
      </c>
    </row>
    <row r="18" spans="2:2" x14ac:dyDescent="0.3">
      <c r="B18" s="9" t="s">
        <v>52</v>
      </c>
    </row>
    <row r="19" spans="2:2" x14ac:dyDescent="0.3">
      <c r="B19" t="s">
        <v>59</v>
      </c>
    </row>
    <row r="20" spans="2:2" x14ac:dyDescent="0.3">
      <c r="B20" t="s">
        <v>60</v>
      </c>
    </row>
    <row r="21" spans="2:2" x14ac:dyDescent="0.3">
      <c r="B21" t="s">
        <v>63</v>
      </c>
    </row>
    <row r="22" spans="2:2" x14ac:dyDescent="0.3">
      <c r="B22" t="s">
        <v>74</v>
      </c>
    </row>
    <row r="23" spans="2:2" x14ac:dyDescent="0.3">
      <c r="B23" t="s">
        <v>78</v>
      </c>
    </row>
    <row r="24" spans="2:2" x14ac:dyDescent="0.3">
      <c r="B24" t="s">
        <v>88</v>
      </c>
    </row>
    <row r="25" spans="2:2" x14ac:dyDescent="0.3">
      <c r="B25" t="s">
        <v>131</v>
      </c>
    </row>
    <row r="26" spans="2:2" x14ac:dyDescent="0.3">
      <c r="B26" t="s">
        <v>91</v>
      </c>
    </row>
    <row r="27" spans="2:2" x14ac:dyDescent="0.3">
      <c r="B27" t="s">
        <v>92</v>
      </c>
    </row>
    <row r="28" spans="2:2" x14ac:dyDescent="0.3">
      <c r="B28" t="s">
        <v>94</v>
      </c>
    </row>
    <row r="29" spans="2:2" x14ac:dyDescent="0.3">
      <c r="B29" t="s">
        <v>97</v>
      </c>
    </row>
    <row r="30" spans="2:2" x14ac:dyDescent="0.3">
      <c r="B30" t="s">
        <v>98</v>
      </c>
    </row>
    <row r="31" spans="2:2" x14ac:dyDescent="0.3">
      <c r="B31" t="s">
        <v>101</v>
      </c>
    </row>
    <row r="32" spans="2:2" x14ac:dyDescent="0.3">
      <c r="B32" t="s">
        <v>102</v>
      </c>
    </row>
    <row r="33" spans="2:2" x14ac:dyDescent="0.3">
      <c r="B33" t="s">
        <v>104</v>
      </c>
    </row>
    <row r="34" spans="2:2" x14ac:dyDescent="0.3">
      <c r="B34" t="s">
        <v>106</v>
      </c>
    </row>
    <row r="35" spans="2:2" x14ac:dyDescent="0.3">
      <c r="B35" t="s">
        <v>108</v>
      </c>
    </row>
    <row r="36" spans="2:2" x14ac:dyDescent="0.3">
      <c r="B36" t="s">
        <v>113</v>
      </c>
    </row>
    <row r="37" spans="2:2" x14ac:dyDescent="0.3">
      <c r="B37" t="s">
        <v>116</v>
      </c>
    </row>
    <row r="38" spans="2:2" x14ac:dyDescent="0.3">
      <c r="B38" t="s">
        <v>118</v>
      </c>
    </row>
    <row r="39" spans="2:2" x14ac:dyDescent="0.3">
      <c r="B39" t="s">
        <v>119</v>
      </c>
    </row>
    <row r="40" spans="2:2" x14ac:dyDescent="0.3">
      <c r="B40" t="s">
        <v>120</v>
      </c>
    </row>
    <row r="41" spans="2:2" x14ac:dyDescent="0.3">
      <c r="B41" t="s">
        <v>121</v>
      </c>
    </row>
    <row r="42" spans="2:2" x14ac:dyDescent="0.3">
      <c r="B42" t="s">
        <v>122</v>
      </c>
    </row>
    <row r="43" spans="2:2" x14ac:dyDescent="0.3">
      <c r="B43" t="s">
        <v>124</v>
      </c>
    </row>
    <row r="44" spans="2:2" x14ac:dyDescent="0.3">
      <c r="B44" t="s">
        <v>126</v>
      </c>
    </row>
    <row r="45" spans="2:2" x14ac:dyDescent="0.3">
      <c r="B45" t="s">
        <v>129</v>
      </c>
    </row>
    <row r="46" spans="2:2" x14ac:dyDescent="0.3">
      <c r="B46" t="s">
        <v>141</v>
      </c>
    </row>
    <row r="47" spans="2:2" x14ac:dyDescent="0.3">
      <c r="B47" t="s">
        <v>142</v>
      </c>
    </row>
    <row r="48" spans="2:2" x14ac:dyDescent="0.3">
      <c r="B48" t="s">
        <v>143</v>
      </c>
    </row>
    <row r="49" spans="2:2" x14ac:dyDescent="0.3">
      <c r="B49" t="s">
        <v>144</v>
      </c>
    </row>
    <row r="50" spans="2:2" x14ac:dyDescent="0.3">
      <c r="B50"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Biomass wet and dry weights</vt:lpstr>
      <vt:lpstr>check of DW means</vt:lpstr>
      <vt:lpstr>Correction factors</vt:lpstr>
      <vt:lpstr>Dates cages placed out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Naomi Davis</dc:creator>
  <cp:lastModifiedBy>Rachel Bergeron</cp:lastModifiedBy>
  <dcterms:created xsi:type="dcterms:W3CDTF">2017-07-17T00:13:09Z</dcterms:created>
  <dcterms:modified xsi:type="dcterms:W3CDTF">2025-02-20T15:53:48Z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d4bee11-712c-4bc5-b64c-cb4e07b6cb05_Enabled">
    <vt:lpwstr>true</vt:lpwstr>
  </property>
  <property fmtid="{D5CDD505-2E9C-101B-9397-08002B2CF9AE}" pid="3" name="MSIP_Label_0d4bee11-712c-4bc5-b64c-cb4e07b6cb05_SetDate">
    <vt:lpwstr>2023-02-17T23:20:39Z</vt:lpwstr>
  </property>
  <property fmtid="{D5CDD505-2E9C-101B-9397-08002B2CF9AE}" pid="4" name="MSIP_Label_0d4bee11-712c-4bc5-b64c-cb4e07b6cb05_Method">
    <vt:lpwstr>Privileged</vt:lpwstr>
  </property>
  <property fmtid="{D5CDD505-2E9C-101B-9397-08002B2CF9AE}" pid="5" name="MSIP_Label_0d4bee11-712c-4bc5-b64c-cb4e07b6cb05_Name">
    <vt:lpwstr>Non-PV document</vt:lpwstr>
  </property>
  <property fmtid="{D5CDD505-2E9C-101B-9397-08002B2CF9AE}" pid="6" name="MSIP_Label_0d4bee11-712c-4bc5-b64c-cb4e07b6cb05_SiteId">
    <vt:lpwstr>b3994ab7-fdfc-416d-836d-9cc3bacce769</vt:lpwstr>
  </property>
  <property fmtid="{D5CDD505-2E9C-101B-9397-08002B2CF9AE}" pid="7" name="MSIP_Label_0d4bee11-712c-4bc5-b64c-cb4e07b6cb05_ActionId">
    <vt:lpwstr>67b77f43-96cc-45c4-9a88-7805f69c8ee5</vt:lpwstr>
  </property>
  <property fmtid="{D5CDD505-2E9C-101B-9397-08002B2CF9AE}" pid="8" name="MSIP_Label_0d4bee11-712c-4bc5-b64c-cb4e07b6cb05_ContentBits">
    <vt:lpwstr>0</vt:lpwstr>
  </property>
</Properties>
</file>