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0.0.120\PEMYServer\AST_BookProject\TankInspection+SettlementChapter\Figures and Tables\"/>
    </mc:Choice>
  </mc:AlternateContent>
  <xr:revisionPtr revIDLastSave="0" documentId="13_ncr:1_{1BAE01B7-09E3-445A-ADEE-8747DCA407DE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Planar Tilt Calculation" sheetId="2" r:id="rId1"/>
    <sheet name="Graphs" sheetId="3" r:id="rId2"/>
    <sheet name="Regression Calculation" sheetId="4" r:id="rId3"/>
    <sheet name="Instructions" sheetId="5" r:id="rId4"/>
  </sheets>
  <externalReferences>
    <externalReference r:id="rId5"/>
  </externalReferences>
  <definedNames>
    <definedName name="solver_adj" localSheetId="0" hidden="1">'Planar Tilt Calculation'!#REF!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'Planar Tilt Calculation'!#REF!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4" l="1"/>
  <c r="E2" i="4"/>
  <c r="B2" i="4"/>
  <c r="C12" i="4" s="1"/>
  <c r="C13" i="4" s="1"/>
  <c r="I9" i="2" l="1"/>
  <c r="D8" i="4"/>
  <c r="B8" i="4"/>
  <c r="I12" i="2" s="1"/>
  <c r="B5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E3" i="2"/>
  <c r="D3" i="2"/>
  <c r="D2" i="4" l="1"/>
  <c r="B4" i="4" s="1"/>
  <c r="E4" i="4"/>
  <c r="D4" i="4"/>
  <c r="C2" i="4"/>
  <c r="B3" i="4" s="1"/>
  <c r="C3" i="4"/>
  <c r="D3" i="4"/>
  <c r="C4" i="4" s="1"/>
  <c r="E3" i="4"/>
  <c r="C5" i="4" l="1"/>
  <c r="B9" i="4"/>
  <c r="I13" i="2" s="1"/>
  <c r="D9" i="4"/>
  <c r="D10" i="4"/>
  <c r="B10" i="4"/>
  <c r="I14" i="2" s="1"/>
  <c r="D5" i="4"/>
  <c r="L4" i="2" l="1"/>
  <c r="D11" i="4"/>
  <c r="J8" i="2"/>
  <c r="K8" i="2" s="1"/>
  <c r="D12" i="4"/>
  <c r="E9" i="4" s="1"/>
  <c r="M8" i="2" s="1"/>
  <c r="L3" i="2"/>
  <c r="F8" i="2"/>
  <c r="G8" i="2" s="1"/>
  <c r="F17" i="2"/>
  <c r="G17" i="2" s="1"/>
  <c r="F9" i="2"/>
  <c r="G9" i="2" s="1"/>
  <c r="F3" i="2"/>
  <c r="G3" i="2" s="1"/>
  <c r="F4" i="2"/>
  <c r="G4" i="2" s="1"/>
  <c r="F13" i="2"/>
  <c r="G13" i="2" s="1"/>
  <c r="F15" i="2"/>
  <c r="G15" i="2" s="1"/>
  <c r="F16" i="2"/>
  <c r="G16" i="2" s="1"/>
  <c r="F12" i="2"/>
  <c r="G12" i="2" s="1"/>
  <c r="F18" i="2"/>
  <c r="G18" i="2" s="1"/>
  <c r="F14" i="2"/>
  <c r="G14" i="2" s="1"/>
  <c r="F5" i="2"/>
  <c r="G5" i="2" s="1"/>
  <c r="F10" i="2"/>
  <c r="G10" i="2" s="1"/>
  <c r="F6" i="2"/>
  <c r="G6" i="2" s="1"/>
  <c r="F7" i="2"/>
  <c r="G7" i="2" s="1"/>
  <c r="F11" i="2"/>
  <c r="G11" i="2" s="1"/>
  <c r="J9" i="2" l="1"/>
  <c r="K9" i="2" s="1"/>
  <c r="L8" i="2" s="1"/>
  <c r="C15" i="4"/>
  <c r="I4" i="2" s="1"/>
  <c r="D13" i="4"/>
  <c r="C14" i="4" s="1"/>
  <c r="I3" i="2" s="1"/>
  <c r="J14" i="2" l="1"/>
  <c r="J13" i="2"/>
  <c r="J12" i="2"/>
  <c r="K14" i="2" l="1"/>
  <c r="L14" i="2"/>
  <c r="M14" i="2"/>
  <c r="K12" i="2"/>
  <c r="M12" i="2"/>
  <c r="L12" i="2"/>
  <c r="L13" i="2"/>
  <c r="M13" i="2"/>
  <c r="K13" i="2"/>
</calcChain>
</file>

<file path=xl/sharedStrings.xml><?xml version="1.0" encoding="utf-8"?>
<sst xmlns="http://schemas.openxmlformats.org/spreadsheetml/2006/main" count="59" uniqueCount="47">
  <si>
    <t>Station</t>
  </si>
  <si>
    <t>theta</t>
  </si>
  <si>
    <t>Z</t>
  </si>
  <si>
    <t>sin</t>
  </si>
  <si>
    <t>cos</t>
  </si>
  <si>
    <t>Regression Statistics</t>
  </si>
  <si>
    <t>R Square</t>
  </si>
  <si>
    <t>Observations</t>
  </si>
  <si>
    <t>Regression</t>
  </si>
  <si>
    <t>Residual</t>
  </si>
  <si>
    <t>Intercept</t>
  </si>
  <si>
    <t>df</t>
  </si>
  <si>
    <t>SS</t>
  </si>
  <si>
    <t>MS</t>
  </si>
  <si>
    <t>F</t>
  </si>
  <si>
    <t>Coefficients</t>
  </si>
  <si>
    <t>Std Err</t>
  </si>
  <si>
    <t>cos(theta)</t>
  </si>
  <si>
    <t>sin(theta)</t>
  </si>
  <si>
    <t>95% Conf. Int.</t>
  </si>
  <si>
    <t>p-value</t>
  </si>
  <si>
    <t>Computed Parameters</t>
  </si>
  <si>
    <t>Amplitude</t>
  </si>
  <si>
    <t>Phase</t>
  </si>
  <si>
    <t>Estimates</t>
  </si>
  <si>
    <t>Resid Std Error</t>
  </si>
  <si>
    <t>Analysis of Variance Table</t>
  </si>
  <si>
    <t>Regression Coefficients</t>
  </si>
  <si>
    <t>Z.fit</t>
  </si>
  <si>
    <t>U</t>
  </si>
  <si>
    <t>ANOVA</t>
  </si>
  <si>
    <t xml:space="preserve"> </t>
  </si>
  <si>
    <t>SCP</t>
  </si>
  <si>
    <t>Int</t>
  </si>
  <si>
    <t>EST</t>
  </si>
  <si>
    <t>p</t>
  </si>
  <si>
    <t>N/A</t>
  </si>
  <si>
    <t>SStot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</si>
  <si>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</si>
  <si>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Ssreg</t>
  </si>
  <si>
    <t>Ssresid</t>
  </si>
  <si>
    <t>Resid Std Err</t>
  </si>
  <si>
    <t>Source</t>
  </si>
  <si>
    <t>Regression on cos and sin.</t>
  </si>
  <si>
    <t>p-val</t>
  </si>
  <si>
    <t>Tank Data</t>
  </si>
  <si>
    <t>Computed Values (do not 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</si>
</sst>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/>
    <xf numFmtId="0" fontId="18" fillId="0" borderId="10" xfId="0" applyFont="1" applyFill="1" applyBorder="1" applyAlignment="1">
      <alignment horizontal="center"/>
    </xf>
    <xf numFmtId="0" fontId="0" fillId="0" borderId="16" xfId="0" applyBorder="1"/>
    <xf numFmtId="0" fontId="0" fillId="0" borderId="17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/>
    <xf numFmtId="0" fontId="18" fillId="0" borderId="12" xfId="0" applyFon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33" borderId="15" xfId="0" applyFill="1" applyBorder="1"/>
    <xf numFmtId="165" fontId="0" fillId="33" borderId="15" xfId="0" applyNumberFormat="1" applyFill="1" applyBorder="1" applyAlignment="1"/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20" fillId="0" borderId="0" xfId="0" applyNumberFormat="1" applyFont="1" applyFill="1" applyBorder="1" applyAlignment="1"/>
    <xf numFmtId="0" fontId="0" fillId="0" borderId="20" xfId="0" applyBorder="1"/>
    <xf numFmtId="0" fontId="0" fillId="0" borderId="1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8516573240761"/>
          <c:y val="3.3713063401592192E-2"/>
          <c:w val="0.82809737047022169"/>
          <c:h val="0.77703695821334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'Planar Tilt Calculation'!$B$2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'Planar Tilt Calculation'!$C$3:$C$19</c:f>
              <c:numCache>
                <c:formatCode>0.000</c:formatCode>
                <c:ptCount val="17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</c:v>
                </c:pt>
                <c:pt idx="15">
                  <c:v>5.8904862254808616</c:v>
                </c:pt>
              </c:numCache>
            </c:numRef>
          </c:xVal>
          <c:yVal>
            <c:numRef>
              <c:f>'Planar Tilt Calculation'!$B$3:$B$19</c:f>
              <c:numCache>
                <c:formatCode>0.00</c:formatCode>
                <c:ptCount val="17"/>
                <c:pt idx="0">
                  <c:v>-1.1000000000000001</c:v>
                </c:pt>
                <c:pt idx="1">
                  <c:v>-1.42</c:v>
                </c:pt>
                <c:pt idx="2">
                  <c:v>-1.7</c:v>
                </c:pt>
                <c:pt idx="3">
                  <c:v>-1.73</c:v>
                </c:pt>
                <c:pt idx="4">
                  <c:v>-1.84</c:v>
                </c:pt>
                <c:pt idx="5">
                  <c:v>-1.63</c:v>
                </c:pt>
                <c:pt idx="6">
                  <c:v>-1.5</c:v>
                </c:pt>
                <c:pt idx="7">
                  <c:v>-0.8</c:v>
                </c:pt>
                <c:pt idx="8">
                  <c:v>0</c:v>
                </c:pt>
                <c:pt idx="9">
                  <c:v>-0.54</c:v>
                </c:pt>
                <c:pt idx="10">
                  <c:v>-0.97</c:v>
                </c:pt>
                <c:pt idx="11">
                  <c:v>-0.9</c:v>
                </c:pt>
                <c:pt idx="12">
                  <c:v>-0.8</c:v>
                </c:pt>
                <c:pt idx="13">
                  <c:v>-1.05</c:v>
                </c:pt>
                <c:pt idx="14">
                  <c:v>-1.2</c:v>
                </c:pt>
                <c:pt idx="15">
                  <c:v>-1.17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F-4AE0-9DAF-C57865268310}"/>
            </c:ext>
          </c:extLst>
        </c:ser>
        <c:ser>
          <c:idx val="1"/>
          <c:order val="1"/>
          <c:tx>
            <c:strRef>
              <c:f>'Planar Tilt Calculation'!$F$2</c:f>
              <c:strCache>
                <c:ptCount val="1"/>
                <c:pt idx="0">
                  <c:v>Z.fit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'Planar Tilt Calculation'!$C$3:$C$19</c:f>
              <c:numCache>
                <c:formatCode>0.000</c:formatCode>
                <c:ptCount val="17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</c:v>
                </c:pt>
                <c:pt idx="15">
                  <c:v>5.8904862254808616</c:v>
                </c:pt>
              </c:numCache>
            </c:numRef>
          </c:xVal>
          <c:yVal>
            <c:numRef>
              <c:f>'Planar Tilt Calculation'!$F$3:$F$18</c:f>
              <c:numCache>
                <c:formatCode>0.00</c:formatCode>
                <c:ptCount val="16"/>
                <c:pt idx="0">
                  <c:v>-1.4786970237050745</c:v>
                </c:pt>
                <c:pt idx="1">
                  <c:v>-1.6096766777337097</c:v>
                </c:pt>
                <c:pt idx="2">
                  <c:v>-1.6701989716350432</c:v>
                </c:pt>
                <c:pt idx="3">
                  <c:v>-1.6510499347985577</c:v>
                </c:pt>
                <c:pt idx="4">
                  <c:v>-1.5551448344961567</c:v>
                </c:pt>
                <c:pt idx="5">
                  <c:v>-1.3970843528669814</c:v>
                </c:pt>
                <c:pt idx="6">
                  <c:v>-1.2009317654172404</c:v>
                </c:pt>
                <c:pt idx="7">
                  <c:v>-0.99654952545852316</c:v>
                </c:pt>
                <c:pt idx="8">
                  <c:v>-0.81505297629492568</c:v>
                </c:pt>
                <c:pt idx="9">
                  <c:v>-0.68407332226629047</c:v>
                </c:pt>
                <c:pt idx="10">
                  <c:v>-0.62355102836495679</c:v>
                </c:pt>
                <c:pt idx="11">
                  <c:v>-0.64270006520144229</c:v>
                </c:pt>
                <c:pt idx="12">
                  <c:v>-0.73860516550384347</c:v>
                </c:pt>
                <c:pt idx="13">
                  <c:v>-0.89666564713301866</c:v>
                </c:pt>
                <c:pt idx="14">
                  <c:v>-1.0928182345827597</c:v>
                </c:pt>
                <c:pt idx="15">
                  <c:v>-1.2972004745414767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8F-4AE0-9DAF-C5786526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16304"/>
        <c:axId val="1283417136"/>
      </c:scatterChart>
      <c:valAx>
        <c:axId val="1283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Arc</a:t>
                </a:r>
                <a:r>
                  <a:rPr lang="en-US" sz="1100" baseline="0"/>
                  <a:t> length from origin (radians)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7136"/>
        <c:crossesAt val="-1.9"/>
        <c:crossBetween val="midCat"/>
      </c:valAx>
      <c:valAx>
        <c:axId val="12834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Settlement (feet)</a:t>
                </a:r>
              </a:p>
            </c:rich>
          </c:tx>
          <c:layout>
            <c:manualLayout>
              <c:xMode val="edge"/>
              <c:yMode val="edge"/>
              <c:x val="2.3926479352161774E-3"/>
              <c:y val="0.28977729966280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6304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344568909138906"/>
          <c:y val="0.24067772797105588"/>
          <c:w val="0.21485480586806899"/>
          <c:h val="0.1682955459932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8516573240761"/>
          <c:y val="3.3713063401592192E-2"/>
          <c:w val="0.82809737047022169"/>
          <c:h val="0.77703695821334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'Planar Tilt Calculation'!$G$2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'Planar Tilt Calculation'!$C$3:$C$19</c:f>
              <c:numCache>
                <c:formatCode>0.000</c:formatCode>
                <c:ptCount val="17"/>
                <c:pt idx="0">
                  <c:v>0</c:v>
                </c:pt>
                <c:pt idx="1">
                  <c:v>0.39269908169872414</c:v>
                </c:pt>
                <c:pt idx="2">
                  <c:v>0.78539816339744828</c:v>
                </c:pt>
                <c:pt idx="3">
                  <c:v>1.1780972450961724</c:v>
                </c:pt>
                <c:pt idx="4">
                  <c:v>1.5707963267948966</c:v>
                </c:pt>
                <c:pt idx="5">
                  <c:v>1.9634954084936207</c:v>
                </c:pt>
                <c:pt idx="6">
                  <c:v>2.3561944901923448</c:v>
                </c:pt>
                <c:pt idx="7">
                  <c:v>2.748893571891069</c:v>
                </c:pt>
                <c:pt idx="8">
                  <c:v>3.1415926535897931</c:v>
                </c:pt>
                <c:pt idx="9">
                  <c:v>3.5342917352885173</c:v>
                </c:pt>
                <c:pt idx="10">
                  <c:v>3.9269908169872414</c:v>
                </c:pt>
                <c:pt idx="11">
                  <c:v>4.3196898986859651</c:v>
                </c:pt>
                <c:pt idx="12">
                  <c:v>4.7123889803846897</c:v>
                </c:pt>
                <c:pt idx="13">
                  <c:v>5.1050880620834143</c:v>
                </c:pt>
                <c:pt idx="14">
                  <c:v>5.497787143782138</c:v>
                </c:pt>
                <c:pt idx="15">
                  <c:v>5.8904862254808616</c:v>
                </c:pt>
              </c:numCache>
            </c:numRef>
          </c:xVal>
          <c:yVal>
            <c:numRef>
              <c:f>'Planar Tilt Calculation'!$G$3:$G$19</c:f>
              <c:numCache>
                <c:formatCode>0.00</c:formatCode>
                <c:ptCount val="17"/>
                <c:pt idx="0">
                  <c:v>0.37869702370507441</c:v>
                </c:pt>
                <c:pt idx="1">
                  <c:v>0.18967667773370978</c:v>
                </c:pt>
                <c:pt idx="2">
                  <c:v>-2.9801028364956794E-2</c:v>
                </c:pt>
                <c:pt idx="3">
                  <c:v>-7.8950065201442321E-2</c:v>
                </c:pt>
                <c:pt idx="4">
                  <c:v>-0.28485516550384338</c:v>
                </c:pt>
                <c:pt idx="5">
                  <c:v>-0.23291564713301849</c:v>
                </c:pt>
                <c:pt idx="6">
                  <c:v>-0.29906823458275955</c:v>
                </c:pt>
                <c:pt idx="7">
                  <c:v>0.19654952545852311</c:v>
                </c:pt>
                <c:pt idx="8">
                  <c:v>0.81505297629492568</c:v>
                </c:pt>
                <c:pt idx="9">
                  <c:v>0.14407332226629044</c:v>
                </c:pt>
                <c:pt idx="10">
                  <c:v>-0.34644897163504318</c:v>
                </c:pt>
                <c:pt idx="11">
                  <c:v>-0.25729993479855773</c:v>
                </c:pt>
                <c:pt idx="12">
                  <c:v>-6.139483449615657E-2</c:v>
                </c:pt>
                <c:pt idx="13">
                  <c:v>-0.15333435286698138</c:v>
                </c:pt>
                <c:pt idx="14">
                  <c:v>-0.10718176541724023</c:v>
                </c:pt>
                <c:pt idx="15">
                  <c:v>0.12720047454147676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0-4736-A70D-053F19AC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16304"/>
        <c:axId val="1283417136"/>
      </c:scatterChart>
      <c:valAx>
        <c:axId val="1283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Arc</a:t>
                </a:r>
                <a:r>
                  <a:rPr lang="en-US" sz="1100" baseline="0"/>
                  <a:t> length from origin (radians)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7136"/>
        <c:crossesAt val="-1.9"/>
        <c:crossBetween val="midCat"/>
      </c:valAx>
      <c:valAx>
        <c:axId val="12834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Out-of-Plane</a:t>
                </a:r>
                <a:r>
                  <a:rPr lang="en-US" sz="1100" baseline="0"/>
                  <a:t> Deflection U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6431963288196766E-2"/>
              <c:y val="0.12612730199056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6304"/>
        <c:crossesAt val="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344568909138906"/>
          <c:y val="0.24067772797105588"/>
          <c:w val="0.21485480586806899"/>
          <c:h val="0.1682955459932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0</xdr:row>
      <xdr:rowOff>125185</xdr:rowOff>
    </xdr:from>
    <xdr:to>
      <xdr:col>7</xdr:col>
      <xdr:colOff>81643</xdr:colOff>
      <xdr:row>13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04FBE-6BEF-4307-8947-4F12D470F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348343</xdr:colOff>
      <xdr:row>0</xdr:row>
      <xdr:rowOff>146957</xdr:rowOff>
    </xdr:from>
    <xdr:to>
      <xdr:col>14</xdr:col>
      <xdr:colOff>299357</xdr:colOff>
      <xdr:row>13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6CD05-7206-420F-AEC2-71DF75B17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604156</xdr:colOff>
      <xdr:row>0</xdr:row>
      <xdr:rowOff>174169</xdr:rowOff>
    </xdr:from>
    <xdr:to>
      <xdr:col>8</xdr:col>
      <xdr:colOff>250372</xdr:colOff>
      <xdr:row>13</xdr:row>
      <xdr:rowOff>92528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4D1E0F-83A0-0F1E-6451-0819617EBAE2}"/>
            </a:ext>
          </a:extLst>
        </xdr:cNvPr>
        <xdr:cNvSpPr txBox="1"/>
      </xdr:nvSpPr>
      <xdr:spPr>
        <a:xfrm>
          <a:off x="604156" y="174169"/>
          <a:ext cx="4936673" cy="23241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Stations must be evenly spaced around the bottom circumference of the tank and entered in order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angle from the point of origin.  There are n stations.</a:t>
          </a:r>
        </a:p>
        <a:p>
          <a:endParaRPr lang="en-US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are entered in columns A and B only.  </a:t>
          </a: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 contains the station numbers 1 through n in order of distance from the point of origin clockwise around the perimeter of the tank.</a:t>
          </a:r>
        </a:p>
        <a:p>
          <a:endParaRPr lang="en-US" sz="12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B contains the measured elevations at the n stations.  The measurements can be expressed as elevations above or below an arbitrary datum (level plane); for example, the original plane of the tank bottom before settlement.</a:t>
          </a:r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ift%20S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ft S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tabSelected="1" zoomScale="120" zoomScaleNormal="120" workbookViewId="0">
      <selection sqref="A1:M18"/>
    </sheetView>
  </sheetViews>
  <sheetFormatPr defaultRowHeight="14.6" x14ac:dyDescent="0.4"/>
  <cols>
    <col min="1" max="2" width="6.61328125" style="1" customWidth="1"/>
    <col min="3" max="3" width="6.61328125" style="61" customWidth="1"/>
    <col min="4" max="7" width="6.61328125" style="1" customWidth="1"/>
    <col min="8" max="8" width="12.765625" style="1" customWidth="1"/>
    <col min="9" max="9" width="8.23046875" style="1" customWidth="1"/>
    <col min="10" max="12" width="6.53515625" style="1" customWidth="1"/>
    <col min="13" max="13" width="6.53515625" customWidth="1"/>
    <col min="14" max="14" width="8.69140625" style="7"/>
    <col min="15" max="15" width="17.53515625" style="7" bestFit="1" customWidth="1"/>
    <col min="16" max="23" width="8.69140625" style="7"/>
  </cols>
  <sheetData>
    <row r="1" spans="1:22" ht="15" thickBot="1" x14ac:dyDescent="0.45">
      <c r="A1" s="30" t="s">
        <v>45</v>
      </c>
      <c r="B1" s="66"/>
      <c r="C1" s="67" t="s">
        <v>46</v>
      </c>
      <c r="D1" s="30"/>
      <c r="E1" s="30"/>
      <c r="F1" s="30"/>
      <c r="G1" s="68"/>
      <c r="H1" s="29" t="s">
        <v>43</v>
      </c>
      <c r="I1" s="30"/>
      <c r="J1" s="30"/>
      <c r="K1" s="30"/>
      <c r="L1" s="30"/>
      <c r="M1" s="30"/>
    </row>
    <row r="2" spans="1:22" ht="15" thickTop="1" x14ac:dyDescent="0.4">
      <c r="A2" s="3" t="s">
        <v>0</v>
      </c>
      <c r="B2" s="3" t="s">
        <v>2</v>
      </c>
      <c r="C2" s="62" t="s">
        <v>1</v>
      </c>
      <c r="D2" s="3" t="s">
        <v>4</v>
      </c>
      <c r="E2" s="3" t="s">
        <v>3</v>
      </c>
      <c r="F2" s="27" t="s">
        <v>28</v>
      </c>
      <c r="G2" s="65" t="s">
        <v>29</v>
      </c>
      <c r="H2" s="33" t="s">
        <v>5</v>
      </c>
      <c r="I2" s="34"/>
      <c r="J2" s="31" t="s">
        <v>21</v>
      </c>
      <c r="K2" s="32"/>
      <c r="L2" s="32"/>
      <c r="M2" s="32"/>
    </row>
    <row r="3" spans="1:22" x14ac:dyDescent="0.4">
      <c r="A3" s="1">
        <v>1</v>
      </c>
      <c r="B3" s="2">
        <v>-1.1000000000000001</v>
      </c>
      <c r="C3" s="63">
        <f>2*PI()*(A3-1)/16</f>
        <v>0</v>
      </c>
      <c r="D3" s="2">
        <f>COS(C3)</f>
        <v>1</v>
      </c>
      <c r="E3" s="2">
        <f>SIN(C3)</f>
        <v>0</v>
      </c>
      <c r="F3" s="2">
        <f>I$12+I$13*D3+I$14*E3</f>
        <v>-1.4786970237050745</v>
      </c>
      <c r="G3" s="38">
        <f>B3-F3</f>
        <v>0.37869702370507441</v>
      </c>
      <c r="H3" s="12" t="s">
        <v>6</v>
      </c>
      <c r="I3" s="5">
        <f>'Regression Calculation'!C14</f>
        <v>0.61670907237991512</v>
      </c>
      <c r="J3" s="35" t="s">
        <v>22</v>
      </c>
      <c r="K3" s="36"/>
      <c r="L3" s="7">
        <f>SIGN(I13)*SQRT(I13^2+I14^2)</f>
        <v>-0.52610846141765299</v>
      </c>
      <c r="M3" s="7"/>
      <c r="N3" s="8"/>
      <c r="O3" s="8"/>
    </row>
    <row r="4" spans="1:22" x14ac:dyDescent="0.4">
      <c r="A4" s="1">
        <v>2</v>
      </c>
      <c r="B4" s="2">
        <v>-1.42</v>
      </c>
      <c r="C4" s="63">
        <f>2*PI()*(A4-1)/16</f>
        <v>0.39269908169872414</v>
      </c>
      <c r="D4" s="2">
        <f>COS(C4)</f>
        <v>0.92387953251128674</v>
      </c>
      <c r="E4" s="2">
        <f>SIN(C4)</f>
        <v>0.38268343236508978</v>
      </c>
      <c r="F4" s="2">
        <f>I$12+I$13*D4+I$14*E4</f>
        <v>-1.6096766777337097</v>
      </c>
      <c r="G4" s="38">
        <f t="shared" ref="G4:G18" si="0">B4-F4</f>
        <v>0.18967667773370978</v>
      </c>
      <c r="H4" s="12" t="s">
        <v>25</v>
      </c>
      <c r="I4" s="5">
        <f>'Regression Calculation'!C15</f>
        <v>0.32536640228872349</v>
      </c>
      <c r="J4" s="35" t="s">
        <v>23</v>
      </c>
      <c r="K4" s="36"/>
      <c r="L4" s="10">
        <f>ATAN(I14/I13)</f>
        <v>0.88832814641179647</v>
      </c>
      <c r="M4" s="7"/>
      <c r="N4" s="4"/>
      <c r="O4" s="4"/>
    </row>
    <row r="5" spans="1:22" ht="15" thickBot="1" x14ac:dyDescent="0.45">
      <c r="A5" s="1">
        <v>3</v>
      </c>
      <c r="B5" s="2">
        <v>-1.7</v>
      </c>
      <c r="C5" s="63">
        <f>2*PI()*(A5-1)/16</f>
        <v>0.78539816339744828</v>
      </c>
      <c r="D5" s="2">
        <f>COS(C5)</f>
        <v>0.70710678118654757</v>
      </c>
      <c r="E5" s="2">
        <f>SIN(C5)</f>
        <v>0.70710678118654746</v>
      </c>
      <c r="F5" s="2">
        <f>I$12+I$13*D5+I$14*E5</f>
        <v>-1.6701989716350432</v>
      </c>
      <c r="G5" s="38">
        <f t="shared" si="0"/>
        <v>-2.9801028364956794E-2</v>
      </c>
      <c r="H5" s="19" t="s">
        <v>7</v>
      </c>
      <c r="I5" s="20">
        <v>16</v>
      </c>
      <c r="J5" s="21"/>
      <c r="K5" s="18"/>
      <c r="L5" s="18"/>
      <c r="M5" s="18"/>
      <c r="N5" s="4"/>
      <c r="O5" s="4"/>
    </row>
    <row r="6" spans="1:22" ht="15" thickTop="1" x14ac:dyDescent="0.4">
      <c r="A6" s="1">
        <v>4</v>
      </c>
      <c r="B6" s="2">
        <v>-1.73</v>
      </c>
      <c r="C6" s="63">
        <f>2*PI()*(A6-1)/16</f>
        <v>1.1780972450961724</v>
      </c>
      <c r="D6" s="2">
        <f>COS(C6)</f>
        <v>0.38268343236508984</v>
      </c>
      <c r="E6" s="2">
        <f>SIN(C6)</f>
        <v>0.92387953251128674</v>
      </c>
      <c r="F6" s="2">
        <f>I$12+I$13*D6+I$14*E6</f>
        <v>-1.6510499347985577</v>
      </c>
      <c r="G6" s="38">
        <f t="shared" si="0"/>
        <v>-7.8950065201442321E-2</v>
      </c>
      <c r="H6" s="31" t="s">
        <v>26</v>
      </c>
      <c r="I6" s="32"/>
      <c r="J6" s="24"/>
      <c r="K6" s="24"/>
      <c r="L6" s="24"/>
      <c r="M6" s="24"/>
      <c r="N6" s="4"/>
      <c r="O6" s="4"/>
    </row>
    <row r="7" spans="1:22" x14ac:dyDescent="0.4">
      <c r="A7" s="1">
        <v>5</v>
      </c>
      <c r="B7" s="2">
        <v>-1.84</v>
      </c>
      <c r="C7" s="63">
        <f>2*PI()*(A7-1)/16</f>
        <v>1.5707963267948966</v>
      </c>
      <c r="D7" s="2">
        <f>COS(C7)</f>
        <v>6.1257422745431001E-17</v>
      </c>
      <c r="E7" s="2">
        <f>SIN(C7)</f>
        <v>1</v>
      </c>
      <c r="F7" s="2">
        <f>I$12+I$13*D7+I$14*E7</f>
        <v>-1.5551448344961567</v>
      </c>
      <c r="G7" s="38">
        <f t="shared" si="0"/>
        <v>-0.28485516550384338</v>
      </c>
      <c r="H7" s="22" t="s">
        <v>42</v>
      </c>
      <c r="I7" s="17" t="s">
        <v>11</v>
      </c>
      <c r="J7" s="17" t="s">
        <v>12</v>
      </c>
      <c r="K7" s="17" t="s">
        <v>13</v>
      </c>
      <c r="L7" s="17" t="s">
        <v>14</v>
      </c>
      <c r="M7" s="17" t="s">
        <v>44</v>
      </c>
      <c r="N7" s="4"/>
      <c r="O7" s="4"/>
    </row>
    <row r="8" spans="1:22" x14ac:dyDescent="0.4">
      <c r="A8" s="1">
        <v>6</v>
      </c>
      <c r="B8" s="2">
        <v>-1.63</v>
      </c>
      <c r="C8" s="63">
        <f>2*PI()*(A8-1)/16</f>
        <v>1.9634954084936207</v>
      </c>
      <c r="D8" s="2">
        <f>COS(C8)</f>
        <v>-0.38268343236508973</v>
      </c>
      <c r="E8" s="2">
        <f>SIN(C8)</f>
        <v>0.92387953251128674</v>
      </c>
      <c r="F8" s="2">
        <f>I$12+I$13*D8+I$14*E8</f>
        <v>-1.3970843528669814</v>
      </c>
      <c r="G8" s="38">
        <f t="shared" si="0"/>
        <v>-0.23291564713301849</v>
      </c>
      <c r="H8" s="23" t="s">
        <v>8</v>
      </c>
      <c r="I8" s="56">
        <v>2</v>
      </c>
      <c r="J8" s="16">
        <f>SUM('Regression Calculation'!D9:D10)</f>
        <v>2.2143209054020008</v>
      </c>
      <c r="K8" s="16">
        <f>J8/I8</f>
        <v>1.1071604527010004</v>
      </c>
      <c r="L8" s="16">
        <f>K8/K9</f>
        <v>10.458397738134707</v>
      </c>
      <c r="M8" s="58">
        <f>'Regression Calculation'!E9</f>
        <v>1.9630687446980932E-3</v>
      </c>
      <c r="N8" s="4"/>
      <c r="O8" s="4"/>
    </row>
    <row r="9" spans="1:22" ht="15" thickBot="1" x14ac:dyDescent="0.45">
      <c r="A9" s="1">
        <v>7</v>
      </c>
      <c r="B9" s="2">
        <v>-1.5</v>
      </c>
      <c r="C9" s="63">
        <f>2*PI()*(A9-1)/16</f>
        <v>2.3561944901923448</v>
      </c>
      <c r="D9" s="2">
        <f>COS(C9)</f>
        <v>-0.70710678118654746</v>
      </c>
      <c r="E9" s="2">
        <f>SIN(C9)</f>
        <v>0.70710678118654757</v>
      </c>
      <c r="F9" s="2">
        <f>I$12+I$13*D9+I$14*E9</f>
        <v>-1.2009317654172404</v>
      </c>
      <c r="G9" s="38">
        <f t="shared" si="0"/>
        <v>-0.29906823458275955</v>
      </c>
      <c r="H9" s="12" t="s">
        <v>9</v>
      </c>
      <c r="I9" s="56">
        <f>'Regression Calculation'!C12</f>
        <v>13</v>
      </c>
      <c r="J9" s="16">
        <f>'Regression Calculation'!D12</f>
        <v>1.3762228445979972</v>
      </c>
      <c r="K9" s="16">
        <f>J9/I9</f>
        <v>0.10586329573830747</v>
      </c>
      <c r="L9" s="16"/>
      <c r="M9" s="16"/>
    </row>
    <row r="10" spans="1:22" ht="15" thickTop="1" x14ac:dyDescent="0.4">
      <c r="A10" s="1">
        <v>8</v>
      </c>
      <c r="B10" s="2">
        <v>-0.8</v>
      </c>
      <c r="C10" s="63">
        <f>2*PI()*(A10-1)/16</f>
        <v>2.748893571891069</v>
      </c>
      <c r="D10" s="2">
        <f>COS(C10)</f>
        <v>-0.92387953251128674</v>
      </c>
      <c r="E10" s="2">
        <f>SIN(C10)</f>
        <v>0.38268343236508989</v>
      </c>
      <c r="F10" s="2">
        <f>I$12+I$13*D10+I$14*E10</f>
        <v>-0.99654952545852316</v>
      </c>
      <c r="G10" s="38">
        <f t="shared" si="0"/>
        <v>0.19654952545852311</v>
      </c>
      <c r="H10" s="31" t="s">
        <v>27</v>
      </c>
      <c r="I10" s="32"/>
      <c r="J10" s="25"/>
      <c r="K10" s="25"/>
      <c r="L10" s="25"/>
      <c r="M10" s="25"/>
    </row>
    <row r="11" spans="1:22" x14ac:dyDescent="0.4">
      <c r="A11" s="1">
        <v>9</v>
      </c>
      <c r="B11" s="2">
        <v>0</v>
      </c>
      <c r="C11" s="63">
        <f>2*PI()*(A11-1)/16</f>
        <v>3.1415926535897931</v>
      </c>
      <c r="D11" s="2">
        <f>COS(C11)</f>
        <v>-1</v>
      </c>
      <c r="E11" s="2">
        <f>SIN(C11)</f>
        <v>1.22514845490862E-16</v>
      </c>
      <c r="F11" s="2">
        <f>I$12+I$13*D11+I$14*E11</f>
        <v>-0.81505297629492568</v>
      </c>
      <c r="G11" s="38">
        <f t="shared" si="0"/>
        <v>0.81505297629492568</v>
      </c>
      <c r="H11" s="13" t="s">
        <v>15</v>
      </c>
      <c r="I11" s="6" t="s">
        <v>24</v>
      </c>
      <c r="J11" s="6" t="s">
        <v>16</v>
      </c>
      <c r="K11" s="6" t="s">
        <v>20</v>
      </c>
      <c r="L11" s="30" t="s">
        <v>19</v>
      </c>
      <c r="M11" s="30"/>
      <c r="N11" s="9"/>
      <c r="O11" s="9"/>
      <c r="P11" s="9"/>
      <c r="Q11" s="9"/>
      <c r="R11" s="9"/>
      <c r="S11" s="9"/>
    </row>
    <row r="12" spans="1:22" x14ac:dyDescent="0.4">
      <c r="A12" s="1">
        <v>10</v>
      </c>
      <c r="B12" s="2">
        <v>-0.54</v>
      </c>
      <c r="C12" s="63">
        <f>2*PI()*(A12-1)/16</f>
        <v>3.5342917352885173</v>
      </c>
      <c r="D12" s="2">
        <f>COS(C12)</f>
        <v>-0.92387953251128685</v>
      </c>
      <c r="E12" s="2">
        <f>SIN(C12)</f>
        <v>-0.38268343236508967</v>
      </c>
      <c r="F12" s="2">
        <f>I$12+I$13*D12+I$14*E12</f>
        <v>-0.68407332226629047</v>
      </c>
      <c r="G12" s="38">
        <f t="shared" si="0"/>
        <v>0.14407332226629044</v>
      </c>
      <c r="H12" s="11" t="s">
        <v>10</v>
      </c>
      <c r="I12" s="14">
        <f>'Regression Calculation'!B8</f>
        <v>-1.1468750000000001</v>
      </c>
      <c r="J12" s="14">
        <f>SQRT(K9/'Regression Calculation'!B2)</f>
        <v>8.1341600572180872E-2</v>
      </c>
      <c r="K12" s="14">
        <f>_xlfn.T.DIST(-ABS(I12/J12),I$9,TRUE)</f>
        <v>1.4779025304908832E-9</v>
      </c>
      <c r="L12" s="15">
        <f>-ABS($I12)-$J12*_xlfn.T.INV.2T(0.05,$I$9)</f>
        <v>-1.3226028443426556</v>
      </c>
      <c r="M12" s="15">
        <f>-ABS($I12)+$J12*_xlfn.T.INV.2T(0.05,$I$9)</f>
        <v>-0.97114715565734455</v>
      </c>
      <c r="N12" s="4"/>
      <c r="O12" s="4"/>
      <c r="P12" s="4"/>
      <c r="Q12" s="4"/>
      <c r="R12" s="4"/>
      <c r="S12" s="4"/>
    </row>
    <row r="13" spans="1:22" x14ac:dyDescent="0.4">
      <c r="A13" s="1">
        <v>11</v>
      </c>
      <c r="B13" s="2">
        <v>-0.97</v>
      </c>
      <c r="C13" s="63">
        <f>2*PI()*(A13-1)/16</f>
        <v>3.9269908169872414</v>
      </c>
      <c r="D13" s="2">
        <f>COS(C13)</f>
        <v>-0.70710678118654768</v>
      </c>
      <c r="E13" s="2">
        <f>SIN(C13)</f>
        <v>-0.70710678118654746</v>
      </c>
      <c r="F13" s="2">
        <f>I$12+I$13*D13+I$14*E13</f>
        <v>-0.62355102836495679</v>
      </c>
      <c r="G13" s="38">
        <f t="shared" si="0"/>
        <v>-0.34644897163504318</v>
      </c>
      <c r="H13" s="11" t="s">
        <v>17</v>
      </c>
      <c r="I13" s="14">
        <f>'Regression Calculation'!B9</f>
        <v>-0.33182202370507441</v>
      </c>
      <c r="J13" s="14">
        <f>SQRT(K9/'Regression Calculation'!C3)</f>
        <v>0.1150343947143133</v>
      </c>
      <c r="K13" s="14">
        <f t="shared" ref="K13:K14" si="1">_xlfn.T.DIST(-ABS(I13/J13),I$9,TRUE)</f>
        <v>6.390710845598494E-3</v>
      </c>
      <c r="L13" s="15">
        <f t="shared" ref="L13:L14" si="2">-ABS($I13)-$J13*_xlfn.T.INV.2T(0.05,$I$9)</f>
        <v>-0.58033872446104606</v>
      </c>
      <c r="M13" s="15">
        <f t="shared" ref="M13:M14" si="3">-ABS($I13)+$J13*_xlfn.T.INV.2T(0.05,$I$9)</f>
        <v>-8.3305322949102811E-2</v>
      </c>
      <c r="N13" s="4"/>
      <c r="O13" s="4"/>
      <c r="P13" s="4"/>
      <c r="Q13" s="4"/>
      <c r="R13" s="4"/>
      <c r="S13" s="4"/>
    </row>
    <row r="14" spans="1:22" x14ac:dyDescent="0.4">
      <c r="A14" s="1">
        <v>12</v>
      </c>
      <c r="B14" s="2">
        <v>-0.9</v>
      </c>
      <c r="C14" s="63">
        <f>2*PI()*(A14-1)/16</f>
        <v>4.3196898986859651</v>
      </c>
      <c r="D14" s="2">
        <f>COS(C14)</f>
        <v>-0.38268343236509034</v>
      </c>
      <c r="E14" s="2">
        <f>SIN(C14)</f>
        <v>-0.92387953251128652</v>
      </c>
      <c r="F14" s="2">
        <f>I$12+I$13*D14+I$14*E14</f>
        <v>-0.64270006520144229</v>
      </c>
      <c r="G14" s="38">
        <f t="shared" si="0"/>
        <v>-0.25729993479855773</v>
      </c>
      <c r="H14" s="13" t="s">
        <v>18</v>
      </c>
      <c r="I14" s="6">
        <f>'Regression Calculation'!B10</f>
        <v>-0.40826983449615661</v>
      </c>
      <c r="J14" s="6">
        <f>SQRT(K9/'Regression Calculation'!D4)</f>
        <v>0.1150343947143133</v>
      </c>
      <c r="K14" s="6">
        <f t="shared" si="1"/>
        <v>1.7812364723794069E-3</v>
      </c>
      <c r="L14" s="26">
        <f t="shared" si="2"/>
        <v>-0.65678653525212827</v>
      </c>
      <c r="M14" s="26">
        <f t="shared" si="3"/>
        <v>-0.15975313374018502</v>
      </c>
      <c r="N14" s="4"/>
      <c r="O14" s="4"/>
      <c r="P14" s="4"/>
      <c r="Q14" s="4"/>
      <c r="R14" s="4"/>
      <c r="S14" s="4"/>
    </row>
    <row r="15" spans="1:22" x14ac:dyDescent="0.4">
      <c r="A15" s="1">
        <v>13</v>
      </c>
      <c r="B15" s="2">
        <v>-0.8</v>
      </c>
      <c r="C15" s="63">
        <f>2*PI()*(A15-1)/16</f>
        <v>4.7123889803846897</v>
      </c>
      <c r="D15" s="2">
        <f>COS(C15)</f>
        <v>-1.83772268236293E-16</v>
      </c>
      <c r="E15" s="2">
        <f>SIN(C15)</f>
        <v>-1</v>
      </c>
      <c r="F15" s="2">
        <f>I$12+I$13*D15+I$14*E15</f>
        <v>-0.73860516550384347</v>
      </c>
      <c r="G15" s="38">
        <f t="shared" si="0"/>
        <v>-6.139483449615657E-2</v>
      </c>
      <c r="H15" s="59"/>
      <c r="I15" s="37"/>
      <c r="J15" s="60"/>
      <c r="K15" s="60"/>
      <c r="L15" s="60"/>
      <c r="M15" s="60"/>
    </row>
    <row r="16" spans="1:22" x14ac:dyDescent="0.4">
      <c r="A16" s="1">
        <v>14</v>
      </c>
      <c r="B16" s="2">
        <v>-1.05</v>
      </c>
      <c r="C16" s="63">
        <f>2*PI()*(A16-1)/16</f>
        <v>5.1050880620834143</v>
      </c>
      <c r="D16" s="2">
        <f>COS(C16)</f>
        <v>0.38268343236509</v>
      </c>
      <c r="E16" s="2">
        <f>SIN(C16)</f>
        <v>-0.92387953251128663</v>
      </c>
      <c r="F16" s="2">
        <f>I$12+I$13*D16+I$14*E16</f>
        <v>-0.89666564713301866</v>
      </c>
      <c r="G16" s="38">
        <f t="shared" si="0"/>
        <v>-0.15333435286698138</v>
      </c>
      <c r="H16" s="61"/>
      <c r="I16" s="28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4">
      <c r="A17" s="1">
        <v>15</v>
      </c>
      <c r="B17" s="2">
        <v>-1.2</v>
      </c>
      <c r="C17" s="63">
        <f>2*PI()*(A17-1)/16</f>
        <v>5.497787143782138</v>
      </c>
      <c r="D17" s="2">
        <f>COS(C17)</f>
        <v>0.70710678118654735</v>
      </c>
      <c r="E17" s="2">
        <f>SIN(C17)</f>
        <v>-0.70710678118654768</v>
      </c>
      <c r="F17" s="2">
        <f>I$12+I$13*D17+I$14*E17</f>
        <v>-1.0928182345827597</v>
      </c>
      <c r="G17" s="38">
        <f t="shared" si="0"/>
        <v>-0.10718176541724023</v>
      </c>
      <c r="H17" s="61"/>
      <c r="I17" s="28"/>
      <c r="J17" s="7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4">
      <c r="A18" s="27">
        <v>16</v>
      </c>
      <c r="B18" s="26">
        <v>-1.17</v>
      </c>
      <c r="C18" s="64">
        <f>2*PI()*(A18-1)/16</f>
        <v>5.8904862254808616</v>
      </c>
      <c r="D18" s="26">
        <f>COS(C18)</f>
        <v>0.92387953251128652</v>
      </c>
      <c r="E18" s="26">
        <f>SIN(C18)</f>
        <v>-0.38268343236509039</v>
      </c>
      <c r="F18" s="26">
        <f>I$12+I$13*D18+I$14*E18</f>
        <v>-1.2972004745414767</v>
      </c>
      <c r="G18" s="39">
        <f t="shared" si="0"/>
        <v>0.12720047454147676</v>
      </c>
      <c r="H18" s="62"/>
      <c r="I18" s="27"/>
      <c r="J18" s="51"/>
      <c r="K18" s="51"/>
      <c r="L18" s="51"/>
      <c r="M18" s="51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4">
      <c r="B19" s="2"/>
      <c r="C19" s="63"/>
      <c r="N19" s="4"/>
      <c r="O19" s="4"/>
      <c r="P19" s="4"/>
      <c r="Q19" s="4"/>
      <c r="R19" s="4"/>
      <c r="S19" s="4"/>
      <c r="T19" s="4"/>
      <c r="U19" s="4"/>
      <c r="V19" s="4"/>
    </row>
  </sheetData>
  <mergeCells count="10">
    <mergeCell ref="A1:B1"/>
    <mergeCell ref="C1:G1"/>
    <mergeCell ref="H1:M1"/>
    <mergeCell ref="H6:I6"/>
    <mergeCell ref="H10:I10"/>
    <mergeCell ref="L11:M11"/>
    <mergeCell ref="H2:I2"/>
    <mergeCell ref="J2:M2"/>
    <mergeCell ref="J3:K3"/>
    <mergeCell ref="J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6A0-45DC-4605-90E2-FA65F0F87D21}">
  <dimension ref="A1"/>
  <sheetViews>
    <sheetView workbookViewId="0">
      <selection activeCell="C18" sqref="C18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C377-6301-48BE-B6EB-A3568045215A}">
  <dimension ref="A1:J15"/>
  <sheetViews>
    <sheetView workbookViewId="0">
      <selection activeCell="G11" sqref="G11"/>
    </sheetView>
  </sheetViews>
  <sheetFormatPr defaultRowHeight="14.6" x14ac:dyDescent="0.4"/>
  <cols>
    <col min="2" max="2" width="11.84375" style="1" bestFit="1" customWidth="1"/>
    <col min="3" max="4" width="12.4609375" style="1" bestFit="1" customWidth="1"/>
    <col min="5" max="5" width="11.84375" style="1" bestFit="1" customWidth="1"/>
  </cols>
  <sheetData>
    <row r="1" spans="1:10" x14ac:dyDescent="0.4">
      <c r="A1" t="s">
        <v>32</v>
      </c>
      <c r="B1" s="1" t="s">
        <v>33</v>
      </c>
      <c r="C1" s="1" t="s">
        <v>4</v>
      </c>
      <c r="D1" s="1" t="s">
        <v>3</v>
      </c>
      <c r="E1" s="1" t="s">
        <v>2</v>
      </c>
    </row>
    <row r="2" spans="1:10" x14ac:dyDescent="0.4">
      <c r="A2" t="s">
        <v>33</v>
      </c>
      <c r="B2" s="41">
        <f>COUNT('Planar Tilt Calculation'!A:A)</f>
        <v>16</v>
      </c>
      <c r="C2" s="42">
        <f>SUM('Planar Tilt Calculation'!D:D)</f>
        <v>0</v>
      </c>
      <c r="D2" s="42">
        <f>SUM('Planar Tilt Calculation'!E:E)</f>
        <v>0</v>
      </c>
      <c r="E2" s="43">
        <f>SUM('Planar Tilt Calculation'!B:B)</f>
        <v>-18.350000000000001</v>
      </c>
    </row>
    <row r="3" spans="1:10" x14ac:dyDescent="0.4">
      <c r="A3" t="s">
        <v>4</v>
      </c>
      <c r="B3" s="44">
        <f>C2</f>
        <v>0</v>
      </c>
      <c r="C3" s="45">
        <f>SUMSQ('Planar Tilt Calculation'!D:D)</f>
        <v>8</v>
      </c>
      <c r="D3" s="45">
        <f>SUMPRODUCT('Planar Tilt Calculation'!D:E)</f>
        <v>-1.7763568394002505E-15</v>
      </c>
      <c r="E3" s="46">
        <f>SUMPRODUCT('Planar Tilt Calculation'!D:D,'Planar Tilt Calculation'!B:B)</f>
        <v>-2.6545761896405953</v>
      </c>
    </row>
    <row r="4" spans="1:10" x14ac:dyDescent="0.4">
      <c r="A4" t="s">
        <v>3</v>
      </c>
      <c r="B4" s="44">
        <f>D2</f>
        <v>0</v>
      </c>
      <c r="C4" s="45">
        <f>D3</f>
        <v>-1.7763568394002505E-15</v>
      </c>
      <c r="D4" s="45">
        <f>SUMSQ('Planar Tilt Calculation'!E:E)</f>
        <v>8</v>
      </c>
      <c r="E4" s="46">
        <f>SUMPRODUCT('Planar Tilt Calculation'!E:E,'Planar Tilt Calculation'!B:B)</f>
        <v>-3.2661586759692529</v>
      </c>
    </row>
    <row r="5" spans="1:10" x14ac:dyDescent="0.4">
      <c r="A5" t="s">
        <v>2</v>
      </c>
      <c r="B5" s="47">
        <f>E2</f>
        <v>-18.350000000000001</v>
      </c>
      <c r="C5" s="48">
        <f>E3</f>
        <v>-2.6545761896405953</v>
      </c>
      <c r="D5" s="48">
        <f>E4</f>
        <v>-3.2661586759692529</v>
      </c>
      <c r="E5" s="49">
        <f>SUMSQ('Planar Tilt Calculation'!B:B)</f>
        <v>24.6357</v>
      </c>
    </row>
    <row r="6" spans="1:10" x14ac:dyDescent="0.4">
      <c r="B6" s="45"/>
      <c r="C6" s="45"/>
      <c r="D6" s="45"/>
      <c r="E6" s="45"/>
      <c r="G6" s="1"/>
      <c r="H6" s="1"/>
      <c r="I6" s="1"/>
      <c r="J6" s="1"/>
    </row>
    <row r="7" spans="1:10" x14ac:dyDescent="0.4">
      <c r="A7" s="51" t="s">
        <v>30</v>
      </c>
      <c r="B7" s="27" t="s">
        <v>34</v>
      </c>
      <c r="C7" s="27" t="s">
        <v>11</v>
      </c>
      <c r="D7" s="27" t="s">
        <v>12</v>
      </c>
      <c r="E7" s="27" t="s">
        <v>35</v>
      </c>
    </row>
    <row r="8" spans="1:10" x14ac:dyDescent="0.4">
      <c r="A8" t="s">
        <v>33</v>
      </c>
      <c r="B8" s="1">
        <f>E2/B2</f>
        <v>-1.1468750000000001</v>
      </c>
      <c r="C8" s="50">
        <v>1</v>
      </c>
      <c r="D8" s="1">
        <f>E2^2/B2</f>
        <v>21.045156250000002</v>
      </c>
      <c r="E8" s="1" t="s">
        <v>36</v>
      </c>
      <c r="F8" s="1"/>
    </row>
    <row r="9" spans="1:10" x14ac:dyDescent="0.4">
      <c r="A9" s="7" t="s">
        <v>4</v>
      </c>
      <c r="B9" s="28">
        <f>E3/C3</f>
        <v>-0.33182202370507441</v>
      </c>
      <c r="C9" s="52">
        <v>1</v>
      </c>
      <c r="D9" s="28">
        <f>E3^2/C3</f>
        <v>0.88084684332584773</v>
      </c>
      <c r="E9" s="53">
        <f>1-_xlfn.F.DIST((D9+D10)*C12/(D12*2),2,C12,TRUE)</f>
        <v>1.9630687446980932E-3</v>
      </c>
      <c r="F9" s="1"/>
    </row>
    <row r="10" spans="1:10" x14ac:dyDescent="0.4">
      <c r="A10" s="51" t="s">
        <v>3</v>
      </c>
      <c r="B10" s="27">
        <f>E4/D4</f>
        <v>-0.40826983449615661</v>
      </c>
      <c r="C10" s="54">
        <v>1</v>
      </c>
      <c r="D10" s="27">
        <f>E4^2/D4</f>
        <v>1.3334740620761529</v>
      </c>
      <c r="E10" s="55"/>
      <c r="F10" s="1"/>
    </row>
    <row r="11" spans="1:10" x14ac:dyDescent="0.4">
      <c r="A11" s="7"/>
      <c r="B11" s="28" t="s">
        <v>39</v>
      </c>
      <c r="C11" s="52">
        <v>2</v>
      </c>
      <c r="D11" s="28">
        <f>SUM(D9:D10)</f>
        <v>2.2143209054020008</v>
      </c>
      <c r="E11" s="57"/>
      <c r="F11" s="1"/>
    </row>
    <row r="12" spans="1:10" x14ac:dyDescent="0.4">
      <c r="A12" t="s">
        <v>31</v>
      </c>
      <c r="B12" s="1" t="s">
        <v>40</v>
      </c>
      <c r="C12" s="50">
        <f>B2-SUM(C8:C10)</f>
        <v>13</v>
      </c>
      <c r="D12" s="40">
        <f>E5-SUM(D8:D10)</f>
        <v>1.3762228445979972</v>
      </c>
      <c r="F12" s="1"/>
    </row>
    <row r="13" spans="1:10" x14ac:dyDescent="0.4">
      <c r="B13" s="1" t="s">
        <v>37</v>
      </c>
      <c r="C13" s="50">
        <f>C12+3</f>
        <v>16</v>
      </c>
      <c r="D13" s="1">
        <f>SUM(D11:D12)</f>
        <v>3.5905437499999979</v>
      </c>
    </row>
    <row r="14" spans="1:10" ht="16.3" x14ac:dyDescent="0.4">
      <c r="B14" s="1" t="s">
        <v>38</v>
      </c>
      <c r="C14" s="1">
        <f>D11/D13</f>
        <v>0.61670907237991512</v>
      </c>
    </row>
    <row r="15" spans="1:10" x14ac:dyDescent="0.4">
      <c r="B15" s="1" t="s">
        <v>41</v>
      </c>
      <c r="C15" s="1">
        <f>SQRT(D12/C12)</f>
        <v>0.32536640228872349</v>
      </c>
    </row>
  </sheetData>
  <mergeCells count="1"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207B-F2A0-499F-9E30-32DD76ACE656}">
  <dimension ref="A1"/>
  <sheetViews>
    <sheetView workbookViewId="0">
      <selection activeCell="J8" sqref="J8"/>
    </sheetView>
  </sheetViews>
  <sheetFormatPr defaultRowHeight="14.6" x14ac:dyDescent="0.4"/>
  <cols>
    <col min="2" max="2" width="10.15234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Planar Tilt Calculation</vt:lpstr>
      <vt:lpstr>Graphs</vt:lpstr>
      <vt:lpstr>Regression Calculation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Woodworth</dc:creator>
  <cp:lastModifiedBy>George Woodworth</cp:lastModifiedBy>
  <dcterms:created xsi:type="dcterms:W3CDTF">2022-02-20T13:04:26Z</dcterms:created>
  <dcterms:modified xsi:type="dcterms:W3CDTF">2022-05-28T03:33:09Z</dcterms:modified>
</cp:coreProperties>
</file>