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5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drawings/drawing7.xml" ContentType="application/vnd.openxmlformats-officedocument.drawing+xml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drawings/drawing8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drawings/drawing9.xml" ContentType="application/vnd.openxmlformats-officedocument.drawing+xml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drawings/drawing10.xml" ContentType="application/vnd.openxmlformats-officedocument.drawing+xml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drawings/drawing11.xml" ContentType="application/vnd.openxmlformats-officedocument.drawing+xml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drawings/drawing12.xml" ContentType="application/vnd.openxmlformats-officedocument.drawing+xml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drawings/drawing13.xml" ContentType="application/vnd.openxmlformats-officedocument.drawing+xml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drawings/drawing14.xml" ContentType="application/vnd.openxmlformats-officedocument.drawing+xml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drawings/drawing15.xml" ContentType="application/vnd.openxmlformats-officedocument.drawing+xml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16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drawings/drawing17.xml" ContentType="application/vnd.openxmlformats-officedocument.drawing+xml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drawings/drawing18.xml" ContentType="application/vnd.openxmlformats-officedocument.drawing+xml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drawings/drawing19.xml" ContentType="application/vnd.openxmlformats-officedocument.drawing+xml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20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drawings/drawing21.xml" ContentType="application/vnd.openxmlformats-officedocument.drawing+xml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drawings/drawing22.xml" ContentType="application/vnd.openxmlformats-officedocument.drawing+xml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drawings/drawing23.xml" ContentType="application/vnd.openxmlformats-officedocument.drawing+xml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drawings/drawing24.xml" ContentType="application/vnd.openxmlformats-officedocument.drawing+xml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drawings/drawing25.xml" ContentType="application/vnd.openxmlformats-officedocument.drawing+xml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drawings/drawing26.xml" ContentType="application/vnd.openxmlformats-officedocument.drawing+xml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lahova\Documents\cenová srovnání\"/>
    </mc:Choice>
  </mc:AlternateContent>
  <xr:revisionPtr revIDLastSave="0" documentId="13_ncr:1_{95EB77BD-0D24-4041-B568-312D8BDA2468}" xr6:coauthVersionLast="47" xr6:coauthVersionMax="47" xr10:uidLastSave="{00000000-0000-0000-0000-000000000000}"/>
  <bookViews>
    <workbookView xWindow="-120" yWindow="-120" windowWidth="29040" windowHeight="15840" tabRatio="676" firstSheet="1" activeTab="1" xr2:uid="{00000000-000D-0000-FFFF-FFFF00000000}"/>
  </bookViews>
  <sheets>
    <sheet name="Návratnost" sheetId="54" state="hidden" r:id="rId1"/>
    <sheet name="Zadání+Výsledek" sheetId="21" r:id="rId2"/>
    <sheet name="Měsíční rozdělení výsledků" sheetId="53" r:id="rId3"/>
    <sheet name="Výpočet" sheetId="20" r:id="rId4"/>
    <sheet name="Polynomy" sheetId="19" r:id="rId5"/>
    <sheet name="EcoAir 406" sheetId="18" r:id="rId6"/>
    <sheet name="EcoAir 408" sheetId="17" r:id="rId7"/>
    <sheet name="EcoAir 410" sheetId="14" r:id="rId8"/>
    <sheet name="EcoAir 415" sheetId="16" r:id="rId9"/>
    <sheet name="EcoAir 420" sheetId="15" r:id="rId10"/>
    <sheet name="EcoAir 610M" sheetId="30" r:id="rId11"/>
    <sheet name="EcoAir 614M" sheetId="11" r:id="rId12"/>
    <sheet name="EcoAir 622M" sheetId="12" r:id="rId13"/>
    <sheet name="EcoAir 510M" sheetId="13" r:id="rId14"/>
    <sheet name="EcoAir 520M" sheetId="8" r:id="rId15"/>
    <sheet name="RTC 6i" sheetId="22" r:id="rId16"/>
    <sheet name="RTC 12i" sheetId="23" r:id="rId17"/>
    <sheet name="RTC 13e" sheetId="28" r:id="rId18"/>
    <sheet name="RTC 13e - naše meření" sheetId="31" r:id="rId19"/>
    <sheet name="RTC 20e" sheetId="25" r:id="rId20"/>
    <sheet name="EcoPart 612M" sheetId="32" r:id="rId21"/>
    <sheet name="EcoPart 616M" sheetId="33" r:id="rId22"/>
    <sheet name="EcoPart 406" sheetId="48" r:id="rId23"/>
    <sheet name="EcoPart 408" sheetId="49" r:id="rId24"/>
    <sheet name="EcoPart 410" sheetId="34" r:id="rId25"/>
    <sheet name="EcoPart 412" sheetId="50" r:id="rId26"/>
    <sheet name="EcoPart 414" sheetId="51" r:id="rId27"/>
    <sheet name="EcoPart 417" sheetId="52" r:id="rId28"/>
  </sheets>
  <externalReferences>
    <externalReference r:id="rId29"/>
    <externalReference r:id="rId30"/>
  </externalReferences>
  <definedNames>
    <definedName name="_p">[1]Zadání!$D$27</definedName>
    <definedName name="_v">[1]Zadání!$D$38</definedName>
    <definedName name="a_1">[1]Zadání!$D$42</definedName>
    <definedName name="a_2">[1]Zadání!$D$43</definedName>
    <definedName name="A_b">[1]Zadání!#REF!</definedName>
    <definedName name="A_k">[1]Zadání!$D$46</definedName>
    <definedName name="A_k1">[1]Zadání!$D$45</definedName>
    <definedName name="beta_n">#REF!</definedName>
    <definedName name="beta_p">#REF!</definedName>
    <definedName name="bivalence">[2]Zadani!$S$48</definedName>
    <definedName name="eps">[1]Zadání!$E$37</definedName>
    <definedName name="f_rel_e">#REF!</definedName>
    <definedName name="f_rel_i">#REF!</definedName>
    <definedName name="h_e">#REF!</definedName>
    <definedName name="h_i">#REF!</definedName>
    <definedName name="I_w">#REF!</definedName>
    <definedName name="k_navst">[1]Zadání!#REF!</definedName>
    <definedName name="kb_e">#REF!</definedName>
    <definedName name="kb_i">#REF!</definedName>
    <definedName name="ný_0">[1]Zadání!$D$41</definedName>
    <definedName name="Objem_AKU">[1]Zadání!$D$30</definedName>
    <definedName name="_xlnm.Print_Area" localSheetId="0">Návratnost!$A$1:$G$35</definedName>
    <definedName name="osoby">[1]Zadání!$D$19</definedName>
    <definedName name="Picture">INDIRECT([2]DATA!$G$30)</definedName>
    <definedName name="plocha">[1]Zadání!$D$45</definedName>
    <definedName name="pocet">[1]Zadání!$D$44</definedName>
    <definedName name="Q_p.c">#REF!</definedName>
    <definedName name="Q_p.TV">#REF!</definedName>
    <definedName name="Q_p.vyt">#REF!</definedName>
    <definedName name="Q_z">[1]Zadání!$D$34</definedName>
    <definedName name="T_e">[1]Zadání!$D$36</definedName>
    <definedName name="T_i">[1]Zadání!$D$35</definedName>
    <definedName name="t_sv">[1]Zadání!$D$24</definedName>
    <definedName name="t_tv">[1]Zadání!$D$25</definedName>
    <definedName name="t_w1.N">[1]Zadání!$D$26</definedName>
    <definedName name="t_wp">#REF!</definedName>
    <definedName name="tau_p">[1]Zadání!#REF!</definedName>
    <definedName name="V_sv">#REF!</definedName>
    <definedName name="VSV_os">#REF!</definedName>
  </definedNames>
  <calcPr calcId="191029" calcMode="manual"/>
</workbook>
</file>

<file path=xl/calcChain.xml><?xml version="1.0" encoding="utf-8"?>
<calcChain xmlns="http://schemas.openxmlformats.org/spreadsheetml/2006/main">
  <c r="Q22" i="21" l="1"/>
  <c r="L17" i="21"/>
  <c r="L28" i="21"/>
  <c r="I3" i="21"/>
  <c r="H15" i="21"/>
  <c r="E1" i="28" l="1"/>
  <c r="E5" i="28" s="1"/>
  <c r="E60" i="28" l="1"/>
  <c r="E4" i="28"/>
  <c r="E56" i="28"/>
  <c r="E68" i="28"/>
  <c r="E64" i="28"/>
  <c r="E52" i="28"/>
  <c r="E40" i="28"/>
  <c r="E32" i="28"/>
  <c r="E24" i="28"/>
  <c r="E16" i="28"/>
  <c r="E8" i="28"/>
  <c r="E71" i="28"/>
  <c r="E67" i="28"/>
  <c r="E63" i="28"/>
  <c r="E59" i="28"/>
  <c r="E55" i="28"/>
  <c r="E51" i="28"/>
  <c r="E47" i="28"/>
  <c r="E43" i="28"/>
  <c r="E39" i="28"/>
  <c r="E35" i="28"/>
  <c r="E31" i="28"/>
  <c r="E27" i="28"/>
  <c r="E23" i="28"/>
  <c r="E19" i="28"/>
  <c r="E15" i="28"/>
  <c r="E11" i="28"/>
  <c r="E7" i="28"/>
  <c r="E48" i="28"/>
  <c r="E44" i="28"/>
  <c r="E36" i="28"/>
  <c r="E28" i="28"/>
  <c r="E20" i="28"/>
  <c r="E12" i="28"/>
  <c r="E70" i="28"/>
  <c r="E66" i="28"/>
  <c r="E62" i="28"/>
  <c r="E58" i="28"/>
  <c r="E54" i="28"/>
  <c r="E50" i="28"/>
  <c r="E46" i="28"/>
  <c r="E42" i="28"/>
  <c r="E38" i="28"/>
  <c r="E34" i="28"/>
  <c r="E30" i="28"/>
  <c r="E26" i="28"/>
  <c r="E22" i="28"/>
  <c r="E18" i="28"/>
  <c r="E14" i="28"/>
  <c r="E10" i="28"/>
  <c r="E6" i="28"/>
  <c r="E69" i="28"/>
  <c r="E65" i="28"/>
  <c r="E61" i="28"/>
  <c r="E57" i="28"/>
  <c r="E53" i="28"/>
  <c r="E49" i="28"/>
  <c r="E45" i="28"/>
  <c r="E41" i="28"/>
  <c r="E37" i="28"/>
  <c r="E33" i="28"/>
  <c r="E29" i="28"/>
  <c r="E25" i="28"/>
  <c r="E21" i="28"/>
  <c r="E17" i="28"/>
  <c r="E13" i="28"/>
  <c r="E9" i="28"/>
  <c r="W16" i="21"/>
  <c r="W18" i="21"/>
  <c r="W19" i="21"/>
  <c r="W21" i="21"/>
  <c r="W22" i="21"/>
  <c r="W24" i="21"/>
  <c r="W15" i="21"/>
  <c r="Q21" i="21"/>
  <c r="G16" i="21"/>
  <c r="H13" i="21"/>
  <c r="H19" i="21"/>
  <c r="H18" i="21"/>
  <c r="N21" i="21"/>
  <c r="O21" i="21" s="1"/>
  <c r="L23" i="21" l="1"/>
  <c r="L26" i="21" s="1"/>
  <c r="H24" i="21"/>
  <c r="I14" i="21"/>
  <c r="G14" i="21"/>
  <c r="I13" i="21"/>
  <c r="G13" i="21"/>
  <c r="W26" i="21"/>
  <c r="V26" i="21"/>
  <c r="L24" i="21" s="1"/>
  <c r="U26" i="21"/>
  <c r="W27" i="21"/>
  <c r="V27" i="21"/>
  <c r="U27" i="21"/>
  <c r="W28" i="21"/>
  <c r="V28" i="21"/>
  <c r="U28" i="21"/>
  <c r="W29" i="21"/>
  <c r="V29" i="21"/>
  <c r="U29" i="21"/>
  <c r="N22" i="21" l="1"/>
  <c r="C19" i="54"/>
  <c r="P21" i="21" l="1"/>
  <c r="P22" i="21"/>
  <c r="O22" i="21"/>
  <c r="L16" i="21" s="1"/>
  <c r="H17" i="21" s="1"/>
  <c r="H22" i="54"/>
  <c r="H13" i="54"/>
  <c r="H14" i="54"/>
  <c r="P11" i="54"/>
  <c r="G7" i="54" s="1"/>
  <c r="P12" i="54"/>
  <c r="G8" i="54" s="1"/>
  <c r="P9" i="54"/>
  <c r="P8" i="54"/>
  <c r="P6" i="54"/>
  <c r="G5" i="54" s="1"/>
  <c r="P5" i="54"/>
  <c r="G4" i="54" s="1"/>
  <c r="J5" i="54"/>
  <c r="A11" i="54" s="1"/>
  <c r="H8" i="53"/>
  <c r="F8" i="54"/>
  <c r="B8" i="54" s="1"/>
  <c r="I7" i="54" s="1"/>
  <c r="F7" i="54"/>
  <c r="B7" i="54" s="1"/>
  <c r="F5" i="54"/>
  <c r="B5" i="54" s="1"/>
  <c r="F4" i="54"/>
  <c r="B4" i="54" s="1"/>
  <c r="B6" i="54"/>
  <c r="A22" i="54" s="1"/>
  <c r="C33" i="54"/>
  <c r="A29" i="54"/>
  <c r="G23" i="54"/>
  <c r="A14" i="54"/>
  <c r="A9" i="54"/>
  <c r="H23" i="21" l="1"/>
  <c r="H26" i="21" s="1"/>
  <c r="G22" i="54"/>
  <c r="G21" i="54"/>
  <c r="C21" i="54" s="1"/>
  <c r="G13" i="54"/>
  <c r="A24" i="54"/>
  <c r="H24" i="54"/>
  <c r="C22" i="54" l="1"/>
  <c r="C24" i="54" l="1"/>
  <c r="I24" i="54" s="1"/>
  <c r="E4" i="21" l="1"/>
  <c r="N14" i="53" l="1"/>
  <c r="N15" i="53"/>
  <c r="N16" i="53"/>
  <c r="N17" i="53"/>
  <c r="N18" i="53"/>
  <c r="N19" i="53"/>
  <c r="N20" i="53"/>
  <c r="N21" i="53"/>
  <c r="N22" i="53"/>
  <c r="N23" i="53"/>
  <c r="N24" i="53"/>
  <c r="N13" i="53" l="1"/>
  <c r="B6" i="53"/>
  <c r="D21" i="53" s="1"/>
  <c r="J21" i="53" s="1"/>
  <c r="M21" i="53" s="1"/>
  <c r="E25" i="53"/>
  <c r="D18" i="53" l="1"/>
  <c r="J18" i="53" s="1"/>
  <c r="M18" i="53" s="1"/>
  <c r="D23" i="53"/>
  <c r="J23" i="53" s="1"/>
  <c r="M23" i="53" s="1"/>
  <c r="D16" i="53"/>
  <c r="J16" i="53" s="1"/>
  <c r="M16" i="53" s="1"/>
  <c r="D22" i="53"/>
  <c r="J22" i="53" s="1"/>
  <c r="M22" i="53" s="1"/>
  <c r="D14" i="53"/>
  <c r="J14" i="53" s="1"/>
  <c r="M14" i="53" s="1"/>
  <c r="D19" i="53"/>
  <c r="J19" i="53" s="1"/>
  <c r="M19" i="53" s="1"/>
  <c r="D15" i="53"/>
  <c r="J15" i="53" s="1"/>
  <c r="M15" i="53" s="1"/>
  <c r="D20" i="53"/>
  <c r="J20" i="53" s="1"/>
  <c r="M20" i="53" s="1"/>
  <c r="D24" i="53"/>
  <c r="J24" i="53" s="1"/>
  <c r="M24" i="53" s="1"/>
  <c r="D13" i="53"/>
  <c r="J13" i="53" s="1"/>
  <c r="M13" i="53" s="1"/>
  <c r="D17" i="53"/>
  <c r="J17" i="53" s="1"/>
  <c r="M17" i="53" s="1"/>
  <c r="D25" i="53" l="1"/>
  <c r="U3" i="20" l="1"/>
  <c r="V2" i="20" s="1"/>
  <c r="P14" i="21" s="1"/>
  <c r="D4" i="53" l="1"/>
  <c r="B4" i="53" s="1"/>
  <c r="N3" i="20"/>
  <c r="O3" i="20" s="1"/>
  <c r="C2" i="20" l="1"/>
  <c r="J42" i="53"/>
  <c r="I42" i="53" s="1"/>
  <c r="H42" i="53" s="1"/>
  <c r="J38" i="53"/>
  <c r="I38" i="53" s="1"/>
  <c r="H38" i="53" s="1"/>
  <c r="J34" i="53"/>
  <c r="I34" i="53" s="1"/>
  <c r="H34" i="53" s="1"/>
  <c r="J39" i="53"/>
  <c r="I39" i="53" s="1"/>
  <c r="H39" i="53" s="1"/>
  <c r="J35" i="53"/>
  <c r="I35" i="53" s="1"/>
  <c r="H35" i="53" s="1"/>
  <c r="J31" i="53"/>
  <c r="I31" i="53" s="1"/>
  <c r="H31" i="53" s="1"/>
  <c r="J41" i="53"/>
  <c r="I41" i="53" s="1"/>
  <c r="H41" i="53" s="1"/>
  <c r="J37" i="53"/>
  <c r="I37" i="53" s="1"/>
  <c r="H37" i="53" s="1"/>
  <c r="J33" i="53"/>
  <c r="I33" i="53" s="1"/>
  <c r="H33" i="53" s="1"/>
  <c r="J40" i="53"/>
  <c r="J36" i="53"/>
  <c r="I36" i="53" s="1"/>
  <c r="H36" i="53" s="1"/>
  <c r="J32" i="53"/>
  <c r="H34" i="52"/>
  <c r="M34" i="52" s="1"/>
  <c r="G34" i="52"/>
  <c r="C34" i="52"/>
  <c r="I34" i="52" s="1"/>
  <c r="H33" i="52"/>
  <c r="M33" i="52" s="1"/>
  <c r="G33" i="52"/>
  <c r="C33" i="52"/>
  <c r="I33" i="52" s="1"/>
  <c r="H32" i="52"/>
  <c r="M32" i="52" s="1"/>
  <c r="G32" i="52"/>
  <c r="C32" i="52"/>
  <c r="I32" i="52" s="1"/>
  <c r="H31" i="52"/>
  <c r="M31" i="52" s="1"/>
  <c r="G31" i="52"/>
  <c r="C31" i="52"/>
  <c r="I31" i="52" s="1"/>
  <c r="H30" i="52"/>
  <c r="M30" i="52" s="1"/>
  <c r="G30" i="52"/>
  <c r="K30" i="52" s="1"/>
  <c r="C30" i="52"/>
  <c r="I30" i="52" s="1"/>
  <c r="H29" i="52"/>
  <c r="M29" i="52" s="1"/>
  <c r="G29" i="52"/>
  <c r="C29" i="52"/>
  <c r="I29" i="52" s="1"/>
  <c r="H28" i="52"/>
  <c r="M28" i="52" s="1"/>
  <c r="G28" i="52"/>
  <c r="C28" i="52"/>
  <c r="I28" i="52" s="1"/>
  <c r="I22" i="52"/>
  <c r="O22" i="52" s="1"/>
  <c r="H22" i="52"/>
  <c r="M22" i="52" s="1"/>
  <c r="G22" i="52"/>
  <c r="J22" i="52" s="1"/>
  <c r="I21" i="52"/>
  <c r="O21" i="52" s="1"/>
  <c r="H21" i="52"/>
  <c r="N21" i="52" s="1"/>
  <c r="G21" i="52"/>
  <c r="I20" i="52"/>
  <c r="O20" i="52" s="1"/>
  <c r="H20" i="52"/>
  <c r="G20" i="52"/>
  <c r="J20" i="52" s="1"/>
  <c r="I19" i="52"/>
  <c r="O19" i="52" s="1"/>
  <c r="H19" i="52"/>
  <c r="M19" i="52" s="1"/>
  <c r="G19" i="52"/>
  <c r="I18" i="52"/>
  <c r="O18" i="52" s="1"/>
  <c r="H18" i="52"/>
  <c r="M18" i="52" s="1"/>
  <c r="G18" i="52"/>
  <c r="I17" i="52"/>
  <c r="O17" i="52" s="1"/>
  <c r="H17" i="52"/>
  <c r="G17" i="52"/>
  <c r="I16" i="52"/>
  <c r="O16" i="52" s="1"/>
  <c r="H16" i="52"/>
  <c r="G16" i="52"/>
  <c r="J16" i="52" s="1"/>
  <c r="I10" i="52"/>
  <c r="O10" i="52" s="1"/>
  <c r="H10" i="52"/>
  <c r="G10" i="52"/>
  <c r="K10" i="52" s="1"/>
  <c r="I9" i="52"/>
  <c r="O9" i="52" s="1"/>
  <c r="H9" i="52"/>
  <c r="G9" i="52"/>
  <c r="J9" i="52" s="1"/>
  <c r="I8" i="52"/>
  <c r="O8" i="52" s="1"/>
  <c r="H8" i="52"/>
  <c r="M8" i="52" s="1"/>
  <c r="G8" i="52"/>
  <c r="J8" i="52" s="1"/>
  <c r="I7" i="52"/>
  <c r="O7" i="52" s="1"/>
  <c r="H7" i="52"/>
  <c r="M7" i="52" s="1"/>
  <c r="G7" i="52"/>
  <c r="J7" i="52" s="1"/>
  <c r="I6" i="52"/>
  <c r="O6" i="52" s="1"/>
  <c r="H6" i="52"/>
  <c r="G6" i="52"/>
  <c r="I5" i="52"/>
  <c r="O5" i="52" s="1"/>
  <c r="H5" i="52"/>
  <c r="G5" i="52"/>
  <c r="J5" i="52" s="1"/>
  <c r="I4" i="52"/>
  <c r="O4" i="52" s="1"/>
  <c r="H4" i="52"/>
  <c r="M4" i="52" s="1"/>
  <c r="G4" i="52"/>
  <c r="J4" i="52" s="1"/>
  <c r="H37" i="51"/>
  <c r="M37" i="51" s="1"/>
  <c r="G37" i="51"/>
  <c r="J37" i="51" s="1"/>
  <c r="C37" i="51"/>
  <c r="I37" i="51" s="1"/>
  <c r="M36" i="51"/>
  <c r="H36" i="51"/>
  <c r="G36" i="51"/>
  <c r="C36" i="51"/>
  <c r="I36" i="51" s="1"/>
  <c r="H35" i="51"/>
  <c r="M35" i="51" s="1"/>
  <c r="G35" i="51"/>
  <c r="K35" i="51" s="1"/>
  <c r="C35" i="51"/>
  <c r="I35" i="51" s="1"/>
  <c r="M34" i="51"/>
  <c r="H34" i="51"/>
  <c r="G34" i="51"/>
  <c r="K34" i="51" s="1"/>
  <c r="C34" i="51"/>
  <c r="I34" i="51" s="1"/>
  <c r="H33" i="51"/>
  <c r="M33" i="51" s="1"/>
  <c r="G33" i="51"/>
  <c r="J33" i="51" s="1"/>
  <c r="C33" i="51"/>
  <c r="I33" i="51" s="1"/>
  <c r="J32" i="51"/>
  <c r="H32" i="51"/>
  <c r="M32" i="51" s="1"/>
  <c r="G32" i="51"/>
  <c r="C32" i="51"/>
  <c r="I32" i="51" s="1"/>
  <c r="M31" i="51"/>
  <c r="H31" i="51"/>
  <c r="G31" i="51"/>
  <c r="J31" i="51" s="1"/>
  <c r="C31" i="51"/>
  <c r="I31" i="51" s="1"/>
  <c r="H30" i="51"/>
  <c r="M30" i="51" s="1"/>
  <c r="G30" i="51"/>
  <c r="C30" i="51"/>
  <c r="I30" i="51" s="1"/>
  <c r="I24" i="51"/>
  <c r="L24" i="51" s="1"/>
  <c r="H24" i="51"/>
  <c r="M24" i="51" s="1"/>
  <c r="G24" i="51"/>
  <c r="I23" i="51"/>
  <c r="O23" i="51" s="1"/>
  <c r="H23" i="51"/>
  <c r="G23" i="51"/>
  <c r="K23" i="51" s="1"/>
  <c r="I22" i="51"/>
  <c r="O22" i="51" s="1"/>
  <c r="H22" i="51"/>
  <c r="G22" i="51"/>
  <c r="J22" i="51" s="1"/>
  <c r="I21" i="51"/>
  <c r="O21" i="51" s="1"/>
  <c r="H21" i="51"/>
  <c r="N21" i="51" s="1"/>
  <c r="G21" i="51"/>
  <c r="I20" i="51"/>
  <c r="L20" i="51" s="1"/>
  <c r="H20" i="51"/>
  <c r="M20" i="51" s="1"/>
  <c r="G20" i="51"/>
  <c r="J20" i="51" s="1"/>
  <c r="I19" i="51"/>
  <c r="O19" i="51" s="1"/>
  <c r="H19" i="51"/>
  <c r="G19" i="51"/>
  <c r="I18" i="51"/>
  <c r="O18" i="51" s="1"/>
  <c r="H18" i="51"/>
  <c r="G18" i="51"/>
  <c r="J18" i="51" s="1"/>
  <c r="I17" i="51"/>
  <c r="O17" i="51" s="1"/>
  <c r="H17" i="51"/>
  <c r="N17" i="51" s="1"/>
  <c r="G17" i="51"/>
  <c r="J17" i="51" s="1"/>
  <c r="I11" i="51"/>
  <c r="O11" i="51" s="1"/>
  <c r="H11" i="51"/>
  <c r="G11" i="51"/>
  <c r="K11" i="51" s="1"/>
  <c r="I10" i="51"/>
  <c r="O10" i="51" s="1"/>
  <c r="H10" i="51"/>
  <c r="G10" i="51"/>
  <c r="J10" i="51" s="1"/>
  <c r="J9" i="51"/>
  <c r="I9" i="51"/>
  <c r="O9" i="51" s="1"/>
  <c r="H9" i="51"/>
  <c r="M9" i="51" s="1"/>
  <c r="G9" i="51"/>
  <c r="I8" i="51"/>
  <c r="O8" i="51" s="1"/>
  <c r="H8" i="51"/>
  <c r="M8" i="51" s="1"/>
  <c r="G8" i="51"/>
  <c r="L8" i="51" s="1"/>
  <c r="I7" i="51"/>
  <c r="O7" i="51" s="1"/>
  <c r="H7" i="51"/>
  <c r="N7" i="51" s="1"/>
  <c r="G7" i="51"/>
  <c r="L7" i="51" s="1"/>
  <c r="I6" i="51"/>
  <c r="O6" i="51" s="1"/>
  <c r="H6" i="51"/>
  <c r="N6" i="51" s="1"/>
  <c r="G6" i="51"/>
  <c r="J6" i="51" s="1"/>
  <c r="O5" i="51"/>
  <c r="I5" i="51"/>
  <c r="H5" i="51"/>
  <c r="M5" i="51" s="1"/>
  <c r="G5" i="51"/>
  <c r="L5" i="51" s="1"/>
  <c r="I4" i="51"/>
  <c r="O4" i="51" s="1"/>
  <c r="H4" i="51"/>
  <c r="M4" i="51" s="1"/>
  <c r="G4" i="51"/>
  <c r="J4" i="51" s="1"/>
  <c r="C31" i="50"/>
  <c r="C32" i="50"/>
  <c r="I32" i="50" s="1"/>
  <c r="O32" i="50" s="1"/>
  <c r="C33" i="50"/>
  <c r="C34" i="50"/>
  <c r="I34" i="50" s="1"/>
  <c r="C35" i="50"/>
  <c r="I35" i="50" s="1"/>
  <c r="O35" i="50" s="1"/>
  <c r="C36" i="50"/>
  <c r="I36" i="50" s="1"/>
  <c r="O36" i="50" s="1"/>
  <c r="C37" i="50"/>
  <c r="C30" i="50"/>
  <c r="I30" i="50" s="1"/>
  <c r="C31" i="34"/>
  <c r="C32" i="34"/>
  <c r="C33" i="34"/>
  <c r="C34" i="34"/>
  <c r="C35" i="34"/>
  <c r="C36" i="34"/>
  <c r="C37" i="34"/>
  <c r="C30" i="34"/>
  <c r="C31" i="49"/>
  <c r="C32" i="49"/>
  <c r="I32" i="49" s="1"/>
  <c r="L32" i="49" s="1"/>
  <c r="C33" i="49"/>
  <c r="I33" i="49" s="1"/>
  <c r="L33" i="49" s="1"/>
  <c r="C34" i="49"/>
  <c r="I34" i="49" s="1"/>
  <c r="O34" i="49" s="1"/>
  <c r="C35" i="49"/>
  <c r="I35" i="49" s="1"/>
  <c r="O35" i="49" s="1"/>
  <c r="C36" i="49"/>
  <c r="I36" i="49" s="1"/>
  <c r="O36" i="49" s="1"/>
  <c r="C37" i="49"/>
  <c r="C30" i="49"/>
  <c r="C31" i="48"/>
  <c r="C32" i="48"/>
  <c r="C33" i="48"/>
  <c r="C34" i="48"/>
  <c r="I34" i="48" s="1"/>
  <c r="O34" i="48" s="1"/>
  <c r="C35" i="48"/>
  <c r="I35" i="48" s="1"/>
  <c r="O35" i="48" s="1"/>
  <c r="C36" i="48"/>
  <c r="I36" i="48" s="1"/>
  <c r="O36" i="48" s="1"/>
  <c r="C37" i="48"/>
  <c r="C30" i="48"/>
  <c r="I37" i="50"/>
  <c r="H37" i="50"/>
  <c r="M37" i="50" s="1"/>
  <c r="G37" i="50"/>
  <c r="H36" i="50"/>
  <c r="M36" i="50" s="1"/>
  <c r="G36" i="50"/>
  <c r="H35" i="50"/>
  <c r="G35" i="50"/>
  <c r="K35" i="50" s="1"/>
  <c r="H34" i="50"/>
  <c r="M34" i="50" s="1"/>
  <c r="G34" i="50"/>
  <c r="J34" i="50" s="1"/>
  <c r="I33" i="50"/>
  <c r="H33" i="50"/>
  <c r="M33" i="50" s="1"/>
  <c r="G33" i="50"/>
  <c r="K33" i="50" s="1"/>
  <c r="H32" i="50"/>
  <c r="M32" i="50" s="1"/>
  <c r="G32" i="50"/>
  <c r="I31" i="50"/>
  <c r="O31" i="50" s="1"/>
  <c r="H31" i="50"/>
  <c r="N31" i="50" s="1"/>
  <c r="G31" i="50"/>
  <c r="K31" i="50" s="1"/>
  <c r="H30" i="50"/>
  <c r="M30" i="50" s="1"/>
  <c r="G30" i="50"/>
  <c r="J30" i="50" s="1"/>
  <c r="I24" i="50"/>
  <c r="H24" i="50"/>
  <c r="M24" i="50" s="1"/>
  <c r="G24" i="50"/>
  <c r="J24" i="50" s="1"/>
  <c r="I23" i="50"/>
  <c r="O23" i="50" s="1"/>
  <c r="H23" i="50"/>
  <c r="G23" i="50"/>
  <c r="I22" i="50"/>
  <c r="O22" i="50" s="1"/>
  <c r="H22" i="50"/>
  <c r="G22" i="50"/>
  <c r="J22" i="50" s="1"/>
  <c r="I21" i="50"/>
  <c r="O21" i="50" s="1"/>
  <c r="H21" i="50"/>
  <c r="M21" i="50" s="1"/>
  <c r="G21" i="50"/>
  <c r="J21" i="50" s="1"/>
  <c r="I20" i="50"/>
  <c r="O20" i="50" s="1"/>
  <c r="H20" i="50"/>
  <c r="M20" i="50" s="1"/>
  <c r="G20" i="50"/>
  <c r="I19" i="50"/>
  <c r="O19" i="50" s="1"/>
  <c r="H19" i="50"/>
  <c r="N19" i="50" s="1"/>
  <c r="G19" i="50"/>
  <c r="I18" i="50"/>
  <c r="O18" i="50" s="1"/>
  <c r="H18" i="50"/>
  <c r="G18" i="50"/>
  <c r="J18" i="50" s="1"/>
  <c r="I17" i="50"/>
  <c r="O17" i="50" s="1"/>
  <c r="H17" i="50"/>
  <c r="M17" i="50" s="1"/>
  <c r="G17" i="50"/>
  <c r="L17" i="50" s="1"/>
  <c r="I11" i="50"/>
  <c r="O11" i="50" s="1"/>
  <c r="H11" i="50"/>
  <c r="N11" i="50" s="1"/>
  <c r="G11" i="50"/>
  <c r="K11" i="50" s="1"/>
  <c r="I10" i="50"/>
  <c r="O10" i="50" s="1"/>
  <c r="H10" i="50"/>
  <c r="N10" i="50" s="1"/>
  <c r="G10" i="50"/>
  <c r="J10" i="50" s="1"/>
  <c r="I9" i="50"/>
  <c r="O9" i="50" s="1"/>
  <c r="H9" i="50"/>
  <c r="M9" i="50" s="1"/>
  <c r="G9" i="50"/>
  <c r="J8" i="50"/>
  <c r="I8" i="50"/>
  <c r="O8" i="50" s="1"/>
  <c r="H8" i="50"/>
  <c r="M8" i="50" s="1"/>
  <c r="G8" i="50"/>
  <c r="I7" i="50"/>
  <c r="O7" i="50" s="1"/>
  <c r="H7" i="50"/>
  <c r="G7" i="50"/>
  <c r="I6" i="50"/>
  <c r="O6" i="50" s="1"/>
  <c r="H6" i="50"/>
  <c r="G6" i="50"/>
  <c r="J6" i="50" s="1"/>
  <c r="I5" i="50"/>
  <c r="O5" i="50" s="1"/>
  <c r="H5" i="50"/>
  <c r="M5" i="50" s="1"/>
  <c r="G5" i="50"/>
  <c r="J5" i="50" s="1"/>
  <c r="I4" i="50"/>
  <c r="O4" i="50" s="1"/>
  <c r="H4" i="50"/>
  <c r="M4" i="50" s="1"/>
  <c r="G4" i="50"/>
  <c r="I37" i="49"/>
  <c r="H37" i="49"/>
  <c r="M37" i="49" s="1"/>
  <c r="G37" i="49"/>
  <c r="H36" i="49"/>
  <c r="M36" i="49" s="1"/>
  <c r="G36" i="49"/>
  <c r="H35" i="49"/>
  <c r="G35" i="49"/>
  <c r="H34" i="49"/>
  <c r="G34" i="49"/>
  <c r="J34" i="49" s="1"/>
  <c r="H33" i="49"/>
  <c r="M33" i="49" s="1"/>
  <c r="G33" i="49"/>
  <c r="K33" i="49" s="1"/>
  <c r="H32" i="49"/>
  <c r="M32" i="49" s="1"/>
  <c r="G32" i="49"/>
  <c r="I31" i="49"/>
  <c r="O31" i="49" s="1"/>
  <c r="H31" i="49"/>
  <c r="G31" i="49"/>
  <c r="K31" i="49" s="1"/>
  <c r="I30" i="49"/>
  <c r="H30" i="49"/>
  <c r="M30" i="49" s="1"/>
  <c r="G30" i="49"/>
  <c r="J30" i="49" s="1"/>
  <c r="I24" i="49"/>
  <c r="O24" i="49" s="1"/>
  <c r="H24" i="49"/>
  <c r="M24" i="49" s="1"/>
  <c r="G24" i="49"/>
  <c r="L24" i="49" s="1"/>
  <c r="I23" i="49"/>
  <c r="O23" i="49" s="1"/>
  <c r="H23" i="49"/>
  <c r="G23" i="49"/>
  <c r="K23" i="49" s="1"/>
  <c r="I22" i="49"/>
  <c r="O22" i="49" s="1"/>
  <c r="H22" i="49"/>
  <c r="G22" i="49"/>
  <c r="J22" i="49" s="1"/>
  <c r="I21" i="49"/>
  <c r="O21" i="49" s="1"/>
  <c r="H21" i="49"/>
  <c r="M21" i="49" s="1"/>
  <c r="G21" i="49"/>
  <c r="J21" i="49" s="1"/>
  <c r="I20" i="49"/>
  <c r="O20" i="49" s="1"/>
  <c r="H20" i="49"/>
  <c r="M20" i="49" s="1"/>
  <c r="G20" i="49"/>
  <c r="I19" i="49"/>
  <c r="O19" i="49" s="1"/>
  <c r="H19" i="49"/>
  <c r="G19" i="49"/>
  <c r="K19" i="49" s="1"/>
  <c r="I18" i="49"/>
  <c r="O18" i="49" s="1"/>
  <c r="H18" i="49"/>
  <c r="G18" i="49"/>
  <c r="J18" i="49" s="1"/>
  <c r="I17" i="49"/>
  <c r="O17" i="49" s="1"/>
  <c r="H17" i="49"/>
  <c r="M17" i="49" s="1"/>
  <c r="G17" i="49"/>
  <c r="L17" i="49" s="1"/>
  <c r="I11" i="49"/>
  <c r="O11" i="49" s="1"/>
  <c r="H11" i="49"/>
  <c r="G11" i="49"/>
  <c r="I10" i="49"/>
  <c r="O10" i="49" s="1"/>
  <c r="H10" i="49"/>
  <c r="N10" i="49" s="1"/>
  <c r="G10" i="49"/>
  <c r="J10" i="49" s="1"/>
  <c r="I9" i="49"/>
  <c r="O9" i="49" s="1"/>
  <c r="H9" i="49"/>
  <c r="M9" i="49" s="1"/>
  <c r="G9" i="49"/>
  <c r="K9" i="49" s="1"/>
  <c r="I8" i="49"/>
  <c r="O8" i="49" s="1"/>
  <c r="H8" i="49"/>
  <c r="M8" i="49" s="1"/>
  <c r="G8" i="49"/>
  <c r="I7" i="49"/>
  <c r="O7" i="49" s="1"/>
  <c r="H7" i="49"/>
  <c r="N7" i="49" s="1"/>
  <c r="G7" i="49"/>
  <c r="I6" i="49"/>
  <c r="O6" i="49" s="1"/>
  <c r="H6" i="49"/>
  <c r="M6" i="49" s="1"/>
  <c r="G6" i="49"/>
  <c r="J6" i="49" s="1"/>
  <c r="N5" i="49"/>
  <c r="I5" i="49"/>
  <c r="O5" i="49" s="1"/>
  <c r="H5" i="49"/>
  <c r="M5" i="49" s="1"/>
  <c r="G5" i="49"/>
  <c r="I4" i="49"/>
  <c r="O4" i="49" s="1"/>
  <c r="H4" i="49"/>
  <c r="M4" i="49" s="1"/>
  <c r="G4" i="49"/>
  <c r="L4" i="49" s="1"/>
  <c r="I37" i="48"/>
  <c r="O37" i="48" s="1"/>
  <c r="H37" i="48"/>
  <c r="M37" i="48" s="1"/>
  <c r="G37" i="48"/>
  <c r="H36" i="48"/>
  <c r="M36" i="48" s="1"/>
  <c r="G36" i="48"/>
  <c r="H35" i="48"/>
  <c r="G35" i="48"/>
  <c r="H34" i="48"/>
  <c r="G34" i="48"/>
  <c r="J34" i="48" s="1"/>
  <c r="I33" i="48"/>
  <c r="O33" i="48" s="1"/>
  <c r="H33" i="48"/>
  <c r="M33" i="48" s="1"/>
  <c r="G33" i="48"/>
  <c r="J32" i="48"/>
  <c r="I32" i="48"/>
  <c r="O32" i="48" s="1"/>
  <c r="H32" i="48"/>
  <c r="M32" i="48" s="1"/>
  <c r="G32" i="48"/>
  <c r="I31" i="48"/>
  <c r="O31" i="48" s="1"/>
  <c r="H31" i="48"/>
  <c r="G31" i="48"/>
  <c r="J31" i="48" s="1"/>
  <c r="I30" i="48"/>
  <c r="O30" i="48" s="1"/>
  <c r="H30" i="48"/>
  <c r="G30" i="48"/>
  <c r="J30" i="48" s="1"/>
  <c r="J24" i="48"/>
  <c r="I24" i="48"/>
  <c r="L24" i="48" s="1"/>
  <c r="H24" i="48"/>
  <c r="N24" i="48" s="1"/>
  <c r="G24" i="48"/>
  <c r="I23" i="48"/>
  <c r="O23" i="48" s="1"/>
  <c r="H23" i="48"/>
  <c r="M23" i="48" s="1"/>
  <c r="G23" i="48"/>
  <c r="K23" i="48" s="1"/>
  <c r="I22" i="48"/>
  <c r="O22" i="48" s="1"/>
  <c r="H22" i="48"/>
  <c r="N22" i="48" s="1"/>
  <c r="G22" i="48"/>
  <c r="J22" i="48" s="1"/>
  <c r="I21" i="48"/>
  <c r="O21" i="48" s="1"/>
  <c r="H21" i="48"/>
  <c r="M21" i="48" s="1"/>
  <c r="G21" i="48"/>
  <c r="I20" i="48"/>
  <c r="O20" i="48" s="1"/>
  <c r="H20" i="48"/>
  <c r="G20" i="48"/>
  <c r="L20" i="48" s="1"/>
  <c r="I19" i="48"/>
  <c r="O19" i="48" s="1"/>
  <c r="H19" i="48"/>
  <c r="M19" i="48" s="1"/>
  <c r="G19" i="48"/>
  <c r="K19" i="48" s="1"/>
  <c r="I18" i="48"/>
  <c r="O18" i="48" s="1"/>
  <c r="H18" i="48"/>
  <c r="N18" i="48" s="1"/>
  <c r="G18" i="48"/>
  <c r="J18" i="48" s="1"/>
  <c r="O17" i="48"/>
  <c r="I17" i="48"/>
  <c r="H17" i="48"/>
  <c r="M17" i="48" s="1"/>
  <c r="G17" i="48"/>
  <c r="L17" i="48" s="1"/>
  <c r="J11" i="48"/>
  <c r="I11" i="48"/>
  <c r="O11" i="48" s="1"/>
  <c r="H11" i="48"/>
  <c r="M11" i="48" s="1"/>
  <c r="G11" i="48"/>
  <c r="I10" i="48"/>
  <c r="O10" i="48" s="1"/>
  <c r="H10" i="48"/>
  <c r="G10" i="48"/>
  <c r="J10" i="48" s="1"/>
  <c r="I9" i="48"/>
  <c r="O9" i="48" s="1"/>
  <c r="H9" i="48"/>
  <c r="M9" i="48" s="1"/>
  <c r="G9" i="48"/>
  <c r="J9" i="48" s="1"/>
  <c r="I8" i="48"/>
  <c r="O8" i="48" s="1"/>
  <c r="H8" i="48"/>
  <c r="M8" i="48" s="1"/>
  <c r="G8" i="48"/>
  <c r="I7" i="48"/>
  <c r="O7" i="48" s="1"/>
  <c r="H7" i="48"/>
  <c r="M7" i="48" s="1"/>
  <c r="G7" i="48"/>
  <c r="J7" i="48" s="1"/>
  <c r="I6" i="48"/>
  <c r="O6" i="48" s="1"/>
  <c r="H6" i="48"/>
  <c r="G6" i="48"/>
  <c r="J6" i="48" s="1"/>
  <c r="I5" i="48"/>
  <c r="O5" i="48" s="1"/>
  <c r="H5" i="48"/>
  <c r="M5" i="48" s="1"/>
  <c r="G5" i="48"/>
  <c r="J5" i="48" s="1"/>
  <c r="N4" i="48"/>
  <c r="I4" i="48"/>
  <c r="O4" i="48" s="1"/>
  <c r="H4" i="48"/>
  <c r="M4" i="48" s="1"/>
  <c r="G4" i="48"/>
  <c r="L22" i="48" l="1"/>
  <c r="L20" i="49"/>
  <c r="N22" i="50"/>
  <c r="K32" i="51"/>
  <c r="K34" i="52"/>
  <c r="L4" i="48"/>
  <c r="K5" i="49"/>
  <c r="K11" i="49"/>
  <c r="J33" i="49"/>
  <c r="L5" i="49"/>
  <c r="L11" i="49"/>
  <c r="L8" i="50"/>
  <c r="L19" i="50"/>
  <c r="K24" i="51"/>
  <c r="J7" i="51"/>
  <c r="N19" i="49"/>
  <c r="L23" i="51"/>
  <c r="L36" i="48"/>
  <c r="L9" i="50"/>
  <c r="K10" i="51"/>
  <c r="L19" i="52"/>
  <c r="N10" i="48"/>
  <c r="K24" i="48"/>
  <c r="L19" i="49"/>
  <c r="N34" i="49"/>
  <c r="K37" i="49"/>
  <c r="N7" i="50"/>
  <c r="N21" i="50"/>
  <c r="K37" i="50"/>
  <c r="N6" i="52"/>
  <c r="N20" i="48"/>
  <c r="N11" i="49"/>
  <c r="N18" i="49"/>
  <c r="K35" i="49"/>
  <c r="N5" i="50"/>
  <c r="K36" i="51"/>
  <c r="L37" i="48"/>
  <c r="L4" i="50"/>
  <c r="M20" i="48"/>
  <c r="M24" i="48"/>
  <c r="L32" i="48"/>
  <c r="J5" i="49"/>
  <c r="K7" i="49"/>
  <c r="J11" i="49"/>
  <c r="N23" i="49"/>
  <c r="N30" i="49"/>
  <c r="L36" i="49"/>
  <c r="N6" i="50"/>
  <c r="L21" i="50"/>
  <c r="K19" i="51"/>
  <c r="L21" i="51"/>
  <c r="J36" i="51"/>
  <c r="N36" i="50"/>
  <c r="N8" i="48"/>
  <c r="J20" i="48"/>
  <c r="N6" i="49"/>
  <c r="L7" i="49"/>
  <c r="J9" i="49"/>
  <c r="J20" i="49"/>
  <c r="J9" i="50"/>
  <c r="N17" i="50"/>
  <c r="L24" i="50"/>
  <c r="L33" i="50"/>
  <c r="J37" i="50"/>
  <c r="K7" i="51"/>
  <c r="J8" i="51"/>
  <c r="J11" i="51"/>
  <c r="L19" i="51"/>
  <c r="J24" i="51"/>
  <c r="K31" i="51"/>
  <c r="L10" i="48"/>
  <c r="L8" i="49"/>
  <c r="L9" i="49"/>
  <c r="J17" i="49"/>
  <c r="N22" i="49"/>
  <c r="O30" i="49"/>
  <c r="L5" i="50"/>
  <c r="N9" i="50"/>
  <c r="J19" i="50"/>
  <c r="G15" i="50" s="1" a="1"/>
  <c r="J33" i="50"/>
  <c r="L36" i="50"/>
  <c r="L4" i="51"/>
  <c r="J5" i="51"/>
  <c r="G2" i="51" s="1" a="1"/>
  <c r="N10" i="51"/>
  <c r="L11" i="51"/>
  <c r="K20" i="51"/>
  <c r="J21" i="51"/>
  <c r="J34" i="51"/>
  <c r="J4" i="48"/>
  <c r="K11" i="48"/>
  <c r="N17" i="48"/>
  <c r="N19" i="48"/>
  <c r="K31" i="48"/>
  <c r="J36" i="48"/>
  <c r="N9" i="49"/>
  <c r="N17" i="49"/>
  <c r="L21" i="49"/>
  <c r="M34" i="49"/>
  <c r="J11" i="50"/>
  <c r="K23" i="50"/>
  <c r="L32" i="50"/>
  <c r="N33" i="50"/>
  <c r="N5" i="51"/>
  <c r="L9" i="51"/>
  <c r="L17" i="51"/>
  <c r="N18" i="51"/>
  <c r="M21" i="51"/>
  <c r="N23" i="51"/>
  <c r="K33" i="51"/>
  <c r="K32" i="52"/>
  <c r="N6" i="48"/>
  <c r="L8" i="48"/>
  <c r="L21" i="48"/>
  <c r="N31" i="48"/>
  <c r="L33" i="48"/>
  <c r="K35" i="48"/>
  <c r="J19" i="49"/>
  <c r="J24" i="49"/>
  <c r="K7" i="50"/>
  <c r="L11" i="50"/>
  <c r="N18" i="50"/>
  <c r="L20" i="50"/>
  <c r="N23" i="50"/>
  <c r="N32" i="50"/>
  <c r="K30" i="51"/>
  <c r="N17" i="52"/>
  <c r="L6" i="48"/>
  <c r="L31" i="49"/>
  <c r="N35" i="49"/>
  <c r="L23" i="50"/>
  <c r="N30" i="50"/>
  <c r="J30" i="51"/>
  <c r="L18" i="52"/>
  <c r="N35" i="48"/>
  <c r="K7" i="48"/>
  <c r="J8" i="48"/>
  <c r="N21" i="48"/>
  <c r="N23" i="48"/>
  <c r="J33" i="48"/>
  <c r="J35" i="48"/>
  <c r="N21" i="49"/>
  <c r="K32" i="49"/>
  <c r="L37" i="49"/>
  <c r="J7" i="50"/>
  <c r="K19" i="50"/>
  <c r="J20" i="50"/>
  <c r="K24" i="50"/>
  <c r="N9" i="51"/>
  <c r="N11" i="51"/>
  <c r="M17" i="51"/>
  <c r="N19" i="51"/>
  <c r="N22" i="51"/>
  <c r="J35" i="51"/>
  <c r="K37" i="51"/>
  <c r="K28" i="52"/>
  <c r="L18" i="48"/>
  <c r="N33" i="48"/>
  <c r="J37" i="48"/>
  <c r="J7" i="49"/>
  <c r="G2" i="49" s="1" a="1"/>
  <c r="M10" i="49"/>
  <c r="L23" i="49"/>
  <c r="L35" i="49"/>
  <c r="J37" i="49"/>
  <c r="J4" i="50"/>
  <c r="L7" i="50"/>
  <c r="J17" i="50"/>
  <c r="L37" i="50"/>
  <c r="I40" i="53"/>
  <c r="H40" i="53" s="1"/>
  <c r="I32" i="53"/>
  <c r="H32" i="53" s="1"/>
  <c r="J43" i="53"/>
  <c r="N19" i="52"/>
  <c r="K6" i="52"/>
  <c r="K31" i="52"/>
  <c r="N5" i="52"/>
  <c r="J10" i="52"/>
  <c r="K17" i="52"/>
  <c r="J6" i="52"/>
  <c r="N9" i="52"/>
  <c r="N10" i="52"/>
  <c r="N16" i="52"/>
  <c r="J19" i="52"/>
  <c r="N20" i="52"/>
  <c r="K29" i="52"/>
  <c r="K33" i="52"/>
  <c r="L6" i="52"/>
  <c r="L10" i="52"/>
  <c r="L7" i="52"/>
  <c r="L21" i="52"/>
  <c r="L4" i="52"/>
  <c r="N4" i="52"/>
  <c r="L8" i="52"/>
  <c r="N8" i="52"/>
  <c r="L17" i="52"/>
  <c r="J18" i="52"/>
  <c r="K21" i="52"/>
  <c r="L22" i="52"/>
  <c r="J28" i="52"/>
  <c r="J29" i="52"/>
  <c r="J30" i="52"/>
  <c r="J31" i="52"/>
  <c r="J32" i="52"/>
  <c r="J33" i="52"/>
  <c r="J34" i="52"/>
  <c r="L28" i="52"/>
  <c r="O28" i="52"/>
  <c r="N28" i="52"/>
  <c r="L30" i="52"/>
  <c r="N30" i="52"/>
  <c r="O30" i="52"/>
  <c r="N32" i="52"/>
  <c r="L32" i="52"/>
  <c r="O32" i="52"/>
  <c r="L33" i="52"/>
  <c r="N33" i="52"/>
  <c r="O33" i="52"/>
  <c r="L29" i="52"/>
  <c r="O29" i="52"/>
  <c r="N29" i="52"/>
  <c r="L31" i="52"/>
  <c r="N31" i="52"/>
  <c r="O31" i="52"/>
  <c r="L34" i="52"/>
  <c r="N34" i="52"/>
  <c r="O34" i="52"/>
  <c r="K4" i="52"/>
  <c r="L5" i="52"/>
  <c r="M6" i="52"/>
  <c r="N7" i="52"/>
  <c r="K8" i="52"/>
  <c r="L9" i="52"/>
  <c r="M10" i="52"/>
  <c r="L16" i="52"/>
  <c r="M17" i="52"/>
  <c r="N18" i="52"/>
  <c r="K19" i="52"/>
  <c r="L20" i="52"/>
  <c r="M21" i="52"/>
  <c r="N22" i="52"/>
  <c r="K5" i="52"/>
  <c r="K9" i="52"/>
  <c r="K20" i="52"/>
  <c r="M5" i="52"/>
  <c r="K7" i="52"/>
  <c r="M9" i="52"/>
  <c r="M16" i="52"/>
  <c r="J17" i="52"/>
  <c r="K18" i="52"/>
  <c r="M20" i="52"/>
  <c r="J21" i="52"/>
  <c r="K22" i="52"/>
  <c r="K16" i="52"/>
  <c r="L34" i="51"/>
  <c r="N34" i="51"/>
  <c r="O34" i="51"/>
  <c r="L31" i="51"/>
  <c r="N31" i="51"/>
  <c r="O31" i="51"/>
  <c r="N35" i="51"/>
  <c r="L35" i="51"/>
  <c r="O35" i="51"/>
  <c r="L30" i="51"/>
  <c r="N30" i="51"/>
  <c r="O30" i="51"/>
  <c r="N32" i="51"/>
  <c r="L32" i="51"/>
  <c r="O32" i="51"/>
  <c r="L36" i="51"/>
  <c r="N36" i="51"/>
  <c r="O36" i="51"/>
  <c r="L33" i="51"/>
  <c r="O33" i="51"/>
  <c r="N33" i="51"/>
  <c r="L37" i="51"/>
  <c r="N37" i="51"/>
  <c r="O37" i="51"/>
  <c r="K22" i="51"/>
  <c r="N4" i="51"/>
  <c r="K5" i="51"/>
  <c r="L6" i="51"/>
  <c r="M7" i="51"/>
  <c r="N8" i="51"/>
  <c r="K9" i="51"/>
  <c r="L10" i="51"/>
  <c r="M11" i="51"/>
  <c r="K17" i="51"/>
  <c r="L18" i="51"/>
  <c r="M19" i="51"/>
  <c r="N20" i="51"/>
  <c r="K21" i="51"/>
  <c r="L22" i="51"/>
  <c r="M23" i="51"/>
  <c r="N24" i="51"/>
  <c r="K6" i="51"/>
  <c r="K4" i="51"/>
  <c r="M6" i="51"/>
  <c r="K8" i="51"/>
  <c r="M10" i="51"/>
  <c r="M18" i="51"/>
  <c r="J19" i="51"/>
  <c r="O20" i="51"/>
  <c r="M22" i="51"/>
  <c r="J23" i="51"/>
  <c r="O24" i="51"/>
  <c r="K18" i="51"/>
  <c r="N34" i="50"/>
  <c r="O34" i="50"/>
  <c r="L35" i="50"/>
  <c r="L31" i="50"/>
  <c r="N35" i="50"/>
  <c r="N37" i="50"/>
  <c r="O30" i="50"/>
  <c r="N31" i="49"/>
  <c r="N32" i="49"/>
  <c r="N33" i="49"/>
  <c r="N37" i="49"/>
  <c r="N36" i="49"/>
  <c r="N34" i="48"/>
  <c r="N37" i="48"/>
  <c r="L31" i="48"/>
  <c r="L35" i="48"/>
  <c r="N30" i="48"/>
  <c r="K18" i="50"/>
  <c r="K22" i="50"/>
  <c r="N4" i="50"/>
  <c r="K5" i="50"/>
  <c r="L6" i="50"/>
  <c r="M7" i="50"/>
  <c r="N8" i="50"/>
  <c r="K9" i="50"/>
  <c r="L10" i="50"/>
  <c r="M11" i="50"/>
  <c r="K17" i="50"/>
  <c r="L18" i="50"/>
  <c r="M19" i="50"/>
  <c r="N20" i="50"/>
  <c r="K21" i="50"/>
  <c r="L22" i="50"/>
  <c r="M23" i="50"/>
  <c r="N24" i="50"/>
  <c r="L30" i="50"/>
  <c r="M31" i="50"/>
  <c r="J32" i="50"/>
  <c r="O33" i="50"/>
  <c r="L34" i="50"/>
  <c r="M35" i="50"/>
  <c r="J36" i="50"/>
  <c r="O37" i="50"/>
  <c r="K4" i="50"/>
  <c r="M6" i="50"/>
  <c r="K8" i="50"/>
  <c r="M10" i="50"/>
  <c r="M18" i="50"/>
  <c r="K20" i="50"/>
  <c r="M22" i="50"/>
  <c r="J23" i="50"/>
  <c r="O24" i="50"/>
  <c r="J31" i="50"/>
  <c r="K32" i="50"/>
  <c r="J35" i="50"/>
  <c r="K36" i="50"/>
  <c r="K6" i="50"/>
  <c r="K10" i="50"/>
  <c r="K30" i="50"/>
  <c r="K34" i="50"/>
  <c r="K22" i="49"/>
  <c r="J4" i="49"/>
  <c r="N4" i="49"/>
  <c r="L6" i="49"/>
  <c r="M7" i="49"/>
  <c r="J8" i="49"/>
  <c r="N8" i="49"/>
  <c r="L10" i="49"/>
  <c r="M11" i="49"/>
  <c r="K17" i="49"/>
  <c r="L18" i="49"/>
  <c r="M19" i="49"/>
  <c r="N20" i="49"/>
  <c r="K21" i="49"/>
  <c r="L22" i="49"/>
  <c r="M23" i="49"/>
  <c r="N24" i="49"/>
  <c r="L30" i="49"/>
  <c r="M31" i="49"/>
  <c r="J32" i="49"/>
  <c r="O33" i="49"/>
  <c r="L34" i="49"/>
  <c r="M35" i="49"/>
  <c r="J36" i="49"/>
  <c r="O37" i="49"/>
  <c r="K34" i="49"/>
  <c r="K4" i="49"/>
  <c r="K8" i="49"/>
  <c r="M18" i="49"/>
  <c r="K20" i="49"/>
  <c r="M22" i="49"/>
  <c r="J23" i="49"/>
  <c r="K24" i="49"/>
  <c r="J31" i="49"/>
  <c r="G28" i="49" s="1" a="1"/>
  <c r="O32" i="49"/>
  <c r="J35" i="49"/>
  <c r="K36" i="49"/>
  <c r="K6" i="49"/>
  <c r="K10" i="49"/>
  <c r="K18" i="49"/>
  <c r="K30" i="49"/>
  <c r="K5" i="48"/>
  <c r="K9" i="48"/>
  <c r="K17" i="48"/>
  <c r="K21" i="48"/>
  <c r="K4" i="48"/>
  <c r="L5" i="48"/>
  <c r="M6" i="48"/>
  <c r="N7" i="48"/>
  <c r="K8" i="48"/>
  <c r="L9" i="48"/>
  <c r="M10" i="48"/>
  <c r="N11" i="48"/>
  <c r="N5" i="48"/>
  <c r="K6" i="48"/>
  <c r="L7" i="48"/>
  <c r="N9" i="48"/>
  <c r="K10" i="48"/>
  <c r="L11" i="48"/>
  <c r="J17" i="48"/>
  <c r="K18" i="48"/>
  <c r="L19" i="48"/>
  <c r="J21" i="48"/>
  <c r="K22" i="48"/>
  <c r="L23" i="48"/>
  <c r="K30" i="48"/>
  <c r="K34" i="48"/>
  <c r="L30" i="48"/>
  <c r="M31" i="48"/>
  <c r="N32" i="48"/>
  <c r="K33" i="48"/>
  <c r="L34" i="48"/>
  <c r="M35" i="48"/>
  <c r="N36" i="48"/>
  <c r="K37" i="48"/>
  <c r="M18" i="48"/>
  <c r="J19" i="48"/>
  <c r="K20" i="48"/>
  <c r="M22" i="48"/>
  <c r="J23" i="48"/>
  <c r="O24" i="48"/>
  <c r="M30" i="48"/>
  <c r="K32" i="48"/>
  <c r="M34" i="48"/>
  <c r="K36" i="48"/>
  <c r="G5" i="34"/>
  <c r="J5" i="34" s="1"/>
  <c r="H5" i="34"/>
  <c r="I5" i="34"/>
  <c r="O5" i="34" s="1"/>
  <c r="G6" i="34"/>
  <c r="J6" i="34" s="1"/>
  <c r="H6" i="34"/>
  <c r="I6" i="34"/>
  <c r="O6" i="34" s="1"/>
  <c r="G7" i="34"/>
  <c r="J7" i="34" s="1"/>
  <c r="H7" i="34"/>
  <c r="M7" i="34" s="1"/>
  <c r="I7" i="34"/>
  <c r="O7" i="34" s="1"/>
  <c r="H37" i="34"/>
  <c r="M37" i="34" s="1"/>
  <c r="G37" i="34"/>
  <c r="I37" i="34"/>
  <c r="O37" i="34" s="1"/>
  <c r="H36" i="34"/>
  <c r="M36" i="34" s="1"/>
  <c r="G36" i="34"/>
  <c r="I36" i="34"/>
  <c r="O36" i="34" s="1"/>
  <c r="H35" i="34"/>
  <c r="G35" i="34"/>
  <c r="I35" i="34"/>
  <c r="O35" i="34" s="1"/>
  <c r="H34" i="34"/>
  <c r="M34" i="34" s="1"/>
  <c r="G34" i="34"/>
  <c r="I34" i="34"/>
  <c r="O34" i="34" s="1"/>
  <c r="H33" i="34"/>
  <c r="M33" i="34" s="1"/>
  <c r="G33" i="34"/>
  <c r="I33" i="34"/>
  <c r="O33" i="34" s="1"/>
  <c r="H32" i="34"/>
  <c r="M32" i="34" s="1"/>
  <c r="G32" i="34"/>
  <c r="I32" i="34"/>
  <c r="O32" i="34" s="1"/>
  <c r="H31" i="34"/>
  <c r="G31" i="34"/>
  <c r="I31" i="34"/>
  <c r="O31" i="34" s="1"/>
  <c r="H30" i="34"/>
  <c r="M30" i="34" s="1"/>
  <c r="G30" i="34"/>
  <c r="I30" i="34"/>
  <c r="I24" i="34"/>
  <c r="O24" i="34" s="1"/>
  <c r="H24" i="34"/>
  <c r="M24" i="34" s="1"/>
  <c r="G24" i="34"/>
  <c r="I23" i="34"/>
  <c r="O23" i="34" s="1"/>
  <c r="H23" i="34"/>
  <c r="M23" i="34" s="1"/>
  <c r="G23" i="34"/>
  <c r="I22" i="34"/>
  <c r="O22" i="34" s="1"/>
  <c r="H22" i="34"/>
  <c r="M22" i="34" s="1"/>
  <c r="G22" i="34"/>
  <c r="J22" i="34" s="1"/>
  <c r="I21" i="34"/>
  <c r="O21" i="34" s="1"/>
  <c r="H21" i="34"/>
  <c r="M21" i="34" s="1"/>
  <c r="G21" i="34"/>
  <c r="I20" i="34"/>
  <c r="O20" i="34" s="1"/>
  <c r="H20" i="34"/>
  <c r="M20" i="34" s="1"/>
  <c r="G20" i="34"/>
  <c r="J20" i="34" s="1"/>
  <c r="I19" i="34"/>
  <c r="O19" i="34" s="1"/>
  <c r="H19" i="34"/>
  <c r="M19" i="34" s="1"/>
  <c r="G19" i="34"/>
  <c r="I18" i="34"/>
  <c r="O18" i="34" s="1"/>
  <c r="H18" i="34"/>
  <c r="M18" i="34" s="1"/>
  <c r="G18" i="34"/>
  <c r="I17" i="34"/>
  <c r="H17" i="34"/>
  <c r="M17" i="34" s="1"/>
  <c r="G17" i="34"/>
  <c r="I11" i="34"/>
  <c r="O11" i="34" s="1"/>
  <c r="H11" i="34"/>
  <c r="G11" i="34"/>
  <c r="J11" i="34" s="1"/>
  <c r="I10" i="34"/>
  <c r="O10" i="34" s="1"/>
  <c r="H10" i="34"/>
  <c r="M10" i="34" s="1"/>
  <c r="G10" i="34"/>
  <c r="I9" i="34"/>
  <c r="O9" i="34" s="1"/>
  <c r="H9" i="34"/>
  <c r="M9" i="34" s="1"/>
  <c r="G9" i="34"/>
  <c r="I8" i="34"/>
  <c r="O8" i="34" s="1"/>
  <c r="H8" i="34"/>
  <c r="G8" i="34"/>
  <c r="J8" i="34" s="1"/>
  <c r="I4" i="34"/>
  <c r="O4" i="34" s="1"/>
  <c r="H4" i="34"/>
  <c r="M4" i="34" s="1"/>
  <c r="G4" i="34"/>
  <c r="G15" i="49" l="1" a="1"/>
  <c r="G15" i="51" a="1"/>
  <c r="O15" i="51" s="1"/>
  <c r="J46" i="19" s="1"/>
  <c r="G28" i="50" a="1"/>
  <c r="O28" i="50" s="1"/>
  <c r="J69" i="19" s="1"/>
  <c r="G2" i="50" a="1"/>
  <c r="N2" i="50" s="1"/>
  <c r="I21" i="19" s="1"/>
  <c r="G2" i="48" a="1"/>
  <c r="M2" i="48" s="1"/>
  <c r="H18" i="19" s="1"/>
  <c r="G26" i="52" a="1"/>
  <c r="H26" i="52" s="1"/>
  <c r="C71" i="19" s="1"/>
  <c r="G2" i="52" a="1"/>
  <c r="K2" i="52" s="1"/>
  <c r="F23" i="19" s="1"/>
  <c r="G14" i="52" a="1"/>
  <c r="O14" i="52" s="1"/>
  <c r="J47" i="19" s="1"/>
  <c r="G28" i="51" a="1"/>
  <c r="P28" i="51" s="1"/>
  <c r="K70" i="19" s="1"/>
  <c r="L15" i="51"/>
  <c r="G46" i="19" s="1"/>
  <c r="N15" i="51"/>
  <c r="I46" i="19" s="1"/>
  <c r="J15" i="51"/>
  <c r="E46" i="19" s="1"/>
  <c r="M15" i="51"/>
  <c r="H46" i="19" s="1"/>
  <c r="I15" i="51"/>
  <c r="D46" i="19" s="1"/>
  <c r="N2" i="51"/>
  <c r="I22" i="19" s="1"/>
  <c r="J2" i="51"/>
  <c r="E22" i="19" s="1"/>
  <c r="G2" i="51"/>
  <c r="B22" i="19" s="1"/>
  <c r="M2" i="51"/>
  <c r="H22" i="19" s="1"/>
  <c r="I2" i="51"/>
  <c r="D22" i="19" s="1"/>
  <c r="K2" i="51"/>
  <c r="F22" i="19" s="1"/>
  <c r="P2" i="51"/>
  <c r="K22" i="19" s="1"/>
  <c r="L2" i="51"/>
  <c r="G22" i="19" s="1"/>
  <c r="H2" i="51"/>
  <c r="C22" i="19" s="1"/>
  <c r="O2" i="51"/>
  <c r="J22" i="19" s="1"/>
  <c r="G28" i="48" a="1"/>
  <c r="H28" i="48" s="1"/>
  <c r="C66" i="19" s="1"/>
  <c r="H28" i="50"/>
  <c r="C69" i="19" s="1"/>
  <c r="M28" i="50"/>
  <c r="H69" i="19" s="1"/>
  <c r="G28" i="50"/>
  <c r="B69" i="19" s="1"/>
  <c r="N28" i="50"/>
  <c r="I69" i="19" s="1"/>
  <c r="J28" i="50"/>
  <c r="E69" i="19" s="1"/>
  <c r="I28" i="50"/>
  <c r="D69" i="19" s="1"/>
  <c r="O15" i="50"/>
  <c r="J45" i="19" s="1"/>
  <c r="K15" i="50"/>
  <c r="F45" i="19" s="1"/>
  <c r="G15" i="50"/>
  <c r="B45" i="19" s="1"/>
  <c r="L15" i="50"/>
  <c r="G45" i="19" s="1"/>
  <c r="H15" i="50"/>
  <c r="C45" i="19" s="1"/>
  <c r="N15" i="50"/>
  <c r="I45" i="19" s="1"/>
  <c r="J15" i="50"/>
  <c r="E45" i="19" s="1"/>
  <c r="M15" i="50"/>
  <c r="H45" i="19" s="1"/>
  <c r="I15" i="50"/>
  <c r="D45" i="19" s="1"/>
  <c r="P15" i="50"/>
  <c r="K45" i="19" s="1"/>
  <c r="P28" i="49"/>
  <c r="K67" i="19" s="1"/>
  <c r="L28" i="49"/>
  <c r="G67" i="19" s="1"/>
  <c r="H28" i="49"/>
  <c r="C67" i="19" s="1"/>
  <c r="M28" i="49"/>
  <c r="H67" i="19" s="1"/>
  <c r="O28" i="49"/>
  <c r="J67" i="19" s="1"/>
  <c r="K28" i="49"/>
  <c r="F67" i="19" s="1"/>
  <c r="G28" i="49"/>
  <c r="B67" i="19" s="1"/>
  <c r="N28" i="49"/>
  <c r="I67" i="19" s="1"/>
  <c r="J28" i="49"/>
  <c r="E67" i="19" s="1"/>
  <c r="I28" i="49"/>
  <c r="D67" i="19" s="1"/>
  <c r="N2" i="49"/>
  <c r="I19" i="19" s="1"/>
  <c r="J2" i="49"/>
  <c r="E19" i="19" s="1"/>
  <c r="K2" i="49"/>
  <c r="F19" i="19" s="1"/>
  <c r="M2" i="49"/>
  <c r="H19" i="19" s="1"/>
  <c r="I2" i="49"/>
  <c r="D19" i="19" s="1"/>
  <c r="O2" i="49"/>
  <c r="J19" i="19" s="1"/>
  <c r="G2" i="49"/>
  <c r="B19" i="19" s="1"/>
  <c r="P2" i="49"/>
  <c r="K19" i="19" s="1"/>
  <c r="L2" i="49"/>
  <c r="G19" i="19" s="1"/>
  <c r="H2" i="49"/>
  <c r="C19" i="19" s="1"/>
  <c r="O15" i="49"/>
  <c r="J43" i="19" s="1"/>
  <c r="K15" i="49"/>
  <c r="F43" i="19" s="1"/>
  <c r="G15" i="49"/>
  <c r="B43" i="19" s="1"/>
  <c r="H15" i="49"/>
  <c r="C43" i="19" s="1"/>
  <c r="N15" i="49"/>
  <c r="I43" i="19" s="1"/>
  <c r="J15" i="49"/>
  <c r="E43" i="19" s="1"/>
  <c r="L15" i="49"/>
  <c r="G43" i="19" s="1"/>
  <c r="M15" i="49"/>
  <c r="H43" i="19" s="1"/>
  <c r="I15" i="49"/>
  <c r="D43" i="19" s="1"/>
  <c r="P15" i="49"/>
  <c r="K43" i="19" s="1"/>
  <c r="K2" i="48"/>
  <c r="F18" i="19" s="1"/>
  <c r="G2" i="48"/>
  <c r="B18" i="19" s="1"/>
  <c r="I2" i="48"/>
  <c r="D18" i="19" s="1"/>
  <c r="G15" i="48" a="1"/>
  <c r="N5" i="34"/>
  <c r="M5" i="34"/>
  <c r="K24" i="34"/>
  <c r="K5" i="34"/>
  <c r="K6" i="34"/>
  <c r="N6" i="34"/>
  <c r="M6" i="34"/>
  <c r="L5" i="34"/>
  <c r="L6" i="34"/>
  <c r="N7" i="34"/>
  <c r="K7" i="34"/>
  <c r="L7" i="34"/>
  <c r="K10" i="34"/>
  <c r="N11" i="34"/>
  <c r="K19" i="34"/>
  <c r="K23" i="34"/>
  <c r="K17" i="34"/>
  <c r="K21" i="34"/>
  <c r="M11" i="34"/>
  <c r="L22" i="34"/>
  <c r="L9" i="34"/>
  <c r="K18" i="34"/>
  <c r="N31" i="34"/>
  <c r="L32" i="34"/>
  <c r="N35" i="34"/>
  <c r="L36" i="34"/>
  <c r="N21" i="34"/>
  <c r="L18" i="34"/>
  <c r="L24" i="34"/>
  <c r="K4" i="34"/>
  <c r="N9" i="34"/>
  <c r="J18" i="34"/>
  <c r="K20" i="34"/>
  <c r="L20" i="34"/>
  <c r="J24" i="34"/>
  <c r="L30" i="34"/>
  <c r="M31" i="34"/>
  <c r="N33" i="34"/>
  <c r="L34" i="34"/>
  <c r="M35" i="34"/>
  <c r="N37" i="34"/>
  <c r="N17" i="34"/>
  <c r="O17" i="34"/>
  <c r="N8" i="34"/>
  <c r="M8" i="34"/>
  <c r="K9" i="34"/>
  <c r="L4" i="34"/>
  <c r="K8" i="34"/>
  <c r="N4" i="34"/>
  <c r="L8" i="34"/>
  <c r="J9" i="34"/>
  <c r="L10" i="34"/>
  <c r="J10" i="34"/>
  <c r="L19" i="34"/>
  <c r="J19" i="34"/>
  <c r="J4" i="34"/>
  <c r="N10" i="34"/>
  <c r="J17" i="34"/>
  <c r="L17" i="34"/>
  <c r="N18" i="34"/>
  <c r="N19" i="34"/>
  <c r="K22" i="34"/>
  <c r="L23" i="34"/>
  <c r="J23" i="34"/>
  <c r="N24" i="34"/>
  <c r="N30" i="34"/>
  <c r="N32" i="34"/>
  <c r="N34" i="34"/>
  <c r="N36" i="34"/>
  <c r="N20" i="34"/>
  <c r="K11" i="34"/>
  <c r="L11" i="34"/>
  <c r="J21" i="34"/>
  <c r="L21" i="34"/>
  <c r="N22" i="34"/>
  <c r="N23" i="34"/>
  <c r="O30" i="34"/>
  <c r="L31" i="34"/>
  <c r="L33" i="34"/>
  <c r="L35" i="34"/>
  <c r="L37" i="34"/>
  <c r="J30" i="34"/>
  <c r="J31" i="34"/>
  <c r="J32" i="34"/>
  <c r="J33" i="34"/>
  <c r="J34" i="34"/>
  <c r="J35" i="34"/>
  <c r="J36" i="34"/>
  <c r="J37" i="34"/>
  <c r="K30" i="34"/>
  <c r="K31" i="34"/>
  <c r="K32" i="34"/>
  <c r="K33" i="34"/>
  <c r="K34" i="34"/>
  <c r="K35" i="34"/>
  <c r="K36" i="34"/>
  <c r="K37" i="34"/>
  <c r="H67" i="33"/>
  <c r="M67" i="33" s="1"/>
  <c r="G67" i="33"/>
  <c r="J67" i="33" s="1"/>
  <c r="C67" i="33"/>
  <c r="I67" i="33" s="1"/>
  <c r="O67" i="33" s="1"/>
  <c r="H66" i="33"/>
  <c r="M66" i="33" s="1"/>
  <c r="G66" i="33"/>
  <c r="C66" i="33"/>
  <c r="I66" i="33" s="1"/>
  <c r="H65" i="33"/>
  <c r="M65" i="33" s="1"/>
  <c r="G65" i="33"/>
  <c r="C65" i="33"/>
  <c r="I65" i="33" s="1"/>
  <c r="H64" i="33"/>
  <c r="M64" i="33" s="1"/>
  <c r="G64" i="33"/>
  <c r="C64" i="33"/>
  <c r="I64" i="33" s="1"/>
  <c r="H63" i="33"/>
  <c r="M63" i="33" s="1"/>
  <c r="G63" i="33"/>
  <c r="C63" i="33"/>
  <c r="I63" i="33" s="1"/>
  <c r="H62" i="33"/>
  <c r="M62" i="33" s="1"/>
  <c r="G62" i="33"/>
  <c r="K62" i="33" s="1"/>
  <c r="C62" i="33"/>
  <c r="I62" i="33" s="1"/>
  <c r="H61" i="33"/>
  <c r="M61" i="33" s="1"/>
  <c r="G61" i="33"/>
  <c r="C61" i="33"/>
  <c r="I61" i="33" s="1"/>
  <c r="H60" i="33"/>
  <c r="M60" i="33" s="1"/>
  <c r="G60" i="33"/>
  <c r="K60" i="33" s="1"/>
  <c r="C60" i="33"/>
  <c r="I60" i="33" s="1"/>
  <c r="H59" i="33"/>
  <c r="M59" i="33" s="1"/>
  <c r="G59" i="33"/>
  <c r="C59" i="33"/>
  <c r="I59" i="33" s="1"/>
  <c r="H58" i="33"/>
  <c r="M58" i="33" s="1"/>
  <c r="G58" i="33"/>
  <c r="C58" i="33"/>
  <c r="I58" i="33" s="1"/>
  <c r="H57" i="33"/>
  <c r="M57" i="33" s="1"/>
  <c r="G57" i="33"/>
  <c r="C57" i="33"/>
  <c r="I57" i="33" s="1"/>
  <c r="H56" i="33"/>
  <c r="M56" i="33" s="1"/>
  <c r="G56" i="33"/>
  <c r="C56" i="33"/>
  <c r="I56" i="33" s="1"/>
  <c r="H55" i="33"/>
  <c r="M55" i="33" s="1"/>
  <c r="G55" i="33"/>
  <c r="K55" i="33" s="1"/>
  <c r="C55" i="33"/>
  <c r="I55" i="33" s="1"/>
  <c r="H54" i="33"/>
  <c r="M54" i="33" s="1"/>
  <c r="G54" i="33"/>
  <c r="C54" i="33"/>
  <c r="I54" i="33" s="1"/>
  <c r="H53" i="33"/>
  <c r="M53" i="33" s="1"/>
  <c r="G53" i="33"/>
  <c r="C53" i="33"/>
  <c r="I53" i="33" s="1"/>
  <c r="H52" i="33"/>
  <c r="M52" i="33" s="1"/>
  <c r="G52" i="33"/>
  <c r="K52" i="33" s="1"/>
  <c r="C52" i="33"/>
  <c r="I52" i="33" s="1"/>
  <c r="H51" i="33"/>
  <c r="M51" i="33" s="1"/>
  <c r="G51" i="33"/>
  <c r="C51" i="33"/>
  <c r="I51" i="33" s="1"/>
  <c r="H50" i="33"/>
  <c r="M50" i="33" s="1"/>
  <c r="G50" i="33"/>
  <c r="C50" i="33"/>
  <c r="I50" i="33" s="1"/>
  <c r="I44" i="33"/>
  <c r="H44" i="33"/>
  <c r="M44" i="33" s="1"/>
  <c r="G44" i="33"/>
  <c r="J44" i="33" s="1"/>
  <c r="I43" i="33"/>
  <c r="O43" i="33" s="1"/>
  <c r="H43" i="33"/>
  <c r="G43" i="33"/>
  <c r="I42" i="33"/>
  <c r="O42" i="33" s="1"/>
  <c r="H42" i="33"/>
  <c r="G42" i="33"/>
  <c r="I41" i="33"/>
  <c r="O41" i="33" s="1"/>
  <c r="H41" i="33"/>
  <c r="M41" i="33" s="1"/>
  <c r="G41" i="33"/>
  <c r="J41" i="33" s="1"/>
  <c r="M40" i="33"/>
  <c r="J40" i="33"/>
  <c r="I40" i="33"/>
  <c r="O40" i="33" s="1"/>
  <c r="H40" i="33"/>
  <c r="G40" i="33"/>
  <c r="I39" i="33"/>
  <c r="O39" i="33" s="1"/>
  <c r="H39" i="33"/>
  <c r="G39" i="33"/>
  <c r="J39" i="33" s="1"/>
  <c r="I38" i="33"/>
  <c r="O38" i="33" s="1"/>
  <c r="H38" i="33"/>
  <c r="G38" i="33"/>
  <c r="J38" i="33" s="1"/>
  <c r="I37" i="33"/>
  <c r="O37" i="33" s="1"/>
  <c r="H37" i="33"/>
  <c r="M37" i="33" s="1"/>
  <c r="G37" i="33"/>
  <c r="I36" i="33"/>
  <c r="O36" i="33" s="1"/>
  <c r="H36" i="33"/>
  <c r="M36" i="33" s="1"/>
  <c r="G36" i="33"/>
  <c r="J36" i="33" s="1"/>
  <c r="I35" i="33"/>
  <c r="O35" i="33" s="1"/>
  <c r="H35" i="33"/>
  <c r="G35" i="33"/>
  <c r="J35" i="33" s="1"/>
  <c r="I34" i="33"/>
  <c r="O34" i="33" s="1"/>
  <c r="H34" i="33"/>
  <c r="G34" i="33"/>
  <c r="J34" i="33" s="1"/>
  <c r="I33" i="33"/>
  <c r="O33" i="33" s="1"/>
  <c r="H33" i="33"/>
  <c r="M33" i="33" s="1"/>
  <c r="G33" i="33"/>
  <c r="I32" i="33"/>
  <c r="O32" i="33" s="1"/>
  <c r="H32" i="33"/>
  <c r="M32" i="33" s="1"/>
  <c r="G32" i="33"/>
  <c r="J32" i="33" s="1"/>
  <c r="I31" i="33"/>
  <c r="O31" i="33" s="1"/>
  <c r="H31" i="33"/>
  <c r="G31" i="33"/>
  <c r="J30" i="33"/>
  <c r="I30" i="33"/>
  <c r="H30" i="33"/>
  <c r="M30" i="33" s="1"/>
  <c r="G30" i="33"/>
  <c r="I29" i="33"/>
  <c r="H29" i="33"/>
  <c r="N29" i="33" s="1"/>
  <c r="G29" i="33"/>
  <c r="I28" i="33"/>
  <c r="O28" i="33" s="1"/>
  <c r="H28" i="33"/>
  <c r="G28" i="33"/>
  <c r="I27" i="33"/>
  <c r="O27" i="33" s="1"/>
  <c r="H27" i="33"/>
  <c r="M27" i="33" s="1"/>
  <c r="G27" i="33"/>
  <c r="J27" i="33" s="1"/>
  <c r="I21" i="33"/>
  <c r="H21" i="33"/>
  <c r="N21" i="33" s="1"/>
  <c r="G21" i="33"/>
  <c r="K21" i="33" s="1"/>
  <c r="I20" i="33"/>
  <c r="O20" i="33" s="1"/>
  <c r="H20" i="33"/>
  <c r="G20" i="33"/>
  <c r="I19" i="33"/>
  <c r="O19" i="33" s="1"/>
  <c r="H19" i="33"/>
  <c r="G19" i="33"/>
  <c r="J19" i="33" s="1"/>
  <c r="I18" i="33"/>
  <c r="O18" i="33" s="1"/>
  <c r="H18" i="33"/>
  <c r="G18" i="33"/>
  <c r="J18" i="33" s="1"/>
  <c r="I17" i="33"/>
  <c r="H17" i="33"/>
  <c r="G17" i="33"/>
  <c r="J17" i="33" s="1"/>
  <c r="I16" i="33"/>
  <c r="O16" i="33" s="1"/>
  <c r="H16" i="33"/>
  <c r="G16" i="33"/>
  <c r="I15" i="33"/>
  <c r="O15" i="33" s="1"/>
  <c r="H15" i="33"/>
  <c r="M15" i="33" s="1"/>
  <c r="G15" i="33"/>
  <c r="J15" i="33" s="1"/>
  <c r="I14" i="33"/>
  <c r="O14" i="33" s="1"/>
  <c r="H14" i="33"/>
  <c r="M14" i="33" s="1"/>
  <c r="G14" i="33"/>
  <c r="M13" i="33"/>
  <c r="J13" i="33"/>
  <c r="I13" i="33"/>
  <c r="L13" i="33" s="1"/>
  <c r="H13" i="33"/>
  <c r="G13" i="33"/>
  <c r="K13" i="33" s="1"/>
  <c r="I12" i="33"/>
  <c r="O12" i="33" s="1"/>
  <c r="H12" i="33"/>
  <c r="G12" i="33"/>
  <c r="O11" i="33"/>
  <c r="I11" i="33"/>
  <c r="H11" i="33"/>
  <c r="M11" i="33" s="1"/>
  <c r="G11" i="33"/>
  <c r="J11" i="33" s="1"/>
  <c r="I10" i="33"/>
  <c r="O10" i="33" s="1"/>
  <c r="H10" i="33"/>
  <c r="M10" i="33" s="1"/>
  <c r="G10" i="33"/>
  <c r="J10" i="33" s="1"/>
  <c r="J9" i="33"/>
  <c r="I9" i="33"/>
  <c r="H9" i="33"/>
  <c r="M9" i="33" s="1"/>
  <c r="G9" i="33"/>
  <c r="I8" i="33"/>
  <c r="O8" i="33" s="1"/>
  <c r="H8" i="33"/>
  <c r="N8" i="33" s="1"/>
  <c r="G8" i="33"/>
  <c r="I7" i="33"/>
  <c r="O7" i="33" s="1"/>
  <c r="H7" i="33"/>
  <c r="M7" i="33" s="1"/>
  <c r="G7" i="33"/>
  <c r="J7" i="33" s="1"/>
  <c r="I6" i="33"/>
  <c r="O6" i="33" s="1"/>
  <c r="H6" i="33"/>
  <c r="N6" i="33" s="1"/>
  <c r="G6" i="33"/>
  <c r="J6" i="33" s="1"/>
  <c r="I5" i="33"/>
  <c r="H5" i="33"/>
  <c r="N5" i="33" s="1"/>
  <c r="G5" i="33"/>
  <c r="I4" i="33"/>
  <c r="O4" i="33" s="1"/>
  <c r="H4" i="33"/>
  <c r="G4" i="33"/>
  <c r="K4" i="33" s="1"/>
  <c r="H64" i="32"/>
  <c r="M64" i="32" s="1"/>
  <c r="G64" i="32"/>
  <c r="C64" i="32"/>
  <c r="I64" i="32" s="1"/>
  <c r="H63" i="32"/>
  <c r="M63" i="32" s="1"/>
  <c r="G63" i="32"/>
  <c r="C63" i="32"/>
  <c r="I63" i="32" s="1"/>
  <c r="H62" i="32"/>
  <c r="M62" i="32" s="1"/>
  <c r="G62" i="32"/>
  <c r="C62" i="32"/>
  <c r="I62" i="32" s="1"/>
  <c r="H61" i="32"/>
  <c r="M61" i="32" s="1"/>
  <c r="G61" i="32"/>
  <c r="C61" i="32"/>
  <c r="I61" i="32" s="1"/>
  <c r="H60" i="32"/>
  <c r="M60" i="32" s="1"/>
  <c r="G60" i="32"/>
  <c r="C60" i="32"/>
  <c r="I60" i="32" s="1"/>
  <c r="H59" i="32"/>
  <c r="M59" i="32" s="1"/>
  <c r="G59" i="32"/>
  <c r="C59" i="32"/>
  <c r="I59" i="32" s="1"/>
  <c r="H58" i="32"/>
  <c r="M58" i="32" s="1"/>
  <c r="G58" i="32"/>
  <c r="C58" i="32"/>
  <c r="I58" i="32" s="1"/>
  <c r="H57" i="32"/>
  <c r="M57" i="32" s="1"/>
  <c r="G57" i="32"/>
  <c r="C57" i="32"/>
  <c r="I57" i="32" s="1"/>
  <c r="H56" i="32"/>
  <c r="M56" i="32" s="1"/>
  <c r="G56" i="32"/>
  <c r="C56" i="32"/>
  <c r="I56" i="32" s="1"/>
  <c r="H55" i="32"/>
  <c r="M55" i="32" s="1"/>
  <c r="G55" i="32"/>
  <c r="C55" i="32"/>
  <c r="I55" i="32" s="1"/>
  <c r="H54" i="32"/>
  <c r="M54" i="32" s="1"/>
  <c r="G54" i="32"/>
  <c r="C54" i="32"/>
  <c r="I54" i="32" s="1"/>
  <c r="H53" i="32"/>
  <c r="M53" i="32" s="1"/>
  <c r="G53" i="32"/>
  <c r="C53" i="32"/>
  <c r="I53" i="32" s="1"/>
  <c r="H52" i="32"/>
  <c r="M52" i="32" s="1"/>
  <c r="G52" i="32"/>
  <c r="C52" i="32"/>
  <c r="I52" i="32" s="1"/>
  <c r="H51" i="32"/>
  <c r="M51" i="32" s="1"/>
  <c r="G51" i="32"/>
  <c r="C51" i="32"/>
  <c r="I51" i="32" s="1"/>
  <c r="H50" i="32"/>
  <c r="M50" i="32" s="1"/>
  <c r="G50" i="32"/>
  <c r="C50" i="32"/>
  <c r="I50" i="32" s="1"/>
  <c r="H49" i="32"/>
  <c r="M49" i="32" s="1"/>
  <c r="G49" i="32"/>
  <c r="C49" i="32"/>
  <c r="I49" i="32" s="1"/>
  <c r="H48" i="32"/>
  <c r="G48" i="32"/>
  <c r="C48" i="32"/>
  <c r="I48" i="32" s="1"/>
  <c r="I42" i="32"/>
  <c r="O42" i="32" s="1"/>
  <c r="H42" i="32"/>
  <c r="G42" i="32"/>
  <c r="I41" i="32"/>
  <c r="O41" i="32" s="1"/>
  <c r="H41" i="32"/>
  <c r="G41" i="32"/>
  <c r="J41" i="32" s="1"/>
  <c r="I40" i="32"/>
  <c r="O40" i="32" s="1"/>
  <c r="H40" i="32"/>
  <c r="M40" i="32" s="1"/>
  <c r="G40" i="32"/>
  <c r="I39" i="32"/>
  <c r="O39" i="32" s="1"/>
  <c r="H39" i="32"/>
  <c r="M39" i="32" s="1"/>
  <c r="G39" i="32"/>
  <c r="I38" i="32"/>
  <c r="O38" i="32" s="1"/>
  <c r="H38" i="32"/>
  <c r="M38" i="32" s="1"/>
  <c r="G38" i="32"/>
  <c r="I37" i="32"/>
  <c r="O37" i="32" s="1"/>
  <c r="H37" i="32"/>
  <c r="M37" i="32" s="1"/>
  <c r="G37" i="32"/>
  <c r="I36" i="32"/>
  <c r="O36" i="32" s="1"/>
  <c r="H36" i="32"/>
  <c r="M36" i="32" s="1"/>
  <c r="G36" i="32"/>
  <c r="I35" i="32"/>
  <c r="O35" i="32" s="1"/>
  <c r="H35" i="32"/>
  <c r="G35" i="32"/>
  <c r="J35" i="32" s="1"/>
  <c r="I34" i="32"/>
  <c r="O34" i="32" s="1"/>
  <c r="H34" i="32"/>
  <c r="G34" i="32"/>
  <c r="J34" i="32" s="1"/>
  <c r="I33" i="32"/>
  <c r="O33" i="32" s="1"/>
  <c r="H33" i="32"/>
  <c r="M33" i="32" s="1"/>
  <c r="G33" i="32"/>
  <c r="I32" i="32"/>
  <c r="O32" i="32" s="1"/>
  <c r="H32" i="32"/>
  <c r="G32" i="32"/>
  <c r="J32" i="32" s="1"/>
  <c r="I31" i="32"/>
  <c r="O31" i="32" s="1"/>
  <c r="H31" i="32"/>
  <c r="G31" i="32"/>
  <c r="I30" i="32"/>
  <c r="O30" i="32" s="1"/>
  <c r="H30" i="32"/>
  <c r="G30" i="32"/>
  <c r="J30" i="32" s="1"/>
  <c r="I29" i="32"/>
  <c r="O29" i="32" s="1"/>
  <c r="H29" i="32"/>
  <c r="M29" i="32" s="1"/>
  <c r="G29" i="32"/>
  <c r="I28" i="32"/>
  <c r="O28" i="32" s="1"/>
  <c r="H28" i="32"/>
  <c r="G28" i="32"/>
  <c r="J28" i="32" s="1"/>
  <c r="I27" i="32"/>
  <c r="O27" i="32" s="1"/>
  <c r="H27" i="32"/>
  <c r="G27" i="32"/>
  <c r="J27" i="32" s="1"/>
  <c r="I26" i="32"/>
  <c r="O26" i="32" s="1"/>
  <c r="H26" i="32"/>
  <c r="G26" i="32"/>
  <c r="J26" i="32" s="1"/>
  <c r="I20" i="32"/>
  <c r="O20" i="32" s="1"/>
  <c r="H20" i="32"/>
  <c r="M20" i="32" s="1"/>
  <c r="G20" i="32"/>
  <c r="I19" i="32"/>
  <c r="O19" i="32" s="1"/>
  <c r="H19" i="32"/>
  <c r="G19" i="32"/>
  <c r="I18" i="32"/>
  <c r="O18" i="32" s="1"/>
  <c r="H18" i="32"/>
  <c r="G18" i="32"/>
  <c r="J18" i="32" s="1"/>
  <c r="I17" i="32"/>
  <c r="O17" i="32" s="1"/>
  <c r="H17" i="32"/>
  <c r="M17" i="32" s="1"/>
  <c r="G17" i="32"/>
  <c r="J17" i="32" s="1"/>
  <c r="I16" i="32"/>
  <c r="H16" i="32"/>
  <c r="M16" i="32" s="1"/>
  <c r="G16" i="32"/>
  <c r="I15" i="32"/>
  <c r="O15" i="32" s="1"/>
  <c r="H15" i="32"/>
  <c r="G15" i="32"/>
  <c r="J15" i="32" s="1"/>
  <c r="I14" i="32"/>
  <c r="H14" i="32"/>
  <c r="M14" i="32" s="1"/>
  <c r="G14" i="32"/>
  <c r="I13" i="32"/>
  <c r="O13" i="32" s="1"/>
  <c r="H13" i="32"/>
  <c r="M13" i="32" s="1"/>
  <c r="G13" i="32"/>
  <c r="I12" i="32"/>
  <c r="O12" i="32" s="1"/>
  <c r="H12" i="32"/>
  <c r="G12" i="32"/>
  <c r="I11" i="32"/>
  <c r="O11" i="32" s="1"/>
  <c r="H11" i="32"/>
  <c r="G11" i="32"/>
  <c r="J11" i="32" s="1"/>
  <c r="I10" i="32"/>
  <c r="O10" i="32" s="1"/>
  <c r="H10" i="32"/>
  <c r="M10" i="32" s="1"/>
  <c r="G10" i="32"/>
  <c r="I9" i="32"/>
  <c r="H9" i="32"/>
  <c r="M9" i="32" s="1"/>
  <c r="G9" i="32"/>
  <c r="I8" i="32"/>
  <c r="O8" i="32" s="1"/>
  <c r="H8" i="32"/>
  <c r="G8" i="32"/>
  <c r="I7" i="32"/>
  <c r="O7" i="32" s="1"/>
  <c r="H7" i="32"/>
  <c r="G7" i="32"/>
  <c r="J7" i="32" s="1"/>
  <c r="I6" i="32"/>
  <c r="O6" i="32" s="1"/>
  <c r="H6" i="32"/>
  <c r="M6" i="32" s="1"/>
  <c r="G6" i="32"/>
  <c r="I5" i="32"/>
  <c r="H5" i="32"/>
  <c r="M5" i="32" s="1"/>
  <c r="G5" i="32"/>
  <c r="J5" i="32" s="1"/>
  <c r="I4" i="32"/>
  <c r="O4" i="32" s="1"/>
  <c r="H4" i="32"/>
  <c r="M4" i="32" s="1"/>
  <c r="G4" i="32"/>
  <c r="M5" i="33" l="1"/>
  <c r="N17" i="33"/>
  <c r="K28" i="33"/>
  <c r="K64" i="33"/>
  <c r="L28" i="50"/>
  <c r="G69" i="19" s="1"/>
  <c r="N42" i="32"/>
  <c r="P28" i="50"/>
  <c r="K69" i="19" s="1"/>
  <c r="K2" i="50"/>
  <c r="F21" i="19" s="1"/>
  <c r="K61" i="32"/>
  <c r="H2" i="50"/>
  <c r="C21" i="19" s="1"/>
  <c r="H15" i="51"/>
  <c r="C46" i="19" s="1"/>
  <c r="L2" i="50"/>
  <c r="G21" i="19" s="1"/>
  <c r="P2" i="50"/>
  <c r="K21" i="19" s="1"/>
  <c r="P15" i="51"/>
  <c r="K46" i="19" s="1"/>
  <c r="K66" i="33"/>
  <c r="M2" i="50"/>
  <c r="H21" i="19" s="1"/>
  <c r="G15" i="51"/>
  <c r="B46" i="19" s="1"/>
  <c r="N19" i="33"/>
  <c r="K53" i="33"/>
  <c r="J2" i="50"/>
  <c r="E21" i="19" s="1"/>
  <c r="K15" i="51"/>
  <c r="F46" i="19" s="1"/>
  <c r="L14" i="33"/>
  <c r="K54" i="33"/>
  <c r="K43" i="33"/>
  <c r="K61" i="33"/>
  <c r="K16" i="33"/>
  <c r="M21" i="33"/>
  <c r="K56" i="33"/>
  <c r="K28" i="50"/>
  <c r="F69" i="19" s="1"/>
  <c r="K5" i="33"/>
  <c r="K63" i="33"/>
  <c r="N10" i="33"/>
  <c r="N14" i="33"/>
  <c r="J43" i="33"/>
  <c r="O2" i="48"/>
  <c r="J18" i="19" s="1"/>
  <c r="G2" i="50"/>
  <c r="B21" i="19" s="1"/>
  <c r="L9" i="33"/>
  <c r="L17" i="33"/>
  <c r="J21" i="33"/>
  <c r="L28" i="33"/>
  <c r="L30" i="33"/>
  <c r="L43" i="33"/>
  <c r="K51" i="33"/>
  <c r="K59" i="33"/>
  <c r="I2" i="50"/>
  <c r="D21" i="19" s="1"/>
  <c r="L4" i="33"/>
  <c r="K8" i="33"/>
  <c r="N18" i="33"/>
  <c r="K29" i="33"/>
  <c r="K57" i="33"/>
  <c r="K65" i="33"/>
  <c r="O2" i="50"/>
  <c r="J21" i="19" s="1"/>
  <c r="M18" i="33"/>
  <c r="M29" i="33"/>
  <c r="K50" i="33"/>
  <c r="K58" i="33"/>
  <c r="L12" i="33"/>
  <c r="L20" i="33"/>
  <c r="M6" i="33"/>
  <c r="J2" i="48"/>
  <c r="E18" i="19" s="1"/>
  <c r="L10" i="33"/>
  <c r="J14" i="33"/>
  <c r="M17" i="33"/>
  <c r="N27" i="33"/>
  <c r="N30" i="33"/>
  <c r="J51" i="33"/>
  <c r="J53" i="33"/>
  <c r="J55" i="33"/>
  <c r="J57" i="33"/>
  <c r="J59" i="33"/>
  <c r="J61" i="33"/>
  <c r="J63" i="33"/>
  <c r="J65" i="33"/>
  <c r="L2" i="48"/>
  <c r="G18" i="19" s="1"/>
  <c r="N2" i="48"/>
  <c r="I18" i="19" s="1"/>
  <c r="N15" i="33"/>
  <c r="N37" i="33"/>
  <c r="H2" i="48"/>
  <c r="C18" i="19" s="1"/>
  <c r="L5" i="33"/>
  <c r="L8" i="33"/>
  <c r="N11" i="33"/>
  <c r="N13" i="33"/>
  <c r="N16" i="33"/>
  <c r="L18" i="33"/>
  <c r="L21" i="33"/>
  <c r="L29" i="33"/>
  <c r="K31" i="33"/>
  <c r="L33" i="33"/>
  <c r="N41" i="33"/>
  <c r="N56" i="33"/>
  <c r="P2" i="48"/>
  <c r="K18" i="19" s="1"/>
  <c r="N4" i="33"/>
  <c r="L6" i="33"/>
  <c r="K9" i="33"/>
  <c r="K12" i="33"/>
  <c r="L16" i="33"/>
  <c r="K20" i="33"/>
  <c r="N28" i="33"/>
  <c r="K30" i="33"/>
  <c r="L37" i="33"/>
  <c r="K42" i="33"/>
  <c r="N7" i="33"/>
  <c r="N9" i="33"/>
  <c r="N12" i="33"/>
  <c r="K17" i="33"/>
  <c r="N20" i="33"/>
  <c r="L32" i="33"/>
  <c r="N33" i="33"/>
  <c r="K39" i="33"/>
  <c r="N42" i="33"/>
  <c r="J50" i="33"/>
  <c r="J52" i="33"/>
  <c r="J54" i="33"/>
  <c r="J56" i="33"/>
  <c r="J58" i="33"/>
  <c r="J60" i="33"/>
  <c r="J62" i="33"/>
  <c r="J64" i="33"/>
  <c r="J66" i="33"/>
  <c r="P26" i="52"/>
  <c r="K71" i="19" s="1"/>
  <c r="M26" i="52"/>
  <c r="H71" i="19" s="1"/>
  <c r="L26" i="52"/>
  <c r="G71" i="19" s="1"/>
  <c r="J26" i="52"/>
  <c r="E71" i="19" s="1"/>
  <c r="K26" i="52"/>
  <c r="F71" i="19" s="1"/>
  <c r="O26" i="52"/>
  <c r="J71" i="19" s="1"/>
  <c r="N26" i="52"/>
  <c r="I71" i="19" s="1"/>
  <c r="I26" i="52"/>
  <c r="D71" i="19" s="1"/>
  <c r="G26" i="52"/>
  <c r="B71" i="19" s="1"/>
  <c r="M14" i="52"/>
  <c r="H47" i="19" s="1"/>
  <c r="L14" i="52"/>
  <c r="G47" i="19" s="1"/>
  <c r="G2" i="52"/>
  <c r="B23" i="19" s="1"/>
  <c r="P2" i="52"/>
  <c r="K23" i="19" s="1"/>
  <c r="J2" i="52"/>
  <c r="E23" i="19" s="1"/>
  <c r="H14" i="52"/>
  <c r="C47" i="19" s="1"/>
  <c r="G14" i="52"/>
  <c r="B47" i="19" s="1"/>
  <c r="O2" i="52"/>
  <c r="J23" i="19" s="1"/>
  <c r="I2" i="52"/>
  <c r="D23" i="19" s="1"/>
  <c r="N2" i="52"/>
  <c r="I23" i="19" s="1"/>
  <c r="P14" i="52"/>
  <c r="K47" i="19" s="1"/>
  <c r="J14" i="52"/>
  <c r="E47" i="19" s="1"/>
  <c r="K14" i="52"/>
  <c r="F47" i="19" s="1"/>
  <c r="H2" i="52"/>
  <c r="C23" i="19" s="1"/>
  <c r="M2" i="52"/>
  <c r="H23" i="19" s="1"/>
  <c r="I14" i="52"/>
  <c r="D47" i="19" s="1"/>
  <c r="N14" i="52"/>
  <c r="I47" i="19" s="1"/>
  <c r="L2" i="52"/>
  <c r="G23" i="19" s="1"/>
  <c r="M28" i="51"/>
  <c r="H70" i="19" s="1"/>
  <c r="I28" i="51"/>
  <c r="D70" i="19" s="1"/>
  <c r="G28" i="51"/>
  <c r="B70" i="19" s="1"/>
  <c r="H28" i="51"/>
  <c r="C70" i="19" s="1"/>
  <c r="J28" i="51"/>
  <c r="E70" i="19" s="1"/>
  <c r="K28" i="51"/>
  <c r="F70" i="19" s="1"/>
  <c r="L28" i="51"/>
  <c r="G70" i="19" s="1"/>
  <c r="N28" i="51"/>
  <c r="I70" i="19" s="1"/>
  <c r="O28" i="51"/>
  <c r="J70" i="19" s="1"/>
  <c r="Q8" i="51"/>
  <c r="R8" i="51" s="1"/>
  <c r="Q4" i="51"/>
  <c r="R4" i="51" s="1"/>
  <c r="Q7" i="51"/>
  <c r="R7" i="51" s="1"/>
  <c r="Q9" i="51"/>
  <c r="R9" i="51" s="1"/>
  <c r="Q5" i="51"/>
  <c r="R5" i="51" s="1"/>
  <c r="Q10" i="51"/>
  <c r="R10" i="51" s="1"/>
  <c r="Q6" i="51"/>
  <c r="R6" i="51" s="1"/>
  <c r="Q11" i="51"/>
  <c r="R11" i="51" s="1"/>
  <c r="Q24" i="51"/>
  <c r="R24" i="51" s="1"/>
  <c r="Q20" i="51"/>
  <c r="R20" i="51" s="1"/>
  <c r="Q21" i="51"/>
  <c r="R21" i="51" s="1"/>
  <c r="Q17" i="51"/>
  <c r="R17" i="51" s="1"/>
  <c r="Q22" i="51"/>
  <c r="R22" i="51" s="1"/>
  <c r="Q18" i="51"/>
  <c r="R18" i="51" s="1"/>
  <c r="Q19" i="51"/>
  <c r="R19" i="51" s="1"/>
  <c r="I28" i="48"/>
  <c r="D66" i="19" s="1"/>
  <c r="L28" i="48"/>
  <c r="G66" i="19" s="1"/>
  <c r="K28" i="48"/>
  <c r="F66" i="19" s="1"/>
  <c r="J28" i="48"/>
  <c r="E66" i="19" s="1"/>
  <c r="O28" i="48"/>
  <c r="J66" i="19" s="1"/>
  <c r="G28" i="48"/>
  <c r="B66" i="19" s="1"/>
  <c r="M28" i="48"/>
  <c r="H66" i="19" s="1"/>
  <c r="P28" i="48"/>
  <c r="K66" i="19" s="1"/>
  <c r="N28" i="48"/>
  <c r="I66" i="19" s="1"/>
  <c r="Q37" i="50"/>
  <c r="R37" i="50" s="1"/>
  <c r="Q33" i="50"/>
  <c r="R33" i="50" s="1"/>
  <c r="Q34" i="50"/>
  <c r="R34" i="50" s="1"/>
  <c r="Q30" i="50"/>
  <c r="R30" i="50" s="1"/>
  <c r="Q31" i="50"/>
  <c r="R31" i="50" s="1"/>
  <c r="Q24" i="50"/>
  <c r="R24" i="50" s="1"/>
  <c r="Q20" i="50"/>
  <c r="R20" i="50" s="1"/>
  <c r="Q23" i="50"/>
  <c r="R23" i="50" s="1"/>
  <c r="Q21" i="50"/>
  <c r="R21" i="50" s="1"/>
  <c r="Q17" i="50"/>
  <c r="R17" i="50" s="1"/>
  <c r="Q22" i="50"/>
  <c r="R22" i="50" s="1"/>
  <c r="Q18" i="50"/>
  <c r="R18" i="50" s="1"/>
  <c r="Q19" i="50"/>
  <c r="R19" i="50" s="1"/>
  <c r="Q5" i="50"/>
  <c r="R5" i="50" s="1"/>
  <c r="Q24" i="49"/>
  <c r="R24" i="49" s="1"/>
  <c r="Q20" i="49"/>
  <c r="R20" i="49" s="1"/>
  <c r="Q23" i="49"/>
  <c r="R23" i="49" s="1"/>
  <c r="Q21" i="49"/>
  <c r="R21" i="49" s="1"/>
  <c r="Q17" i="49"/>
  <c r="R17" i="49" s="1"/>
  <c r="Q22" i="49"/>
  <c r="R22" i="49" s="1"/>
  <c r="Q18" i="49"/>
  <c r="R18" i="49" s="1"/>
  <c r="Q19" i="49"/>
  <c r="R19" i="49" s="1"/>
  <c r="Q8" i="49"/>
  <c r="R8" i="49" s="1"/>
  <c r="Q4" i="49"/>
  <c r="R4" i="49" s="1"/>
  <c r="Q9" i="49"/>
  <c r="R9" i="49" s="1"/>
  <c r="Q5" i="49"/>
  <c r="R5" i="49" s="1"/>
  <c r="Q10" i="49"/>
  <c r="R10" i="49" s="1"/>
  <c r="Q6" i="49"/>
  <c r="R6" i="49" s="1"/>
  <c r="Q11" i="49"/>
  <c r="R11" i="49" s="1"/>
  <c r="Q7" i="49"/>
  <c r="R7" i="49" s="1"/>
  <c r="Q36" i="49"/>
  <c r="R36" i="49" s="1"/>
  <c r="Q32" i="49"/>
  <c r="R32" i="49" s="1"/>
  <c r="Q37" i="49"/>
  <c r="R37" i="49" s="1"/>
  <c r="Q33" i="49"/>
  <c r="R33" i="49" s="1"/>
  <c r="Q34" i="49"/>
  <c r="R34" i="49" s="1"/>
  <c r="Q30" i="49"/>
  <c r="R30" i="49" s="1"/>
  <c r="Q35" i="49"/>
  <c r="R35" i="49" s="1"/>
  <c r="Q31" i="49"/>
  <c r="R31" i="49" s="1"/>
  <c r="Q4" i="48"/>
  <c r="R4" i="48" s="1"/>
  <c r="O15" i="48"/>
  <c r="J42" i="19" s="1"/>
  <c r="K15" i="48"/>
  <c r="F42" i="19" s="1"/>
  <c r="G15" i="48"/>
  <c r="B42" i="19" s="1"/>
  <c r="N15" i="48"/>
  <c r="I42" i="19" s="1"/>
  <c r="J15" i="48"/>
  <c r="E42" i="19" s="1"/>
  <c r="P15" i="48"/>
  <c r="K42" i="19" s="1"/>
  <c r="L15" i="48"/>
  <c r="G42" i="19" s="1"/>
  <c r="H15" i="48"/>
  <c r="C42" i="19" s="1"/>
  <c r="M15" i="48"/>
  <c r="H42" i="19" s="1"/>
  <c r="I15" i="48"/>
  <c r="D42" i="19" s="1"/>
  <c r="G28" i="34" a="1"/>
  <c r="O28" i="34" s="1"/>
  <c r="J68" i="19" s="1"/>
  <c r="G15" i="34" a="1"/>
  <c r="L15" i="34" s="1"/>
  <c r="G44" i="19" s="1"/>
  <c r="G2" i="34" a="1"/>
  <c r="N9" i="32"/>
  <c r="L67" i="33"/>
  <c r="K7" i="33"/>
  <c r="K11" i="33"/>
  <c r="K15" i="33"/>
  <c r="N38" i="33"/>
  <c r="M38" i="33"/>
  <c r="O44" i="33"/>
  <c r="N44" i="33"/>
  <c r="M4" i="33"/>
  <c r="J5" i="33"/>
  <c r="K6" i="33"/>
  <c r="L7" i="33"/>
  <c r="M8" i="33"/>
  <c r="K10" i="33"/>
  <c r="L11" i="33"/>
  <c r="M12" i="33"/>
  <c r="K14" i="33"/>
  <c r="L15" i="33"/>
  <c r="M16" i="33"/>
  <c r="K18" i="33"/>
  <c r="L19" i="33"/>
  <c r="M20" i="33"/>
  <c r="L27" i="33"/>
  <c r="M28" i="33"/>
  <c r="J29" i="33"/>
  <c r="O30" i="33"/>
  <c r="N31" i="33"/>
  <c r="M31" i="33"/>
  <c r="N32" i="33"/>
  <c r="K34" i="33"/>
  <c r="K35" i="33"/>
  <c r="L35" i="33"/>
  <c r="L36" i="33"/>
  <c r="L41" i="33"/>
  <c r="K41" i="33"/>
  <c r="N43" i="33"/>
  <c r="M43" i="33"/>
  <c r="L53" i="33"/>
  <c r="O53" i="33"/>
  <c r="N53" i="33"/>
  <c r="L57" i="33"/>
  <c r="O57" i="33"/>
  <c r="N57" i="33"/>
  <c r="L61" i="33"/>
  <c r="O61" i="33"/>
  <c r="N61" i="33"/>
  <c r="L65" i="33"/>
  <c r="O65" i="33"/>
  <c r="N65" i="33"/>
  <c r="K27" i="33"/>
  <c r="L31" i="33"/>
  <c r="L52" i="33"/>
  <c r="O52" i="33"/>
  <c r="L60" i="33"/>
  <c r="O60" i="33"/>
  <c r="L64" i="33"/>
  <c r="O64" i="33"/>
  <c r="J4" i="33"/>
  <c r="O5" i="33"/>
  <c r="J8" i="33"/>
  <c r="O9" i="33"/>
  <c r="J12" i="33"/>
  <c r="O13" i="33"/>
  <c r="J16" i="33"/>
  <c r="O17" i="33"/>
  <c r="M19" i="33"/>
  <c r="J20" i="33"/>
  <c r="O21" i="33"/>
  <c r="J28" i="33"/>
  <c r="O29" i="33"/>
  <c r="J33" i="33"/>
  <c r="L34" i="33"/>
  <c r="N35" i="33"/>
  <c r="M35" i="33"/>
  <c r="N36" i="33"/>
  <c r="K38" i="33"/>
  <c r="L39" i="33"/>
  <c r="L40" i="33"/>
  <c r="L44" i="33"/>
  <c r="L50" i="33"/>
  <c r="O50" i="33"/>
  <c r="N50" i="33"/>
  <c r="L54" i="33"/>
  <c r="O54" i="33"/>
  <c r="N54" i="33"/>
  <c r="L58" i="33"/>
  <c r="O58" i="33"/>
  <c r="N58" i="33"/>
  <c r="L62" i="33"/>
  <c r="O62" i="33"/>
  <c r="N62" i="33"/>
  <c r="L66" i="33"/>
  <c r="O66" i="33"/>
  <c r="N66" i="33"/>
  <c r="K19" i="33"/>
  <c r="K37" i="33"/>
  <c r="N52" i="33"/>
  <c r="L56" i="33"/>
  <c r="O56" i="33"/>
  <c r="N60" i="33"/>
  <c r="N64" i="33"/>
  <c r="J31" i="33"/>
  <c r="K33" i="33"/>
  <c r="N34" i="33"/>
  <c r="M34" i="33"/>
  <c r="J37" i="33"/>
  <c r="L38" i="33"/>
  <c r="N39" i="33"/>
  <c r="M39" i="33"/>
  <c r="N40" i="33"/>
  <c r="J42" i="33"/>
  <c r="L42" i="33"/>
  <c r="L51" i="33"/>
  <c r="O51" i="33"/>
  <c r="N51" i="33"/>
  <c r="L55" i="33"/>
  <c r="O55" i="33"/>
  <c r="N55" i="33"/>
  <c r="L59" i="33"/>
  <c r="O59" i="33"/>
  <c r="N59" i="33"/>
  <c r="L63" i="33"/>
  <c r="O63" i="33"/>
  <c r="N63" i="33"/>
  <c r="N67" i="33"/>
  <c r="K67" i="33"/>
  <c r="K32" i="33"/>
  <c r="K36" i="33"/>
  <c r="K40" i="33"/>
  <c r="M42" i="33"/>
  <c r="K44" i="33"/>
  <c r="L16" i="32"/>
  <c r="L29" i="32"/>
  <c r="L13" i="32"/>
  <c r="K4" i="32"/>
  <c r="K59" i="32"/>
  <c r="N5" i="32"/>
  <c r="L32" i="32"/>
  <c r="L33" i="32"/>
  <c r="N29" i="32"/>
  <c r="K31" i="32"/>
  <c r="L36" i="32"/>
  <c r="N15" i="32"/>
  <c r="J16" i="32"/>
  <c r="K38" i="32"/>
  <c r="J4" i="32"/>
  <c r="K49" i="32"/>
  <c r="K50" i="32"/>
  <c r="K53" i="32"/>
  <c r="K54" i="32"/>
  <c r="K60" i="32"/>
  <c r="K63" i="32"/>
  <c r="N48" i="32"/>
  <c r="L5" i="32"/>
  <c r="N6" i="32"/>
  <c r="L9" i="32"/>
  <c r="L10" i="32"/>
  <c r="L6" i="32"/>
  <c r="K8" i="32"/>
  <c r="J13" i="32"/>
  <c r="J29" i="32"/>
  <c r="N31" i="32"/>
  <c r="K35" i="32"/>
  <c r="K51" i="32"/>
  <c r="K52" i="32"/>
  <c r="K62" i="32"/>
  <c r="M48" i="32"/>
  <c r="K64" i="32"/>
  <c r="K48" i="32"/>
  <c r="K55" i="32"/>
  <c r="K56" i="32"/>
  <c r="K57" i="32"/>
  <c r="K58" i="32"/>
  <c r="N28" i="32"/>
  <c r="N32" i="32"/>
  <c r="N39" i="32"/>
  <c r="N27" i="32"/>
  <c r="L39" i="32"/>
  <c r="L40" i="32"/>
  <c r="L37" i="32"/>
  <c r="N40" i="32"/>
  <c r="M32" i="32"/>
  <c r="M28" i="32"/>
  <c r="N33" i="32"/>
  <c r="N37" i="32"/>
  <c r="L31" i="32"/>
  <c r="L35" i="32"/>
  <c r="J36" i="32"/>
  <c r="K30" i="32"/>
  <c r="J39" i="32"/>
  <c r="J31" i="32"/>
  <c r="K34" i="32"/>
  <c r="N63" i="32"/>
  <c r="N61" i="32"/>
  <c r="N58" i="32"/>
  <c r="N56" i="32"/>
  <c r="N54" i="32"/>
  <c r="N50" i="32"/>
  <c r="L17" i="32"/>
  <c r="N17" i="32"/>
  <c r="K19" i="32"/>
  <c r="N16" i="32"/>
  <c r="N14" i="32"/>
  <c r="K12" i="32"/>
  <c r="N10" i="32"/>
  <c r="L20" i="32"/>
  <c r="N18" i="32"/>
  <c r="N19" i="32"/>
  <c r="L14" i="32"/>
  <c r="O14" i="32"/>
  <c r="N11" i="32"/>
  <c r="N12" i="32"/>
  <c r="L19" i="32"/>
  <c r="J20" i="32"/>
  <c r="L12" i="32"/>
  <c r="J14" i="32"/>
  <c r="J10" i="32"/>
  <c r="N8" i="32"/>
  <c r="N7" i="32"/>
  <c r="J9" i="32"/>
  <c r="J8" i="32"/>
  <c r="L8" i="32"/>
  <c r="J6" i="32"/>
  <c r="L4" i="32"/>
  <c r="K7" i="32"/>
  <c r="K11" i="32"/>
  <c r="M27" i="32"/>
  <c r="L7" i="32"/>
  <c r="M8" i="32"/>
  <c r="L11" i="32"/>
  <c r="M12" i="32"/>
  <c r="N13" i="32"/>
  <c r="K14" i="32"/>
  <c r="L15" i="32"/>
  <c r="K17" i="32"/>
  <c r="L18" i="32"/>
  <c r="M19" i="32"/>
  <c r="N20" i="32"/>
  <c r="N26" i="32"/>
  <c r="M26" i="32"/>
  <c r="L30" i="32"/>
  <c r="M31" i="32"/>
  <c r="L38" i="32"/>
  <c r="N41" i="32"/>
  <c r="M41" i="32"/>
  <c r="L50" i="32"/>
  <c r="O50" i="32"/>
  <c r="L58" i="32"/>
  <c r="O58" i="32"/>
  <c r="K15" i="32"/>
  <c r="L52" i="32"/>
  <c r="O52" i="32"/>
  <c r="K6" i="32"/>
  <c r="K10" i="32"/>
  <c r="N4" i="32"/>
  <c r="K5" i="32"/>
  <c r="O5" i="32"/>
  <c r="M7" i="32"/>
  <c r="K9" i="32"/>
  <c r="O9" i="32"/>
  <c r="M11" i="32"/>
  <c r="J12" i="32"/>
  <c r="K13" i="32"/>
  <c r="M15" i="32"/>
  <c r="K16" i="32"/>
  <c r="O16" i="32"/>
  <c r="M18" i="32"/>
  <c r="J19" i="32"/>
  <c r="K20" i="32"/>
  <c r="K29" i="32"/>
  <c r="N30" i="32"/>
  <c r="M30" i="32"/>
  <c r="J33" i="32"/>
  <c r="L34" i="32"/>
  <c r="N35" i="32"/>
  <c r="M35" i="32"/>
  <c r="N36" i="32"/>
  <c r="L42" i="32"/>
  <c r="L48" i="32"/>
  <c r="O48" i="32"/>
  <c r="L56" i="32"/>
  <c r="O56" i="32"/>
  <c r="L63" i="32"/>
  <c r="O63" i="32"/>
  <c r="K18" i="32"/>
  <c r="L26" i="32"/>
  <c r="K37" i="32"/>
  <c r="K40" i="32"/>
  <c r="L41" i="32"/>
  <c r="K26" i="32"/>
  <c r="K27" i="32"/>
  <c r="L27" i="32"/>
  <c r="L28" i="32"/>
  <c r="K33" i="32"/>
  <c r="N34" i="32"/>
  <c r="M34" i="32"/>
  <c r="J37" i="32"/>
  <c r="N38" i="32"/>
  <c r="J40" i="32"/>
  <c r="K41" i="32"/>
  <c r="K42" i="32"/>
  <c r="M42" i="32"/>
  <c r="N52" i="32"/>
  <c r="L54" i="32"/>
  <c r="O54" i="32"/>
  <c r="L61" i="32"/>
  <c r="O61" i="32"/>
  <c r="K28" i="32"/>
  <c r="K32" i="32"/>
  <c r="K36" i="32"/>
  <c r="J38" i="32"/>
  <c r="K39" i="32"/>
  <c r="J42" i="32"/>
  <c r="N49" i="32"/>
  <c r="N51" i="32"/>
  <c r="N53" i="32"/>
  <c r="N55" i="32"/>
  <c r="N57" i="32"/>
  <c r="N59" i="32"/>
  <c r="N60" i="32"/>
  <c r="N62" i="32"/>
  <c r="N64" i="32"/>
  <c r="L49" i="32"/>
  <c r="O49" i="32"/>
  <c r="L51" i="32"/>
  <c r="O51" i="32"/>
  <c r="L53" i="32"/>
  <c r="O53" i="32"/>
  <c r="L55" i="32"/>
  <c r="O55" i="32"/>
  <c r="L57" i="32"/>
  <c r="O57" i="32"/>
  <c r="L59" i="32"/>
  <c r="O59" i="32"/>
  <c r="L60" i="32"/>
  <c r="O60" i="32"/>
  <c r="L62" i="32"/>
  <c r="O62" i="32"/>
  <c r="L64" i="32"/>
  <c r="O64" i="32"/>
  <c r="J48" i="32"/>
  <c r="J49" i="32"/>
  <c r="J50" i="32"/>
  <c r="J51" i="32"/>
  <c r="J52" i="32"/>
  <c r="J53" i="32"/>
  <c r="J54" i="32"/>
  <c r="J55" i="32"/>
  <c r="J56" i="32"/>
  <c r="J57" i="32"/>
  <c r="J58" i="32"/>
  <c r="J59" i="32"/>
  <c r="J60" i="32"/>
  <c r="J61" i="32"/>
  <c r="J62" i="32"/>
  <c r="J63" i="32"/>
  <c r="J64" i="32"/>
  <c r="C34" i="31"/>
  <c r="I34" i="31" s="1"/>
  <c r="O34" i="31" s="1"/>
  <c r="C35" i="31"/>
  <c r="I35" i="31" s="1"/>
  <c r="O35" i="31" s="1"/>
  <c r="C36" i="31"/>
  <c r="I36" i="31" s="1"/>
  <c r="O36" i="31" s="1"/>
  <c r="C37" i="31"/>
  <c r="I37" i="31" s="1"/>
  <c r="O37" i="31" s="1"/>
  <c r="C38" i="31"/>
  <c r="I38" i="31" s="1"/>
  <c r="O38" i="31" s="1"/>
  <c r="C39" i="31"/>
  <c r="I39" i="31" s="1"/>
  <c r="C40" i="31"/>
  <c r="I40" i="31" s="1"/>
  <c r="O40" i="31" s="1"/>
  <c r="C41" i="31"/>
  <c r="I41" i="31" s="1"/>
  <c r="C42" i="31"/>
  <c r="I42" i="31" s="1"/>
  <c r="O42" i="31" s="1"/>
  <c r="C43" i="31"/>
  <c r="I43" i="31" s="1"/>
  <c r="O43" i="31" s="1"/>
  <c r="C44" i="31"/>
  <c r="I44" i="31" s="1"/>
  <c r="O44" i="31" s="1"/>
  <c r="C45" i="31"/>
  <c r="I45" i="31" s="1"/>
  <c r="O45" i="31" s="1"/>
  <c r="C46" i="31"/>
  <c r="I46" i="31" s="1"/>
  <c r="C47" i="31"/>
  <c r="C48" i="31"/>
  <c r="I48" i="31" s="1"/>
  <c r="O48" i="31" s="1"/>
  <c r="C49" i="31"/>
  <c r="I49" i="31" s="1"/>
  <c r="O49" i="31" s="1"/>
  <c r="C50" i="31"/>
  <c r="I50" i="31" s="1"/>
  <c r="C51" i="31"/>
  <c r="I51" i="31" s="1"/>
  <c r="O51" i="31" s="1"/>
  <c r="C52" i="31"/>
  <c r="I52" i="31" s="1"/>
  <c r="O52" i="31" s="1"/>
  <c r="C53" i="31"/>
  <c r="I53" i="31" s="1"/>
  <c r="C54" i="31"/>
  <c r="C55" i="31"/>
  <c r="I55" i="31" s="1"/>
  <c r="O55" i="31" s="1"/>
  <c r="C56" i="31"/>
  <c r="I56" i="31" s="1"/>
  <c r="O56" i="31" s="1"/>
  <c r="C33" i="31"/>
  <c r="I33" i="31" s="1"/>
  <c r="O33" i="31" s="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62" i="31"/>
  <c r="H85" i="31"/>
  <c r="M85" i="31" s="1"/>
  <c r="G85" i="31"/>
  <c r="C85" i="31"/>
  <c r="I85" i="31" s="1"/>
  <c r="H84" i="31"/>
  <c r="M84" i="31" s="1"/>
  <c r="G84" i="31"/>
  <c r="C84" i="31"/>
  <c r="I84" i="31" s="1"/>
  <c r="O84" i="31" s="1"/>
  <c r="H83" i="31"/>
  <c r="M83" i="31" s="1"/>
  <c r="G83" i="31"/>
  <c r="C83" i="31"/>
  <c r="I83" i="31" s="1"/>
  <c r="O83" i="31" s="1"/>
  <c r="H82" i="31"/>
  <c r="M82" i="31" s="1"/>
  <c r="G82" i="31"/>
  <c r="C82" i="31"/>
  <c r="I82" i="31" s="1"/>
  <c r="O82" i="31" s="1"/>
  <c r="H81" i="31"/>
  <c r="M81" i="31" s="1"/>
  <c r="G81" i="31"/>
  <c r="C81" i="31"/>
  <c r="I81" i="31" s="1"/>
  <c r="O81" i="31" s="1"/>
  <c r="H80" i="31"/>
  <c r="M80" i="31" s="1"/>
  <c r="G80" i="31"/>
  <c r="C80" i="31"/>
  <c r="I80" i="31" s="1"/>
  <c r="O80" i="31" s="1"/>
  <c r="H79" i="31"/>
  <c r="M79" i="31" s="1"/>
  <c r="G79" i="31"/>
  <c r="C79" i="31"/>
  <c r="I79" i="31" s="1"/>
  <c r="O79" i="31" s="1"/>
  <c r="H78" i="31"/>
  <c r="M78" i="31" s="1"/>
  <c r="G78" i="31"/>
  <c r="C78" i="31"/>
  <c r="I78" i="31" s="1"/>
  <c r="O78" i="31" s="1"/>
  <c r="H77" i="31"/>
  <c r="M77" i="31" s="1"/>
  <c r="G77" i="31"/>
  <c r="C77" i="31"/>
  <c r="I77" i="31" s="1"/>
  <c r="O77" i="31" s="1"/>
  <c r="H76" i="31"/>
  <c r="G76" i="31"/>
  <c r="J76" i="31" s="1"/>
  <c r="C76" i="31"/>
  <c r="I76" i="31" s="1"/>
  <c r="O76" i="31" s="1"/>
  <c r="H75" i="31"/>
  <c r="G75" i="31"/>
  <c r="C75" i="31"/>
  <c r="I75" i="31" s="1"/>
  <c r="O75" i="31" s="1"/>
  <c r="H74" i="31"/>
  <c r="G74" i="31"/>
  <c r="J74" i="31" s="1"/>
  <c r="C74" i="31"/>
  <c r="I74" i="31" s="1"/>
  <c r="O74" i="31" s="1"/>
  <c r="H73" i="31"/>
  <c r="G73" i="31"/>
  <c r="C73" i="31"/>
  <c r="I73" i="31" s="1"/>
  <c r="O73" i="31" s="1"/>
  <c r="H72" i="31"/>
  <c r="G72" i="31"/>
  <c r="C72" i="31"/>
  <c r="I72" i="31" s="1"/>
  <c r="O72" i="31" s="1"/>
  <c r="H71" i="31"/>
  <c r="G71" i="31"/>
  <c r="J71" i="31" s="1"/>
  <c r="C71" i="31"/>
  <c r="I71" i="31" s="1"/>
  <c r="O71" i="31" s="1"/>
  <c r="H70" i="31"/>
  <c r="G70" i="31"/>
  <c r="C70" i="31"/>
  <c r="I70" i="31" s="1"/>
  <c r="H69" i="31"/>
  <c r="G69" i="31"/>
  <c r="C69" i="31"/>
  <c r="I69" i="31" s="1"/>
  <c r="H68" i="31"/>
  <c r="G68" i="31"/>
  <c r="C68" i="31"/>
  <c r="I68" i="31" s="1"/>
  <c r="H67" i="31"/>
  <c r="G67" i="31"/>
  <c r="C67" i="31"/>
  <c r="I67" i="31" s="1"/>
  <c r="H66" i="31"/>
  <c r="G66" i="31"/>
  <c r="C66" i="31"/>
  <c r="I66" i="31" s="1"/>
  <c r="H65" i="31"/>
  <c r="G65" i="31"/>
  <c r="C65" i="31"/>
  <c r="I65" i="31" s="1"/>
  <c r="H64" i="31"/>
  <c r="G64" i="31"/>
  <c r="C64" i="31"/>
  <c r="I64" i="31" s="1"/>
  <c r="H63" i="31"/>
  <c r="G63" i="31"/>
  <c r="C63" i="31"/>
  <c r="I63" i="31" s="1"/>
  <c r="O63" i="31" s="1"/>
  <c r="H62" i="31"/>
  <c r="G62" i="31"/>
  <c r="C62" i="31"/>
  <c r="I62" i="31" s="1"/>
  <c r="H56" i="31"/>
  <c r="G56" i="31"/>
  <c r="J56" i="31" s="1"/>
  <c r="H55" i="31"/>
  <c r="G55" i="31"/>
  <c r="I54" i="31"/>
  <c r="O54" i="31" s="1"/>
  <c r="H54" i="31"/>
  <c r="G54" i="31"/>
  <c r="J54" i="31" s="1"/>
  <c r="H53" i="31"/>
  <c r="M53" i="31" s="1"/>
  <c r="G53" i="31"/>
  <c r="J53" i="31" s="1"/>
  <c r="H52" i="31"/>
  <c r="G52" i="31"/>
  <c r="H51" i="31"/>
  <c r="M51" i="31" s="1"/>
  <c r="G51" i="31"/>
  <c r="H50" i="31"/>
  <c r="M50" i="31" s="1"/>
  <c r="G50" i="31"/>
  <c r="H49" i="31"/>
  <c r="M49" i="31" s="1"/>
  <c r="G49" i="31"/>
  <c r="H48" i="31"/>
  <c r="M48" i="31" s="1"/>
  <c r="G48" i="31"/>
  <c r="J48" i="31" s="1"/>
  <c r="I47" i="31"/>
  <c r="O47" i="31" s="1"/>
  <c r="H47" i="31"/>
  <c r="G47" i="31"/>
  <c r="H46" i="31"/>
  <c r="M46" i="31" s="1"/>
  <c r="G46" i="31"/>
  <c r="H45" i="31"/>
  <c r="G45" i="31"/>
  <c r="H44" i="31"/>
  <c r="G44" i="31"/>
  <c r="J44" i="31" s="1"/>
  <c r="H43" i="31"/>
  <c r="G43" i="31"/>
  <c r="H42" i="31"/>
  <c r="G42" i="31"/>
  <c r="J42" i="31" s="1"/>
  <c r="H41" i="31"/>
  <c r="M41" i="31" s="1"/>
  <c r="G41" i="31"/>
  <c r="H40" i="31"/>
  <c r="M40" i="31" s="1"/>
  <c r="G40" i="31"/>
  <c r="H39" i="31"/>
  <c r="M39" i="31" s="1"/>
  <c r="G39" i="31"/>
  <c r="H38" i="31"/>
  <c r="M38" i="31" s="1"/>
  <c r="G38" i="31"/>
  <c r="H37" i="31"/>
  <c r="M37" i="31" s="1"/>
  <c r="G37" i="31"/>
  <c r="H36" i="31"/>
  <c r="M36" i="31" s="1"/>
  <c r="G36" i="31"/>
  <c r="J36" i="31" s="1"/>
  <c r="H35" i="31"/>
  <c r="G35" i="31"/>
  <c r="H34" i="31"/>
  <c r="M34" i="31" s="1"/>
  <c r="G34" i="31"/>
  <c r="H33" i="31"/>
  <c r="M33" i="31" s="1"/>
  <c r="G33" i="31"/>
  <c r="I27" i="31"/>
  <c r="O27" i="31" s="1"/>
  <c r="H27" i="31"/>
  <c r="G27" i="31"/>
  <c r="I26" i="31"/>
  <c r="O26" i="31" s="1"/>
  <c r="H26" i="31"/>
  <c r="M26" i="31" s="1"/>
  <c r="G26" i="31"/>
  <c r="I25" i="31"/>
  <c r="O25" i="31" s="1"/>
  <c r="H25" i="31"/>
  <c r="G25" i="31"/>
  <c r="I24" i="31"/>
  <c r="O24" i="31" s="1"/>
  <c r="H24" i="31"/>
  <c r="G24" i="31"/>
  <c r="J24" i="31" s="1"/>
  <c r="I23" i="31"/>
  <c r="O23" i="31" s="1"/>
  <c r="H23" i="31"/>
  <c r="M23" i="31" s="1"/>
  <c r="G23" i="31"/>
  <c r="I22" i="31"/>
  <c r="O22" i="31" s="1"/>
  <c r="H22" i="31"/>
  <c r="M22" i="31" s="1"/>
  <c r="G22" i="31"/>
  <c r="I21" i="31"/>
  <c r="O21" i="31" s="1"/>
  <c r="H21" i="31"/>
  <c r="M21" i="31" s="1"/>
  <c r="G21" i="31"/>
  <c r="I20" i="31"/>
  <c r="O20" i="31" s="1"/>
  <c r="H20" i="31"/>
  <c r="M20" i="31" s="1"/>
  <c r="G20" i="31"/>
  <c r="I19" i="31"/>
  <c r="O19" i="31" s="1"/>
  <c r="H19" i="31"/>
  <c r="G19" i="31"/>
  <c r="J19" i="31" s="1"/>
  <c r="I18" i="31"/>
  <c r="O18" i="31" s="1"/>
  <c r="H18" i="31"/>
  <c r="M18" i="31" s="1"/>
  <c r="G18" i="31"/>
  <c r="I17" i="31"/>
  <c r="O17" i="31" s="1"/>
  <c r="H17" i="31"/>
  <c r="G17" i="31"/>
  <c r="J17" i="31" s="1"/>
  <c r="I16" i="31"/>
  <c r="O16" i="31" s="1"/>
  <c r="H16" i="31"/>
  <c r="M16" i="31" s="1"/>
  <c r="G16" i="31"/>
  <c r="J16" i="31" s="1"/>
  <c r="I15" i="31"/>
  <c r="H15" i="31"/>
  <c r="M15" i="31" s="1"/>
  <c r="G15" i="31"/>
  <c r="J15" i="31" s="1"/>
  <c r="I14" i="31"/>
  <c r="O14" i="31" s="1"/>
  <c r="H14" i="31"/>
  <c r="G14" i="31"/>
  <c r="J14" i="31" s="1"/>
  <c r="I13" i="31"/>
  <c r="H13" i="31"/>
  <c r="M13" i="31" s="1"/>
  <c r="G13" i="31"/>
  <c r="J13" i="31" s="1"/>
  <c r="I12" i="31"/>
  <c r="O12" i="31" s="1"/>
  <c r="H12" i="31"/>
  <c r="G12" i="31"/>
  <c r="J12" i="31" s="1"/>
  <c r="I11" i="31"/>
  <c r="O11" i="31" s="1"/>
  <c r="H11" i="31"/>
  <c r="M11" i="31" s="1"/>
  <c r="G11" i="31"/>
  <c r="J11" i="31" s="1"/>
  <c r="I10" i="31"/>
  <c r="O10" i="31" s="1"/>
  <c r="H10" i="31"/>
  <c r="G10" i="31"/>
  <c r="J10" i="31" s="1"/>
  <c r="I9" i="31"/>
  <c r="O9" i="31" s="1"/>
  <c r="H9" i="31"/>
  <c r="G9" i="31"/>
  <c r="J9" i="31" s="1"/>
  <c r="I8" i="31"/>
  <c r="H8" i="31"/>
  <c r="M8" i="31" s="1"/>
  <c r="G8" i="31"/>
  <c r="J8" i="31" s="1"/>
  <c r="I7" i="31"/>
  <c r="O7" i="31" s="1"/>
  <c r="H7" i="31"/>
  <c r="G7" i="31"/>
  <c r="J7" i="31" s="1"/>
  <c r="I6" i="31"/>
  <c r="O6" i="31" s="1"/>
  <c r="H6" i="31"/>
  <c r="M6" i="31" s="1"/>
  <c r="G6" i="31"/>
  <c r="I5" i="31"/>
  <c r="O5" i="31" s="1"/>
  <c r="H5" i="31"/>
  <c r="G5" i="31"/>
  <c r="I4" i="31"/>
  <c r="O4" i="31" s="1"/>
  <c r="H4" i="31"/>
  <c r="M4" i="31" s="1"/>
  <c r="G4" i="31"/>
  <c r="J4" i="31" s="1"/>
  <c r="Q9" i="50" l="1"/>
  <c r="R9" i="50" s="1"/>
  <c r="Q4" i="50"/>
  <c r="R4" i="50" s="1"/>
  <c r="Q8" i="50"/>
  <c r="R8" i="50" s="1"/>
  <c r="Q6" i="48"/>
  <c r="R6" i="48" s="1"/>
  <c r="Q10" i="48"/>
  <c r="R10" i="48" s="1"/>
  <c r="Q5" i="48"/>
  <c r="R5" i="48" s="1"/>
  <c r="Q9" i="48"/>
  <c r="R9" i="48" s="1"/>
  <c r="Q7" i="48"/>
  <c r="R7" i="48" s="1"/>
  <c r="Q11" i="48"/>
  <c r="R11" i="48" s="1"/>
  <c r="Q8" i="48"/>
  <c r="R8" i="48" s="1"/>
  <c r="Q23" i="51"/>
  <c r="R23" i="51" s="1"/>
  <c r="Q6" i="50"/>
  <c r="R6" i="50" s="1"/>
  <c r="Q35" i="50"/>
  <c r="R35" i="50" s="1"/>
  <c r="Q11" i="50"/>
  <c r="R11" i="50" s="1"/>
  <c r="Q10" i="50"/>
  <c r="R10" i="50" s="1"/>
  <c r="Q32" i="50"/>
  <c r="R32" i="50" s="1"/>
  <c r="Q7" i="50"/>
  <c r="R7" i="50" s="1"/>
  <c r="Q36" i="50"/>
  <c r="R36" i="50" s="1"/>
  <c r="Q35" i="48"/>
  <c r="R35" i="48" s="1"/>
  <c r="Q37" i="48"/>
  <c r="R37" i="48" s="1"/>
  <c r="G25" i="33" a="1"/>
  <c r="G25" i="33" s="1"/>
  <c r="B41" i="19" s="1"/>
  <c r="Q17" i="52"/>
  <c r="R17" i="52" s="1"/>
  <c r="Q31" i="52"/>
  <c r="R31" i="52" s="1"/>
  <c r="Q33" i="52"/>
  <c r="R33" i="52" s="1"/>
  <c r="Q29" i="52"/>
  <c r="R29" i="52" s="1"/>
  <c r="Q34" i="52"/>
  <c r="R34" i="52" s="1"/>
  <c r="Q32" i="52"/>
  <c r="R32" i="52" s="1"/>
  <c r="Q30" i="52"/>
  <c r="R30" i="52" s="1"/>
  <c r="Q28" i="52"/>
  <c r="R28" i="52" s="1"/>
  <c r="Q19" i="52"/>
  <c r="R19" i="52" s="1"/>
  <c r="Q5" i="52"/>
  <c r="R5" i="52" s="1"/>
  <c r="Q18" i="52"/>
  <c r="R18" i="52" s="1"/>
  <c r="Q8" i="52"/>
  <c r="R8" i="52" s="1"/>
  <c r="Q21" i="52"/>
  <c r="R21" i="52" s="1"/>
  <c r="Q6" i="52"/>
  <c r="R6" i="52" s="1"/>
  <c r="Q9" i="52"/>
  <c r="R9" i="52" s="1"/>
  <c r="Q7" i="52"/>
  <c r="R7" i="52" s="1"/>
  <c r="Q22" i="52"/>
  <c r="R22" i="52" s="1"/>
  <c r="Q4" i="52"/>
  <c r="R4" i="52" s="1"/>
  <c r="Q16" i="52"/>
  <c r="R16" i="52" s="1"/>
  <c r="Q10" i="52"/>
  <c r="R10" i="52" s="1"/>
  <c r="Q20" i="52"/>
  <c r="R20" i="52" s="1"/>
  <c r="Q34" i="51"/>
  <c r="R34" i="51" s="1"/>
  <c r="Q31" i="51"/>
  <c r="R31" i="51" s="1"/>
  <c r="Q35" i="51"/>
  <c r="R35" i="51" s="1"/>
  <c r="Q32" i="51"/>
  <c r="R32" i="51" s="1"/>
  <c r="Q36" i="51"/>
  <c r="R36" i="51" s="1"/>
  <c r="Q33" i="51"/>
  <c r="R33" i="51" s="1"/>
  <c r="Q37" i="51"/>
  <c r="R37" i="51" s="1"/>
  <c r="Q30" i="51"/>
  <c r="R30" i="51" s="1"/>
  <c r="Q30" i="48"/>
  <c r="R30" i="48" s="1"/>
  <c r="Q32" i="48"/>
  <c r="R32" i="48" s="1"/>
  <c r="Q34" i="48"/>
  <c r="R34" i="48" s="1"/>
  <c r="Q36" i="48"/>
  <c r="R36" i="48" s="1"/>
  <c r="Q31" i="48"/>
  <c r="R31" i="48" s="1"/>
  <c r="Q33" i="48"/>
  <c r="R33" i="48" s="1"/>
  <c r="Q24" i="48"/>
  <c r="R24" i="48" s="1"/>
  <c r="Q20" i="48"/>
  <c r="R20" i="48" s="1"/>
  <c r="Q21" i="48"/>
  <c r="R21" i="48" s="1"/>
  <c r="Q17" i="48"/>
  <c r="R17" i="48" s="1"/>
  <c r="Q23" i="48"/>
  <c r="R23" i="48" s="1"/>
  <c r="Q19" i="48"/>
  <c r="R19" i="48" s="1"/>
  <c r="Q22" i="48"/>
  <c r="R22" i="48" s="1"/>
  <c r="Q18" i="48"/>
  <c r="R18" i="48" s="1"/>
  <c r="P28" i="34"/>
  <c r="K68" i="19" s="1"/>
  <c r="N28" i="34"/>
  <c r="I68" i="19" s="1"/>
  <c r="I28" i="34"/>
  <c r="D68" i="19" s="1"/>
  <c r="G28" i="34"/>
  <c r="B68" i="19" s="1"/>
  <c r="L28" i="34"/>
  <c r="G68" i="19" s="1"/>
  <c r="M28" i="34"/>
  <c r="H68" i="19" s="1"/>
  <c r="K28" i="34"/>
  <c r="F68" i="19" s="1"/>
  <c r="H28" i="34"/>
  <c r="J28" i="34"/>
  <c r="E68" i="19" s="1"/>
  <c r="G15" i="34"/>
  <c r="B44" i="19" s="1"/>
  <c r="H15" i="34"/>
  <c r="C44" i="19" s="1"/>
  <c r="O15" i="34"/>
  <c r="J44" i="19" s="1"/>
  <c r="J15" i="34"/>
  <c r="E44" i="19" s="1"/>
  <c r="P15" i="34"/>
  <c r="K44" i="19" s="1"/>
  <c r="I15" i="34"/>
  <c r="D44" i="19" s="1"/>
  <c r="N15" i="34"/>
  <c r="I44" i="19" s="1"/>
  <c r="M15" i="34"/>
  <c r="H44" i="19" s="1"/>
  <c r="K15" i="34"/>
  <c r="F44" i="19" s="1"/>
  <c r="M2" i="34"/>
  <c r="H20" i="19" s="1"/>
  <c r="I2" i="34"/>
  <c r="D20" i="19" s="1"/>
  <c r="P2" i="34"/>
  <c r="K20" i="19" s="1"/>
  <c r="L2" i="34"/>
  <c r="G20" i="19" s="1"/>
  <c r="H2" i="34"/>
  <c r="C20" i="19" s="1"/>
  <c r="K2" i="34"/>
  <c r="F20" i="19" s="1"/>
  <c r="J2" i="34"/>
  <c r="E20" i="19" s="1"/>
  <c r="G2" i="34"/>
  <c r="B20" i="19" s="1"/>
  <c r="O2" i="34"/>
  <c r="J20" i="19" s="1"/>
  <c r="N2" i="34"/>
  <c r="I20" i="19" s="1"/>
  <c r="G48" i="33" a="1"/>
  <c r="O48" i="33" s="1"/>
  <c r="J65" i="19" s="1"/>
  <c r="G2" i="33" a="1"/>
  <c r="G24" i="32" a="1"/>
  <c r="H24" i="32" s="1"/>
  <c r="C40" i="19" s="1"/>
  <c r="G46" i="32" a="1"/>
  <c r="G46" i="32" s="1"/>
  <c r="B64" i="19" s="1"/>
  <c r="G2" i="32" a="1"/>
  <c r="M2" i="32" s="1"/>
  <c r="H16" i="19" s="1"/>
  <c r="N55" i="31"/>
  <c r="N12" i="31"/>
  <c r="N42" i="31"/>
  <c r="K46" i="31"/>
  <c r="K40" i="31"/>
  <c r="K74" i="31"/>
  <c r="L55" i="31"/>
  <c r="K68" i="31"/>
  <c r="K70" i="31"/>
  <c r="L81" i="31"/>
  <c r="L84" i="31"/>
  <c r="N8" i="31"/>
  <c r="N13" i="31"/>
  <c r="K6" i="31"/>
  <c r="L34" i="31"/>
  <c r="N50" i="31"/>
  <c r="N20" i="31"/>
  <c r="L25" i="31"/>
  <c r="K45" i="31"/>
  <c r="M55" i="31"/>
  <c r="K62" i="31"/>
  <c r="N5" i="31"/>
  <c r="K26" i="31"/>
  <c r="K54" i="31"/>
  <c r="L5" i="31"/>
  <c r="N17" i="31"/>
  <c r="K20" i="31"/>
  <c r="L27" i="31"/>
  <c r="K41" i="31"/>
  <c r="O50" i="31"/>
  <c r="K76" i="31"/>
  <c r="L80" i="31"/>
  <c r="L83" i="31"/>
  <c r="N21" i="31"/>
  <c r="L22" i="31"/>
  <c r="L37" i="31"/>
  <c r="M42" i="31"/>
  <c r="L50" i="31"/>
  <c r="L52" i="31"/>
  <c r="N65" i="31"/>
  <c r="N67" i="31"/>
  <c r="K18" i="31"/>
  <c r="N19" i="31"/>
  <c r="K21" i="31"/>
  <c r="N22" i="31"/>
  <c r="K35" i="31"/>
  <c r="K36" i="31"/>
  <c r="N41" i="31"/>
  <c r="N44" i="31"/>
  <c r="N48" i="31"/>
  <c r="L63" i="31"/>
  <c r="K66" i="31"/>
  <c r="J43" i="31"/>
  <c r="K43" i="31"/>
  <c r="N15" i="31"/>
  <c r="K23" i="31"/>
  <c r="N35" i="31"/>
  <c r="M35" i="31"/>
  <c r="M45" i="31"/>
  <c r="N45" i="31"/>
  <c r="M47" i="31"/>
  <c r="N47" i="31"/>
  <c r="J75" i="31"/>
  <c r="K75" i="31"/>
  <c r="O85" i="31"/>
  <c r="L85" i="31"/>
  <c r="L6" i="31"/>
  <c r="K4" i="31"/>
  <c r="L4" i="31"/>
  <c r="J5" i="31"/>
  <c r="K11" i="31"/>
  <c r="L11" i="31"/>
  <c r="N18" i="31"/>
  <c r="L19" i="31"/>
  <c r="M19" i="31"/>
  <c r="N23" i="31"/>
  <c r="N24" i="31"/>
  <c r="M24" i="31"/>
  <c r="L38" i="31"/>
  <c r="N52" i="31"/>
  <c r="M52" i="31"/>
  <c r="N72" i="31"/>
  <c r="L82" i="31"/>
  <c r="J6" i="31"/>
  <c r="N10" i="31"/>
  <c r="K16" i="31"/>
  <c r="L16" i="31"/>
  <c r="J22" i="31"/>
  <c r="K37" i="31"/>
  <c r="J37" i="31"/>
  <c r="L73" i="31"/>
  <c r="L78" i="31"/>
  <c r="L79" i="31"/>
  <c r="L36" i="31"/>
  <c r="J38" i="31"/>
  <c r="N39" i="31"/>
  <c r="O41" i="31"/>
  <c r="M44" i="31"/>
  <c r="N49" i="31"/>
  <c r="K51" i="31"/>
  <c r="K53" i="31"/>
  <c r="N73" i="31"/>
  <c r="L24" i="31"/>
  <c r="N26" i="31"/>
  <c r="K33" i="31"/>
  <c r="N40" i="31"/>
  <c r="K63" i="31"/>
  <c r="K65" i="31"/>
  <c r="K67" i="31"/>
  <c r="N68" i="31"/>
  <c r="N33" i="31"/>
  <c r="K39" i="31"/>
  <c r="K47" i="31"/>
  <c r="N53" i="31"/>
  <c r="N63" i="31"/>
  <c r="K64" i="31"/>
  <c r="K69" i="31"/>
  <c r="N71" i="31"/>
  <c r="L72" i="31"/>
  <c r="L7" i="31"/>
  <c r="N4" i="31"/>
  <c r="K5" i="31"/>
  <c r="N6" i="31"/>
  <c r="N7" i="31"/>
  <c r="M7" i="31"/>
  <c r="O8" i="31"/>
  <c r="N9" i="31"/>
  <c r="M9" i="31"/>
  <c r="K10" i="31"/>
  <c r="L10" i="31"/>
  <c r="N11" i="31"/>
  <c r="K12" i="31"/>
  <c r="L12" i="31"/>
  <c r="O13" i="31"/>
  <c r="N14" i="31"/>
  <c r="M14" i="31"/>
  <c r="O15" i="31"/>
  <c r="N16" i="31"/>
  <c r="K17" i="31"/>
  <c r="L17" i="31"/>
  <c r="K25" i="31"/>
  <c r="K27" i="31"/>
  <c r="M5" i="31"/>
  <c r="L8" i="31"/>
  <c r="M12" i="31"/>
  <c r="L13" i="31"/>
  <c r="L15" i="31"/>
  <c r="K15" i="31"/>
  <c r="M17" i="31"/>
  <c r="N25" i="31"/>
  <c r="M25" i="31"/>
  <c r="N27" i="31"/>
  <c r="M27" i="31"/>
  <c r="K8" i="31"/>
  <c r="M10" i="31"/>
  <c r="K13" i="31"/>
  <c r="K7" i="31"/>
  <c r="K9" i="31"/>
  <c r="K14" i="31"/>
  <c r="J18" i="31"/>
  <c r="L18" i="31"/>
  <c r="J20" i="31"/>
  <c r="L20" i="31"/>
  <c r="J21" i="31"/>
  <c r="L21" i="31"/>
  <c r="J23" i="31"/>
  <c r="L23" i="31"/>
  <c r="J26" i="31"/>
  <c r="L26" i="31"/>
  <c r="L9" i="31"/>
  <c r="L14" i="31"/>
  <c r="L33" i="31"/>
  <c r="J34" i="31"/>
  <c r="N34" i="31"/>
  <c r="N37" i="31"/>
  <c r="L40" i="31"/>
  <c r="J40" i="31"/>
  <c r="L45" i="31"/>
  <c r="J45" i="31"/>
  <c r="O46" i="31"/>
  <c r="L46" i="31"/>
  <c r="K19" i="31"/>
  <c r="K22" i="31"/>
  <c r="K24" i="31"/>
  <c r="K34" i="31"/>
  <c r="J39" i="31"/>
  <c r="L39" i="31"/>
  <c r="N43" i="31"/>
  <c r="M43" i="31"/>
  <c r="L47" i="31"/>
  <c r="J47" i="31"/>
  <c r="J25" i="31"/>
  <c r="J27" i="31"/>
  <c r="J33" i="31"/>
  <c r="L35" i="31"/>
  <c r="J35" i="31"/>
  <c r="N36" i="31"/>
  <c r="K38" i="31"/>
  <c r="O39" i="31"/>
  <c r="J41" i="31"/>
  <c r="L41" i="31"/>
  <c r="L49" i="31"/>
  <c r="K49" i="31"/>
  <c r="J49" i="31"/>
  <c r="N38" i="31"/>
  <c r="L42" i="31"/>
  <c r="L44" i="31"/>
  <c r="L48" i="31"/>
  <c r="L51" i="31"/>
  <c r="L54" i="31"/>
  <c r="J55" i="31"/>
  <c r="K56" i="31"/>
  <c r="O62" i="31"/>
  <c r="L62" i="31"/>
  <c r="N64" i="31"/>
  <c r="O68" i="31"/>
  <c r="L68" i="31"/>
  <c r="N69" i="31"/>
  <c r="O70" i="31"/>
  <c r="L70" i="31"/>
  <c r="N54" i="31"/>
  <c r="M54" i="31"/>
  <c r="K55" i="31"/>
  <c r="L56" i="31"/>
  <c r="O65" i="31"/>
  <c r="L65" i="31"/>
  <c r="N66" i="31"/>
  <c r="O67" i="31"/>
  <c r="L67" i="31"/>
  <c r="L43" i="31"/>
  <c r="N46" i="31"/>
  <c r="J50" i="31"/>
  <c r="N51" i="31"/>
  <c r="J52" i="31"/>
  <c r="N56" i="31"/>
  <c r="M56" i="31"/>
  <c r="N62" i="31"/>
  <c r="O64" i="31"/>
  <c r="L64" i="31"/>
  <c r="O69" i="31"/>
  <c r="L69" i="31"/>
  <c r="N70" i="31"/>
  <c r="K50" i="31"/>
  <c r="K52" i="31"/>
  <c r="L53" i="31"/>
  <c r="O53" i="31"/>
  <c r="O66" i="31"/>
  <c r="L66" i="31"/>
  <c r="K42" i="31"/>
  <c r="K44" i="31"/>
  <c r="J46" i="31"/>
  <c r="K48" i="31"/>
  <c r="J51" i="31"/>
  <c r="M62" i="31"/>
  <c r="M63" i="31"/>
  <c r="M64" i="31"/>
  <c r="M65" i="31"/>
  <c r="M66" i="31"/>
  <c r="M67" i="31"/>
  <c r="M68" i="31"/>
  <c r="M69" i="31"/>
  <c r="M70" i="31"/>
  <c r="K71" i="31"/>
  <c r="J73" i="31"/>
  <c r="K73" i="31"/>
  <c r="M73" i="31"/>
  <c r="J62" i="31"/>
  <c r="J63" i="31"/>
  <c r="J64" i="31"/>
  <c r="J65" i="31"/>
  <c r="J66" i="31"/>
  <c r="J67" i="31"/>
  <c r="J68" i="31"/>
  <c r="J69" i="31"/>
  <c r="J70" i="31"/>
  <c r="L71" i="31"/>
  <c r="M71" i="31"/>
  <c r="J72" i="31"/>
  <c r="K72" i="31"/>
  <c r="M72" i="31"/>
  <c r="L77" i="31"/>
  <c r="L74" i="31"/>
  <c r="L75" i="31"/>
  <c r="L76" i="31"/>
  <c r="K77" i="31"/>
  <c r="K78" i="31"/>
  <c r="K79" i="31"/>
  <c r="K80" i="31"/>
  <c r="K81" i="31"/>
  <c r="K82" i="31"/>
  <c r="K83" i="31"/>
  <c r="K84" i="31"/>
  <c r="K85" i="31"/>
  <c r="N74" i="31"/>
  <c r="M74" i="31"/>
  <c r="N75" i="31"/>
  <c r="M75" i="31"/>
  <c r="N76" i="31"/>
  <c r="M76" i="31"/>
  <c r="N77" i="31"/>
  <c r="N78" i="31"/>
  <c r="N79" i="31"/>
  <c r="N80" i="31"/>
  <c r="N81" i="31"/>
  <c r="N82" i="31"/>
  <c r="N83" i="31"/>
  <c r="N84" i="31"/>
  <c r="N85" i="31"/>
  <c r="J77" i="31"/>
  <c r="J78" i="31"/>
  <c r="J79" i="31"/>
  <c r="J80" i="31"/>
  <c r="J81" i="31"/>
  <c r="J82" i="31"/>
  <c r="J83" i="31"/>
  <c r="J84" i="31"/>
  <c r="J85" i="31"/>
  <c r="K5" i="20"/>
  <c r="O25" i="33" l="1"/>
  <c r="J41" i="19" s="1"/>
  <c r="H25" i="33"/>
  <c r="C41" i="19" s="1"/>
  <c r="M25" i="33"/>
  <c r="H41" i="19" s="1"/>
  <c r="L25" i="33"/>
  <c r="G41" i="19" s="1"/>
  <c r="N25" i="33"/>
  <c r="I41" i="19" s="1"/>
  <c r="K25" i="33"/>
  <c r="F41" i="19" s="1"/>
  <c r="J25" i="33"/>
  <c r="E41" i="19" s="1"/>
  <c r="P25" i="33"/>
  <c r="K41" i="19" s="1"/>
  <c r="I25" i="33"/>
  <c r="D41" i="19" s="1"/>
  <c r="Q33" i="34"/>
  <c r="R33" i="34" s="1"/>
  <c r="C68" i="19"/>
  <c r="Q34" i="34"/>
  <c r="R34" i="34" s="1"/>
  <c r="Q30" i="34"/>
  <c r="R30" i="34" s="1"/>
  <c r="Q5" i="34"/>
  <c r="R5" i="34" s="1"/>
  <c r="Q31" i="34"/>
  <c r="R31" i="34" s="1"/>
  <c r="Q35" i="34"/>
  <c r="R35" i="34" s="1"/>
  <c r="Q32" i="34"/>
  <c r="R32" i="34" s="1"/>
  <c r="Q36" i="34"/>
  <c r="R36" i="34" s="1"/>
  <c r="Q37" i="34"/>
  <c r="R37" i="34" s="1"/>
  <c r="Q6" i="34"/>
  <c r="R6" i="34" s="1"/>
  <c r="Q24" i="34"/>
  <c r="R24" i="34" s="1"/>
  <c r="Q7" i="34"/>
  <c r="R7" i="34" s="1"/>
  <c r="Q23" i="34"/>
  <c r="R23" i="34" s="1"/>
  <c r="Q19" i="34"/>
  <c r="R19" i="34" s="1"/>
  <c r="Q20" i="34"/>
  <c r="R20" i="34" s="1"/>
  <c r="Q17" i="34"/>
  <c r="R17" i="34" s="1"/>
  <c r="Q18" i="34"/>
  <c r="R18" i="34" s="1"/>
  <c r="Q22" i="34"/>
  <c r="R22" i="34" s="1"/>
  <c r="Q21" i="34"/>
  <c r="R21" i="34" s="1"/>
  <c r="Q10" i="34"/>
  <c r="R10" i="34" s="1"/>
  <c r="Q11" i="34"/>
  <c r="R11" i="34" s="1"/>
  <c r="Q9" i="34"/>
  <c r="R9" i="34" s="1"/>
  <c r="Q4" i="34"/>
  <c r="R4" i="34" s="1"/>
  <c r="Q8" i="34"/>
  <c r="R8" i="34" s="1"/>
  <c r="M48" i="33"/>
  <c r="H65" i="19" s="1"/>
  <c r="G48" i="33"/>
  <c r="B65" i="19" s="1"/>
  <c r="K48" i="33"/>
  <c r="F65" i="19" s="1"/>
  <c r="I48" i="33"/>
  <c r="D65" i="19" s="1"/>
  <c r="L48" i="33"/>
  <c r="G65" i="19" s="1"/>
  <c r="J48" i="33"/>
  <c r="E65" i="19" s="1"/>
  <c r="P48" i="33"/>
  <c r="K65" i="19" s="1"/>
  <c r="N48" i="33"/>
  <c r="I65" i="19" s="1"/>
  <c r="H48" i="33"/>
  <c r="C65" i="19" s="1"/>
  <c r="M2" i="33"/>
  <c r="H17" i="19" s="1"/>
  <c r="I2" i="33"/>
  <c r="D17" i="19" s="1"/>
  <c r="N2" i="33"/>
  <c r="I17" i="19" s="1"/>
  <c r="P2" i="33"/>
  <c r="K17" i="19" s="1"/>
  <c r="L2" i="33"/>
  <c r="G17" i="19" s="1"/>
  <c r="H2" i="33"/>
  <c r="C17" i="19" s="1"/>
  <c r="O2" i="33"/>
  <c r="J17" i="19" s="1"/>
  <c r="K2" i="33"/>
  <c r="F17" i="19" s="1"/>
  <c r="G2" i="33"/>
  <c r="B17" i="19" s="1"/>
  <c r="J2" i="33"/>
  <c r="E17" i="19" s="1"/>
  <c r="K24" i="32"/>
  <c r="F40" i="19" s="1"/>
  <c r="I24" i="32"/>
  <c r="D40" i="19" s="1"/>
  <c r="P24" i="32"/>
  <c r="K40" i="19" s="1"/>
  <c r="M24" i="32"/>
  <c r="H40" i="19" s="1"/>
  <c r="O24" i="32"/>
  <c r="J40" i="19" s="1"/>
  <c r="L24" i="32"/>
  <c r="G40" i="19" s="1"/>
  <c r="G24" i="32"/>
  <c r="B40" i="19" s="1"/>
  <c r="N24" i="32"/>
  <c r="I40" i="19" s="1"/>
  <c r="J24" i="32"/>
  <c r="E40" i="19" s="1"/>
  <c r="L46" i="32"/>
  <c r="G64" i="19" s="1"/>
  <c r="M46" i="32"/>
  <c r="H64" i="19" s="1"/>
  <c r="K46" i="32"/>
  <c r="F64" i="19" s="1"/>
  <c r="P46" i="32"/>
  <c r="K64" i="19" s="1"/>
  <c r="J46" i="32"/>
  <c r="E64" i="19" s="1"/>
  <c r="O46" i="32"/>
  <c r="J64" i="19" s="1"/>
  <c r="H46" i="32"/>
  <c r="C64" i="19" s="1"/>
  <c r="N46" i="32"/>
  <c r="I64" i="19" s="1"/>
  <c r="I46" i="32"/>
  <c r="D64" i="19" s="1"/>
  <c r="N2" i="32"/>
  <c r="I16" i="19" s="1"/>
  <c r="K2" i="32"/>
  <c r="F16" i="19" s="1"/>
  <c r="O2" i="32"/>
  <c r="J16" i="19" s="1"/>
  <c r="P2" i="32"/>
  <c r="K16" i="19" s="1"/>
  <c r="J2" i="32"/>
  <c r="E16" i="19" s="1"/>
  <c r="H2" i="32"/>
  <c r="C16" i="19" s="1"/>
  <c r="I2" i="32"/>
  <c r="D16" i="19" s="1"/>
  <c r="G2" i="32"/>
  <c r="B16" i="19" s="1"/>
  <c r="L2" i="32"/>
  <c r="G16" i="19" s="1"/>
  <c r="G60" i="31" a="1"/>
  <c r="M60" i="31" s="1"/>
  <c r="G2" i="31" a="1"/>
  <c r="H2" i="31" s="1"/>
  <c r="G31" i="31" a="1"/>
  <c r="K4" i="20"/>
  <c r="Q41" i="33" l="1"/>
  <c r="R41" i="33" s="1"/>
  <c r="Q30" i="33"/>
  <c r="R30" i="33" s="1"/>
  <c r="Q32" i="33"/>
  <c r="R32" i="33" s="1"/>
  <c r="Q31" i="33"/>
  <c r="R31" i="33" s="1"/>
  <c r="Q34" i="33"/>
  <c r="R34" i="33" s="1"/>
  <c r="Q36" i="33"/>
  <c r="R36" i="33" s="1"/>
  <c r="Q28" i="33"/>
  <c r="R28" i="33" s="1"/>
  <c r="Q29" i="33"/>
  <c r="R29" i="33" s="1"/>
  <c r="Q40" i="33"/>
  <c r="R40" i="33" s="1"/>
  <c r="Q27" i="33"/>
  <c r="R27" i="33" s="1"/>
  <c r="Q44" i="33"/>
  <c r="R44" i="33" s="1"/>
  <c r="Q35" i="33"/>
  <c r="R35" i="33" s="1"/>
  <c r="Q38" i="33"/>
  <c r="R38" i="33" s="1"/>
  <c r="Q42" i="33"/>
  <c r="R42" i="33" s="1"/>
  <c r="Q43" i="33"/>
  <c r="R43" i="33" s="1"/>
  <c r="Q33" i="33"/>
  <c r="R33" i="33" s="1"/>
  <c r="Q39" i="33"/>
  <c r="R39" i="33" s="1"/>
  <c r="Q37" i="33"/>
  <c r="R37" i="33" s="1"/>
  <c r="Q56" i="33"/>
  <c r="R56" i="33" s="1"/>
  <c r="Q63" i="33"/>
  <c r="R63" i="33" s="1"/>
  <c r="Q64" i="33"/>
  <c r="R64" i="33" s="1"/>
  <c r="Q59" i="33"/>
  <c r="R59" i="33" s="1"/>
  <c r="Q52" i="33"/>
  <c r="R52" i="33" s="1"/>
  <c r="Q60" i="33"/>
  <c r="R60" i="33" s="1"/>
  <c r="Q65" i="33"/>
  <c r="R65" i="33" s="1"/>
  <c r="Q51" i="33"/>
  <c r="R51" i="33" s="1"/>
  <c r="Q67" i="33"/>
  <c r="R67" i="33" s="1"/>
  <c r="Q55" i="33"/>
  <c r="R55" i="33" s="1"/>
  <c r="Q66" i="33"/>
  <c r="R66" i="33" s="1"/>
  <c r="Q53" i="33"/>
  <c r="R53" i="33" s="1"/>
  <c r="Q57" i="33"/>
  <c r="R57" i="33" s="1"/>
  <c r="Q61" i="33"/>
  <c r="R61" i="33" s="1"/>
  <c r="Q50" i="33"/>
  <c r="R50" i="33" s="1"/>
  <c r="Q54" i="33"/>
  <c r="R54" i="33" s="1"/>
  <c r="Q58" i="33"/>
  <c r="R58" i="33" s="1"/>
  <c r="Q62" i="33"/>
  <c r="R62" i="33" s="1"/>
  <c r="Q21" i="33"/>
  <c r="R21" i="33" s="1"/>
  <c r="Q17" i="33"/>
  <c r="R17" i="33" s="1"/>
  <c r="Q13" i="33"/>
  <c r="R13" i="33" s="1"/>
  <c r="Q9" i="33"/>
  <c r="R9" i="33" s="1"/>
  <c r="Q5" i="33"/>
  <c r="R5" i="33" s="1"/>
  <c r="Q16" i="33"/>
  <c r="R16" i="33" s="1"/>
  <c r="Q8" i="33"/>
  <c r="R8" i="33" s="1"/>
  <c r="Q18" i="33"/>
  <c r="R18" i="33" s="1"/>
  <c r="Q14" i="33"/>
  <c r="R14" i="33" s="1"/>
  <c r="Q10" i="33"/>
  <c r="R10" i="33" s="1"/>
  <c r="Q6" i="33"/>
  <c r="R6" i="33" s="1"/>
  <c r="Q19" i="33"/>
  <c r="R19" i="33" s="1"/>
  <c r="Q15" i="33"/>
  <c r="R15" i="33" s="1"/>
  <c r="Q11" i="33"/>
  <c r="R11" i="33" s="1"/>
  <c r="Q7" i="33"/>
  <c r="R7" i="33" s="1"/>
  <c r="Q20" i="33"/>
  <c r="R20" i="33" s="1"/>
  <c r="Q12" i="33"/>
  <c r="R12" i="33" s="1"/>
  <c r="Q4" i="33"/>
  <c r="R4" i="33" s="1"/>
  <c r="Q31" i="32"/>
  <c r="R31" i="32" s="1"/>
  <c r="Q40" i="32"/>
  <c r="R40" i="32" s="1"/>
  <c r="Q41" i="32"/>
  <c r="R41" i="32" s="1"/>
  <c r="Q28" i="32"/>
  <c r="R28" i="32" s="1"/>
  <c r="Q27" i="32"/>
  <c r="R27" i="32" s="1"/>
  <c r="Q30" i="32"/>
  <c r="R30" i="32" s="1"/>
  <c r="Q29" i="32"/>
  <c r="R29" i="32" s="1"/>
  <c r="Q32" i="32"/>
  <c r="R32" i="32" s="1"/>
  <c r="Q26" i="32"/>
  <c r="R26" i="32" s="1"/>
  <c r="Q35" i="32"/>
  <c r="R35" i="32" s="1"/>
  <c r="Q33" i="32"/>
  <c r="R33" i="32" s="1"/>
  <c r="Q36" i="32"/>
  <c r="R36" i="32" s="1"/>
  <c r="Q34" i="32"/>
  <c r="R34" i="32" s="1"/>
  <c r="Q42" i="32"/>
  <c r="R42" i="32" s="1"/>
  <c r="Q38" i="32"/>
  <c r="R38" i="32" s="1"/>
  <c r="Q37" i="32"/>
  <c r="R37" i="32" s="1"/>
  <c r="Q39" i="32"/>
  <c r="R39" i="32" s="1"/>
  <c r="Q48" i="32"/>
  <c r="R48" i="32" s="1"/>
  <c r="Q63" i="32"/>
  <c r="R63" i="32" s="1"/>
  <c r="Q52" i="32"/>
  <c r="R52" i="32" s="1"/>
  <c r="Q56" i="32"/>
  <c r="R56" i="32" s="1"/>
  <c r="Q57" i="32"/>
  <c r="R57" i="32" s="1"/>
  <c r="Q64" i="32"/>
  <c r="R64" i="32" s="1"/>
  <c r="Q50" i="32"/>
  <c r="R50" i="32" s="1"/>
  <c r="Q58" i="32"/>
  <c r="R58" i="32" s="1"/>
  <c r="Q61" i="32"/>
  <c r="R61" i="32" s="1"/>
  <c r="Q49" i="32"/>
  <c r="R49" i="32" s="1"/>
  <c r="Q53" i="32"/>
  <c r="R53" i="32" s="1"/>
  <c r="Q60" i="32"/>
  <c r="R60" i="32" s="1"/>
  <c r="Q54" i="32"/>
  <c r="R54" i="32" s="1"/>
  <c r="Q51" i="32"/>
  <c r="R51" i="32" s="1"/>
  <c r="Q55" i="32"/>
  <c r="R55" i="32" s="1"/>
  <c r="Q59" i="32"/>
  <c r="R59" i="32" s="1"/>
  <c r="Q62" i="32"/>
  <c r="R62" i="32" s="1"/>
  <c r="Q5" i="32"/>
  <c r="R5" i="32" s="1"/>
  <c r="Q20" i="32"/>
  <c r="R20" i="32" s="1"/>
  <c r="Q12" i="32"/>
  <c r="R12" i="32" s="1"/>
  <c r="Q4" i="32"/>
  <c r="R4" i="32" s="1"/>
  <c r="Q8" i="32"/>
  <c r="R8" i="32" s="1"/>
  <c r="Q11" i="32"/>
  <c r="R11" i="32" s="1"/>
  <c r="Q6" i="32"/>
  <c r="R6" i="32" s="1"/>
  <c r="Q19" i="32"/>
  <c r="R19" i="32" s="1"/>
  <c r="Q10" i="32"/>
  <c r="R10" i="32" s="1"/>
  <c r="Q15" i="32"/>
  <c r="R15" i="32" s="1"/>
  <c r="Q9" i="32"/>
  <c r="R9" i="32" s="1"/>
  <c r="Q14" i="32"/>
  <c r="R14" i="32" s="1"/>
  <c r="Q18" i="32"/>
  <c r="R18" i="32" s="1"/>
  <c r="Q13" i="32"/>
  <c r="R13" i="32" s="1"/>
  <c r="Q17" i="32"/>
  <c r="R17" i="32" s="1"/>
  <c r="Q7" i="32"/>
  <c r="R7" i="32" s="1"/>
  <c r="Q16" i="32"/>
  <c r="R16" i="32" s="1"/>
  <c r="L60" i="31"/>
  <c r="P60" i="31"/>
  <c r="G60" i="31"/>
  <c r="N60" i="31"/>
  <c r="K60" i="31"/>
  <c r="I60" i="31"/>
  <c r="H60" i="31"/>
  <c r="J60" i="31"/>
  <c r="O60" i="31"/>
  <c r="J2" i="31"/>
  <c r="P2" i="31"/>
  <c r="L2" i="31"/>
  <c r="N2" i="31"/>
  <c r="G2" i="31"/>
  <c r="O2" i="31"/>
  <c r="I2" i="31"/>
  <c r="K2" i="31"/>
  <c r="M2" i="31"/>
  <c r="M31" i="31"/>
  <c r="I31" i="31"/>
  <c r="P31" i="31"/>
  <c r="L31" i="31"/>
  <c r="H31" i="31"/>
  <c r="O31" i="31"/>
  <c r="K31" i="31"/>
  <c r="G31" i="31"/>
  <c r="N31" i="31"/>
  <c r="J31" i="31"/>
  <c r="F4" i="20"/>
  <c r="C4" i="20"/>
  <c r="H124" i="30"/>
  <c r="M124" i="30" s="1"/>
  <c r="G124" i="30"/>
  <c r="J124" i="30" s="1"/>
  <c r="C124" i="30"/>
  <c r="I124" i="30" s="1"/>
  <c r="O124" i="30" s="1"/>
  <c r="J123" i="30"/>
  <c r="H123" i="30"/>
  <c r="M123" i="30" s="1"/>
  <c r="G123" i="30"/>
  <c r="C123" i="30"/>
  <c r="I123" i="30" s="1"/>
  <c r="O123" i="30" s="1"/>
  <c r="J122" i="30"/>
  <c r="H122" i="30"/>
  <c r="M122" i="30" s="1"/>
  <c r="G122" i="30"/>
  <c r="C122" i="30"/>
  <c r="I122" i="30" s="1"/>
  <c r="O122" i="30" s="1"/>
  <c r="H121" i="30"/>
  <c r="M121" i="30" s="1"/>
  <c r="G121" i="30"/>
  <c r="J121" i="30" s="1"/>
  <c r="C121" i="30"/>
  <c r="I121" i="30" s="1"/>
  <c r="O121" i="30" s="1"/>
  <c r="H120" i="30"/>
  <c r="M120" i="30" s="1"/>
  <c r="G120" i="30"/>
  <c r="J120" i="30" s="1"/>
  <c r="C120" i="30"/>
  <c r="I120" i="30" s="1"/>
  <c r="O120" i="30" s="1"/>
  <c r="H119" i="30"/>
  <c r="M119" i="30" s="1"/>
  <c r="G119" i="30"/>
  <c r="J119" i="30" s="1"/>
  <c r="C119" i="30"/>
  <c r="I119" i="30" s="1"/>
  <c r="O119" i="30" s="1"/>
  <c r="J118" i="30"/>
  <c r="H118" i="30"/>
  <c r="M118" i="30" s="1"/>
  <c r="G118" i="30"/>
  <c r="C118" i="30"/>
  <c r="I118" i="30" s="1"/>
  <c r="O118" i="30" s="1"/>
  <c r="J117" i="30"/>
  <c r="H117" i="30"/>
  <c r="M117" i="30" s="1"/>
  <c r="G117" i="30"/>
  <c r="C117" i="30"/>
  <c r="I117" i="30" s="1"/>
  <c r="O117" i="30" s="1"/>
  <c r="H116" i="30"/>
  <c r="M116" i="30" s="1"/>
  <c r="G116" i="30"/>
  <c r="J116" i="30" s="1"/>
  <c r="C116" i="30"/>
  <c r="I116" i="30" s="1"/>
  <c r="O116" i="30" s="1"/>
  <c r="H115" i="30"/>
  <c r="M115" i="30" s="1"/>
  <c r="G115" i="30"/>
  <c r="J115" i="30" s="1"/>
  <c r="C115" i="30"/>
  <c r="I115" i="30" s="1"/>
  <c r="O115" i="30" s="1"/>
  <c r="H114" i="30"/>
  <c r="M114" i="30" s="1"/>
  <c r="G114" i="30"/>
  <c r="J114" i="30" s="1"/>
  <c r="C114" i="30"/>
  <c r="I114" i="30" s="1"/>
  <c r="O114" i="30" s="1"/>
  <c r="J113" i="30"/>
  <c r="H113" i="30"/>
  <c r="M113" i="30" s="1"/>
  <c r="G113" i="30"/>
  <c r="C113" i="30"/>
  <c r="I113" i="30" s="1"/>
  <c r="O113" i="30" s="1"/>
  <c r="J112" i="30"/>
  <c r="H112" i="30"/>
  <c r="M112" i="30" s="1"/>
  <c r="G112" i="30"/>
  <c r="C112" i="30"/>
  <c r="I112" i="30" s="1"/>
  <c r="O112" i="30" s="1"/>
  <c r="H111" i="30"/>
  <c r="M111" i="30" s="1"/>
  <c r="G111" i="30"/>
  <c r="J111" i="30" s="1"/>
  <c r="C111" i="30"/>
  <c r="I111" i="30" s="1"/>
  <c r="O111" i="30" s="1"/>
  <c r="H110" i="30"/>
  <c r="M110" i="30" s="1"/>
  <c r="G110" i="30"/>
  <c r="J110" i="30" s="1"/>
  <c r="C110" i="30"/>
  <c r="I110" i="30" s="1"/>
  <c r="O110" i="30" s="1"/>
  <c r="H109" i="30"/>
  <c r="M109" i="30" s="1"/>
  <c r="G109" i="30"/>
  <c r="J109" i="30" s="1"/>
  <c r="C109" i="30"/>
  <c r="I109" i="30" s="1"/>
  <c r="O109" i="30" s="1"/>
  <c r="J108" i="30"/>
  <c r="H108" i="30"/>
  <c r="M108" i="30" s="1"/>
  <c r="G108" i="30"/>
  <c r="C108" i="30"/>
  <c r="I108" i="30" s="1"/>
  <c r="O108" i="30" s="1"/>
  <c r="J107" i="30"/>
  <c r="H107" i="30"/>
  <c r="M107" i="30" s="1"/>
  <c r="G107" i="30"/>
  <c r="C107" i="30"/>
  <c r="I107" i="30" s="1"/>
  <c r="O107" i="30" s="1"/>
  <c r="H106" i="30"/>
  <c r="M106" i="30" s="1"/>
  <c r="G106" i="30"/>
  <c r="J106" i="30" s="1"/>
  <c r="C106" i="30"/>
  <c r="I106" i="30" s="1"/>
  <c r="O106" i="30" s="1"/>
  <c r="H105" i="30"/>
  <c r="M105" i="30" s="1"/>
  <c r="G105" i="30"/>
  <c r="J105" i="30" s="1"/>
  <c r="C105" i="30"/>
  <c r="I105" i="30" s="1"/>
  <c r="O105" i="30" s="1"/>
  <c r="H104" i="30"/>
  <c r="M104" i="30" s="1"/>
  <c r="G104" i="30"/>
  <c r="J104" i="30" s="1"/>
  <c r="C104" i="30"/>
  <c r="I104" i="30" s="1"/>
  <c r="O104" i="30" s="1"/>
  <c r="J103" i="30"/>
  <c r="H103" i="30"/>
  <c r="M103" i="30" s="1"/>
  <c r="G103" i="30"/>
  <c r="C103" i="30"/>
  <c r="I103" i="30" s="1"/>
  <c r="O103" i="30" s="1"/>
  <c r="J102" i="30"/>
  <c r="H102" i="30"/>
  <c r="M102" i="30" s="1"/>
  <c r="G102" i="30"/>
  <c r="C102" i="30"/>
  <c r="I102" i="30" s="1"/>
  <c r="O102" i="30" s="1"/>
  <c r="H101" i="30"/>
  <c r="M101" i="30" s="1"/>
  <c r="G101" i="30"/>
  <c r="J101" i="30" s="1"/>
  <c r="C101" i="30"/>
  <c r="I101" i="30" s="1"/>
  <c r="O101" i="30" s="1"/>
  <c r="H100" i="30"/>
  <c r="M100" i="30" s="1"/>
  <c r="G100" i="30"/>
  <c r="C100" i="30"/>
  <c r="I100" i="30" s="1"/>
  <c r="O100" i="30" s="1"/>
  <c r="H99" i="30"/>
  <c r="M99" i="30" s="1"/>
  <c r="G99" i="30"/>
  <c r="K99" i="30" s="1"/>
  <c r="C99" i="30"/>
  <c r="I99" i="30" s="1"/>
  <c r="H98" i="30"/>
  <c r="M98" i="30" s="1"/>
  <c r="G98" i="30"/>
  <c r="K98" i="30" s="1"/>
  <c r="C98" i="30"/>
  <c r="I98" i="30" s="1"/>
  <c r="N98" i="30" s="1"/>
  <c r="H97" i="30"/>
  <c r="M97" i="30" s="1"/>
  <c r="G97" i="30"/>
  <c r="C97" i="30"/>
  <c r="I97" i="30" s="1"/>
  <c r="O97" i="30" s="1"/>
  <c r="I96" i="30"/>
  <c r="O96" i="30" s="1"/>
  <c r="H96" i="30"/>
  <c r="M96" i="30" s="1"/>
  <c r="G96" i="30"/>
  <c r="J96" i="30" s="1"/>
  <c r="C96" i="30"/>
  <c r="H95" i="30"/>
  <c r="M95" i="30" s="1"/>
  <c r="G95" i="30"/>
  <c r="C95" i="30"/>
  <c r="I95" i="30" s="1"/>
  <c r="J94" i="30"/>
  <c r="H94" i="30"/>
  <c r="M94" i="30" s="1"/>
  <c r="G94" i="30"/>
  <c r="C94" i="30"/>
  <c r="I94" i="30" s="1"/>
  <c r="H93" i="30"/>
  <c r="M93" i="30" s="1"/>
  <c r="G93" i="30"/>
  <c r="K93" i="30" s="1"/>
  <c r="C93" i="30"/>
  <c r="I93" i="30" s="1"/>
  <c r="H92" i="30"/>
  <c r="M92" i="30" s="1"/>
  <c r="G92" i="30"/>
  <c r="J92" i="30" s="1"/>
  <c r="C92" i="30"/>
  <c r="I92" i="30" s="1"/>
  <c r="M91" i="30"/>
  <c r="H91" i="30"/>
  <c r="G91" i="30"/>
  <c r="C91" i="30"/>
  <c r="I91" i="30" s="1"/>
  <c r="M90" i="30"/>
  <c r="H90" i="30"/>
  <c r="G90" i="30"/>
  <c r="J90" i="30" s="1"/>
  <c r="C90" i="30"/>
  <c r="I90" i="30" s="1"/>
  <c r="J89" i="30"/>
  <c r="H89" i="30"/>
  <c r="M89" i="30" s="1"/>
  <c r="G89" i="30"/>
  <c r="C89" i="30"/>
  <c r="I89" i="30" s="1"/>
  <c r="H88" i="30"/>
  <c r="G88" i="30"/>
  <c r="J88" i="30" s="1"/>
  <c r="C88" i="30"/>
  <c r="I88" i="30" s="1"/>
  <c r="I82" i="30"/>
  <c r="O82" i="30" s="1"/>
  <c r="H82" i="30"/>
  <c r="M82" i="30" s="1"/>
  <c r="G82" i="30"/>
  <c r="I81" i="30"/>
  <c r="O81" i="30" s="1"/>
  <c r="H81" i="30"/>
  <c r="G81" i="30"/>
  <c r="I80" i="30"/>
  <c r="O80" i="30" s="1"/>
  <c r="H80" i="30"/>
  <c r="M80" i="30" s="1"/>
  <c r="G80" i="30"/>
  <c r="L80" i="30" s="1"/>
  <c r="I79" i="30"/>
  <c r="O79" i="30" s="1"/>
  <c r="H79" i="30"/>
  <c r="M79" i="30" s="1"/>
  <c r="G79" i="30"/>
  <c r="J78" i="30"/>
  <c r="I78" i="30"/>
  <c r="O78" i="30" s="1"/>
  <c r="H78" i="30"/>
  <c r="M78" i="30" s="1"/>
  <c r="G78" i="30"/>
  <c r="I77" i="30"/>
  <c r="O77" i="30" s="1"/>
  <c r="H77" i="30"/>
  <c r="M77" i="30" s="1"/>
  <c r="G77" i="30"/>
  <c r="K77" i="30" s="1"/>
  <c r="I76" i="30"/>
  <c r="O76" i="30" s="1"/>
  <c r="H76" i="30"/>
  <c r="M76" i="30" s="1"/>
  <c r="G76" i="30"/>
  <c r="L76" i="30" s="1"/>
  <c r="I75" i="30"/>
  <c r="O75" i="30" s="1"/>
  <c r="H75" i="30"/>
  <c r="M75" i="30" s="1"/>
  <c r="G75" i="30"/>
  <c r="I74" i="30"/>
  <c r="O74" i="30" s="1"/>
  <c r="H74" i="30"/>
  <c r="M74" i="30" s="1"/>
  <c r="G74" i="30"/>
  <c r="L74" i="30" s="1"/>
  <c r="I73" i="30"/>
  <c r="O73" i="30" s="1"/>
  <c r="H73" i="30"/>
  <c r="M73" i="30" s="1"/>
  <c r="G73" i="30"/>
  <c r="I72" i="30"/>
  <c r="O72" i="30" s="1"/>
  <c r="H72" i="30"/>
  <c r="M72" i="30" s="1"/>
  <c r="G72" i="30"/>
  <c r="L72" i="30" s="1"/>
  <c r="I71" i="30"/>
  <c r="O71" i="30" s="1"/>
  <c r="H71" i="30"/>
  <c r="M71" i="30" s="1"/>
  <c r="G71" i="30"/>
  <c r="J70" i="30"/>
  <c r="I70" i="30"/>
  <c r="O70" i="30" s="1"/>
  <c r="H70" i="30"/>
  <c r="M70" i="30" s="1"/>
  <c r="G70" i="30"/>
  <c r="I69" i="30"/>
  <c r="O69" i="30" s="1"/>
  <c r="H69" i="30"/>
  <c r="M69" i="30" s="1"/>
  <c r="G69" i="30"/>
  <c r="I68" i="30"/>
  <c r="O68" i="30" s="1"/>
  <c r="H68" i="30"/>
  <c r="M68" i="30" s="1"/>
  <c r="G68" i="30"/>
  <c r="L68" i="30" s="1"/>
  <c r="I67" i="30"/>
  <c r="O67" i="30" s="1"/>
  <c r="H67" i="30"/>
  <c r="M67" i="30" s="1"/>
  <c r="G67" i="30"/>
  <c r="I66" i="30"/>
  <c r="O66" i="30" s="1"/>
  <c r="H66" i="30"/>
  <c r="M66" i="30" s="1"/>
  <c r="G66" i="30"/>
  <c r="L66" i="30" s="1"/>
  <c r="I65" i="30"/>
  <c r="O65" i="30" s="1"/>
  <c r="H65" i="30"/>
  <c r="N65" i="30" s="1"/>
  <c r="G65" i="30"/>
  <c r="I64" i="30"/>
  <c r="O64" i="30" s="1"/>
  <c r="H64" i="30"/>
  <c r="M64" i="30" s="1"/>
  <c r="G64" i="30"/>
  <c r="I63" i="30"/>
  <c r="O63" i="30" s="1"/>
  <c r="H63" i="30"/>
  <c r="M63" i="30" s="1"/>
  <c r="G63" i="30"/>
  <c r="I62" i="30"/>
  <c r="O62" i="30" s="1"/>
  <c r="H62" i="30"/>
  <c r="M62" i="30" s="1"/>
  <c r="G62" i="30"/>
  <c r="J62" i="30" s="1"/>
  <c r="I61" i="30"/>
  <c r="O61" i="30" s="1"/>
  <c r="H61" i="30"/>
  <c r="G61" i="30"/>
  <c r="K61" i="30" s="1"/>
  <c r="I60" i="30"/>
  <c r="O60" i="30" s="1"/>
  <c r="H60" i="30"/>
  <c r="M60" i="30" s="1"/>
  <c r="G60" i="30"/>
  <c r="L60" i="30" s="1"/>
  <c r="I59" i="30"/>
  <c r="O59" i="30" s="1"/>
  <c r="H59" i="30"/>
  <c r="N59" i="30" s="1"/>
  <c r="G59" i="30"/>
  <c r="I58" i="30"/>
  <c r="O58" i="30" s="1"/>
  <c r="H58" i="30"/>
  <c r="M58" i="30" s="1"/>
  <c r="G58" i="30"/>
  <c r="I57" i="30"/>
  <c r="O57" i="30" s="1"/>
  <c r="H57" i="30"/>
  <c r="M57" i="30" s="1"/>
  <c r="G57" i="30"/>
  <c r="I56" i="30"/>
  <c r="O56" i="30" s="1"/>
  <c r="H56" i="30"/>
  <c r="M56" i="30" s="1"/>
  <c r="G56" i="30"/>
  <c r="J56" i="30" s="1"/>
  <c r="I55" i="30"/>
  <c r="O55" i="30" s="1"/>
  <c r="H55" i="30"/>
  <c r="N55" i="30" s="1"/>
  <c r="G55" i="30"/>
  <c r="I54" i="30"/>
  <c r="O54" i="30" s="1"/>
  <c r="H54" i="30"/>
  <c r="M54" i="30" s="1"/>
  <c r="G54" i="30"/>
  <c r="I53" i="30"/>
  <c r="O53" i="30" s="1"/>
  <c r="H53" i="30"/>
  <c r="M53" i="30" s="1"/>
  <c r="G53" i="30"/>
  <c r="M52" i="30"/>
  <c r="I52" i="30"/>
  <c r="O52" i="30" s="1"/>
  <c r="H52" i="30"/>
  <c r="G52" i="30"/>
  <c r="I51" i="30"/>
  <c r="O51" i="30" s="1"/>
  <c r="H51" i="30"/>
  <c r="G51" i="30"/>
  <c r="J51" i="30" s="1"/>
  <c r="I50" i="30"/>
  <c r="H50" i="30"/>
  <c r="M50" i="30" s="1"/>
  <c r="G50" i="30"/>
  <c r="J50" i="30" s="1"/>
  <c r="I49" i="30"/>
  <c r="O49" i="30" s="1"/>
  <c r="H49" i="30"/>
  <c r="M49" i="30" s="1"/>
  <c r="G49" i="30"/>
  <c r="K49" i="30" s="1"/>
  <c r="I48" i="30"/>
  <c r="O48" i="30" s="1"/>
  <c r="H48" i="30"/>
  <c r="N48" i="30" s="1"/>
  <c r="G48" i="30"/>
  <c r="I47" i="30"/>
  <c r="O47" i="30" s="1"/>
  <c r="H47" i="30"/>
  <c r="N47" i="30" s="1"/>
  <c r="G47" i="30"/>
  <c r="L47" i="30" s="1"/>
  <c r="I46" i="30"/>
  <c r="O46" i="30" s="1"/>
  <c r="H46" i="30"/>
  <c r="M46" i="30" s="1"/>
  <c r="G46" i="30"/>
  <c r="J40" i="30"/>
  <c r="I40" i="30"/>
  <c r="O40" i="30" s="1"/>
  <c r="H40" i="30"/>
  <c r="G40" i="30"/>
  <c r="I39" i="30"/>
  <c r="O39" i="30" s="1"/>
  <c r="H39" i="30"/>
  <c r="N39" i="30" s="1"/>
  <c r="G39" i="30"/>
  <c r="I38" i="30"/>
  <c r="O38" i="30" s="1"/>
  <c r="H38" i="30"/>
  <c r="G38" i="30"/>
  <c r="J38" i="30" s="1"/>
  <c r="I37" i="30"/>
  <c r="O37" i="30" s="1"/>
  <c r="H37" i="30"/>
  <c r="M37" i="30" s="1"/>
  <c r="G37" i="30"/>
  <c r="J37" i="30" s="1"/>
  <c r="I36" i="30"/>
  <c r="O36" i="30" s="1"/>
  <c r="H36" i="30"/>
  <c r="G36" i="30"/>
  <c r="J36" i="30" s="1"/>
  <c r="I35" i="30"/>
  <c r="O35" i="30" s="1"/>
  <c r="H35" i="30"/>
  <c r="M35" i="30" s="1"/>
  <c r="G35" i="30"/>
  <c r="I34" i="30"/>
  <c r="O34" i="30" s="1"/>
  <c r="H34" i="30"/>
  <c r="G34" i="30"/>
  <c r="J34" i="30" s="1"/>
  <c r="I33" i="30"/>
  <c r="O33" i="30" s="1"/>
  <c r="H33" i="30"/>
  <c r="M33" i="30" s="1"/>
  <c r="G33" i="30"/>
  <c r="I32" i="30"/>
  <c r="O32" i="30" s="1"/>
  <c r="H32" i="30"/>
  <c r="M32" i="30" s="1"/>
  <c r="G32" i="30"/>
  <c r="J32" i="30" s="1"/>
  <c r="I31" i="30"/>
  <c r="O31" i="30" s="1"/>
  <c r="H31" i="30"/>
  <c r="M31" i="30" s="1"/>
  <c r="G31" i="30"/>
  <c r="I30" i="30"/>
  <c r="O30" i="30" s="1"/>
  <c r="H30" i="30"/>
  <c r="G30" i="30"/>
  <c r="J30" i="30" s="1"/>
  <c r="J29" i="30"/>
  <c r="I29" i="30"/>
  <c r="H29" i="30"/>
  <c r="M29" i="30" s="1"/>
  <c r="G29" i="30"/>
  <c r="I28" i="30"/>
  <c r="O28" i="30" s="1"/>
  <c r="H28" i="30"/>
  <c r="N28" i="30" s="1"/>
  <c r="G28" i="30"/>
  <c r="J28" i="30" s="1"/>
  <c r="I27" i="30"/>
  <c r="O27" i="30" s="1"/>
  <c r="H27" i="30"/>
  <c r="M27" i="30" s="1"/>
  <c r="G27" i="30"/>
  <c r="I26" i="30"/>
  <c r="O26" i="30" s="1"/>
  <c r="H26" i="30"/>
  <c r="G26" i="30"/>
  <c r="J26" i="30" s="1"/>
  <c r="I25" i="30"/>
  <c r="O25" i="30" s="1"/>
  <c r="H25" i="30"/>
  <c r="M25" i="30" s="1"/>
  <c r="G25" i="30"/>
  <c r="J25" i="30" s="1"/>
  <c r="I24" i="30"/>
  <c r="O24" i="30" s="1"/>
  <c r="H24" i="30"/>
  <c r="M24" i="30" s="1"/>
  <c r="G24" i="30"/>
  <c r="J24" i="30" s="1"/>
  <c r="I23" i="30"/>
  <c r="O23" i="30" s="1"/>
  <c r="H23" i="30"/>
  <c r="M23" i="30" s="1"/>
  <c r="G23" i="30"/>
  <c r="I22" i="30"/>
  <c r="O22" i="30" s="1"/>
  <c r="H22" i="30"/>
  <c r="G22" i="30"/>
  <c r="J22" i="30" s="1"/>
  <c r="I21" i="30"/>
  <c r="O21" i="30" s="1"/>
  <c r="H21" i="30"/>
  <c r="M21" i="30" s="1"/>
  <c r="G21" i="30"/>
  <c r="I20" i="30"/>
  <c r="O20" i="30" s="1"/>
  <c r="H20" i="30"/>
  <c r="M20" i="30" s="1"/>
  <c r="G20" i="30"/>
  <c r="J20" i="30" s="1"/>
  <c r="I19" i="30"/>
  <c r="O19" i="30" s="1"/>
  <c r="H19" i="30"/>
  <c r="G19" i="30"/>
  <c r="I18" i="30"/>
  <c r="O18" i="30" s="1"/>
  <c r="H18" i="30"/>
  <c r="M18" i="30" s="1"/>
  <c r="G18" i="30"/>
  <c r="J18" i="30" s="1"/>
  <c r="I17" i="30"/>
  <c r="O17" i="30" s="1"/>
  <c r="H17" i="30"/>
  <c r="N17" i="30" s="1"/>
  <c r="G17" i="30"/>
  <c r="L17" i="30" s="1"/>
  <c r="O16" i="30"/>
  <c r="I16" i="30"/>
  <c r="H16" i="30"/>
  <c r="N16" i="30" s="1"/>
  <c r="G16" i="30"/>
  <c r="J16" i="30" s="1"/>
  <c r="I15" i="30"/>
  <c r="O15" i="30" s="1"/>
  <c r="H15" i="30"/>
  <c r="M15" i="30" s="1"/>
  <c r="G15" i="30"/>
  <c r="J15" i="30" s="1"/>
  <c r="I14" i="30"/>
  <c r="O14" i="30" s="1"/>
  <c r="H14" i="30"/>
  <c r="M14" i="30" s="1"/>
  <c r="G14" i="30"/>
  <c r="J14" i="30" s="1"/>
  <c r="I13" i="30"/>
  <c r="O13" i="30" s="1"/>
  <c r="H13" i="30"/>
  <c r="G13" i="30"/>
  <c r="I12" i="30"/>
  <c r="O12" i="30" s="1"/>
  <c r="H12" i="30"/>
  <c r="N12" i="30" s="1"/>
  <c r="G12" i="30"/>
  <c r="J12" i="30" s="1"/>
  <c r="I11" i="30"/>
  <c r="O11" i="30" s="1"/>
  <c r="H11" i="30"/>
  <c r="M11" i="30" s="1"/>
  <c r="G11" i="30"/>
  <c r="I10" i="30"/>
  <c r="O10" i="30" s="1"/>
  <c r="H10" i="30"/>
  <c r="M10" i="30" s="1"/>
  <c r="G10" i="30"/>
  <c r="J10" i="30" s="1"/>
  <c r="I9" i="30"/>
  <c r="O9" i="30" s="1"/>
  <c r="H9" i="30"/>
  <c r="G9" i="30"/>
  <c r="L9" i="30" s="1"/>
  <c r="I8" i="30"/>
  <c r="O8" i="30" s="1"/>
  <c r="H8" i="30"/>
  <c r="N8" i="30" s="1"/>
  <c r="G8" i="30"/>
  <c r="J8" i="30" s="1"/>
  <c r="I7" i="30"/>
  <c r="O7" i="30" s="1"/>
  <c r="H7" i="30"/>
  <c r="M7" i="30" s="1"/>
  <c r="G7" i="30"/>
  <c r="J7" i="30" s="1"/>
  <c r="I6" i="30"/>
  <c r="O6" i="30" s="1"/>
  <c r="H6" i="30"/>
  <c r="M6" i="30" s="1"/>
  <c r="G6" i="30"/>
  <c r="I5" i="30"/>
  <c r="O5" i="30" s="1"/>
  <c r="H5" i="30"/>
  <c r="N5" i="30" s="1"/>
  <c r="G5" i="30"/>
  <c r="L5" i="30" s="1"/>
  <c r="I4" i="30"/>
  <c r="O4" i="30" s="1"/>
  <c r="H4" i="30"/>
  <c r="G4" i="30"/>
  <c r="J4" i="30" s="1"/>
  <c r="L48" i="30" l="1"/>
  <c r="K13" i="30"/>
  <c r="L33" i="30"/>
  <c r="N49" i="30"/>
  <c r="K95" i="30"/>
  <c r="J60" i="30"/>
  <c r="N20" i="30"/>
  <c r="N40" i="30"/>
  <c r="J68" i="30"/>
  <c r="K91" i="30"/>
  <c r="N32" i="30"/>
  <c r="L11" i="30"/>
  <c r="K57" i="30"/>
  <c r="K69" i="30"/>
  <c r="N81" i="30"/>
  <c r="N29" i="30"/>
  <c r="L51" i="30"/>
  <c r="K38" i="30"/>
  <c r="J17" i="30"/>
  <c r="L64" i="30"/>
  <c r="J76" i="30"/>
  <c r="N97" i="30"/>
  <c r="N21" i="30"/>
  <c r="N46" i="30"/>
  <c r="L82" i="30"/>
  <c r="K5" i="30"/>
  <c r="O29" i="30"/>
  <c r="M48" i="30"/>
  <c r="K55" i="30"/>
  <c r="K63" i="30"/>
  <c r="K71" i="30"/>
  <c r="K79" i="30"/>
  <c r="J93" i="30"/>
  <c r="N9" i="30"/>
  <c r="N13" i="30"/>
  <c r="K26" i="30"/>
  <c r="N36" i="30"/>
  <c r="K53" i="30"/>
  <c r="N61" i="30"/>
  <c r="N7" i="30"/>
  <c r="L56" i="30"/>
  <c r="K59" i="30"/>
  <c r="K65" i="30"/>
  <c r="K73" i="30"/>
  <c r="M81" i="30"/>
  <c r="J99" i="30"/>
  <c r="N24" i="30"/>
  <c r="L6" i="30"/>
  <c r="J9" i="30"/>
  <c r="L13" i="30"/>
  <c r="N15" i="30"/>
  <c r="N19" i="30"/>
  <c r="L21" i="30"/>
  <c r="K27" i="30"/>
  <c r="L37" i="30"/>
  <c r="M40" i="30"/>
  <c r="L49" i="30"/>
  <c r="L62" i="30"/>
  <c r="M65" i="30"/>
  <c r="K70" i="30"/>
  <c r="K78" i="30"/>
  <c r="K82" i="30"/>
  <c r="K89" i="30"/>
  <c r="N4" i="30"/>
  <c r="N27" i="30"/>
  <c r="K31" i="30"/>
  <c r="K39" i="30"/>
  <c r="K58" i="30"/>
  <c r="K66" i="30"/>
  <c r="K74" i="30"/>
  <c r="N88" i="30"/>
  <c r="K34" i="30"/>
  <c r="N37" i="30"/>
  <c r="N50" i="30"/>
  <c r="J53" i="30"/>
  <c r="M59" i="30"/>
  <c r="L70" i="30"/>
  <c r="L78" i="30"/>
  <c r="J6" i="30"/>
  <c r="M28" i="30"/>
  <c r="L10" i="30"/>
  <c r="J11" i="30"/>
  <c r="L18" i="30"/>
  <c r="M19" i="30"/>
  <c r="K22" i="30"/>
  <c r="N25" i="30"/>
  <c r="J47" i="30"/>
  <c r="L52" i="30"/>
  <c r="L53" i="30"/>
  <c r="J64" i="30"/>
  <c r="J72" i="30"/>
  <c r="J80" i="30"/>
  <c r="J98" i="30"/>
  <c r="L104" i="30"/>
  <c r="L108" i="30"/>
  <c r="L112" i="30"/>
  <c r="L116" i="30"/>
  <c r="L120" i="30"/>
  <c r="L124" i="30"/>
  <c r="L7" i="30"/>
  <c r="N11" i="30"/>
  <c r="L15" i="30"/>
  <c r="L29" i="30"/>
  <c r="J33" i="30"/>
  <c r="K35" i="30"/>
  <c r="M36" i="30"/>
  <c r="M39" i="30"/>
  <c r="O50" i="30"/>
  <c r="N52" i="30"/>
  <c r="N53" i="30"/>
  <c r="M55" i="30"/>
  <c r="N57" i="30"/>
  <c r="J58" i="30"/>
  <c r="K60" i="30"/>
  <c r="N63" i="30"/>
  <c r="K68" i="30"/>
  <c r="N71" i="30"/>
  <c r="K76" i="30"/>
  <c r="N79" i="30"/>
  <c r="M88" i="30"/>
  <c r="K90" i="30"/>
  <c r="K94" i="30"/>
  <c r="L97" i="30"/>
  <c r="J5" i="30"/>
  <c r="J13" i="30"/>
  <c r="J21" i="30"/>
  <c r="K23" i="30"/>
  <c r="K30" i="30"/>
  <c r="N33" i="30"/>
  <c r="N35" i="30"/>
  <c r="J49" i="30"/>
  <c r="K51" i="30"/>
  <c r="K54" i="30"/>
  <c r="L58" i="30"/>
  <c r="M61" i="30"/>
  <c r="J66" i="30"/>
  <c r="J74" i="30"/>
  <c r="J82" i="30"/>
  <c r="N90" i="30"/>
  <c r="J91" i="30"/>
  <c r="N94" i="30"/>
  <c r="O98" i="30"/>
  <c r="N92" i="30"/>
  <c r="K9" i="30"/>
  <c r="K17" i="30"/>
  <c r="N23" i="30"/>
  <c r="N51" i="30"/>
  <c r="K56" i="30"/>
  <c r="K62" i="30"/>
  <c r="L25" i="30"/>
  <c r="K67" i="30"/>
  <c r="K75" i="30"/>
  <c r="L103" i="30"/>
  <c r="L107" i="30"/>
  <c r="L111" i="30"/>
  <c r="L115" i="30"/>
  <c r="L14" i="30"/>
  <c r="K19" i="30"/>
  <c r="N31" i="30"/>
  <c r="K47" i="30"/>
  <c r="K64" i="30"/>
  <c r="N67" i="30"/>
  <c r="K72" i="30"/>
  <c r="N75" i="30"/>
  <c r="K80" i="30"/>
  <c r="K81" i="30"/>
  <c r="K88" i="30"/>
  <c r="K92" i="30"/>
  <c r="Q64" i="31"/>
  <c r="R64" i="31" s="1"/>
  <c r="Q82" i="31"/>
  <c r="R82" i="31" s="1"/>
  <c r="Q73" i="31"/>
  <c r="R73" i="31" s="1"/>
  <c r="Q79" i="31"/>
  <c r="R79" i="31" s="1"/>
  <c r="Q68" i="31"/>
  <c r="R68" i="31" s="1"/>
  <c r="Q74" i="31"/>
  <c r="R74" i="31" s="1"/>
  <c r="Q85" i="31"/>
  <c r="R85" i="31" s="1"/>
  <c r="Q84" i="31"/>
  <c r="R84" i="31" s="1"/>
  <c r="Q65" i="31"/>
  <c r="R65" i="31" s="1"/>
  <c r="Q76" i="31"/>
  <c r="R76" i="31" s="1"/>
  <c r="Q83" i="31"/>
  <c r="R83" i="31" s="1"/>
  <c r="Q62" i="31"/>
  <c r="R62" i="31" s="1"/>
  <c r="Q66" i="31"/>
  <c r="R66" i="31" s="1"/>
  <c r="Q70" i="31"/>
  <c r="R70" i="31" s="1"/>
  <c r="Q75" i="31"/>
  <c r="R75" i="31" s="1"/>
  <c r="Q77" i="31"/>
  <c r="R77" i="31" s="1"/>
  <c r="Q81" i="31"/>
  <c r="R81" i="31" s="1"/>
  <c r="Q69" i="31"/>
  <c r="R69" i="31" s="1"/>
  <c r="Q80" i="31"/>
  <c r="R80" i="31" s="1"/>
  <c r="Q63" i="31"/>
  <c r="R63" i="31" s="1"/>
  <c r="Q67" i="31"/>
  <c r="R67" i="31" s="1"/>
  <c r="Q71" i="31"/>
  <c r="R71" i="31" s="1"/>
  <c r="Q72" i="31"/>
  <c r="R72" i="31" s="1"/>
  <c r="Q78" i="31"/>
  <c r="R78" i="31" s="1"/>
  <c r="Q19" i="31"/>
  <c r="R19" i="31" s="1"/>
  <c r="Q16" i="31"/>
  <c r="R16" i="31" s="1"/>
  <c r="Q13" i="31"/>
  <c r="R13" i="31" s="1"/>
  <c r="Q11" i="31"/>
  <c r="R11" i="31" s="1"/>
  <c r="Q27" i="31"/>
  <c r="R27" i="31" s="1"/>
  <c r="Q6" i="31"/>
  <c r="R6" i="31" s="1"/>
  <c r="Q21" i="31"/>
  <c r="R21" i="31" s="1"/>
  <c r="Q10" i="31"/>
  <c r="R10" i="31" s="1"/>
  <c r="Q7" i="31"/>
  <c r="R7" i="31" s="1"/>
  <c r="Q18" i="31"/>
  <c r="R18" i="31" s="1"/>
  <c r="Q23" i="31"/>
  <c r="R23" i="31" s="1"/>
  <c r="Q15" i="31"/>
  <c r="R15" i="31" s="1"/>
  <c r="Q4" i="31"/>
  <c r="R4" i="31" s="1"/>
  <c r="Q17" i="31"/>
  <c r="R17" i="31" s="1"/>
  <c r="Q20" i="31"/>
  <c r="R20" i="31" s="1"/>
  <c r="Q8" i="31"/>
  <c r="R8" i="31" s="1"/>
  <c r="Q22" i="31"/>
  <c r="R22" i="31" s="1"/>
  <c r="Q5" i="31"/>
  <c r="R5" i="31" s="1"/>
  <c r="Q25" i="31"/>
  <c r="R25" i="31" s="1"/>
  <c r="Q9" i="31"/>
  <c r="R9" i="31" s="1"/>
  <c r="Q14" i="31"/>
  <c r="R14" i="31" s="1"/>
  <c r="Q12" i="31"/>
  <c r="R12" i="31" s="1"/>
  <c r="Q26" i="31"/>
  <c r="R26" i="31" s="1"/>
  <c r="Q24" i="31"/>
  <c r="R24" i="31" s="1"/>
  <c r="Q53" i="31"/>
  <c r="R53" i="31" s="1"/>
  <c r="Q48" i="31"/>
  <c r="R48" i="31" s="1"/>
  <c r="Q44" i="31"/>
  <c r="R44" i="31" s="1"/>
  <c r="Q42" i="31"/>
  <c r="R42" i="31" s="1"/>
  <c r="Q55" i="31"/>
  <c r="R55" i="31" s="1"/>
  <c r="Q52" i="31"/>
  <c r="R52" i="31" s="1"/>
  <c r="Q50" i="31"/>
  <c r="R50" i="31" s="1"/>
  <c r="Q49" i="31"/>
  <c r="R49" i="31" s="1"/>
  <c r="Q47" i="31"/>
  <c r="R47" i="31" s="1"/>
  <c r="Q45" i="31"/>
  <c r="R45" i="31" s="1"/>
  <c r="Q56" i="31"/>
  <c r="R56" i="31" s="1"/>
  <c r="Q54" i="31"/>
  <c r="R54" i="31" s="1"/>
  <c r="Q51" i="31"/>
  <c r="R51" i="31" s="1"/>
  <c r="Q46" i="31"/>
  <c r="R46" i="31" s="1"/>
  <c r="Q40" i="31"/>
  <c r="R40" i="31" s="1"/>
  <c r="Q35" i="31"/>
  <c r="R35" i="31" s="1"/>
  <c r="Q43" i="31"/>
  <c r="R43" i="31" s="1"/>
  <c r="Q41" i="31"/>
  <c r="R41" i="31" s="1"/>
  <c r="Q39" i="31"/>
  <c r="R39" i="31" s="1"/>
  <c r="Q34" i="31"/>
  <c r="R34" i="31" s="1"/>
  <c r="Q36" i="31"/>
  <c r="R36" i="31" s="1"/>
  <c r="Q37" i="31"/>
  <c r="R37" i="31" s="1"/>
  <c r="Q38" i="31"/>
  <c r="R38" i="31" s="1"/>
  <c r="Q33" i="31"/>
  <c r="R33" i="31" s="1"/>
  <c r="K8" i="30"/>
  <c r="K7" i="30"/>
  <c r="L8" i="30"/>
  <c r="L16" i="30"/>
  <c r="M17" i="30"/>
  <c r="L26" i="30"/>
  <c r="L38" i="30"/>
  <c r="K4" i="30"/>
  <c r="K12" i="30"/>
  <c r="K16" i="30"/>
  <c r="J46" i="30"/>
  <c r="L46" i="30"/>
  <c r="L4" i="30"/>
  <c r="M5" i="30"/>
  <c r="N6" i="30"/>
  <c r="L12" i="30"/>
  <c r="M13" i="30"/>
  <c r="N14" i="30"/>
  <c r="L22" i="30"/>
  <c r="K6" i="30"/>
  <c r="M8" i="30"/>
  <c r="M12" i="30"/>
  <c r="K14" i="30"/>
  <c r="N22" i="30"/>
  <c r="M22" i="30"/>
  <c r="K25" i="30"/>
  <c r="N30" i="30"/>
  <c r="M30" i="30"/>
  <c r="K33" i="30"/>
  <c r="N38" i="30"/>
  <c r="M38" i="30"/>
  <c r="M9" i="30"/>
  <c r="N10" i="30"/>
  <c r="K11" i="30"/>
  <c r="K15" i="30"/>
  <c r="L30" i="30"/>
  <c r="L34" i="30"/>
  <c r="M4" i="30"/>
  <c r="K10" i="30"/>
  <c r="M16" i="30"/>
  <c r="K18" i="30"/>
  <c r="K21" i="30"/>
  <c r="N26" i="30"/>
  <c r="M26" i="30"/>
  <c r="K29" i="30"/>
  <c r="N34" i="30"/>
  <c r="M34" i="30"/>
  <c r="K37" i="30"/>
  <c r="N18" i="30"/>
  <c r="L19" i="30"/>
  <c r="L20" i="30"/>
  <c r="L23" i="30"/>
  <c r="L24" i="30"/>
  <c r="L27" i="30"/>
  <c r="L28" i="30"/>
  <c r="L31" i="30"/>
  <c r="L32" i="30"/>
  <c r="L35" i="30"/>
  <c r="L36" i="30"/>
  <c r="L39" i="30"/>
  <c r="L40" i="30"/>
  <c r="K46" i="30"/>
  <c r="K50" i="30"/>
  <c r="L54" i="30"/>
  <c r="L89" i="30"/>
  <c r="O89" i="30"/>
  <c r="L93" i="30"/>
  <c r="O93" i="30"/>
  <c r="L100" i="30"/>
  <c r="K100" i="30"/>
  <c r="J100" i="30"/>
  <c r="N109" i="30"/>
  <c r="M47" i="30"/>
  <c r="J48" i="30"/>
  <c r="L50" i="30"/>
  <c r="M51" i="30"/>
  <c r="J52" i="30"/>
  <c r="N54" i="30"/>
  <c r="J57" i="30"/>
  <c r="L57" i="30"/>
  <c r="N58" i="30"/>
  <c r="J61" i="30"/>
  <c r="L61" i="30"/>
  <c r="N62" i="30"/>
  <c r="J65" i="30"/>
  <c r="L65" i="30"/>
  <c r="N66" i="30"/>
  <c r="J69" i="30"/>
  <c r="L69" i="30"/>
  <c r="N70" i="30"/>
  <c r="J73" i="30"/>
  <c r="L73" i="30"/>
  <c r="N74" i="30"/>
  <c r="J77" i="30"/>
  <c r="L77" i="30"/>
  <c r="N78" i="30"/>
  <c r="J81" i="30"/>
  <c r="L81" i="30"/>
  <c r="N82" i="30"/>
  <c r="L88" i="30"/>
  <c r="O88" i="30"/>
  <c r="N91" i="30"/>
  <c r="L92" i="30"/>
  <c r="O92" i="30"/>
  <c r="N95" i="30"/>
  <c r="N113" i="30"/>
  <c r="J19" i="30"/>
  <c r="K20" i="30"/>
  <c r="J23" i="30"/>
  <c r="K24" i="30"/>
  <c r="J27" i="30"/>
  <c r="K28" i="30"/>
  <c r="J31" i="30"/>
  <c r="K32" i="30"/>
  <c r="J35" i="30"/>
  <c r="K36" i="30"/>
  <c r="J39" i="30"/>
  <c r="K40" i="30"/>
  <c r="K48" i="30"/>
  <c r="K52" i="30"/>
  <c r="N69" i="30"/>
  <c r="N73" i="30"/>
  <c r="N77" i="30"/>
  <c r="L91" i="30"/>
  <c r="O91" i="30"/>
  <c r="L95" i="30"/>
  <c r="O95" i="30"/>
  <c r="N96" i="30"/>
  <c r="O99" i="30"/>
  <c r="N99" i="30"/>
  <c r="N101" i="30"/>
  <c r="N117" i="30"/>
  <c r="J54" i="30"/>
  <c r="L55" i="30"/>
  <c r="J55" i="30"/>
  <c r="N56" i="30"/>
  <c r="L59" i="30"/>
  <c r="J59" i="30"/>
  <c r="N60" i="30"/>
  <c r="L63" i="30"/>
  <c r="J63" i="30"/>
  <c r="N64" i="30"/>
  <c r="L67" i="30"/>
  <c r="J67" i="30"/>
  <c r="N68" i="30"/>
  <c r="L71" i="30"/>
  <c r="J71" i="30"/>
  <c r="N72" i="30"/>
  <c r="L75" i="30"/>
  <c r="J75" i="30"/>
  <c r="N76" i="30"/>
  <c r="L79" i="30"/>
  <c r="J79" i="30"/>
  <c r="N80" i="30"/>
  <c r="N89" i="30"/>
  <c r="L90" i="30"/>
  <c r="O90" i="30"/>
  <c r="N93" i="30"/>
  <c r="L94" i="30"/>
  <c r="O94" i="30"/>
  <c r="N105" i="30"/>
  <c r="N121" i="30"/>
  <c r="J95" i="30"/>
  <c r="J97" i="30"/>
  <c r="L99" i="30"/>
  <c r="L101" i="30"/>
  <c r="N102" i="30"/>
  <c r="L105" i="30"/>
  <c r="N106" i="30"/>
  <c r="L109" i="30"/>
  <c r="N110" i="30"/>
  <c r="L113" i="30"/>
  <c r="N114" i="30"/>
  <c r="L117" i="30"/>
  <c r="N118" i="30"/>
  <c r="L121" i="30"/>
  <c r="N122" i="30"/>
  <c r="L96" i="30"/>
  <c r="K96" i="30"/>
  <c r="K97" i="30"/>
  <c r="L98" i="30"/>
  <c r="L102" i="30"/>
  <c r="N103" i="30"/>
  <c r="L106" i="30"/>
  <c r="N107" i="30"/>
  <c r="L110" i="30"/>
  <c r="N111" i="30"/>
  <c r="L114" i="30"/>
  <c r="N115" i="30"/>
  <c r="L118" i="30"/>
  <c r="N119" i="30"/>
  <c r="L122" i="30"/>
  <c r="N123" i="30"/>
  <c r="N100" i="30"/>
  <c r="N104" i="30"/>
  <c r="N108" i="30"/>
  <c r="N112" i="30"/>
  <c r="N116" i="30"/>
  <c r="L119" i="30"/>
  <c r="N120" i="30"/>
  <c r="L123" i="30"/>
  <c r="N124" i="30"/>
  <c r="K101" i="30"/>
  <c r="K102" i="30"/>
  <c r="K103" i="30"/>
  <c r="K104" i="30"/>
  <c r="K105" i="30"/>
  <c r="K106" i="30"/>
  <c r="K107" i="30"/>
  <c r="K108" i="30"/>
  <c r="K109" i="30"/>
  <c r="K110" i="30"/>
  <c r="K111" i="30"/>
  <c r="K112" i="30"/>
  <c r="K113" i="30"/>
  <c r="K114" i="30"/>
  <c r="K115" i="30"/>
  <c r="K116" i="30"/>
  <c r="K117" i="30"/>
  <c r="K118" i="30"/>
  <c r="K119" i="30"/>
  <c r="K120" i="30"/>
  <c r="K121" i="30"/>
  <c r="K122" i="30"/>
  <c r="K123" i="30"/>
  <c r="K124" i="30"/>
  <c r="C151" i="28"/>
  <c r="I151" i="28" s="1"/>
  <c r="O151" i="28" s="1"/>
  <c r="C152" i="28"/>
  <c r="I152" i="28" s="1"/>
  <c r="O152" i="28" s="1"/>
  <c r="C153" i="28"/>
  <c r="I153" i="28" s="1"/>
  <c r="O153" i="28" s="1"/>
  <c r="C154" i="28"/>
  <c r="I154" i="28" s="1"/>
  <c r="O154" i="28" s="1"/>
  <c r="C155" i="28"/>
  <c r="I155" i="28" s="1"/>
  <c r="O155" i="28" s="1"/>
  <c r="C156" i="28"/>
  <c r="I156" i="28" s="1"/>
  <c r="O156" i="28" s="1"/>
  <c r="C157" i="28"/>
  <c r="I157" i="28" s="1"/>
  <c r="O157" i="28" s="1"/>
  <c r="C158" i="28"/>
  <c r="I158" i="28" s="1"/>
  <c r="O158" i="28" s="1"/>
  <c r="C159" i="28"/>
  <c r="I159" i="28" s="1"/>
  <c r="O159" i="28" s="1"/>
  <c r="C160" i="28"/>
  <c r="I160" i="28" s="1"/>
  <c r="O160" i="28" s="1"/>
  <c r="C161" i="28"/>
  <c r="I161" i="28" s="1"/>
  <c r="O161" i="28" s="1"/>
  <c r="C162" i="28"/>
  <c r="I162" i="28" s="1"/>
  <c r="O162" i="28" s="1"/>
  <c r="C163" i="28"/>
  <c r="I163" i="28" s="1"/>
  <c r="C164" i="28"/>
  <c r="I164" i="28" s="1"/>
  <c r="C165" i="28"/>
  <c r="I165" i="28" s="1"/>
  <c r="C166" i="28"/>
  <c r="I166" i="28" s="1"/>
  <c r="C167" i="28"/>
  <c r="C168" i="28"/>
  <c r="I168" i="28" s="1"/>
  <c r="C169" i="28"/>
  <c r="I169" i="28" s="1"/>
  <c r="C170" i="28"/>
  <c r="I170" i="28" s="1"/>
  <c r="C171" i="28"/>
  <c r="I171" i="28" s="1"/>
  <c r="C172" i="28"/>
  <c r="I172" i="28" s="1"/>
  <c r="C173" i="28"/>
  <c r="I173" i="28" s="1"/>
  <c r="C174" i="28"/>
  <c r="I174" i="28" s="1"/>
  <c r="C175" i="28"/>
  <c r="I175" i="28" s="1"/>
  <c r="C176" i="28"/>
  <c r="I176" i="28" s="1"/>
  <c r="C177" i="28"/>
  <c r="I177" i="28" s="1"/>
  <c r="C178" i="28"/>
  <c r="I178" i="28" s="1"/>
  <c r="C179" i="28"/>
  <c r="I179" i="28" s="1"/>
  <c r="C180" i="28"/>
  <c r="I180" i="28" s="1"/>
  <c r="C181" i="28"/>
  <c r="I181" i="28" s="1"/>
  <c r="C182" i="28"/>
  <c r="I182" i="28" s="1"/>
  <c r="C183" i="28"/>
  <c r="I183" i="28" s="1"/>
  <c r="C184" i="28"/>
  <c r="I184" i="28" s="1"/>
  <c r="C185" i="28"/>
  <c r="I185" i="28" s="1"/>
  <c r="C186" i="28"/>
  <c r="I186" i="28" s="1"/>
  <c r="C187" i="28"/>
  <c r="C188" i="28"/>
  <c r="I188" i="28" s="1"/>
  <c r="C189" i="28"/>
  <c r="I189" i="28" s="1"/>
  <c r="O189" i="28" s="1"/>
  <c r="C190" i="28"/>
  <c r="I190" i="28" s="1"/>
  <c r="O190" i="28" s="1"/>
  <c r="C191" i="28"/>
  <c r="I191" i="28" s="1"/>
  <c r="O191" i="28" s="1"/>
  <c r="C192" i="28"/>
  <c r="I192" i="28" s="1"/>
  <c r="O192" i="28" s="1"/>
  <c r="C193" i="28"/>
  <c r="I193" i="28" s="1"/>
  <c r="O193" i="28" s="1"/>
  <c r="C194" i="28"/>
  <c r="I194" i="28" s="1"/>
  <c r="O194" i="28" s="1"/>
  <c r="C195" i="28"/>
  <c r="I195" i="28" s="1"/>
  <c r="O195" i="28" s="1"/>
  <c r="C196" i="28"/>
  <c r="I196" i="28" s="1"/>
  <c r="O196" i="28" s="1"/>
  <c r="C197" i="28"/>
  <c r="I197" i="28" s="1"/>
  <c r="O197" i="28" s="1"/>
  <c r="C198" i="28"/>
  <c r="I198" i="28" s="1"/>
  <c r="O198" i="28" s="1"/>
  <c r="C199" i="28"/>
  <c r="I199" i="28" s="1"/>
  <c r="O199" i="28" s="1"/>
  <c r="C200" i="28"/>
  <c r="I200" i="28" s="1"/>
  <c r="O200" i="28" s="1"/>
  <c r="C201" i="28"/>
  <c r="I201" i="28" s="1"/>
  <c r="O201" i="28" s="1"/>
  <c r="C202" i="28"/>
  <c r="I202" i="28" s="1"/>
  <c r="O202" i="28" s="1"/>
  <c r="C203" i="28"/>
  <c r="I203" i="28" s="1"/>
  <c r="O203" i="28" s="1"/>
  <c r="C204" i="28"/>
  <c r="I204" i="28" s="1"/>
  <c r="O204" i="28" s="1"/>
  <c r="C205" i="28"/>
  <c r="I205" i="28" s="1"/>
  <c r="O205" i="28" s="1"/>
  <c r="C206" i="28"/>
  <c r="I206" i="28" s="1"/>
  <c r="O206" i="28" s="1"/>
  <c r="C207" i="28"/>
  <c r="I207" i="28" s="1"/>
  <c r="O207" i="28" s="1"/>
  <c r="C208" i="28"/>
  <c r="I208" i="28" s="1"/>
  <c r="O208" i="28" s="1"/>
  <c r="C209" i="28"/>
  <c r="I209" i="28" s="1"/>
  <c r="O209" i="28" s="1"/>
  <c r="C210" i="28"/>
  <c r="I210" i="28" s="1"/>
  <c r="O210" i="28" s="1"/>
  <c r="C211" i="28"/>
  <c r="I211" i="28" s="1"/>
  <c r="O211" i="28" s="1"/>
  <c r="C212" i="28"/>
  <c r="I212" i="28" s="1"/>
  <c r="O212" i="28" s="1"/>
  <c r="C213" i="28"/>
  <c r="I213" i="28" s="1"/>
  <c r="O213" i="28" s="1"/>
  <c r="C214" i="28"/>
  <c r="I214" i="28" s="1"/>
  <c r="O214" i="28" s="1"/>
  <c r="C215" i="28"/>
  <c r="I215" i="28" s="1"/>
  <c r="O215" i="28" s="1"/>
  <c r="C216" i="28"/>
  <c r="I216" i="28" s="1"/>
  <c r="O216" i="28" s="1"/>
  <c r="C217" i="28"/>
  <c r="I217" i="28" s="1"/>
  <c r="O217" i="28" s="1"/>
  <c r="C150" i="28"/>
  <c r="I150" i="28" s="1"/>
  <c r="O150" i="28" s="1"/>
  <c r="H217" i="28"/>
  <c r="M217" i="28" s="1"/>
  <c r="G217" i="28"/>
  <c r="H216" i="28"/>
  <c r="M216" i="28" s="1"/>
  <c r="G216" i="28"/>
  <c r="H215" i="28"/>
  <c r="M215" i="28" s="1"/>
  <c r="G215" i="28"/>
  <c r="J215" i="28" s="1"/>
  <c r="H214" i="28"/>
  <c r="M214" i="28" s="1"/>
  <c r="G214" i="28"/>
  <c r="J214" i="28" s="1"/>
  <c r="H213" i="28"/>
  <c r="M213" i="28" s="1"/>
  <c r="G213" i="28"/>
  <c r="H212" i="28"/>
  <c r="M212" i="28" s="1"/>
  <c r="G212" i="28"/>
  <c r="H211" i="28"/>
  <c r="M211" i="28" s="1"/>
  <c r="G211" i="28"/>
  <c r="J211" i="28" s="1"/>
  <c r="H210" i="28"/>
  <c r="M210" i="28" s="1"/>
  <c r="G210" i="28"/>
  <c r="J210" i="28" s="1"/>
  <c r="H209" i="28"/>
  <c r="M209" i="28" s="1"/>
  <c r="G209" i="28"/>
  <c r="H208" i="28"/>
  <c r="M208" i="28" s="1"/>
  <c r="G208" i="28"/>
  <c r="H207" i="28"/>
  <c r="M207" i="28" s="1"/>
  <c r="G207" i="28"/>
  <c r="J207" i="28" s="1"/>
  <c r="H206" i="28"/>
  <c r="M206" i="28" s="1"/>
  <c r="G206" i="28"/>
  <c r="J206" i="28" s="1"/>
  <c r="H205" i="28"/>
  <c r="M205" i="28" s="1"/>
  <c r="G205" i="28"/>
  <c r="H204" i="28"/>
  <c r="M204" i="28" s="1"/>
  <c r="G204" i="28"/>
  <c r="H203" i="28"/>
  <c r="M203" i="28" s="1"/>
  <c r="G203" i="28"/>
  <c r="J203" i="28" s="1"/>
  <c r="H202" i="28"/>
  <c r="M202" i="28" s="1"/>
  <c r="G202" i="28"/>
  <c r="J202" i="28" s="1"/>
  <c r="H201" i="28"/>
  <c r="M201" i="28" s="1"/>
  <c r="G201" i="28"/>
  <c r="H200" i="28"/>
  <c r="M200" i="28" s="1"/>
  <c r="G200" i="28"/>
  <c r="H199" i="28"/>
  <c r="M199" i="28" s="1"/>
  <c r="G199" i="28"/>
  <c r="H198" i="28"/>
  <c r="M198" i="28" s="1"/>
  <c r="G198" i="28"/>
  <c r="J198" i="28" s="1"/>
  <c r="H197" i="28"/>
  <c r="M197" i="28" s="1"/>
  <c r="G197" i="28"/>
  <c r="H196" i="28"/>
  <c r="M196" i="28" s="1"/>
  <c r="G196" i="28"/>
  <c r="H195" i="28"/>
  <c r="M195" i="28" s="1"/>
  <c r="G195" i="28"/>
  <c r="J195" i="28" s="1"/>
  <c r="H194" i="28"/>
  <c r="M194" i="28" s="1"/>
  <c r="G194" i="28"/>
  <c r="J194" i="28" s="1"/>
  <c r="H193" i="28"/>
  <c r="M193" i="28" s="1"/>
  <c r="G193" i="28"/>
  <c r="H192" i="28"/>
  <c r="M192" i="28" s="1"/>
  <c r="G192" i="28"/>
  <c r="H191" i="28"/>
  <c r="M191" i="28" s="1"/>
  <c r="G191" i="28"/>
  <c r="H190" i="28"/>
  <c r="M190" i="28" s="1"/>
  <c r="G190" i="28"/>
  <c r="J190" i="28" s="1"/>
  <c r="H189" i="28"/>
  <c r="G189" i="28"/>
  <c r="J189" i="28" s="1"/>
  <c r="H188" i="28"/>
  <c r="G188" i="28"/>
  <c r="I187" i="28"/>
  <c r="H187" i="28"/>
  <c r="M187" i="28" s="1"/>
  <c r="G187" i="28"/>
  <c r="H186" i="28"/>
  <c r="M186" i="28" s="1"/>
  <c r="G186" i="28"/>
  <c r="H185" i="28"/>
  <c r="M185" i="28" s="1"/>
  <c r="G185" i="28"/>
  <c r="H184" i="28"/>
  <c r="G184" i="28"/>
  <c r="H183" i="28"/>
  <c r="M183" i="28" s="1"/>
  <c r="G183" i="28"/>
  <c r="H182" i="28"/>
  <c r="M182" i="28" s="1"/>
  <c r="G182" i="28"/>
  <c r="H181" i="28"/>
  <c r="M181" i="28" s="1"/>
  <c r="G181" i="28"/>
  <c r="H180" i="28"/>
  <c r="G180" i="28"/>
  <c r="H179" i="28"/>
  <c r="M179" i="28" s="1"/>
  <c r="G179" i="28"/>
  <c r="H178" i="28"/>
  <c r="M178" i="28" s="1"/>
  <c r="G178" i="28"/>
  <c r="H177" i="28"/>
  <c r="M177" i="28" s="1"/>
  <c r="G177" i="28"/>
  <c r="H176" i="28"/>
  <c r="M176" i="28" s="1"/>
  <c r="G176" i="28"/>
  <c r="H175" i="28"/>
  <c r="M175" i="28" s="1"/>
  <c r="G175" i="28"/>
  <c r="H174" i="28"/>
  <c r="M174" i="28" s="1"/>
  <c r="G174" i="28"/>
  <c r="H173" i="28"/>
  <c r="M173" i="28" s="1"/>
  <c r="G173" i="28"/>
  <c r="H172" i="28"/>
  <c r="M172" i="28" s="1"/>
  <c r="G172" i="28"/>
  <c r="H171" i="28"/>
  <c r="M171" i="28" s="1"/>
  <c r="G171" i="28"/>
  <c r="H170" i="28"/>
  <c r="M170" i="28" s="1"/>
  <c r="G170" i="28"/>
  <c r="K170" i="28" s="1"/>
  <c r="H169" i="28"/>
  <c r="M169" i="28" s="1"/>
  <c r="G169" i="28"/>
  <c r="H168" i="28"/>
  <c r="M168" i="28" s="1"/>
  <c r="G168" i="28"/>
  <c r="H167" i="28"/>
  <c r="M167" i="28" s="1"/>
  <c r="G167" i="28"/>
  <c r="I167" i="28"/>
  <c r="H166" i="28"/>
  <c r="M166" i="28" s="1"/>
  <c r="G166" i="28"/>
  <c r="H165" i="28"/>
  <c r="M165" i="28" s="1"/>
  <c r="G165" i="28"/>
  <c r="H164" i="28"/>
  <c r="M164" i="28" s="1"/>
  <c r="G164" i="28"/>
  <c r="H163" i="28"/>
  <c r="G163" i="28"/>
  <c r="J163" i="28" s="1"/>
  <c r="H162" i="28"/>
  <c r="G162" i="28"/>
  <c r="J162" i="28" s="1"/>
  <c r="H161" i="28"/>
  <c r="G161" i="28"/>
  <c r="J161" i="28" s="1"/>
  <c r="H160" i="28"/>
  <c r="G160" i="28"/>
  <c r="J160" i="28" s="1"/>
  <c r="H159" i="28"/>
  <c r="G159" i="28"/>
  <c r="J159" i="28" s="1"/>
  <c r="H158" i="28"/>
  <c r="G158" i="28"/>
  <c r="J158" i="28" s="1"/>
  <c r="H157" i="28"/>
  <c r="G157" i="28"/>
  <c r="J157" i="28" s="1"/>
  <c r="H156" i="28"/>
  <c r="G156" i="28"/>
  <c r="J156" i="28" s="1"/>
  <c r="H155" i="28"/>
  <c r="G155" i="28"/>
  <c r="J155" i="28" s="1"/>
  <c r="H154" i="28"/>
  <c r="G154" i="28"/>
  <c r="J154" i="28" s="1"/>
  <c r="H153" i="28"/>
  <c r="G153" i="28"/>
  <c r="J153" i="28" s="1"/>
  <c r="H152" i="28"/>
  <c r="G152" i="28"/>
  <c r="J152" i="28" s="1"/>
  <c r="H151" i="28"/>
  <c r="G151" i="28"/>
  <c r="J151" i="28" s="1"/>
  <c r="H150" i="28"/>
  <c r="G150" i="28"/>
  <c r="J150" i="28" s="1"/>
  <c r="I144" i="28"/>
  <c r="O144" i="28" s="1"/>
  <c r="H144" i="28"/>
  <c r="G144" i="28"/>
  <c r="J144" i="28" s="1"/>
  <c r="I143" i="28"/>
  <c r="H143" i="28"/>
  <c r="M143" i="28" s="1"/>
  <c r="G143" i="28"/>
  <c r="I142" i="28"/>
  <c r="O142" i="28" s="1"/>
  <c r="H142" i="28"/>
  <c r="G142" i="28"/>
  <c r="I141" i="28"/>
  <c r="O141" i="28" s="1"/>
  <c r="H141" i="28"/>
  <c r="G141" i="28"/>
  <c r="J141" i="28" s="1"/>
  <c r="I140" i="28"/>
  <c r="O140" i="28" s="1"/>
  <c r="H140" i="28"/>
  <c r="G140" i="28"/>
  <c r="I139" i="28"/>
  <c r="H139" i="28"/>
  <c r="M139" i="28" s="1"/>
  <c r="G139" i="28"/>
  <c r="M138" i="28"/>
  <c r="I138" i="28"/>
  <c r="O138" i="28" s="1"/>
  <c r="H138" i="28"/>
  <c r="G138" i="28"/>
  <c r="I137" i="28"/>
  <c r="O137" i="28" s="1"/>
  <c r="H137" i="28"/>
  <c r="G137" i="28"/>
  <c r="I136" i="28"/>
  <c r="H136" i="28"/>
  <c r="M136" i="28" s="1"/>
  <c r="G136" i="28"/>
  <c r="J136" i="28" s="1"/>
  <c r="I135" i="28"/>
  <c r="H135" i="28"/>
  <c r="M135" i="28" s="1"/>
  <c r="G135" i="28"/>
  <c r="J135" i="28" s="1"/>
  <c r="I134" i="28"/>
  <c r="O134" i="28" s="1"/>
  <c r="H134" i="28"/>
  <c r="G134" i="28"/>
  <c r="J134" i="28" s="1"/>
  <c r="I133" i="28"/>
  <c r="O133" i="28" s="1"/>
  <c r="H133" i="28"/>
  <c r="M133" i="28" s="1"/>
  <c r="G133" i="28"/>
  <c r="I132" i="28"/>
  <c r="O132" i="28" s="1"/>
  <c r="H132" i="28"/>
  <c r="M132" i="28" s="1"/>
  <c r="G132" i="28"/>
  <c r="J132" i="28" s="1"/>
  <c r="I131" i="28"/>
  <c r="H131" i="28"/>
  <c r="M131" i="28" s="1"/>
  <c r="G131" i="28"/>
  <c r="J131" i="28" s="1"/>
  <c r="I130" i="28"/>
  <c r="O130" i="28" s="1"/>
  <c r="H130" i="28"/>
  <c r="M130" i="28" s="1"/>
  <c r="G130" i="28"/>
  <c r="I129" i="28"/>
  <c r="O129" i="28" s="1"/>
  <c r="H129" i="28"/>
  <c r="M129" i="28" s="1"/>
  <c r="G129" i="28"/>
  <c r="J129" i="28" s="1"/>
  <c r="I128" i="28"/>
  <c r="O128" i="28" s="1"/>
  <c r="H128" i="28"/>
  <c r="M128" i="28" s="1"/>
  <c r="G128" i="28"/>
  <c r="I127" i="28"/>
  <c r="O127" i="28" s="1"/>
  <c r="H127" i="28"/>
  <c r="G127" i="28"/>
  <c r="J127" i="28" s="1"/>
  <c r="I126" i="28"/>
  <c r="H126" i="28"/>
  <c r="M126" i="28" s="1"/>
  <c r="G126" i="28"/>
  <c r="I125" i="28"/>
  <c r="O125" i="28" s="1"/>
  <c r="H125" i="28"/>
  <c r="M125" i="28" s="1"/>
  <c r="G125" i="28"/>
  <c r="I124" i="28"/>
  <c r="O124" i="28" s="1"/>
  <c r="H124" i="28"/>
  <c r="M124" i="28" s="1"/>
  <c r="G124" i="28"/>
  <c r="I123" i="28"/>
  <c r="O123" i="28" s="1"/>
  <c r="H123" i="28"/>
  <c r="G123" i="28"/>
  <c r="I122" i="28"/>
  <c r="O122" i="28" s="1"/>
  <c r="H122" i="28"/>
  <c r="M122" i="28" s="1"/>
  <c r="G122" i="28"/>
  <c r="I121" i="28"/>
  <c r="O121" i="28" s="1"/>
  <c r="H121" i="28"/>
  <c r="M121" i="28" s="1"/>
  <c r="G121" i="28"/>
  <c r="J121" i="28" s="1"/>
  <c r="I120" i="28"/>
  <c r="O120" i="28" s="1"/>
  <c r="H120" i="28"/>
  <c r="M120" i="28" s="1"/>
  <c r="G120" i="28"/>
  <c r="I119" i="28"/>
  <c r="O119" i="28" s="1"/>
  <c r="H119" i="28"/>
  <c r="G119" i="28"/>
  <c r="I118" i="28"/>
  <c r="H118" i="28"/>
  <c r="M118" i="28" s="1"/>
  <c r="G118" i="28"/>
  <c r="I117" i="28"/>
  <c r="O117" i="28" s="1"/>
  <c r="H117" i="28"/>
  <c r="M117" i="28" s="1"/>
  <c r="G117" i="28"/>
  <c r="K117" i="28" s="1"/>
  <c r="I116" i="28"/>
  <c r="O116" i="28" s="1"/>
  <c r="H116" i="28"/>
  <c r="M116" i="28" s="1"/>
  <c r="G116" i="28"/>
  <c r="I115" i="28"/>
  <c r="O115" i="28" s="1"/>
  <c r="H115" i="28"/>
  <c r="G115" i="28"/>
  <c r="I114" i="28"/>
  <c r="O114" i="28" s="1"/>
  <c r="H114" i="28"/>
  <c r="M114" i="28" s="1"/>
  <c r="G114" i="28"/>
  <c r="I113" i="28"/>
  <c r="O113" i="28" s="1"/>
  <c r="H113" i="28"/>
  <c r="M113" i="28" s="1"/>
  <c r="G113" i="28"/>
  <c r="J113" i="28" s="1"/>
  <c r="I112" i="28"/>
  <c r="O112" i="28" s="1"/>
  <c r="H112" i="28"/>
  <c r="M112" i="28" s="1"/>
  <c r="G112" i="28"/>
  <c r="I111" i="28"/>
  <c r="O111" i="28" s="1"/>
  <c r="H111" i="28"/>
  <c r="G111" i="28"/>
  <c r="I110" i="28"/>
  <c r="O110" i="28" s="1"/>
  <c r="H110" i="28"/>
  <c r="M110" i="28" s="1"/>
  <c r="G110" i="28"/>
  <c r="I109" i="28"/>
  <c r="H109" i="28"/>
  <c r="M109" i="28" s="1"/>
  <c r="G109" i="28"/>
  <c r="I108" i="28"/>
  <c r="O108" i="28" s="1"/>
  <c r="H108" i="28"/>
  <c r="M108" i="28" s="1"/>
  <c r="G108" i="28"/>
  <c r="I107" i="28"/>
  <c r="O107" i="28" s="1"/>
  <c r="H107" i="28"/>
  <c r="G107" i="28"/>
  <c r="I106" i="28"/>
  <c r="O106" i="28" s="1"/>
  <c r="H106" i="28"/>
  <c r="M106" i="28" s="1"/>
  <c r="G106" i="28"/>
  <c r="I105" i="28"/>
  <c r="H105" i="28"/>
  <c r="G105" i="28"/>
  <c r="J105" i="28" s="1"/>
  <c r="I104" i="28"/>
  <c r="O104" i="28" s="1"/>
  <c r="H104" i="28"/>
  <c r="M104" i="28" s="1"/>
  <c r="G104" i="28"/>
  <c r="I103" i="28"/>
  <c r="O103" i="28" s="1"/>
  <c r="H103" i="28"/>
  <c r="G103" i="28"/>
  <c r="I102" i="28"/>
  <c r="H102" i="28"/>
  <c r="M102" i="28" s="1"/>
  <c r="G102" i="28"/>
  <c r="I101" i="28"/>
  <c r="H101" i="28"/>
  <c r="M101" i="28" s="1"/>
  <c r="G101" i="28"/>
  <c r="J101" i="28" s="1"/>
  <c r="I100" i="28"/>
  <c r="O100" i="28" s="1"/>
  <c r="H100" i="28"/>
  <c r="G100" i="28"/>
  <c r="I99" i="28"/>
  <c r="O99" i="28" s="1"/>
  <c r="H99" i="28"/>
  <c r="G99" i="28"/>
  <c r="I98" i="28"/>
  <c r="O98" i="28" s="1"/>
  <c r="H98" i="28"/>
  <c r="M98" i="28" s="1"/>
  <c r="G98" i="28"/>
  <c r="I97" i="28"/>
  <c r="H97" i="28"/>
  <c r="M97" i="28" s="1"/>
  <c r="G97" i="28"/>
  <c r="K97" i="28" s="1"/>
  <c r="I96" i="28"/>
  <c r="O96" i="28" s="1"/>
  <c r="H96" i="28"/>
  <c r="M96" i="28" s="1"/>
  <c r="G96" i="28"/>
  <c r="I95" i="28"/>
  <c r="O95" i="28" s="1"/>
  <c r="H95" i="28"/>
  <c r="G95" i="28"/>
  <c r="I94" i="28"/>
  <c r="O94" i="28" s="1"/>
  <c r="H94" i="28"/>
  <c r="M94" i="28" s="1"/>
  <c r="G94" i="28"/>
  <c r="I93" i="28"/>
  <c r="H93" i="28"/>
  <c r="M93" i="28" s="1"/>
  <c r="G93" i="28"/>
  <c r="I92" i="28"/>
  <c r="O92" i="28" s="1"/>
  <c r="H92" i="28"/>
  <c r="M92" i="28" s="1"/>
  <c r="G92" i="28"/>
  <c r="I91" i="28"/>
  <c r="O91" i="28" s="1"/>
  <c r="H91" i="28"/>
  <c r="G91" i="28"/>
  <c r="I90" i="28"/>
  <c r="H90" i="28"/>
  <c r="M90" i="28" s="1"/>
  <c r="G90" i="28"/>
  <c r="I89" i="28"/>
  <c r="O89" i="28" s="1"/>
  <c r="H89" i="28"/>
  <c r="M89" i="28" s="1"/>
  <c r="G89" i="28"/>
  <c r="I88" i="28"/>
  <c r="O88" i="28" s="1"/>
  <c r="H88" i="28"/>
  <c r="G88" i="28"/>
  <c r="I87" i="28"/>
  <c r="O87" i="28" s="1"/>
  <c r="H87" i="28"/>
  <c r="M87" i="28" s="1"/>
  <c r="G87" i="28"/>
  <c r="I86" i="28"/>
  <c r="H86" i="28"/>
  <c r="M86" i="28" s="1"/>
  <c r="G86" i="28"/>
  <c r="I85" i="28"/>
  <c r="O85" i="28" s="1"/>
  <c r="H85" i="28"/>
  <c r="M85" i="28" s="1"/>
  <c r="G85" i="28"/>
  <c r="I84" i="28"/>
  <c r="O84" i="28" s="1"/>
  <c r="H84" i="28"/>
  <c r="G84" i="28"/>
  <c r="I83" i="28"/>
  <c r="H83" i="28"/>
  <c r="M83" i="28" s="1"/>
  <c r="G83" i="28"/>
  <c r="I82" i="28"/>
  <c r="H82" i="28"/>
  <c r="M82" i="28" s="1"/>
  <c r="G82" i="28"/>
  <c r="J82" i="28" s="1"/>
  <c r="I81" i="28"/>
  <c r="O81" i="28" s="1"/>
  <c r="H81" i="28"/>
  <c r="M81" i="28" s="1"/>
  <c r="G81" i="28"/>
  <c r="I80" i="28"/>
  <c r="O80" i="28" s="1"/>
  <c r="H80" i="28"/>
  <c r="G80" i="28"/>
  <c r="I79" i="28"/>
  <c r="H79" i="28"/>
  <c r="M79" i="28" s="1"/>
  <c r="G79" i="28"/>
  <c r="I78" i="28"/>
  <c r="H78" i="28"/>
  <c r="M78" i="28" s="1"/>
  <c r="G78" i="28"/>
  <c r="J78" i="28" s="1"/>
  <c r="I77" i="28"/>
  <c r="O77" i="28" s="1"/>
  <c r="H77" i="28"/>
  <c r="M77" i="28" s="1"/>
  <c r="G77" i="28"/>
  <c r="I71" i="28"/>
  <c r="O71" i="28" s="1"/>
  <c r="H71" i="28"/>
  <c r="M71" i="28" s="1"/>
  <c r="G71" i="28"/>
  <c r="I70" i="28"/>
  <c r="H70" i="28"/>
  <c r="M70" i="28" s="1"/>
  <c r="G70" i="28"/>
  <c r="J70" i="28" s="1"/>
  <c r="I69" i="28"/>
  <c r="O69" i="28" s="1"/>
  <c r="H69" i="28"/>
  <c r="G69" i="28"/>
  <c r="I68" i="28"/>
  <c r="O68" i="28" s="1"/>
  <c r="H68" i="28"/>
  <c r="G68" i="28"/>
  <c r="I67" i="28"/>
  <c r="H67" i="28"/>
  <c r="G67" i="28"/>
  <c r="I66" i="28"/>
  <c r="O66" i="28" s="1"/>
  <c r="H66" i="28"/>
  <c r="M66" i="28" s="1"/>
  <c r="G66" i="28"/>
  <c r="J66" i="28" s="1"/>
  <c r="I65" i="28"/>
  <c r="O65" i="28" s="1"/>
  <c r="H65" i="28"/>
  <c r="G65" i="28"/>
  <c r="J65" i="28" s="1"/>
  <c r="I64" i="28"/>
  <c r="O64" i="28" s="1"/>
  <c r="H64" i="28"/>
  <c r="M64" i="28" s="1"/>
  <c r="G64" i="28"/>
  <c r="I63" i="28"/>
  <c r="H63" i="28"/>
  <c r="M63" i="28" s="1"/>
  <c r="G63" i="28"/>
  <c r="I62" i="28"/>
  <c r="O62" i="28" s="1"/>
  <c r="H62" i="28"/>
  <c r="G62" i="28"/>
  <c r="J62" i="28" s="1"/>
  <c r="I61" i="28"/>
  <c r="O61" i="28" s="1"/>
  <c r="H61" i="28"/>
  <c r="G61" i="28"/>
  <c r="J61" i="28" s="1"/>
  <c r="I60" i="28"/>
  <c r="O60" i="28" s="1"/>
  <c r="H60" i="28"/>
  <c r="M60" i="28" s="1"/>
  <c r="G60" i="28"/>
  <c r="I59" i="28"/>
  <c r="O59" i="28" s="1"/>
  <c r="H59" i="28"/>
  <c r="M59" i="28" s="1"/>
  <c r="G59" i="28"/>
  <c r="J59" i="28" s="1"/>
  <c r="I58" i="28"/>
  <c r="O58" i="28" s="1"/>
  <c r="H58" i="28"/>
  <c r="N58" i="28" s="1"/>
  <c r="G58" i="28"/>
  <c r="J58" i="28" s="1"/>
  <c r="I57" i="28"/>
  <c r="O57" i="28" s="1"/>
  <c r="H57" i="28"/>
  <c r="G57" i="28"/>
  <c r="J57" i="28" s="1"/>
  <c r="I56" i="28"/>
  <c r="O56" i="28" s="1"/>
  <c r="H56" i="28"/>
  <c r="M56" i="28" s="1"/>
  <c r="G56" i="28"/>
  <c r="J56" i="28" s="1"/>
  <c r="I55" i="28"/>
  <c r="O55" i="28" s="1"/>
  <c r="H55" i="28"/>
  <c r="M55" i="28" s="1"/>
  <c r="G55" i="28"/>
  <c r="I54" i="28"/>
  <c r="O54" i="28" s="1"/>
  <c r="H54" i="28"/>
  <c r="G54" i="28"/>
  <c r="J54" i="28" s="1"/>
  <c r="I53" i="28"/>
  <c r="O53" i="28" s="1"/>
  <c r="H53" i="28"/>
  <c r="G53" i="28"/>
  <c r="J53" i="28" s="1"/>
  <c r="I52" i="28"/>
  <c r="O52" i="28" s="1"/>
  <c r="H52" i="28"/>
  <c r="M52" i="28" s="1"/>
  <c r="G52" i="28"/>
  <c r="J52" i="28" s="1"/>
  <c r="I51" i="28"/>
  <c r="O51" i="28" s="1"/>
  <c r="H51" i="28"/>
  <c r="M51" i="28" s="1"/>
  <c r="G51" i="28"/>
  <c r="J51" i="28" s="1"/>
  <c r="I50" i="28"/>
  <c r="O50" i="28" s="1"/>
  <c r="H50" i="28"/>
  <c r="G50" i="28"/>
  <c r="J50" i="28" s="1"/>
  <c r="I49" i="28"/>
  <c r="O49" i="28" s="1"/>
  <c r="H49" i="28"/>
  <c r="G49" i="28"/>
  <c r="J49" i="28" s="1"/>
  <c r="I48" i="28"/>
  <c r="O48" i="28" s="1"/>
  <c r="H48" i="28"/>
  <c r="M48" i="28" s="1"/>
  <c r="G48" i="28"/>
  <c r="I47" i="28"/>
  <c r="O47" i="28" s="1"/>
  <c r="H47" i="28"/>
  <c r="M47" i="28" s="1"/>
  <c r="G47" i="28"/>
  <c r="J47" i="28" s="1"/>
  <c r="I46" i="28"/>
  <c r="O46" i="28" s="1"/>
  <c r="H46" i="28"/>
  <c r="G46" i="28"/>
  <c r="J46" i="28" s="1"/>
  <c r="I45" i="28"/>
  <c r="O45" i="28" s="1"/>
  <c r="H45" i="28"/>
  <c r="G45" i="28"/>
  <c r="J45" i="28" s="1"/>
  <c r="I44" i="28"/>
  <c r="O44" i="28" s="1"/>
  <c r="H44" i="28"/>
  <c r="M44" i="28" s="1"/>
  <c r="G44" i="28"/>
  <c r="J44" i="28" s="1"/>
  <c r="I43" i="28"/>
  <c r="H43" i="28"/>
  <c r="M43" i="28" s="1"/>
  <c r="G43" i="28"/>
  <c r="J43" i="28" s="1"/>
  <c r="I42" i="28"/>
  <c r="O42" i="28" s="1"/>
  <c r="H42" i="28"/>
  <c r="M42" i="28" s="1"/>
  <c r="G42" i="28"/>
  <c r="I41" i="28"/>
  <c r="H41" i="28"/>
  <c r="M41" i="28" s="1"/>
  <c r="G41" i="28"/>
  <c r="I40" i="28"/>
  <c r="O40" i="28" s="1"/>
  <c r="H40" i="28"/>
  <c r="G40" i="28"/>
  <c r="I39" i="28"/>
  <c r="H39" i="28"/>
  <c r="M39" i="28" s="1"/>
  <c r="G39" i="28"/>
  <c r="J39" i="28" s="1"/>
  <c r="I38" i="28"/>
  <c r="O38" i="28" s="1"/>
  <c r="H38" i="28"/>
  <c r="M38" i="28" s="1"/>
  <c r="G38" i="28"/>
  <c r="I37" i="28"/>
  <c r="O37" i="28" s="1"/>
  <c r="H37" i="28"/>
  <c r="M37" i="28" s="1"/>
  <c r="G37" i="28"/>
  <c r="J37" i="28" s="1"/>
  <c r="I36" i="28"/>
  <c r="H36" i="28"/>
  <c r="G36" i="28"/>
  <c r="J36" i="28" s="1"/>
  <c r="I35" i="28"/>
  <c r="O35" i="28" s="1"/>
  <c r="H35" i="28"/>
  <c r="M35" i="28" s="1"/>
  <c r="G35" i="28"/>
  <c r="I34" i="28"/>
  <c r="O34" i="28" s="1"/>
  <c r="H34" i="28"/>
  <c r="M34" i="28" s="1"/>
  <c r="G34" i="28"/>
  <c r="I33" i="28"/>
  <c r="O33" i="28" s="1"/>
  <c r="H33" i="28"/>
  <c r="M33" i="28" s="1"/>
  <c r="G33" i="28"/>
  <c r="J33" i="28" s="1"/>
  <c r="I32" i="28"/>
  <c r="H32" i="28"/>
  <c r="N32" i="28" s="1"/>
  <c r="G32" i="28"/>
  <c r="J32" i="28" s="1"/>
  <c r="I31" i="28"/>
  <c r="O31" i="28" s="1"/>
  <c r="H31" i="28"/>
  <c r="M31" i="28" s="1"/>
  <c r="G31" i="28"/>
  <c r="I30" i="28"/>
  <c r="O30" i="28" s="1"/>
  <c r="H30" i="28"/>
  <c r="M30" i="28" s="1"/>
  <c r="G30" i="28"/>
  <c r="I29" i="28"/>
  <c r="O29" i="28" s="1"/>
  <c r="H29" i="28"/>
  <c r="M29" i="28" s="1"/>
  <c r="G29" i="28"/>
  <c r="J29" i="28" s="1"/>
  <c r="I28" i="28"/>
  <c r="H28" i="28"/>
  <c r="G28" i="28"/>
  <c r="J28" i="28" s="1"/>
  <c r="I27" i="28"/>
  <c r="O27" i="28" s="1"/>
  <c r="H27" i="28"/>
  <c r="M27" i="28" s="1"/>
  <c r="G27" i="28"/>
  <c r="I26" i="28"/>
  <c r="O26" i="28" s="1"/>
  <c r="H26" i="28"/>
  <c r="M26" i="28" s="1"/>
  <c r="G26" i="28"/>
  <c r="I25" i="28"/>
  <c r="O25" i="28" s="1"/>
  <c r="H25" i="28"/>
  <c r="M25" i="28" s="1"/>
  <c r="G25" i="28"/>
  <c r="J25" i="28" s="1"/>
  <c r="I24" i="28"/>
  <c r="H24" i="28"/>
  <c r="G24" i="28"/>
  <c r="J24" i="28" s="1"/>
  <c r="I23" i="28"/>
  <c r="O23" i="28" s="1"/>
  <c r="H23" i="28"/>
  <c r="M23" i="28" s="1"/>
  <c r="G23" i="28"/>
  <c r="I22" i="28"/>
  <c r="O22" i="28" s="1"/>
  <c r="H22" i="28"/>
  <c r="M22" i="28" s="1"/>
  <c r="G22" i="28"/>
  <c r="I21" i="28"/>
  <c r="O21" i="28" s="1"/>
  <c r="H21" i="28"/>
  <c r="M21" i="28" s="1"/>
  <c r="G21" i="28"/>
  <c r="J21" i="28" s="1"/>
  <c r="I20" i="28"/>
  <c r="H20" i="28"/>
  <c r="G20" i="28"/>
  <c r="J20" i="28" s="1"/>
  <c r="I19" i="28"/>
  <c r="O19" i="28" s="1"/>
  <c r="H19" i="28"/>
  <c r="M19" i="28" s="1"/>
  <c r="G19" i="28"/>
  <c r="I18" i="28"/>
  <c r="O18" i="28" s="1"/>
  <c r="H18" i="28"/>
  <c r="M18" i="28" s="1"/>
  <c r="G18" i="28"/>
  <c r="I17" i="28"/>
  <c r="O17" i="28" s="1"/>
  <c r="H17" i="28"/>
  <c r="M17" i="28" s="1"/>
  <c r="G17" i="28"/>
  <c r="J17" i="28" s="1"/>
  <c r="I16" i="28"/>
  <c r="H16" i="28"/>
  <c r="G16" i="28"/>
  <c r="J16" i="28" s="1"/>
  <c r="I15" i="28"/>
  <c r="O15" i="28" s="1"/>
  <c r="H15" i="28"/>
  <c r="M15" i="28" s="1"/>
  <c r="G15" i="28"/>
  <c r="I14" i="28"/>
  <c r="O14" i="28" s="1"/>
  <c r="H14" i="28"/>
  <c r="M14" i="28" s="1"/>
  <c r="G14" i="28"/>
  <c r="I13" i="28"/>
  <c r="O13" i="28" s="1"/>
  <c r="H13" i="28"/>
  <c r="M13" i="28" s="1"/>
  <c r="G13" i="28"/>
  <c r="J13" i="28" s="1"/>
  <c r="I12" i="28"/>
  <c r="H12" i="28"/>
  <c r="G12" i="28"/>
  <c r="J12" i="28" s="1"/>
  <c r="I11" i="28"/>
  <c r="O11" i="28" s="1"/>
  <c r="H11" i="28"/>
  <c r="M11" i="28" s="1"/>
  <c r="G11" i="28"/>
  <c r="K11" i="28" s="1"/>
  <c r="I10" i="28"/>
  <c r="O10" i="28" s="1"/>
  <c r="H10" i="28"/>
  <c r="M10" i="28" s="1"/>
  <c r="G10" i="28"/>
  <c r="I9" i="28"/>
  <c r="O9" i="28" s="1"/>
  <c r="H9" i="28"/>
  <c r="G9" i="28"/>
  <c r="J9" i="28" s="1"/>
  <c r="I8" i="28"/>
  <c r="H8" i="28"/>
  <c r="G8" i="28"/>
  <c r="J8" i="28" s="1"/>
  <c r="I7" i="28"/>
  <c r="H7" i="28"/>
  <c r="M7" i="28" s="1"/>
  <c r="G7" i="28"/>
  <c r="I6" i="28"/>
  <c r="O6" i="28" s="1"/>
  <c r="H6" i="28"/>
  <c r="M6" i="28" s="1"/>
  <c r="G6" i="28"/>
  <c r="I5" i="28"/>
  <c r="O5" i="28" s="1"/>
  <c r="H5" i="28"/>
  <c r="M5" i="28" s="1"/>
  <c r="G5" i="28"/>
  <c r="J5" i="28" s="1"/>
  <c r="I4" i="28"/>
  <c r="H4" i="28"/>
  <c r="G4" i="28"/>
  <c r="J4" i="28" s="1"/>
  <c r="N67" i="28" l="1"/>
  <c r="K109" i="28"/>
  <c r="K164" i="28"/>
  <c r="L39" i="28"/>
  <c r="K125" i="28"/>
  <c r="K167" i="28"/>
  <c r="K171" i="28"/>
  <c r="L142" i="28"/>
  <c r="K79" i="28"/>
  <c r="N142" i="28"/>
  <c r="K40" i="28"/>
  <c r="N135" i="28"/>
  <c r="L41" i="28"/>
  <c r="G86" i="30" a="1"/>
  <c r="G86" i="30" s="1"/>
  <c r="B55" i="19" s="1"/>
  <c r="G2" i="30" a="1"/>
  <c r="J2" i="30" s="1"/>
  <c r="E7" i="19" s="1"/>
  <c r="N136" i="28"/>
  <c r="G44" i="30" a="1"/>
  <c r="K44" i="30" s="1"/>
  <c r="F31" i="19" s="1"/>
  <c r="N12" i="28"/>
  <c r="N28" i="28"/>
  <c r="K166" i="28"/>
  <c r="K185" i="28"/>
  <c r="K186" i="28"/>
  <c r="K86" i="28"/>
  <c r="K90" i="28"/>
  <c r="K102" i="28"/>
  <c r="K106" i="28"/>
  <c r="K118" i="28"/>
  <c r="K122" i="28"/>
  <c r="N129" i="28"/>
  <c r="N133" i="28"/>
  <c r="K138" i="28"/>
  <c r="L85" i="28"/>
  <c r="K130" i="28"/>
  <c r="K131" i="28"/>
  <c r="K135" i="28"/>
  <c r="L18" i="28"/>
  <c r="L20" i="28"/>
  <c r="L22" i="28"/>
  <c r="L26" i="28"/>
  <c r="N40" i="28"/>
  <c r="N68" i="28"/>
  <c r="N38" i="28"/>
  <c r="N60" i="28"/>
  <c r="K134" i="28"/>
  <c r="L6" i="28"/>
  <c r="L8" i="28"/>
  <c r="L10" i="28"/>
  <c r="L16" i="28"/>
  <c r="N18" i="28"/>
  <c r="L60" i="28"/>
  <c r="L78" i="28"/>
  <c r="N79" i="28"/>
  <c r="L84" i="28"/>
  <c r="L88" i="28"/>
  <c r="N102" i="28"/>
  <c r="N20" i="28"/>
  <c r="N24" i="28"/>
  <c r="N26" i="28"/>
  <c r="L42" i="28"/>
  <c r="N70" i="28"/>
  <c r="L80" i="28"/>
  <c r="K83" i="28"/>
  <c r="K87" i="28"/>
  <c r="L91" i="28"/>
  <c r="L93" i="28"/>
  <c r="L99" i="28"/>
  <c r="N100" i="28"/>
  <c r="L103" i="28"/>
  <c r="L105" i="28"/>
  <c r="L109" i="28"/>
  <c r="L119" i="28"/>
  <c r="L123" i="28"/>
  <c r="N144" i="28"/>
  <c r="K178" i="28"/>
  <c r="K179" i="28"/>
  <c r="L12" i="28"/>
  <c r="N14" i="28"/>
  <c r="L24" i="28"/>
  <c r="N30" i="28"/>
  <c r="N41" i="28"/>
  <c r="L43" i="28"/>
  <c r="L50" i="28"/>
  <c r="N63" i="28"/>
  <c r="L95" i="28"/>
  <c r="J109" i="28"/>
  <c r="N126" i="28"/>
  <c r="N6" i="28"/>
  <c r="L14" i="28"/>
  <c r="N22" i="28"/>
  <c r="L31" i="28"/>
  <c r="N34" i="28"/>
  <c r="O41" i="28"/>
  <c r="L48" i="28"/>
  <c r="L64" i="28"/>
  <c r="M67" i="28"/>
  <c r="L101" i="28"/>
  <c r="L107" i="28"/>
  <c r="L111" i="28"/>
  <c r="N118" i="28"/>
  <c r="O126" i="28"/>
  <c r="N143" i="28"/>
  <c r="L4" i="28"/>
  <c r="N10" i="28"/>
  <c r="K15" i="28"/>
  <c r="N16" i="28"/>
  <c r="K35" i="28"/>
  <c r="N36" i="28"/>
  <c r="N50" i="28"/>
  <c r="K55" i="28"/>
  <c r="K63" i="28"/>
  <c r="K67" i="28"/>
  <c r="N77" i="28"/>
  <c r="L82" i="28"/>
  <c r="N83" i="28"/>
  <c r="N86" i="28"/>
  <c r="N90" i="28"/>
  <c r="K93" i="28"/>
  <c r="L97" i="28"/>
  <c r="M100" i="28"/>
  <c r="K114" i="28"/>
  <c r="J117" i="28"/>
  <c r="K126" i="28"/>
  <c r="N132" i="28"/>
  <c r="N139" i="28"/>
  <c r="J164" i="28"/>
  <c r="K174" i="28"/>
  <c r="K175" i="28"/>
  <c r="K181" i="28"/>
  <c r="K182" i="28"/>
  <c r="N5" i="28"/>
  <c r="M9" i="28"/>
  <c r="N9" i="28"/>
  <c r="O7" i="28"/>
  <c r="L7" i="28"/>
  <c r="N8" i="28"/>
  <c r="M8" i="28"/>
  <c r="N4" i="28"/>
  <c r="M4" i="28"/>
  <c r="N17" i="28"/>
  <c r="L11" i="28"/>
  <c r="L15" i="28"/>
  <c r="L19" i="28"/>
  <c r="L23" i="28"/>
  <c r="L27" i="28"/>
  <c r="L28" i="28"/>
  <c r="L30" i="28"/>
  <c r="L32" i="28"/>
  <c r="L34" i="28"/>
  <c r="L35" i="28"/>
  <c r="L36" i="28"/>
  <c r="L38" i="28"/>
  <c r="J40" i="28"/>
  <c r="K42" i="28"/>
  <c r="L46" i="28"/>
  <c r="K51" i="28"/>
  <c r="N54" i="28"/>
  <c r="L56" i="28"/>
  <c r="N56" i="28"/>
  <c r="L62" i="28"/>
  <c r="J63" i="28"/>
  <c r="K65" i="28"/>
  <c r="M68" i="28"/>
  <c r="N69" i="28"/>
  <c r="L77" i="28"/>
  <c r="K78" i="28"/>
  <c r="N78" i="28"/>
  <c r="K82" i="28"/>
  <c r="N82" i="28"/>
  <c r="N85" i="28"/>
  <c r="J93" i="28"/>
  <c r="N94" i="28"/>
  <c r="J97" i="28"/>
  <c r="N98" i="28"/>
  <c r="L100" i="28"/>
  <c r="K101" i="28"/>
  <c r="N101" i="28"/>
  <c r="N110" i="28"/>
  <c r="L115" i="28"/>
  <c r="L117" i="28"/>
  <c r="O118" i="28"/>
  <c r="J119" i="28"/>
  <c r="N121" i="28"/>
  <c r="N180" i="28"/>
  <c r="M180" i="28"/>
  <c r="L193" i="28"/>
  <c r="J193" i="28"/>
  <c r="L197" i="28"/>
  <c r="J197" i="28"/>
  <c r="L201" i="28"/>
  <c r="J201" i="28"/>
  <c r="L205" i="28"/>
  <c r="J205" i="28"/>
  <c r="L209" i="28"/>
  <c r="J209" i="28"/>
  <c r="L213" i="28"/>
  <c r="J213" i="28"/>
  <c r="L217" i="28"/>
  <c r="J217" i="28"/>
  <c r="N13" i="28"/>
  <c r="N21" i="28"/>
  <c r="N25" i="28"/>
  <c r="N29" i="28"/>
  <c r="N33" i="28"/>
  <c r="N37" i="28"/>
  <c r="L127" i="28"/>
  <c r="K143" i="28"/>
  <c r="J143" i="28"/>
  <c r="K7" i="28"/>
  <c r="M12" i="28"/>
  <c r="M16" i="28"/>
  <c r="K19" i="28"/>
  <c r="M20" i="28"/>
  <c r="K23" i="28"/>
  <c r="M24" i="28"/>
  <c r="K27" i="28"/>
  <c r="M28" i="28"/>
  <c r="K31" i="28"/>
  <c r="M32" i="28"/>
  <c r="M36" i="28"/>
  <c r="M40" i="28"/>
  <c r="K47" i="28"/>
  <c r="J48" i="28"/>
  <c r="L52" i="28"/>
  <c r="N52" i="28"/>
  <c r="L58" i="28"/>
  <c r="J64" i="28"/>
  <c r="L66" i="28"/>
  <c r="L68" i="28"/>
  <c r="O83" i="28"/>
  <c r="L86" i="28"/>
  <c r="L90" i="28"/>
  <c r="L92" i="28"/>
  <c r="N93" i="28"/>
  <c r="K94" i="28"/>
  <c r="N97" i="28"/>
  <c r="O102" i="28"/>
  <c r="J111" i="28"/>
  <c r="N113" i="28"/>
  <c r="J125" i="28"/>
  <c r="K137" i="28"/>
  <c r="K139" i="28"/>
  <c r="J139" i="28"/>
  <c r="L192" i="28"/>
  <c r="J192" i="28"/>
  <c r="L196" i="28"/>
  <c r="J196" i="28"/>
  <c r="L200" i="28"/>
  <c r="J200" i="28"/>
  <c r="L204" i="28"/>
  <c r="J204" i="28"/>
  <c r="L208" i="28"/>
  <c r="J208" i="28"/>
  <c r="L212" i="28"/>
  <c r="J212" i="28"/>
  <c r="L216" i="28"/>
  <c r="J216" i="28"/>
  <c r="N64" i="28"/>
  <c r="N184" i="28"/>
  <c r="M184" i="28"/>
  <c r="K5" i="28"/>
  <c r="K9" i="28"/>
  <c r="K13" i="28"/>
  <c r="K17" i="28"/>
  <c r="K21" i="28"/>
  <c r="K25" i="28"/>
  <c r="K29" i="28"/>
  <c r="K33" i="28"/>
  <c r="K37" i="28"/>
  <c r="N39" i="28"/>
  <c r="N43" i="28"/>
  <c r="N46" i="28"/>
  <c r="N48" i="28"/>
  <c r="L54" i="28"/>
  <c r="J55" i="28"/>
  <c r="K59" i="28"/>
  <c r="J60" i="28"/>
  <c r="N62" i="28"/>
  <c r="J67" i="28"/>
  <c r="O79" i="28"/>
  <c r="J86" i="28"/>
  <c r="N87" i="28"/>
  <c r="J90" i="28"/>
  <c r="N92" i="28"/>
  <c r="K98" i="28"/>
  <c r="M105" i="28"/>
  <c r="N105" i="28"/>
  <c r="K110" i="28"/>
  <c r="L125" i="28"/>
  <c r="N140" i="28"/>
  <c r="N188" i="28"/>
  <c r="M188" i="28"/>
  <c r="L191" i="28"/>
  <c r="J191" i="28"/>
  <c r="L199" i="28"/>
  <c r="J199" i="28"/>
  <c r="N106" i="28"/>
  <c r="L108" i="28"/>
  <c r="N109" i="28"/>
  <c r="J115" i="28"/>
  <c r="N117" i="28"/>
  <c r="J123" i="28"/>
  <c r="N125" i="28"/>
  <c r="N131" i="28"/>
  <c r="L136" i="28"/>
  <c r="M140" i="28"/>
  <c r="L144" i="28"/>
  <c r="M144" i="28"/>
  <c r="K105" i="28"/>
  <c r="N108" i="28"/>
  <c r="K113" i="28"/>
  <c r="L113" i="28"/>
  <c r="N114" i="28"/>
  <c r="K121" i="28"/>
  <c r="L121" i="28"/>
  <c r="N122" i="28"/>
  <c r="K129" i="28"/>
  <c r="L129" i="28"/>
  <c r="L132" i="28"/>
  <c r="N134" i="28"/>
  <c r="O136" i="28"/>
  <c r="L140" i="28"/>
  <c r="N162" i="28"/>
  <c r="N164" i="28"/>
  <c r="K168" i="28"/>
  <c r="K172" i="28"/>
  <c r="K176" i="28"/>
  <c r="N182" i="28"/>
  <c r="K183" i="28"/>
  <c r="N186" i="28"/>
  <c r="K187" i="28"/>
  <c r="K165" i="28"/>
  <c r="K169" i="28"/>
  <c r="K173" i="28"/>
  <c r="K177" i="28"/>
  <c r="K180" i="28"/>
  <c r="K184" i="28"/>
  <c r="K188" i="28"/>
  <c r="K4" i="28"/>
  <c r="O4" i="28"/>
  <c r="L5" i="28"/>
  <c r="J7" i="28"/>
  <c r="N7" i="28"/>
  <c r="K8" i="28"/>
  <c r="O8" i="28"/>
  <c r="L9" i="28"/>
  <c r="J11" i="28"/>
  <c r="N11" i="28"/>
  <c r="K12" i="28"/>
  <c r="O12" i="28"/>
  <c r="L13" i="28"/>
  <c r="J15" i="28"/>
  <c r="N15" i="28"/>
  <c r="K16" i="28"/>
  <c r="O16" i="28"/>
  <c r="L17" i="28"/>
  <c r="J19" i="28"/>
  <c r="N19" i="28"/>
  <c r="K20" i="28"/>
  <c r="O20" i="28"/>
  <c r="L21" i="28"/>
  <c r="J23" i="28"/>
  <c r="N23" i="28"/>
  <c r="K24" i="28"/>
  <c r="O24" i="28"/>
  <c r="L25" i="28"/>
  <c r="J27" i="28"/>
  <c r="N27" i="28"/>
  <c r="K28" i="28"/>
  <c r="O28" i="28"/>
  <c r="L29" i="28"/>
  <c r="J31" i="28"/>
  <c r="N31" i="28"/>
  <c r="K32" i="28"/>
  <c r="O32" i="28"/>
  <c r="L33" i="28"/>
  <c r="J35" i="28"/>
  <c r="N35" i="28"/>
  <c r="K36" i="28"/>
  <c r="O36" i="28"/>
  <c r="L37" i="28"/>
  <c r="K39" i="28"/>
  <c r="O39" i="28"/>
  <c r="L40" i="28"/>
  <c r="J42" i="28"/>
  <c r="N42" i="28"/>
  <c r="K43" i="28"/>
  <c r="O43" i="28"/>
  <c r="N44" i="28"/>
  <c r="M65" i="28"/>
  <c r="N65" i="28"/>
  <c r="K68" i="28"/>
  <c r="L69" i="28"/>
  <c r="J69" i="28"/>
  <c r="O70" i="28"/>
  <c r="L70" i="28"/>
  <c r="J6" i="28"/>
  <c r="J10" i="28"/>
  <c r="J14" i="28"/>
  <c r="J18" i="28"/>
  <c r="J22" i="28"/>
  <c r="J26" i="28"/>
  <c r="J30" i="28"/>
  <c r="J34" i="28"/>
  <c r="J38" i="28"/>
  <c r="J41" i="28"/>
  <c r="K45" i="28"/>
  <c r="M46" i="28"/>
  <c r="N47" i="28"/>
  <c r="K49" i="28"/>
  <c r="M50" i="28"/>
  <c r="N51" i="28"/>
  <c r="K53" i="28"/>
  <c r="M54" i="28"/>
  <c r="N55" i="28"/>
  <c r="K57" i="28"/>
  <c r="M58" i="28"/>
  <c r="N59" i="28"/>
  <c r="K61" i="28"/>
  <c r="M62" i="28"/>
  <c r="K6" i="28"/>
  <c r="K10" i="28"/>
  <c r="K14" i="28"/>
  <c r="K18" i="28"/>
  <c r="K22" i="28"/>
  <c r="K26" i="28"/>
  <c r="K30" i="28"/>
  <c r="K34" i="28"/>
  <c r="K38" i="28"/>
  <c r="K41" i="28"/>
  <c r="L45" i="28"/>
  <c r="L49" i="28"/>
  <c r="L53" i="28"/>
  <c r="L57" i="28"/>
  <c r="L61" i="28"/>
  <c r="O63" i="28"/>
  <c r="L63" i="28"/>
  <c r="L44" i="28"/>
  <c r="K44" i="28"/>
  <c r="M45" i="28"/>
  <c r="N45" i="28"/>
  <c r="K48" i="28"/>
  <c r="M49" i="28"/>
  <c r="N49" i="28"/>
  <c r="K52" i="28"/>
  <c r="M53" i="28"/>
  <c r="N53" i="28"/>
  <c r="K56" i="28"/>
  <c r="M57" i="28"/>
  <c r="N57" i="28"/>
  <c r="K60" i="28"/>
  <c r="M61" i="28"/>
  <c r="N61" i="28"/>
  <c r="K64" i="28"/>
  <c r="L65" i="28"/>
  <c r="N66" i="28"/>
  <c r="O67" i="28"/>
  <c r="L67" i="28"/>
  <c r="J68" i="28"/>
  <c r="K69" i="28"/>
  <c r="K46" i="28"/>
  <c r="L47" i="28"/>
  <c r="K50" i="28"/>
  <c r="L51" i="28"/>
  <c r="K54" i="28"/>
  <c r="L55" i="28"/>
  <c r="K58" i="28"/>
  <c r="L59" i="28"/>
  <c r="K62" i="28"/>
  <c r="K66" i="28"/>
  <c r="L71" i="28"/>
  <c r="K71" i="28"/>
  <c r="N81" i="28"/>
  <c r="N84" i="28"/>
  <c r="M84" i="28"/>
  <c r="N89" i="28"/>
  <c r="N91" i="28"/>
  <c r="M91" i="28"/>
  <c r="N96" i="28"/>
  <c r="N99" i="28"/>
  <c r="M99" i="28"/>
  <c r="N104" i="28"/>
  <c r="N107" i="28"/>
  <c r="M107" i="28"/>
  <c r="L112" i="28"/>
  <c r="L116" i="28"/>
  <c r="L120" i="28"/>
  <c r="L124" i="28"/>
  <c r="L128" i="28"/>
  <c r="J133" i="28"/>
  <c r="L133" i="28"/>
  <c r="K80" i="28"/>
  <c r="J83" i="28"/>
  <c r="L83" i="28"/>
  <c r="K88" i="28"/>
  <c r="K95" i="28"/>
  <c r="J98" i="28"/>
  <c r="L98" i="28"/>
  <c r="K103" i="28"/>
  <c r="J106" i="28"/>
  <c r="L106" i="28"/>
  <c r="K111" i="28"/>
  <c r="N112" i="28"/>
  <c r="K115" i="28"/>
  <c r="N116" i="28"/>
  <c r="K119" i="28"/>
  <c r="N120" i="28"/>
  <c r="K123" i="28"/>
  <c r="N124" i="28"/>
  <c r="K127" i="28"/>
  <c r="N128" i="28"/>
  <c r="N71" i="28"/>
  <c r="N80" i="28"/>
  <c r="M80" i="28"/>
  <c r="N88" i="28"/>
  <c r="M88" i="28"/>
  <c r="N95" i="28"/>
  <c r="M95" i="28"/>
  <c r="N103" i="28"/>
  <c r="M103" i="28"/>
  <c r="N111" i="28"/>
  <c r="M111" i="28"/>
  <c r="N115" i="28"/>
  <c r="M115" i="28"/>
  <c r="N119" i="28"/>
  <c r="M119" i="28"/>
  <c r="N123" i="28"/>
  <c r="M123" i="28"/>
  <c r="N127" i="28"/>
  <c r="M127" i="28"/>
  <c r="O135" i="28"/>
  <c r="L135" i="28"/>
  <c r="M69" i="28"/>
  <c r="K70" i="28"/>
  <c r="J71" i="28"/>
  <c r="J79" i="28"/>
  <c r="L79" i="28"/>
  <c r="L81" i="28"/>
  <c r="K84" i="28"/>
  <c r="J87" i="28"/>
  <c r="L87" i="28"/>
  <c r="L89" i="28"/>
  <c r="K91" i="28"/>
  <c r="J94" i="28"/>
  <c r="L94" i="28"/>
  <c r="L96" i="28"/>
  <c r="K99" i="28"/>
  <c r="J102" i="28"/>
  <c r="L102" i="28"/>
  <c r="L104" i="28"/>
  <c r="K107" i="28"/>
  <c r="J110" i="28"/>
  <c r="L110" i="28"/>
  <c r="J114" i="28"/>
  <c r="L114" i="28"/>
  <c r="J118" i="28"/>
  <c r="L118" i="28"/>
  <c r="J122" i="28"/>
  <c r="L122" i="28"/>
  <c r="J126" i="28"/>
  <c r="L126" i="28"/>
  <c r="J130" i="28"/>
  <c r="L130" i="28"/>
  <c r="O131" i="28"/>
  <c r="L131" i="28"/>
  <c r="K133" i="28"/>
  <c r="J137" i="28"/>
  <c r="L137" i="28"/>
  <c r="N150" i="28"/>
  <c r="M150" i="28"/>
  <c r="L151" i="28"/>
  <c r="N152" i="28"/>
  <c r="M152" i="28"/>
  <c r="L153" i="28"/>
  <c r="N154" i="28"/>
  <c r="M154" i="28"/>
  <c r="L155" i="28"/>
  <c r="N156" i="28"/>
  <c r="M156" i="28"/>
  <c r="L157" i="28"/>
  <c r="N158" i="28"/>
  <c r="M158" i="28"/>
  <c r="L159" i="28"/>
  <c r="N160" i="28"/>
  <c r="M160" i="28"/>
  <c r="L161" i="28"/>
  <c r="L170" i="28"/>
  <c r="O170" i="28"/>
  <c r="L178" i="28"/>
  <c r="O178" i="28"/>
  <c r="L185" i="28"/>
  <c r="O185" i="28"/>
  <c r="J77" i="28"/>
  <c r="O78" i="28"/>
  <c r="J81" i="28"/>
  <c r="O82" i="28"/>
  <c r="J85" i="28"/>
  <c r="O86" i="28"/>
  <c r="J89" i="28"/>
  <c r="O90" i="28"/>
  <c r="J92" i="28"/>
  <c r="O93" i="28"/>
  <c r="J96" i="28"/>
  <c r="O97" i="28"/>
  <c r="J100" i="28"/>
  <c r="O101" i="28"/>
  <c r="J104" i="28"/>
  <c r="O105" i="28"/>
  <c r="J108" i="28"/>
  <c r="O109" i="28"/>
  <c r="J112" i="28"/>
  <c r="J116" i="28"/>
  <c r="J120" i="28"/>
  <c r="J124" i="28"/>
  <c r="J128" i="28"/>
  <c r="N130" i="28"/>
  <c r="L134" i="28"/>
  <c r="N137" i="28"/>
  <c r="M137" i="28"/>
  <c r="N138" i="28"/>
  <c r="L139" i="28"/>
  <c r="O139" i="28"/>
  <c r="J140" i="28"/>
  <c r="K141" i="28"/>
  <c r="K142" i="28"/>
  <c r="M142" i="28"/>
  <c r="K151" i="28"/>
  <c r="K153" i="28"/>
  <c r="K155" i="28"/>
  <c r="K157" i="28"/>
  <c r="K159" i="28"/>
  <c r="K161" i="28"/>
  <c r="L168" i="28"/>
  <c r="O168" i="28"/>
  <c r="L176" i="28"/>
  <c r="O176" i="28"/>
  <c r="L183" i="28"/>
  <c r="O183" i="28"/>
  <c r="K77" i="28"/>
  <c r="J80" i="28"/>
  <c r="K81" i="28"/>
  <c r="J84" i="28"/>
  <c r="K85" i="28"/>
  <c r="J88" i="28"/>
  <c r="K89" i="28"/>
  <c r="J91" i="28"/>
  <c r="K92" i="28"/>
  <c r="J95" i="28"/>
  <c r="K96" i="28"/>
  <c r="J99" i="28"/>
  <c r="K100" i="28"/>
  <c r="J103" i="28"/>
  <c r="K104" i="28"/>
  <c r="J107" i="28"/>
  <c r="K108" i="28"/>
  <c r="K112" i="28"/>
  <c r="K116" i="28"/>
  <c r="K120" i="28"/>
  <c r="K124" i="28"/>
  <c r="K128" i="28"/>
  <c r="M134" i="28"/>
  <c r="K140" i="28"/>
  <c r="L141" i="28"/>
  <c r="L143" i="28"/>
  <c r="O143" i="28"/>
  <c r="L150" i="28"/>
  <c r="N151" i="28"/>
  <c r="M151" i="28"/>
  <c r="L152" i="28"/>
  <c r="N153" i="28"/>
  <c r="M153" i="28"/>
  <c r="L154" i="28"/>
  <c r="N155" i="28"/>
  <c r="M155" i="28"/>
  <c r="L156" i="28"/>
  <c r="N157" i="28"/>
  <c r="M157" i="28"/>
  <c r="L158" i="28"/>
  <c r="N159" i="28"/>
  <c r="M159" i="28"/>
  <c r="L160" i="28"/>
  <c r="N161" i="28"/>
  <c r="M161" i="28"/>
  <c r="M162" i="28"/>
  <c r="L166" i="28"/>
  <c r="O166" i="28"/>
  <c r="L174" i="28"/>
  <c r="O174" i="28"/>
  <c r="L181" i="28"/>
  <c r="O181" i="28"/>
  <c r="K132" i="28"/>
  <c r="K136" i="28"/>
  <c r="L138" i="28"/>
  <c r="N141" i="28"/>
  <c r="M141" i="28"/>
  <c r="K144" i="28"/>
  <c r="K150" i="28"/>
  <c r="K152" i="28"/>
  <c r="K154" i="28"/>
  <c r="K156" i="28"/>
  <c r="K158" i="28"/>
  <c r="K160" i="28"/>
  <c r="O163" i="28"/>
  <c r="L163" i="28"/>
  <c r="L172" i="28"/>
  <c r="O172" i="28"/>
  <c r="L187" i="28"/>
  <c r="O187" i="28"/>
  <c r="N202" i="28"/>
  <c r="J138" i="28"/>
  <c r="J142" i="28"/>
  <c r="K163" i="28"/>
  <c r="N165" i="28"/>
  <c r="N167" i="28"/>
  <c r="N169" i="28"/>
  <c r="N171" i="28"/>
  <c r="N173" i="28"/>
  <c r="N175" i="28"/>
  <c r="N177" i="28"/>
  <c r="N179" i="28"/>
  <c r="N190" i="28"/>
  <c r="N206" i="28"/>
  <c r="N163" i="28"/>
  <c r="M163" i="28"/>
  <c r="L165" i="28"/>
  <c r="O165" i="28"/>
  <c r="L167" i="28"/>
  <c r="O167" i="28"/>
  <c r="L169" i="28"/>
  <c r="O169" i="28"/>
  <c r="L171" i="28"/>
  <c r="O171" i="28"/>
  <c r="L173" i="28"/>
  <c r="O173" i="28"/>
  <c r="L175" i="28"/>
  <c r="O175" i="28"/>
  <c r="L177" i="28"/>
  <c r="O177" i="28"/>
  <c r="L179" i="28"/>
  <c r="O179" i="28"/>
  <c r="L180" i="28"/>
  <c r="O180" i="28"/>
  <c r="L182" i="28"/>
  <c r="O182" i="28"/>
  <c r="L184" i="28"/>
  <c r="O184" i="28"/>
  <c r="L186" i="28"/>
  <c r="O186" i="28"/>
  <c r="L188" i="28"/>
  <c r="O188" i="28"/>
  <c r="N194" i="28"/>
  <c r="N210" i="28"/>
  <c r="K162" i="28"/>
  <c r="L162" i="28"/>
  <c r="L164" i="28"/>
  <c r="O164" i="28"/>
  <c r="N166" i="28"/>
  <c r="N168" i="28"/>
  <c r="N170" i="28"/>
  <c r="N172" i="28"/>
  <c r="N174" i="28"/>
  <c r="N176" i="28"/>
  <c r="N178" i="28"/>
  <c r="N181" i="28"/>
  <c r="N183" i="28"/>
  <c r="N185" i="28"/>
  <c r="N187" i="28"/>
  <c r="N189" i="28"/>
  <c r="N198" i="28"/>
  <c r="N214" i="28"/>
  <c r="J165" i="28"/>
  <c r="J166" i="28"/>
  <c r="J167" i="28"/>
  <c r="J168" i="28"/>
  <c r="J169" i="28"/>
  <c r="J170" i="28"/>
  <c r="J171" i="28"/>
  <c r="J172" i="28"/>
  <c r="J173" i="28"/>
  <c r="J174" i="28"/>
  <c r="J175" i="28"/>
  <c r="J176" i="28"/>
  <c r="J177" i="28"/>
  <c r="J178" i="28"/>
  <c r="J179" i="28"/>
  <c r="J180" i="28"/>
  <c r="J181" i="28"/>
  <c r="J182" i="28"/>
  <c r="J183" i="28"/>
  <c r="J184" i="28"/>
  <c r="J185" i="28"/>
  <c r="J186" i="28"/>
  <c r="J187" i="28"/>
  <c r="J188" i="28"/>
  <c r="L190" i="28"/>
  <c r="N191" i="28"/>
  <c r="L194" i="28"/>
  <c r="N195" i="28"/>
  <c r="L198" i="28"/>
  <c r="N199" i="28"/>
  <c r="L202" i="28"/>
  <c r="N203" i="28"/>
  <c r="L206" i="28"/>
  <c r="N207" i="28"/>
  <c r="L210" i="28"/>
  <c r="N211" i="28"/>
  <c r="L214" i="28"/>
  <c r="N215" i="28"/>
  <c r="L189" i="28"/>
  <c r="K189" i="28"/>
  <c r="M189" i="28"/>
  <c r="N192" i="28"/>
  <c r="L195" i="28"/>
  <c r="N196" i="28"/>
  <c r="N200" i="28"/>
  <c r="L203" i="28"/>
  <c r="N204" i="28"/>
  <c r="L207" i="28"/>
  <c r="N208" i="28"/>
  <c r="L211" i="28"/>
  <c r="N212" i="28"/>
  <c r="L215" i="28"/>
  <c r="N216" i="28"/>
  <c r="N193" i="28"/>
  <c r="N197" i="28"/>
  <c r="N201" i="28"/>
  <c r="N205" i="28"/>
  <c r="N209" i="28"/>
  <c r="N213" i="28"/>
  <c r="N217" i="28"/>
  <c r="K190" i="28"/>
  <c r="K191" i="28"/>
  <c r="K192" i="28"/>
  <c r="K193" i="28"/>
  <c r="K194" i="28"/>
  <c r="K195" i="28"/>
  <c r="K196" i="28"/>
  <c r="K197" i="28"/>
  <c r="K198" i="28"/>
  <c r="K199" i="28"/>
  <c r="K200" i="28"/>
  <c r="K201" i="28"/>
  <c r="K202" i="28"/>
  <c r="K203" i="28"/>
  <c r="K204" i="28"/>
  <c r="K205" i="28"/>
  <c r="K206" i="28"/>
  <c r="K207" i="28"/>
  <c r="K208" i="28"/>
  <c r="K209" i="28"/>
  <c r="K210" i="28"/>
  <c r="K211" i="28"/>
  <c r="K212" i="28"/>
  <c r="K213" i="28"/>
  <c r="K214" i="28"/>
  <c r="K215" i="28"/>
  <c r="K216" i="28"/>
  <c r="K217" i="28"/>
  <c r="P86" i="30" l="1"/>
  <c r="K55" i="19" s="1"/>
  <c r="O86" i="30"/>
  <c r="J55" i="19" s="1"/>
  <c r="H44" i="30"/>
  <c r="C31" i="19" s="1"/>
  <c r="K2" i="30"/>
  <c r="F7" i="19" s="1"/>
  <c r="H86" i="30"/>
  <c r="C55" i="19" s="1"/>
  <c r="I44" i="30"/>
  <c r="D31" i="19" s="1"/>
  <c r="L44" i="30"/>
  <c r="G31" i="19" s="1"/>
  <c r="O2" i="30"/>
  <c r="J7" i="19" s="1"/>
  <c r="L86" i="30"/>
  <c r="G55" i="19" s="1"/>
  <c r="O44" i="30"/>
  <c r="J31" i="19" s="1"/>
  <c r="I86" i="30"/>
  <c r="D55" i="19" s="1"/>
  <c r="P44" i="30"/>
  <c r="K31" i="19" s="1"/>
  <c r="M86" i="30"/>
  <c r="H55" i="19" s="1"/>
  <c r="J44" i="30"/>
  <c r="E31" i="19" s="1"/>
  <c r="I2" i="30"/>
  <c r="D7" i="19" s="1"/>
  <c r="L2" i="30"/>
  <c r="G7" i="19" s="1"/>
  <c r="J86" i="30"/>
  <c r="E55" i="19" s="1"/>
  <c r="N44" i="30"/>
  <c r="I31" i="19" s="1"/>
  <c r="N2" i="30"/>
  <c r="I7" i="19" s="1"/>
  <c r="P2" i="30"/>
  <c r="K7" i="19" s="1"/>
  <c r="K86" i="30"/>
  <c r="F55" i="19" s="1"/>
  <c r="M44" i="30"/>
  <c r="H31" i="19" s="1"/>
  <c r="N86" i="30"/>
  <c r="I55" i="19" s="1"/>
  <c r="G44" i="30"/>
  <c r="B31" i="19" s="1"/>
  <c r="M2" i="30"/>
  <c r="H7" i="19" s="1"/>
  <c r="G2" i="30"/>
  <c r="B7" i="19" s="1"/>
  <c r="H2" i="30"/>
  <c r="C7" i="19" s="1"/>
  <c r="Q101" i="30"/>
  <c r="R101" i="30" s="1"/>
  <c r="G148" i="28" a="1"/>
  <c r="I148" i="28" s="1"/>
  <c r="D62" i="19" s="1"/>
  <c r="G2" i="28" a="1"/>
  <c r="P2" i="28" s="1"/>
  <c r="K14" i="19" s="1"/>
  <c r="G75" i="28" a="1"/>
  <c r="G104" i="25"/>
  <c r="H104" i="25"/>
  <c r="I104" i="25"/>
  <c r="L104" i="25" s="1"/>
  <c r="M104" i="25"/>
  <c r="G105" i="25"/>
  <c r="H105" i="25"/>
  <c r="M105" i="25" s="1"/>
  <c r="I105" i="25"/>
  <c r="O105" i="25"/>
  <c r="G106" i="25"/>
  <c r="J106" i="25" s="1"/>
  <c r="H106" i="25"/>
  <c r="M106" i="25" s="1"/>
  <c r="I106" i="25"/>
  <c r="L106" i="25" s="1"/>
  <c r="G107" i="25"/>
  <c r="J107" i="25" s="1"/>
  <c r="H107" i="25"/>
  <c r="M107" i="25" s="1"/>
  <c r="I107" i="25"/>
  <c r="O107" i="25" s="1"/>
  <c r="G108" i="25"/>
  <c r="J108" i="25" s="1"/>
  <c r="H108" i="25"/>
  <c r="K108" i="25" s="1"/>
  <c r="I108" i="25"/>
  <c r="O108" i="25" s="1"/>
  <c r="G109" i="25"/>
  <c r="H109" i="25"/>
  <c r="I109" i="25"/>
  <c r="O109" i="25" s="1"/>
  <c r="G110" i="25"/>
  <c r="J110" i="25" s="1"/>
  <c r="H110" i="25"/>
  <c r="M110" i="25" s="1"/>
  <c r="I110" i="25"/>
  <c r="O110" i="25" s="1"/>
  <c r="G111" i="25"/>
  <c r="J111" i="25" s="1"/>
  <c r="H111" i="25"/>
  <c r="M111" i="25" s="1"/>
  <c r="I111" i="25"/>
  <c r="O111" i="25" s="1"/>
  <c r="G112" i="25"/>
  <c r="J112" i="25" s="1"/>
  <c r="H112" i="25"/>
  <c r="I112" i="25"/>
  <c r="O112" i="25" s="1"/>
  <c r="M112" i="25"/>
  <c r="G113" i="25"/>
  <c r="H113" i="25"/>
  <c r="N113" i="25" s="1"/>
  <c r="I113" i="25"/>
  <c r="O113" i="25"/>
  <c r="G114" i="25"/>
  <c r="J114" i="25" s="1"/>
  <c r="H114" i="25"/>
  <c r="M114" i="25" s="1"/>
  <c r="I114" i="25"/>
  <c r="O114" i="25" s="1"/>
  <c r="G115" i="25"/>
  <c r="J115" i="25" s="1"/>
  <c r="H115" i="25"/>
  <c r="I115" i="25"/>
  <c r="O115" i="25" s="1"/>
  <c r="M115" i="25"/>
  <c r="G116" i="25"/>
  <c r="J116" i="25" s="1"/>
  <c r="H116" i="25"/>
  <c r="M116" i="25" s="1"/>
  <c r="I116" i="25"/>
  <c r="O116" i="25" s="1"/>
  <c r="G117" i="25"/>
  <c r="H117" i="25"/>
  <c r="M117" i="25" s="1"/>
  <c r="I117" i="25"/>
  <c r="O117" i="25" s="1"/>
  <c r="G118" i="25"/>
  <c r="J118" i="25" s="1"/>
  <c r="H118" i="25"/>
  <c r="M118" i="25" s="1"/>
  <c r="I118" i="25"/>
  <c r="O118" i="25" s="1"/>
  <c r="G119" i="25"/>
  <c r="J119" i="25" s="1"/>
  <c r="H119" i="25"/>
  <c r="I119" i="25"/>
  <c r="O119" i="25" s="1"/>
  <c r="G120" i="25"/>
  <c r="H120" i="25"/>
  <c r="M120" i="25" s="1"/>
  <c r="I120" i="25"/>
  <c r="O120" i="25" s="1"/>
  <c r="G121" i="25"/>
  <c r="L121" i="25" s="1"/>
  <c r="H121" i="25"/>
  <c r="N121" i="25" s="1"/>
  <c r="I121" i="25"/>
  <c r="O121" i="25" s="1"/>
  <c r="G122" i="25"/>
  <c r="J122" i="25" s="1"/>
  <c r="H122" i="25"/>
  <c r="M122" i="25" s="1"/>
  <c r="I122" i="25"/>
  <c r="O122" i="25" s="1"/>
  <c r="G123" i="25"/>
  <c r="J123" i="25" s="1"/>
  <c r="H123" i="25"/>
  <c r="I123" i="25"/>
  <c r="O123" i="25" s="1"/>
  <c r="G124" i="25"/>
  <c r="H124" i="25"/>
  <c r="M124" i="25" s="1"/>
  <c r="I124" i="25"/>
  <c r="O124" i="25" s="1"/>
  <c r="G125" i="25"/>
  <c r="H125" i="25"/>
  <c r="I125" i="25"/>
  <c r="O125" i="25" s="1"/>
  <c r="G126" i="25"/>
  <c r="J126" i="25" s="1"/>
  <c r="H126" i="25"/>
  <c r="M126" i="25" s="1"/>
  <c r="I126" i="25"/>
  <c r="O126" i="25" s="1"/>
  <c r="G127" i="25"/>
  <c r="J127" i="25" s="1"/>
  <c r="H127" i="25"/>
  <c r="I127" i="25"/>
  <c r="O127" i="25" s="1"/>
  <c r="G128" i="25"/>
  <c r="H128" i="25"/>
  <c r="M128" i="25" s="1"/>
  <c r="I128" i="25"/>
  <c r="O128" i="25" s="1"/>
  <c r="G129" i="25"/>
  <c r="H129" i="25"/>
  <c r="I129" i="25"/>
  <c r="O129" i="25" s="1"/>
  <c r="G185" i="25"/>
  <c r="J185" i="25" s="1"/>
  <c r="H185" i="25"/>
  <c r="G186" i="25"/>
  <c r="H186" i="25"/>
  <c r="M186" i="25" s="1"/>
  <c r="G187" i="25"/>
  <c r="J187" i="25" s="1"/>
  <c r="H187" i="25"/>
  <c r="M187" i="25" s="1"/>
  <c r="G188" i="25"/>
  <c r="J188" i="25" s="1"/>
  <c r="H188" i="25"/>
  <c r="G189" i="25"/>
  <c r="J189" i="25" s="1"/>
  <c r="H189" i="25"/>
  <c r="G190" i="25"/>
  <c r="H190" i="25"/>
  <c r="M190" i="25" s="1"/>
  <c r="K190" i="25"/>
  <c r="G191" i="25"/>
  <c r="J191" i="25" s="1"/>
  <c r="H191" i="25"/>
  <c r="M191" i="25" s="1"/>
  <c r="G192" i="25"/>
  <c r="J192" i="25" s="1"/>
  <c r="H192" i="25"/>
  <c r="K192" i="25" s="1"/>
  <c r="G193" i="25"/>
  <c r="J193" i="25" s="1"/>
  <c r="H193" i="25"/>
  <c r="G194" i="25"/>
  <c r="H194" i="25"/>
  <c r="M194" i="25"/>
  <c r="G195" i="25"/>
  <c r="J195" i="25" s="1"/>
  <c r="H195" i="25"/>
  <c r="M195" i="25" s="1"/>
  <c r="G196" i="25"/>
  <c r="J196" i="25" s="1"/>
  <c r="H196" i="25"/>
  <c r="M196" i="25"/>
  <c r="G197" i="25"/>
  <c r="H197" i="25"/>
  <c r="J197" i="25"/>
  <c r="G198" i="25"/>
  <c r="H198" i="25"/>
  <c r="G199" i="25"/>
  <c r="J199" i="25" s="1"/>
  <c r="H199" i="25"/>
  <c r="M199" i="25" s="1"/>
  <c r="G200" i="25"/>
  <c r="J200" i="25" s="1"/>
  <c r="H200" i="25"/>
  <c r="G201" i="25"/>
  <c r="J201" i="25" s="1"/>
  <c r="H201" i="25"/>
  <c r="G202" i="25"/>
  <c r="H202" i="25"/>
  <c r="M202" i="25" s="1"/>
  <c r="G203" i="25"/>
  <c r="J203" i="25" s="1"/>
  <c r="H203" i="25"/>
  <c r="M203" i="25" s="1"/>
  <c r="G204" i="25"/>
  <c r="J204" i="25" s="1"/>
  <c r="H204" i="25"/>
  <c r="M204" i="25" s="1"/>
  <c r="G205" i="25"/>
  <c r="H205" i="25"/>
  <c r="K205" i="25" s="1"/>
  <c r="J205" i="25"/>
  <c r="G206" i="25"/>
  <c r="H206" i="25"/>
  <c r="M206" i="25" s="1"/>
  <c r="G207" i="25"/>
  <c r="J207" i="25" s="1"/>
  <c r="H207" i="25"/>
  <c r="M207" i="25" s="1"/>
  <c r="G208" i="25"/>
  <c r="J208" i="25" s="1"/>
  <c r="H208" i="25"/>
  <c r="M208" i="25"/>
  <c r="G209" i="25"/>
  <c r="J209" i="25" s="1"/>
  <c r="H209" i="25"/>
  <c r="G210" i="25"/>
  <c r="H210" i="25"/>
  <c r="M210" i="25" s="1"/>
  <c r="C167" i="25"/>
  <c r="I167" i="25" s="1"/>
  <c r="O167" i="25" s="1"/>
  <c r="C168" i="25"/>
  <c r="I168" i="25" s="1"/>
  <c r="O168" i="25" s="1"/>
  <c r="C169" i="25"/>
  <c r="I169" i="25" s="1"/>
  <c r="O169" i="25" s="1"/>
  <c r="C170" i="25"/>
  <c r="I170" i="25" s="1"/>
  <c r="O170" i="25" s="1"/>
  <c r="C171" i="25"/>
  <c r="I171" i="25" s="1"/>
  <c r="O171" i="25" s="1"/>
  <c r="C172" i="25"/>
  <c r="I172" i="25" s="1"/>
  <c r="O172" i="25" s="1"/>
  <c r="C173" i="25"/>
  <c r="I173" i="25" s="1"/>
  <c r="O173" i="25" s="1"/>
  <c r="C174" i="25"/>
  <c r="I174" i="25" s="1"/>
  <c r="O174" i="25" s="1"/>
  <c r="C175" i="25"/>
  <c r="I175" i="25" s="1"/>
  <c r="O175" i="25" s="1"/>
  <c r="C176" i="25"/>
  <c r="I176" i="25" s="1"/>
  <c r="O176" i="25" s="1"/>
  <c r="C177" i="25"/>
  <c r="I177" i="25" s="1"/>
  <c r="O177" i="25" s="1"/>
  <c r="C178" i="25"/>
  <c r="I178" i="25" s="1"/>
  <c r="O178" i="25" s="1"/>
  <c r="C179" i="25"/>
  <c r="I179" i="25" s="1"/>
  <c r="O179" i="25" s="1"/>
  <c r="C180" i="25"/>
  <c r="I180" i="25" s="1"/>
  <c r="O180" i="25" s="1"/>
  <c r="C181" i="25"/>
  <c r="I181" i="25" s="1"/>
  <c r="O181" i="25" s="1"/>
  <c r="C182" i="25"/>
  <c r="I182" i="25" s="1"/>
  <c r="O182" i="25" s="1"/>
  <c r="C183" i="25"/>
  <c r="I183" i="25" s="1"/>
  <c r="O183" i="25" s="1"/>
  <c r="C184" i="25"/>
  <c r="I184" i="25" s="1"/>
  <c r="O184" i="25" s="1"/>
  <c r="C211" i="25"/>
  <c r="I211" i="25" s="1"/>
  <c r="O211" i="25" s="1"/>
  <c r="C212" i="25"/>
  <c r="I212" i="25" s="1"/>
  <c r="O212" i="25" s="1"/>
  <c r="C213" i="25"/>
  <c r="I213" i="25" s="1"/>
  <c r="O213" i="25" s="1"/>
  <c r="C214" i="25"/>
  <c r="I214" i="25" s="1"/>
  <c r="O214" i="25" s="1"/>
  <c r="C215" i="25"/>
  <c r="I215" i="25" s="1"/>
  <c r="O215" i="25" s="1"/>
  <c r="C216" i="25"/>
  <c r="C217" i="25"/>
  <c r="I217" i="25" s="1"/>
  <c r="O217" i="25" s="1"/>
  <c r="C218" i="25"/>
  <c r="I218" i="25" s="1"/>
  <c r="O218" i="25" s="1"/>
  <c r="C219" i="25"/>
  <c r="I219" i="25" s="1"/>
  <c r="O219" i="25" s="1"/>
  <c r="C220" i="25"/>
  <c r="I220" i="25" s="1"/>
  <c r="O220" i="25" s="1"/>
  <c r="C221" i="25"/>
  <c r="I221" i="25" s="1"/>
  <c r="C222" i="25"/>
  <c r="I222" i="25" s="1"/>
  <c r="O222" i="25" s="1"/>
  <c r="C223" i="25"/>
  <c r="I223" i="25" s="1"/>
  <c r="C224" i="25"/>
  <c r="I224" i="25" s="1"/>
  <c r="C225" i="25"/>
  <c r="I225" i="25" s="1"/>
  <c r="C226" i="25"/>
  <c r="I226" i="25" s="1"/>
  <c r="C227" i="25"/>
  <c r="I227" i="25" s="1"/>
  <c r="C228" i="25"/>
  <c r="I228" i="25" s="1"/>
  <c r="C229" i="25"/>
  <c r="I229" i="25" s="1"/>
  <c r="C230" i="25"/>
  <c r="I230" i="25" s="1"/>
  <c r="C231" i="25"/>
  <c r="I231" i="25" s="1"/>
  <c r="C232" i="25"/>
  <c r="I232" i="25" s="1"/>
  <c r="C233" i="25"/>
  <c r="I233" i="25" s="1"/>
  <c r="C234" i="25"/>
  <c r="I234" i="25" s="1"/>
  <c r="C235" i="25"/>
  <c r="C236" i="25"/>
  <c r="I236" i="25" s="1"/>
  <c r="C237" i="25"/>
  <c r="I237" i="25" s="1"/>
  <c r="C238" i="25"/>
  <c r="I238" i="25" s="1"/>
  <c r="C239" i="25"/>
  <c r="I239" i="25" s="1"/>
  <c r="C240" i="25"/>
  <c r="I240" i="25" s="1"/>
  <c r="C241" i="25"/>
  <c r="I241" i="25" s="1"/>
  <c r="O241" i="25" s="1"/>
  <c r="C185" i="25"/>
  <c r="I185" i="25" s="1"/>
  <c r="C186" i="25"/>
  <c r="I186" i="25" s="1"/>
  <c r="C187" i="25"/>
  <c r="I187" i="25" s="1"/>
  <c r="C188" i="25"/>
  <c r="I188" i="25" s="1"/>
  <c r="O188" i="25" s="1"/>
  <c r="C189" i="25"/>
  <c r="I189" i="25" s="1"/>
  <c r="C190" i="25"/>
  <c r="I190" i="25" s="1"/>
  <c r="C191" i="25"/>
  <c r="I191" i="25" s="1"/>
  <c r="C192" i="25"/>
  <c r="I192" i="25" s="1"/>
  <c r="O192" i="25" s="1"/>
  <c r="C193" i="25"/>
  <c r="I193" i="25" s="1"/>
  <c r="O193" i="25" s="1"/>
  <c r="C194" i="25"/>
  <c r="I194" i="25" s="1"/>
  <c r="C195" i="25"/>
  <c r="I195" i="25" s="1"/>
  <c r="L195" i="25" s="1"/>
  <c r="C196" i="25"/>
  <c r="I196" i="25" s="1"/>
  <c r="C197" i="25"/>
  <c r="I197" i="25" s="1"/>
  <c r="C198" i="25"/>
  <c r="I198" i="25" s="1"/>
  <c r="C199" i="25"/>
  <c r="I199" i="25" s="1"/>
  <c r="C200" i="25"/>
  <c r="I200" i="25" s="1"/>
  <c r="O200" i="25" s="1"/>
  <c r="C201" i="25"/>
  <c r="I201" i="25" s="1"/>
  <c r="C202" i="25"/>
  <c r="I202" i="25" s="1"/>
  <c r="C203" i="25"/>
  <c r="I203" i="25" s="1"/>
  <c r="O203" i="25" s="1"/>
  <c r="C204" i="25"/>
  <c r="I204" i="25" s="1"/>
  <c r="C205" i="25"/>
  <c r="I205" i="25" s="1"/>
  <c r="C206" i="25"/>
  <c r="I206" i="25" s="1"/>
  <c r="N206" i="25" s="1"/>
  <c r="C207" i="25"/>
  <c r="I207" i="25" s="1"/>
  <c r="O207" i="25" s="1"/>
  <c r="C208" i="25"/>
  <c r="I208" i="25" s="1"/>
  <c r="N208" i="25" s="1"/>
  <c r="C209" i="25"/>
  <c r="I209" i="25" s="1"/>
  <c r="C210" i="25"/>
  <c r="I210" i="25" s="1"/>
  <c r="C166" i="25"/>
  <c r="I166" i="25" s="1"/>
  <c r="O166" i="25" s="1"/>
  <c r="G9" i="25"/>
  <c r="J9" i="25" s="1"/>
  <c r="H9" i="25"/>
  <c r="M9" i="25" s="1"/>
  <c r="I9" i="25"/>
  <c r="O9" i="25" s="1"/>
  <c r="G10" i="25"/>
  <c r="H10" i="25"/>
  <c r="I10" i="25"/>
  <c r="G11" i="25"/>
  <c r="J11" i="25" s="1"/>
  <c r="H11" i="25"/>
  <c r="I11" i="25"/>
  <c r="O11" i="25" s="1"/>
  <c r="G12" i="25"/>
  <c r="J12" i="25" s="1"/>
  <c r="H12" i="25"/>
  <c r="I12" i="25"/>
  <c r="G13" i="25"/>
  <c r="J13" i="25" s="1"/>
  <c r="H13" i="25"/>
  <c r="M13" i="25" s="1"/>
  <c r="I13" i="25"/>
  <c r="O13" i="25" s="1"/>
  <c r="G14" i="25"/>
  <c r="H14" i="25"/>
  <c r="M14" i="25" s="1"/>
  <c r="I14" i="25"/>
  <c r="N14" i="25" s="1"/>
  <c r="G15" i="25"/>
  <c r="J15" i="25" s="1"/>
  <c r="H15" i="25"/>
  <c r="I15" i="25"/>
  <c r="O15" i="25" s="1"/>
  <c r="G16" i="25"/>
  <c r="J16" i="25" s="1"/>
  <c r="H16" i="25"/>
  <c r="K16" i="25" s="1"/>
  <c r="I16" i="25"/>
  <c r="G17" i="25"/>
  <c r="J17" i="25" s="1"/>
  <c r="H17" i="25"/>
  <c r="M17" i="25" s="1"/>
  <c r="I17" i="25"/>
  <c r="O17" i="25" s="1"/>
  <c r="G18" i="25"/>
  <c r="H18" i="25"/>
  <c r="M18" i="25" s="1"/>
  <c r="I18" i="25"/>
  <c r="K18" i="25"/>
  <c r="G19" i="25"/>
  <c r="J19" i="25" s="1"/>
  <c r="H19" i="25"/>
  <c r="I19" i="25"/>
  <c r="G20" i="25"/>
  <c r="J20" i="25" s="1"/>
  <c r="H20" i="25"/>
  <c r="I20" i="25"/>
  <c r="G21" i="25"/>
  <c r="H21" i="25"/>
  <c r="M21" i="25" s="1"/>
  <c r="I21" i="25"/>
  <c r="O21" i="25" s="1"/>
  <c r="G22" i="25"/>
  <c r="H22" i="25"/>
  <c r="M22" i="25" s="1"/>
  <c r="I22" i="25"/>
  <c r="G23" i="25"/>
  <c r="J23" i="25" s="1"/>
  <c r="H23" i="25"/>
  <c r="I23" i="25"/>
  <c r="G24" i="25"/>
  <c r="J24" i="25" s="1"/>
  <c r="H24" i="25"/>
  <c r="M24" i="25" s="1"/>
  <c r="I24" i="25"/>
  <c r="G25" i="25"/>
  <c r="J25" i="25" s="1"/>
  <c r="H25" i="25"/>
  <c r="M25" i="25" s="1"/>
  <c r="I25" i="25"/>
  <c r="G26" i="25"/>
  <c r="H26" i="25"/>
  <c r="K26" i="25" s="1"/>
  <c r="I26" i="25"/>
  <c r="O26" i="25" s="1"/>
  <c r="G27" i="25"/>
  <c r="J27" i="25" s="1"/>
  <c r="H27" i="25"/>
  <c r="I27" i="25"/>
  <c r="O27" i="25" s="1"/>
  <c r="G28" i="25"/>
  <c r="J28" i="25" s="1"/>
  <c r="H28" i="25"/>
  <c r="I28" i="25"/>
  <c r="N28" i="25" s="1"/>
  <c r="M28" i="25"/>
  <c r="G29" i="25"/>
  <c r="J29" i="25" s="1"/>
  <c r="H29" i="25"/>
  <c r="M29" i="25" s="1"/>
  <c r="I29" i="25"/>
  <c r="H241" i="25"/>
  <c r="G241" i="25"/>
  <c r="H240" i="25"/>
  <c r="M240" i="25" s="1"/>
  <c r="G240" i="25"/>
  <c r="H239" i="25"/>
  <c r="G239" i="25"/>
  <c r="H238" i="25"/>
  <c r="M238" i="25" s="1"/>
  <c r="G238" i="25"/>
  <c r="H237" i="25"/>
  <c r="G237" i="25"/>
  <c r="H236" i="25"/>
  <c r="M236" i="25" s="1"/>
  <c r="G236" i="25"/>
  <c r="H235" i="25"/>
  <c r="G235" i="25"/>
  <c r="I235" i="25"/>
  <c r="H234" i="25"/>
  <c r="M234" i="25" s="1"/>
  <c r="G234" i="25"/>
  <c r="H233" i="25"/>
  <c r="G233" i="25"/>
  <c r="H232" i="25"/>
  <c r="M232" i="25" s="1"/>
  <c r="G232" i="25"/>
  <c r="H231" i="25"/>
  <c r="G231" i="25"/>
  <c r="H230" i="25"/>
  <c r="M230" i="25" s="1"/>
  <c r="G230" i="25"/>
  <c r="H229" i="25"/>
  <c r="G229" i="25"/>
  <c r="H228" i="25"/>
  <c r="M228" i="25" s="1"/>
  <c r="G228" i="25"/>
  <c r="H227" i="25"/>
  <c r="G227" i="25"/>
  <c r="H226" i="25"/>
  <c r="M226" i="25" s="1"/>
  <c r="G226" i="25"/>
  <c r="H225" i="25"/>
  <c r="G225" i="25"/>
  <c r="H224" i="25"/>
  <c r="M224" i="25" s="1"/>
  <c r="G224" i="25"/>
  <c r="H223" i="25"/>
  <c r="G223" i="25"/>
  <c r="H222" i="25"/>
  <c r="M222" i="25" s="1"/>
  <c r="G222" i="25"/>
  <c r="H221" i="25"/>
  <c r="G221" i="25"/>
  <c r="H220" i="25"/>
  <c r="M220" i="25" s="1"/>
  <c r="G220" i="25"/>
  <c r="J220" i="25" s="1"/>
  <c r="H219" i="25"/>
  <c r="G219" i="25"/>
  <c r="J219" i="25" s="1"/>
  <c r="H218" i="25"/>
  <c r="G218" i="25"/>
  <c r="J218" i="25" s="1"/>
  <c r="H217" i="25"/>
  <c r="G217" i="25"/>
  <c r="J217" i="25" s="1"/>
  <c r="H216" i="25"/>
  <c r="G216" i="25"/>
  <c r="J216" i="25" s="1"/>
  <c r="I216" i="25"/>
  <c r="O216" i="25" s="1"/>
  <c r="H215" i="25"/>
  <c r="G215" i="25"/>
  <c r="H214" i="25"/>
  <c r="G214" i="25"/>
  <c r="J214" i="25" s="1"/>
  <c r="H213" i="25"/>
  <c r="G213" i="25"/>
  <c r="J213" i="25" s="1"/>
  <c r="H212" i="25"/>
  <c r="G212" i="25"/>
  <c r="J212" i="25" s="1"/>
  <c r="H211" i="25"/>
  <c r="G211" i="25"/>
  <c r="J211" i="25" s="1"/>
  <c r="H184" i="25"/>
  <c r="G184" i="25"/>
  <c r="J184" i="25" s="1"/>
  <c r="H183" i="25"/>
  <c r="G183" i="25"/>
  <c r="H182" i="25"/>
  <c r="G182" i="25"/>
  <c r="J182" i="25" s="1"/>
  <c r="H181" i="25"/>
  <c r="G181" i="25"/>
  <c r="J181" i="25" s="1"/>
  <c r="H180" i="25"/>
  <c r="M180" i="25" s="1"/>
  <c r="G180" i="25"/>
  <c r="J180" i="25" s="1"/>
  <c r="H179" i="25"/>
  <c r="G179" i="25"/>
  <c r="H178" i="25"/>
  <c r="G178" i="25"/>
  <c r="J178" i="25" s="1"/>
  <c r="H177" i="25"/>
  <c r="G177" i="25"/>
  <c r="J177" i="25" s="1"/>
  <c r="H176" i="25"/>
  <c r="G176" i="25"/>
  <c r="J176" i="25" s="1"/>
  <c r="H175" i="25"/>
  <c r="G175" i="25"/>
  <c r="J175" i="25" s="1"/>
  <c r="H174" i="25"/>
  <c r="M174" i="25" s="1"/>
  <c r="G174" i="25"/>
  <c r="J174" i="25" s="1"/>
  <c r="H173" i="25"/>
  <c r="G173" i="25"/>
  <c r="H172" i="25"/>
  <c r="G172" i="25"/>
  <c r="H171" i="25"/>
  <c r="G171" i="25"/>
  <c r="H170" i="25"/>
  <c r="G170" i="25"/>
  <c r="H169" i="25"/>
  <c r="G169" i="25"/>
  <c r="H168" i="25"/>
  <c r="G168" i="25"/>
  <c r="H167" i="25"/>
  <c r="G167" i="25"/>
  <c r="H166" i="25"/>
  <c r="G166" i="25"/>
  <c r="I160" i="25"/>
  <c r="O160" i="25" s="1"/>
  <c r="H160" i="25"/>
  <c r="G160" i="25"/>
  <c r="J160" i="25" s="1"/>
  <c r="I159" i="25"/>
  <c r="O159" i="25" s="1"/>
  <c r="H159" i="25"/>
  <c r="G159" i="25"/>
  <c r="J159" i="25" s="1"/>
  <c r="I158" i="25"/>
  <c r="H158" i="25"/>
  <c r="M158" i="25" s="1"/>
  <c r="G158" i="25"/>
  <c r="I157" i="25"/>
  <c r="O157" i="25" s="1"/>
  <c r="H157" i="25"/>
  <c r="G157" i="25"/>
  <c r="I156" i="25"/>
  <c r="O156" i="25" s="1"/>
  <c r="H156" i="25"/>
  <c r="G156" i="25"/>
  <c r="J156" i="25" s="1"/>
  <c r="I155" i="25"/>
  <c r="O155" i="25" s="1"/>
  <c r="H155" i="25"/>
  <c r="G155" i="25"/>
  <c r="I154" i="25"/>
  <c r="H154" i="25"/>
  <c r="M154" i="25" s="1"/>
  <c r="G154" i="25"/>
  <c r="I153" i="25"/>
  <c r="O153" i="25" s="1"/>
  <c r="H153" i="25"/>
  <c r="M153" i="25" s="1"/>
  <c r="G153" i="25"/>
  <c r="I152" i="25"/>
  <c r="O152" i="25" s="1"/>
  <c r="H152" i="25"/>
  <c r="G152" i="25"/>
  <c r="J152" i="25" s="1"/>
  <c r="I151" i="25"/>
  <c r="O151" i="25" s="1"/>
  <c r="H151" i="25"/>
  <c r="M151" i="25" s="1"/>
  <c r="G151" i="25"/>
  <c r="J151" i="25" s="1"/>
  <c r="I150" i="25"/>
  <c r="H150" i="25"/>
  <c r="M150" i="25" s="1"/>
  <c r="G150" i="25"/>
  <c r="I149" i="25"/>
  <c r="O149" i="25" s="1"/>
  <c r="H149" i="25"/>
  <c r="G149" i="25"/>
  <c r="I148" i="25"/>
  <c r="O148" i="25" s="1"/>
  <c r="H148" i="25"/>
  <c r="G148" i="25"/>
  <c r="J148" i="25" s="1"/>
  <c r="I147" i="25"/>
  <c r="H147" i="25"/>
  <c r="M147" i="25" s="1"/>
  <c r="G147" i="25"/>
  <c r="J147" i="25" s="1"/>
  <c r="I146" i="25"/>
  <c r="O146" i="25" s="1"/>
  <c r="H146" i="25"/>
  <c r="M146" i="25" s="1"/>
  <c r="G146" i="25"/>
  <c r="I145" i="25"/>
  <c r="O145" i="25" s="1"/>
  <c r="H145" i="25"/>
  <c r="G145" i="25"/>
  <c r="I144" i="25"/>
  <c r="O144" i="25" s="1"/>
  <c r="H144" i="25"/>
  <c r="G144" i="25"/>
  <c r="J144" i="25" s="1"/>
  <c r="I143" i="25"/>
  <c r="O143" i="25" s="1"/>
  <c r="H143" i="25"/>
  <c r="G143" i="25"/>
  <c r="J143" i="25" s="1"/>
  <c r="I142" i="25"/>
  <c r="O142" i="25" s="1"/>
  <c r="H142" i="25"/>
  <c r="M142" i="25" s="1"/>
  <c r="G142" i="25"/>
  <c r="J142" i="25" s="1"/>
  <c r="I141" i="25"/>
  <c r="O141" i="25" s="1"/>
  <c r="H141" i="25"/>
  <c r="G141" i="25"/>
  <c r="I140" i="25"/>
  <c r="O140" i="25" s="1"/>
  <c r="H140" i="25"/>
  <c r="G140" i="25"/>
  <c r="J140" i="25" s="1"/>
  <c r="I139" i="25"/>
  <c r="O139" i="25" s="1"/>
  <c r="H139" i="25"/>
  <c r="M139" i="25" s="1"/>
  <c r="G139" i="25"/>
  <c r="I138" i="25"/>
  <c r="O138" i="25" s="1"/>
  <c r="H138" i="25"/>
  <c r="M138" i="25" s="1"/>
  <c r="G138" i="25"/>
  <c r="J138" i="25" s="1"/>
  <c r="I137" i="25"/>
  <c r="O137" i="25" s="1"/>
  <c r="H137" i="25"/>
  <c r="G137" i="25"/>
  <c r="I136" i="25"/>
  <c r="O136" i="25" s="1"/>
  <c r="H136" i="25"/>
  <c r="G136" i="25"/>
  <c r="J136" i="25" s="1"/>
  <c r="I135" i="25"/>
  <c r="O135" i="25" s="1"/>
  <c r="H135" i="25"/>
  <c r="M135" i="25" s="1"/>
  <c r="G135" i="25"/>
  <c r="I134" i="25"/>
  <c r="O134" i="25" s="1"/>
  <c r="H134" i="25"/>
  <c r="M134" i="25" s="1"/>
  <c r="G134" i="25"/>
  <c r="J134" i="25" s="1"/>
  <c r="I133" i="25"/>
  <c r="O133" i="25" s="1"/>
  <c r="H133" i="25"/>
  <c r="N133" i="25" s="1"/>
  <c r="G133" i="25"/>
  <c r="L133" i="25" s="1"/>
  <c r="I132" i="25"/>
  <c r="O132" i="25" s="1"/>
  <c r="H132" i="25"/>
  <c r="G132" i="25"/>
  <c r="J132" i="25" s="1"/>
  <c r="I131" i="25"/>
  <c r="H131" i="25"/>
  <c r="M131" i="25" s="1"/>
  <c r="G131" i="25"/>
  <c r="J131" i="25" s="1"/>
  <c r="I130" i="25"/>
  <c r="O130" i="25" s="1"/>
  <c r="H130" i="25"/>
  <c r="M130" i="25" s="1"/>
  <c r="G130" i="25"/>
  <c r="J130" i="25" s="1"/>
  <c r="I103" i="25"/>
  <c r="O103" i="25" s="1"/>
  <c r="H103" i="25"/>
  <c r="G103" i="25"/>
  <c r="J103" i="25" s="1"/>
  <c r="I102" i="25"/>
  <c r="O102" i="25" s="1"/>
  <c r="H102" i="25"/>
  <c r="G102" i="25"/>
  <c r="J102" i="25" s="1"/>
  <c r="I101" i="25"/>
  <c r="O101" i="25" s="1"/>
  <c r="H101" i="25"/>
  <c r="G101" i="25"/>
  <c r="I100" i="25"/>
  <c r="O100" i="25" s="1"/>
  <c r="H100" i="25"/>
  <c r="M100" i="25" s="1"/>
  <c r="G100" i="25"/>
  <c r="J100" i="25" s="1"/>
  <c r="I99" i="25"/>
  <c r="O99" i="25" s="1"/>
  <c r="H99" i="25"/>
  <c r="M99" i="25" s="1"/>
  <c r="G99" i="25"/>
  <c r="I98" i="25"/>
  <c r="O98" i="25" s="1"/>
  <c r="H98" i="25"/>
  <c r="G98" i="25"/>
  <c r="J98" i="25" s="1"/>
  <c r="I97" i="25"/>
  <c r="O97" i="25" s="1"/>
  <c r="H97" i="25"/>
  <c r="G97" i="25"/>
  <c r="I96" i="25"/>
  <c r="O96" i="25" s="1"/>
  <c r="H96" i="25"/>
  <c r="M96" i="25" s="1"/>
  <c r="G96" i="25"/>
  <c r="I95" i="25"/>
  <c r="O95" i="25" s="1"/>
  <c r="H95" i="25"/>
  <c r="M95" i="25" s="1"/>
  <c r="G95" i="25"/>
  <c r="I94" i="25"/>
  <c r="O94" i="25" s="1"/>
  <c r="H94" i="25"/>
  <c r="G94" i="25"/>
  <c r="J94" i="25" s="1"/>
  <c r="I93" i="25"/>
  <c r="O93" i="25" s="1"/>
  <c r="H93" i="25"/>
  <c r="G93" i="25"/>
  <c r="I92" i="25"/>
  <c r="O92" i="25" s="1"/>
  <c r="H92" i="25"/>
  <c r="M92" i="25" s="1"/>
  <c r="G92" i="25"/>
  <c r="I91" i="25"/>
  <c r="O91" i="25" s="1"/>
  <c r="H91" i="25"/>
  <c r="M91" i="25" s="1"/>
  <c r="G91" i="25"/>
  <c r="I90" i="25"/>
  <c r="O90" i="25" s="1"/>
  <c r="H90" i="25"/>
  <c r="N90" i="25" s="1"/>
  <c r="G90" i="25"/>
  <c r="J90" i="25" s="1"/>
  <c r="I89" i="25"/>
  <c r="O89" i="25" s="1"/>
  <c r="H89" i="25"/>
  <c r="M89" i="25" s="1"/>
  <c r="G89" i="25"/>
  <c r="I88" i="25"/>
  <c r="O88" i="25" s="1"/>
  <c r="H88" i="25"/>
  <c r="M88" i="25" s="1"/>
  <c r="G88" i="25"/>
  <c r="I87" i="25"/>
  <c r="O87" i="25" s="1"/>
  <c r="H87" i="25"/>
  <c r="M87" i="25" s="1"/>
  <c r="G87" i="25"/>
  <c r="I86" i="25"/>
  <c r="O86" i="25" s="1"/>
  <c r="H86" i="25"/>
  <c r="G86" i="25"/>
  <c r="J86" i="25" s="1"/>
  <c r="I85" i="25"/>
  <c r="O85" i="25" s="1"/>
  <c r="H85" i="25"/>
  <c r="M85" i="25" s="1"/>
  <c r="G85" i="25"/>
  <c r="I79" i="25"/>
  <c r="O79" i="25" s="1"/>
  <c r="H79" i="25"/>
  <c r="M79" i="25" s="1"/>
  <c r="G79" i="25"/>
  <c r="I78" i="25"/>
  <c r="O78" i="25" s="1"/>
  <c r="H78" i="25"/>
  <c r="M78" i="25" s="1"/>
  <c r="G78" i="25"/>
  <c r="I77" i="25"/>
  <c r="H77" i="25"/>
  <c r="G77" i="25"/>
  <c r="J77" i="25" s="1"/>
  <c r="I76" i="25"/>
  <c r="O76" i="25" s="1"/>
  <c r="H76" i="25"/>
  <c r="G76" i="25"/>
  <c r="I75" i="25"/>
  <c r="O75" i="25" s="1"/>
  <c r="H75" i="25"/>
  <c r="M75" i="25" s="1"/>
  <c r="G75" i="25"/>
  <c r="I74" i="25"/>
  <c r="O74" i="25" s="1"/>
  <c r="H74" i="25"/>
  <c r="G74" i="25"/>
  <c r="J74" i="25" s="1"/>
  <c r="I73" i="25"/>
  <c r="O73" i="25" s="1"/>
  <c r="H73" i="25"/>
  <c r="G73" i="25"/>
  <c r="J73" i="25" s="1"/>
  <c r="I72" i="25"/>
  <c r="O72" i="25" s="1"/>
  <c r="H72" i="25"/>
  <c r="G72" i="25"/>
  <c r="J72" i="25" s="1"/>
  <c r="I71" i="25"/>
  <c r="O71" i="25" s="1"/>
  <c r="H71" i="25"/>
  <c r="M71" i="25" s="1"/>
  <c r="G71" i="25"/>
  <c r="I70" i="25"/>
  <c r="O70" i="25" s="1"/>
  <c r="H70" i="25"/>
  <c r="M70" i="25" s="1"/>
  <c r="G70" i="25"/>
  <c r="J70" i="25" s="1"/>
  <c r="I69" i="25"/>
  <c r="O69" i="25" s="1"/>
  <c r="H69" i="25"/>
  <c r="M69" i="25" s="1"/>
  <c r="G69" i="25"/>
  <c r="I68" i="25"/>
  <c r="O68" i="25" s="1"/>
  <c r="H68" i="25"/>
  <c r="G68" i="25"/>
  <c r="J68" i="25" s="1"/>
  <c r="I67" i="25"/>
  <c r="O67" i="25" s="1"/>
  <c r="H67" i="25"/>
  <c r="M67" i="25" s="1"/>
  <c r="G67" i="25"/>
  <c r="J67" i="25" s="1"/>
  <c r="I66" i="25"/>
  <c r="O66" i="25" s="1"/>
  <c r="H66" i="25"/>
  <c r="M66" i="25" s="1"/>
  <c r="G66" i="25"/>
  <c r="J66" i="25" s="1"/>
  <c r="I65" i="25"/>
  <c r="O65" i="25" s="1"/>
  <c r="H65" i="25"/>
  <c r="M65" i="25" s="1"/>
  <c r="G65" i="25"/>
  <c r="I64" i="25"/>
  <c r="O64" i="25" s="1"/>
  <c r="H64" i="25"/>
  <c r="G64" i="25"/>
  <c r="J64" i="25" s="1"/>
  <c r="I63" i="25"/>
  <c r="O63" i="25" s="1"/>
  <c r="H63" i="25"/>
  <c r="M63" i="25" s="1"/>
  <c r="G63" i="25"/>
  <c r="I62" i="25"/>
  <c r="O62" i="25" s="1"/>
  <c r="H62" i="25"/>
  <c r="M62" i="25" s="1"/>
  <c r="G62" i="25"/>
  <c r="J62" i="25" s="1"/>
  <c r="I61" i="25"/>
  <c r="O61" i="25" s="1"/>
  <c r="H61" i="25"/>
  <c r="M61" i="25" s="1"/>
  <c r="G61" i="25"/>
  <c r="I60" i="25"/>
  <c r="O60" i="25" s="1"/>
  <c r="H60" i="25"/>
  <c r="G60" i="25"/>
  <c r="J60" i="25" s="1"/>
  <c r="I59" i="25"/>
  <c r="O59" i="25" s="1"/>
  <c r="H59" i="25"/>
  <c r="M59" i="25" s="1"/>
  <c r="G59" i="25"/>
  <c r="I58" i="25"/>
  <c r="O58" i="25" s="1"/>
  <c r="H58" i="25"/>
  <c r="M58" i="25" s="1"/>
  <c r="G58" i="25"/>
  <c r="J58" i="25" s="1"/>
  <c r="I57" i="25"/>
  <c r="O57" i="25" s="1"/>
  <c r="H57" i="25"/>
  <c r="M57" i="25" s="1"/>
  <c r="G57" i="25"/>
  <c r="I56" i="25"/>
  <c r="O56" i="25" s="1"/>
  <c r="H56" i="25"/>
  <c r="G56" i="25"/>
  <c r="J56" i="25" s="1"/>
  <c r="I55" i="25"/>
  <c r="O55" i="25" s="1"/>
  <c r="H55" i="25"/>
  <c r="M55" i="25" s="1"/>
  <c r="G55" i="25"/>
  <c r="I54" i="25"/>
  <c r="O54" i="25" s="1"/>
  <c r="H54" i="25"/>
  <c r="M54" i="25" s="1"/>
  <c r="G54" i="25"/>
  <c r="J54" i="25" s="1"/>
  <c r="I53" i="25"/>
  <c r="O53" i="25" s="1"/>
  <c r="H53" i="25"/>
  <c r="M53" i="25" s="1"/>
  <c r="G53" i="25"/>
  <c r="I52" i="25"/>
  <c r="O52" i="25" s="1"/>
  <c r="H52" i="25"/>
  <c r="G52" i="25"/>
  <c r="J52" i="25" s="1"/>
  <c r="I51" i="25"/>
  <c r="O51" i="25" s="1"/>
  <c r="H51" i="25"/>
  <c r="M51" i="25" s="1"/>
  <c r="G51" i="25"/>
  <c r="I50" i="25"/>
  <c r="O50" i="25" s="1"/>
  <c r="H50" i="25"/>
  <c r="M50" i="25" s="1"/>
  <c r="G50" i="25"/>
  <c r="I49" i="25"/>
  <c r="O49" i="25" s="1"/>
  <c r="H49" i="25"/>
  <c r="M49" i="25" s="1"/>
  <c r="G49" i="25"/>
  <c r="J49" i="25" s="1"/>
  <c r="I48" i="25"/>
  <c r="O48" i="25" s="1"/>
  <c r="H48" i="25"/>
  <c r="G48" i="25"/>
  <c r="J48" i="25" s="1"/>
  <c r="I47" i="25"/>
  <c r="O47" i="25" s="1"/>
  <c r="H47" i="25"/>
  <c r="M47" i="25" s="1"/>
  <c r="G47" i="25"/>
  <c r="J47" i="25" s="1"/>
  <c r="I46" i="25"/>
  <c r="O46" i="25" s="1"/>
  <c r="H46" i="25"/>
  <c r="M46" i="25" s="1"/>
  <c r="G46" i="25"/>
  <c r="I45" i="25"/>
  <c r="O45" i="25" s="1"/>
  <c r="H45" i="25"/>
  <c r="M45" i="25" s="1"/>
  <c r="G45" i="25"/>
  <c r="I44" i="25"/>
  <c r="O44" i="25" s="1"/>
  <c r="H44" i="25"/>
  <c r="G44" i="25"/>
  <c r="J44" i="25" s="1"/>
  <c r="I43" i="25"/>
  <c r="O43" i="25" s="1"/>
  <c r="H43" i="25"/>
  <c r="M43" i="25" s="1"/>
  <c r="G43" i="25"/>
  <c r="J43" i="25" s="1"/>
  <c r="I42" i="25"/>
  <c r="O42" i="25" s="1"/>
  <c r="H42" i="25"/>
  <c r="M42" i="25" s="1"/>
  <c r="G42" i="25"/>
  <c r="I41" i="25"/>
  <c r="O41" i="25" s="1"/>
  <c r="H41" i="25"/>
  <c r="M41" i="25" s="1"/>
  <c r="G41" i="25"/>
  <c r="J41" i="25" s="1"/>
  <c r="I40" i="25"/>
  <c r="O40" i="25" s="1"/>
  <c r="H40" i="25"/>
  <c r="G40" i="25"/>
  <c r="J40" i="25" s="1"/>
  <c r="I39" i="25"/>
  <c r="O39" i="25" s="1"/>
  <c r="H39" i="25"/>
  <c r="M39" i="25" s="1"/>
  <c r="G39" i="25"/>
  <c r="J39" i="25" s="1"/>
  <c r="I38" i="25"/>
  <c r="O38" i="25" s="1"/>
  <c r="H38" i="25"/>
  <c r="M38" i="25" s="1"/>
  <c r="G38" i="25"/>
  <c r="J38" i="25" s="1"/>
  <c r="I37" i="25"/>
  <c r="O37" i="25" s="1"/>
  <c r="H37" i="25"/>
  <c r="G37" i="25"/>
  <c r="I36" i="25"/>
  <c r="O36" i="25" s="1"/>
  <c r="H36" i="25"/>
  <c r="G36" i="25"/>
  <c r="J36" i="25" s="1"/>
  <c r="I35" i="25"/>
  <c r="O35" i="25" s="1"/>
  <c r="H35" i="25"/>
  <c r="M35" i="25" s="1"/>
  <c r="G35" i="25"/>
  <c r="I34" i="25"/>
  <c r="O34" i="25" s="1"/>
  <c r="H34" i="25"/>
  <c r="M34" i="25" s="1"/>
  <c r="G34" i="25"/>
  <c r="J34" i="25" s="1"/>
  <c r="I33" i="25"/>
  <c r="O33" i="25" s="1"/>
  <c r="H33" i="25"/>
  <c r="G33" i="25"/>
  <c r="J33" i="25" s="1"/>
  <c r="I32" i="25"/>
  <c r="O32" i="25" s="1"/>
  <c r="H32" i="25"/>
  <c r="G32" i="25"/>
  <c r="J32" i="25" s="1"/>
  <c r="I31" i="25"/>
  <c r="O31" i="25" s="1"/>
  <c r="H31" i="25"/>
  <c r="M31" i="25" s="1"/>
  <c r="G31" i="25"/>
  <c r="I30" i="25"/>
  <c r="O30" i="25" s="1"/>
  <c r="H30" i="25"/>
  <c r="M30" i="25" s="1"/>
  <c r="G30" i="25"/>
  <c r="J30" i="25" s="1"/>
  <c r="I8" i="25"/>
  <c r="O8" i="25" s="1"/>
  <c r="H8" i="25"/>
  <c r="M8" i="25" s="1"/>
  <c r="G8" i="25"/>
  <c r="J8" i="25" s="1"/>
  <c r="I7" i="25"/>
  <c r="O7" i="25" s="1"/>
  <c r="H7" i="25"/>
  <c r="M7" i="25" s="1"/>
  <c r="G7" i="25"/>
  <c r="I6" i="25"/>
  <c r="O6" i="25" s="1"/>
  <c r="H6" i="25"/>
  <c r="M6" i="25" s="1"/>
  <c r="G6" i="25"/>
  <c r="J6" i="25" s="1"/>
  <c r="I5" i="25"/>
  <c r="O5" i="25" s="1"/>
  <c r="H5" i="25"/>
  <c r="G5" i="25"/>
  <c r="J5" i="25" s="1"/>
  <c r="I4" i="25"/>
  <c r="O4" i="25" s="1"/>
  <c r="H4" i="25"/>
  <c r="M4" i="25" s="1"/>
  <c r="G4" i="25"/>
  <c r="J4" i="25" s="1"/>
  <c r="K209" i="25" l="1"/>
  <c r="K104" i="25"/>
  <c r="Q80" i="30"/>
  <c r="R80" i="30" s="1"/>
  <c r="K197" i="25"/>
  <c r="L113" i="25"/>
  <c r="N125" i="25"/>
  <c r="L125" i="25"/>
  <c r="L29" i="25"/>
  <c r="N109" i="25"/>
  <c r="L23" i="25"/>
  <c r="K23" i="25"/>
  <c r="N123" i="25"/>
  <c r="N210" i="25"/>
  <c r="J104" i="25"/>
  <c r="Q27" i="30"/>
  <c r="R27" i="30" s="1"/>
  <c r="Q47" i="30"/>
  <c r="R47" i="30" s="1"/>
  <c r="N127" i="25"/>
  <c r="Q6" i="30"/>
  <c r="R6" i="30" s="1"/>
  <c r="L137" i="25"/>
  <c r="L145" i="25"/>
  <c r="K27" i="25"/>
  <c r="N19" i="25"/>
  <c r="K10" i="25"/>
  <c r="K188" i="25"/>
  <c r="K128" i="25"/>
  <c r="K124" i="25"/>
  <c r="K120" i="25"/>
  <c r="N117" i="25"/>
  <c r="M109" i="25"/>
  <c r="N105" i="25"/>
  <c r="Q21" i="30"/>
  <c r="R21" i="30" s="1"/>
  <c r="Q66" i="30"/>
  <c r="R66" i="30" s="1"/>
  <c r="N119" i="25"/>
  <c r="K185" i="25"/>
  <c r="M127" i="25"/>
  <c r="M123" i="25"/>
  <c r="M119" i="25"/>
  <c r="K116" i="25"/>
  <c r="N112" i="25"/>
  <c r="Q32" i="30"/>
  <c r="R32" i="30" s="1"/>
  <c r="Q61" i="30"/>
  <c r="R61" i="30" s="1"/>
  <c r="Q93" i="30"/>
  <c r="R93" i="30" s="1"/>
  <c r="Q63" i="30"/>
  <c r="R63" i="30" s="1"/>
  <c r="Q109" i="30"/>
  <c r="R109" i="30" s="1"/>
  <c r="N129" i="25"/>
  <c r="N124" i="25"/>
  <c r="N120" i="25"/>
  <c r="L117" i="25"/>
  <c r="N108" i="25"/>
  <c r="N104" i="25"/>
  <c r="L25" i="25"/>
  <c r="K14" i="25"/>
  <c r="K129" i="25"/>
  <c r="N116" i="25"/>
  <c r="M113" i="25"/>
  <c r="M108" i="25"/>
  <c r="Q4" i="30"/>
  <c r="R4" i="30" s="1"/>
  <c r="Q117" i="30"/>
  <c r="R117" i="30" s="1"/>
  <c r="N201" i="25"/>
  <c r="O201" i="25"/>
  <c r="L189" i="25"/>
  <c r="O189" i="25"/>
  <c r="L13" i="25"/>
  <c r="J124" i="25"/>
  <c r="J120" i="25"/>
  <c r="L85" i="25"/>
  <c r="N204" i="25"/>
  <c r="N196" i="25"/>
  <c r="M129" i="25"/>
  <c r="J128" i="25"/>
  <c r="K125" i="25"/>
  <c r="K121" i="25"/>
  <c r="L114" i="25"/>
  <c r="L110" i="25"/>
  <c r="L105" i="25"/>
  <c r="Q12" i="30"/>
  <c r="R12" i="30" s="1"/>
  <c r="Q11" i="30"/>
  <c r="R11" i="30" s="1"/>
  <c r="Q10" i="30"/>
  <c r="R10" i="30" s="1"/>
  <c r="Q25" i="30"/>
  <c r="R25" i="30" s="1"/>
  <c r="Q36" i="30"/>
  <c r="R36" i="30" s="1"/>
  <c r="Q94" i="30"/>
  <c r="R94" i="30" s="1"/>
  <c r="Q102" i="30"/>
  <c r="R102" i="30" s="1"/>
  <c r="Q110" i="30"/>
  <c r="R110" i="30" s="1"/>
  <c r="Q118" i="30"/>
  <c r="R118" i="30" s="1"/>
  <c r="Q51" i="30"/>
  <c r="R51" i="30" s="1"/>
  <c r="Q46" i="30"/>
  <c r="R46" i="30" s="1"/>
  <c r="Q70" i="30"/>
  <c r="R70" i="30" s="1"/>
  <c r="Q65" i="30"/>
  <c r="R65" i="30" s="1"/>
  <c r="Q67" i="30"/>
  <c r="R67" i="30" s="1"/>
  <c r="L15" i="25"/>
  <c r="L207" i="25"/>
  <c r="M125" i="25"/>
  <c r="M121" i="25"/>
  <c r="K113" i="25"/>
  <c r="O23" i="25"/>
  <c r="N15" i="25"/>
  <c r="L126" i="25"/>
  <c r="L122" i="25"/>
  <c r="L118" i="25"/>
  <c r="L112" i="25"/>
  <c r="L109" i="25"/>
  <c r="O104" i="25"/>
  <c r="Q39" i="30"/>
  <c r="R39" i="30" s="1"/>
  <c r="Q8" i="30"/>
  <c r="R8" i="30" s="1"/>
  <c r="Q14" i="30"/>
  <c r="R14" i="30" s="1"/>
  <c r="Q29" i="30"/>
  <c r="R29" i="30" s="1"/>
  <c r="Q40" i="30"/>
  <c r="R40" i="30" s="1"/>
  <c r="Q95" i="30"/>
  <c r="R95" i="30" s="1"/>
  <c r="Q103" i="30"/>
  <c r="R103" i="30" s="1"/>
  <c r="Q111" i="30"/>
  <c r="R111" i="30" s="1"/>
  <c r="Q119" i="30"/>
  <c r="R119" i="30" s="1"/>
  <c r="Q56" i="30"/>
  <c r="R56" i="30" s="1"/>
  <c r="Q50" i="30"/>
  <c r="R50" i="30" s="1"/>
  <c r="Q74" i="30"/>
  <c r="R74" i="30" s="1"/>
  <c r="Q69" i="30"/>
  <c r="R69" i="30" s="1"/>
  <c r="Q71" i="30"/>
  <c r="R71" i="30" s="1"/>
  <c r="Q13" i="30"/>
  <c r="R13" i="30" s="1"/>
  <c r="Q31" i="30"/>
  <c r="R31" i="30" s="1"/>
  <c r="Q22" i="30"/>
  <c r="R22" i="30" s="1"/>
  <c r="Q33" i="30"/>
  <c r="R33" i="30" s="1"/>
  <c r="Q88" i="30"/>
  <c r="R88" i="30" s="1"/>
  <c r="Q96" i="30"/>
  <c r="R96" i="30" s="1"/>
  <c r="Q104" i="30"/>
  <c r="R104" i="30" s="1"/>
  <c r="Q112" i="30"/>
  <c r="R112" i="30" s="1"/>
  <c r="Q120" i="30"/>
  <c r="R120" i="30" s="1"/>
  <c r="Q60" i="30"/>
  <c r="R60" i="30" s="1"/>
  <c r="Q49" i="30"/>
  <c r="R49" i="30" s="1"/>
  <c r="Q78" i="30"/>
  <c r="R78" i="30" s="1"/>
  <c r="Q73" i="30"/>
  <c r="R73" i="30" s="1"/>
  <c r="Q75" i="30"/>
  <c r="R75" i="30" s="1"/>
  <c r="Q17" i="30"/>
  <c r="R17" i="30" s="1"/>
  <c r="Q35" i="30"/>
  <c r="R35" i="30" s="1"/>
  <c r="Q26" i="30"/>
  <c r="R26" i="30" s="1"/>
  <c r="Q37" i="30"/>
  <c r="R37" i="30" s="1"/>
  <c r="Q89" i="30"/>
  <c r="R89" i="30" s="1"/>
  <c r="Q97" i="30"/>
  <c r="R97" i="30" s="1"/>
  <c r="Q105" i="30"/>
  <c r="R105" i="30" s="1"/>
  <c r="Q113" i="30"/>
  <c r="R113" i="30" s="1"/>
  <c r="Q121" i="30"/>
  <c r="R121" i="30" s="1"/>
  <c r="Q64" i="30"/>
  <c r="R64" i="30" s="1"/>
  <c r="Q53" i="30"/>
  <c r="R53" i="30" s="1"/>
  <c r="Q82" i="30"/>
  <c r="R82" i="30" s="1"/>
  <c r="Q77" i="30"/>
  <c r="R77" i="30" s="1"/>
  <c r="Q79" i="30"/>
  <c r="R79" i="30" s="1"/>
  <c r="Q16" i="30"/>
  <c r="R16" i="30" s="1"/>
  <c r="Q7" i="30"/>
  <c r="R7" i="30" s="1"/>
  <c r="Q30" i="30"/>
  <c r="R30" i="30" s="1"/>
  <c r="Q20" i="30"/>
  <c r="R20" i="30" s="1"/>
  <c r="Q90" i="30"/>
  <c r="R90" i="30" s="1"/>
  <c r="Q98" i="30"/>
  <c r="R98" i="30" s="1"/>
  <c r="Q106" i="30"/>
  <c r="R106" i="30" s="1"/>
  <c r="Q114" i="30"/>
  <c r="R114" i="30" s="1"/>
  <c r="Q122" i="30"/>
  <c r="R122" i="30" s="1"/>
  <c r="Q68" i="30"/>
  <c r="R68" i="30" s="1"/>
  <c r="Q54" i="30"/>
  <c r="R54" i="30" s="1"/>
  <c r="Q48" i="30"/>
  <c r="R48" i="30" s="1"/>
  <c r="Q81" i="30"/>
  <c r="R81" i="30" s="1"/>
  <c r="N107" i="25"/>
  <c r="L21" i="25"/>
  <c r="L201" i="25"/>
  <c r="L129" i="25"/>
  <c r="N155" i="25"/>
  <c r="K172" i="25"/>
  <c r="K24" i="25"/>
  <c r="L203" i="25"/>
  <c r="K198" i="25"/>
  <c r="N128" i="25"/>
  <c r="N115" i="25"/>
  <c r="K112" i="25"/>
  <c r="N111" i="25"/>
  <c r="O106" i="25"/>
  <c r="K105" i="25"/>
  <c r="Q5" i="30"/>
  <c r="R5" i="30" s="1"/>
  <c r="Q19" i="30"/>
  <c r="R19" i="30" s="1"/>
  <c r="Q15" i="30"/>
  <c r="R15" i="30" s="1"/>
  <c r="Q34" i="30"/>
  <c r="R34" i="30" s="1"/>
  <c r="Q24" i="30"/>
  <c r="R24" i="30" s="1"/>
  <c r="Q91" i="30"/>
  <c r="R91" i="30" s="1"/>
  <c r="Q99" i="30"/>
  <c r="R99" i="30" s="1"/>
  <c r="Q107" i="30"/>
  <c r="R107" i="30" s="1"/>
  <c r="Q115" i="30"/>
  <c r="R115" i="30" s="1"/>
  <c r="Q123" i="30"/>
  <c r="R123" i="30" s="1"/>
  <c r="Q72" i="30"/>
  <c r="R72" i="30" s="1"/>
  <c r="Q58" i="30"/>
  <c r="R58" i="30" s="1"/>
  <c r="Q52" i="30"/>
  <c r="R52" i="30" s="1"/>
  <c r="Q55" i="30"/>
  <c r="R55" i="30" s="1"/>
  <c r="N11" i="25"/>
  <c r="Q9" i="30"/>
  <c r="R9" i="30" s="1"/>
  <c r="Q23" i="30"/>
  <c r="R23" i="30" s="1"/>
  <c r="Q18" i="30"/>
  <c r="R18" i="30" s="1"/>
  <c r="Q38" i="30"/>
  <c r="R38" i="30" s="1"/>
  <c r="Q28" i="30"/>
  <c r="R28" i="30" s="1"/>
  <c r="Q92" i="30"/>
  <c r="R92" i="30" s="1"/>
  <c r="Q100" i="30"/>
  <c r="R100" i="30" s="1"/>
  <c r="Q108" i="30"/>
  <c r="R108" i="30" s="1"/>
  <c r="Q116" i="30"/>
  <c r="R116" i="30" s="1"/>
  <c r="Q124" i="30"/>
  <c r="R124" i="30" s="1"/>
  <c r="Q76" i="30"/>
  <c r="R76" i="30" s="1"/>
  <c r="Q62" i="30"/>
  <c r="R62" i="30" s="1"/>
  <c r="Q57" i="30"/>
  <c r="R57" i="30" s="1"/>
  <c r="Q59" i="30"/>
  <c r="R59" i="30" s="1"/>
  <c r="M148" i="28"/>
  <c r="H62" i="19" s="1"/>
  <c r="J148" i="28"/>
  <c r="E62" i="19" s="1"/>
  <c r="O148" i="28"/>
  <c r="J62" i="19" s="1"/>
  <c r="P148" i="28"/>
  <c r="N148" i="28"/>
  <c r="I62" i="19" s="1"/>
  <c r="H148" i="28"/>
  <c r="C62" i="19" s="1"/>
  <c r="K148" i="28"/>
  <c r="F62" i="19" s="1"/>
  <c r="L148" i="28"/>
  <c r="G62" i="19" s="1"/>
  <c r="G148" i="28"/>
  <c r="B62" i="19" s="1"/>
  <c r="J2" i="28"/>
  <c r="E14" i="19" s="1"/>
  <c r="O2" i="28"/>
  <c r="J14" i="19" s="1"/>
  <c r="N2" i="28"/>
  <c r="I14" i="19" s="1"/>
  <c r="H2" i="28"/>
  <c r="C14" i="19" s="1"/>
  <c r="I2" i="28"/>
  <c r="D14" i="19" s="1"/>
  <c r="G2" i="28"/>
  <c r="B14" i="19" s="1"/>
  <c r="L2" i="28"/>
  <c r="G14" i="19" s="1"/>
  <c r="M2" i="28"/>
  <c r="K2" i="28"/>
  <c r="F14" i="19" s="1"/>
  <c r="P75" i="28"/>
  <c r="K38" i="19" s="1"/>
  <c r="L75" i="28"/>
  <c r="G38" i="19" s="1"/>
  <c r="H75" i="28"/>
  <c r="C38" i="19" s="1"/>
  <c r="N75" i="28"/>
  <c r="I38" i="19" s="1"/>
  <c r="I75" i="28"/>
  <c r="D38" i="19" s="1"/>
  <c r="M75" i="28"/>
  <c r="H38" i="19" s="1"/>
  <c r="G75" i="28"/>
  <c r="B38" i="19" s="1"/>
  <c r="K75" i="28"/>
  <c r="F38" i="19" s="1"/>
  <c r="O75" i="28"/>
  <c r="J38" i="19" s="1"/>
  <c r="J75" i="28"/>
  <c r="E38" i="19" s="1"/>
  <c r="J129" i="25"/>
  <c r="L127" i="25"/>
  <c r="K126" i="25"/>
  <c r="J125" i="25"/>
  <c r="L123" i="25"/>
  <c r="K122" i="25"/>
  <c r="J121" i="25"/>
  <c r="L119" i="25"/>
  <c r="K118" i="25"/>
  <c r="J117" i="25"/>
  <c r="L115" i="25"/>
  <c r="K114" i="25"/>
  <c r="J113" i="25"/>
  <c r="L111" i="25"/>
  <c r="K110" i="25"/>
  <c r="J109" i="25"/>
  <c r="L107" i="25"/>
  <c r="K106" i="25"/>
  <c r="J105" i="25"/>
  <c r="L128" i="25"/>
  <c r="K127" i="25"/>
  <c r="N126" i="25"/>
  <c r="L124" i="25"/>
  <c r="K123" i="25"/>
  <c r="N122" i="25"/>
  <c r="L120" i="25"/>
  <c r="K119" i="25"/>
  <c r="N118" i="25"/>
  <c r="L116" i="25"/>
  <c r="K115" i="25"/>
  <c r="N114" i="25"/>
  <c r="K111" i="25"/>
  <c r="N110" i="25"/>
  <c r="L108" i="25"/>
  <c r="K107" i="25"/>
  <c r="N106" i="25"/>
  <c r="K117" i="25"/>
  <c r="K109" i="25"/>
  <c r="N202" i="25"/>
  <c r="O202" i="25"/>
  <c r="N194" i="25"/>
  <c r="O194" i="25"/>
  <c r="N190" i="25"/>
  <c r="O190" i="25"/>
  <c r="N186" i="25"/>
  <c r="O186" i="25"/>
  <c r="O209" i="25"/>
  <c r="N209" i="25"/>
  <c r="L209" i="25"/>
  <c r="O205" i="25"/>
  <c r="L205" i="25"/>
  <c r="N205" i="25"/>
  <c r="O197" i="25"/>
  <c r="L197" i="25"/>
  <c r="N197" i="25"/>
  <c r="O185" i="25"/>
  <c r="L185" i="25"/>
  <c r="N185" i="25"/>
  <c r="N198" i="25"/>
  <c r="O198" i="25"/>
  <c r="L199" i="25"/>
  <c r="O199" i="25"/>
  <c r="L191" i="25"/>
  <c r="O191" i="25"/>
  <c r="L187" i="25"/>
  <c r="O187" i="25"/>
  <c r="N200" i="25"/>
  <c r="L194" i="25"/>
  <c r="K169" i="25"/>
  <c r="M26" i="25"/>
  <c r="L26" i="25"/>
  <c r="N24" i="25"/>
  <c r="N23" i="25"/>
  <c r="O19" i="25"/>
  <c r="N18" i="25"/>
  <c r="L17" i="25"/>
  <c r="K12" i="25"/>
  <c r="L11" i="25"/>
  <c r="N10" i="25"/>
  <c r="L9" i="25"/>
  <c r="O210" i="25"/>
  <c r="O206" i="25"/>
  <c r="L202" i="25"/>
  <c r="M200" i="25"/>
  <c r="M198" i="25"/>
  <c r="L198" i="25"/>
  <c r="K196" i="25"/>
  <c r="O195" i="25"/>
  <c r="K194" i="25"/>
  <c r="N193" i="25"/>
  <c r="K193" i="25"/>
  <c r="N189" i="25"/>
  <c r="K189" i="25"/>
  <c r="M185" i="25"/>
  <c r="L37" i="25"/>
  <c r="L146" i="25"/>
  <c r="O25" i="25"/>
  <c r="L210" i="25"/>
  <c r="L206" i="25"/>
  <c r="K200" i="25"/>
  <c r="L193" i="25"/>
  <c r="N192" i="25"/>
  <c r="N188" i="25"/>
  <c r="L186" i="25"/>
  <c r="N75" i="25"/>
  <c r="K153" i="25"/>
  <c r="K211" i="25"/>
  <c r="K28" i="25"/>
  <c r="N27" i="25"/>
  <c r="N22" i="25"/>
  <c r="K20" i="25"/>
  <c r="L19" i="25"/>
  <c r="K210" i="25"/>
  <c r="K208" i="25"/>
  <c r="K206" i="25"/>
  <c r="K204" i="25"/>
  <c r="K201" i="25"/>
  <c r="M192" i="25"/>
  <c r="L190" i="25"/>
  <c r="M188" i="25"/>
  <c r="N145" i="25"/>
  <c r="K87" i="25"/>
  <c r="L97" i="25"/>
  <c r="N98" i="25"/>
  <c r="L101" i="25"/>
  <c r="M155" i="25"/>
  <c r="L157" i="25"/>
  <c r="K96" i="25"/>
  <c r="N97" i="25"/>
  <c r="N101" i="25"/>
  <c r="K35" i="25"/>
  <c r="L76" i="25"/>
  <c r="L93" i="25"/>
  <c r="N135" i="25"/>
  <c r="L149" i="25"/>
  <c r="O29" i="25"/>
  <c r="L27" i="25"/>
  <c r="N26" i="25"/>
  <c r="J21" i="25"/>
  <c r="M20" i="25"/>
  <c r="O18" i="25"/>
  <c r="M16" i="25"/>
  <c r="O14" i="25"/>
  <c r="M12" i="25"/>
  <c r="O10" i="25"/>
  <c r="L89" i="25"/>
  <c r="K92" i="25"/>
  <c r="N93" i="25"/>
  <c r="N94" i="25"/>
  <c r="M101" i="25"/>
  <c r="L135" i="25"/>
  <c r="J146" i="25"/>
  <c r="N149" i="25"/>
  <c r="N154" i="25"/>
  <c r="L159" i="25"/>
  <c r="O22" i="25"/>
  <c r="L22" i="25"/>
  <c r="L18" i="25"/>
  <c r="L14" i="25"/>
  <c r="M10" i="25"/>
  <c r="L10" i="25"/>
  <c r="N159" i="25"/>
  <c r="N20" i="25"/>
  <c r="K19" i="25"/>
  <c r="N16" i="25"/>
  <c r="K15" i="25"/>
  <c r="N12" i="25"/>
  <c r="K11" i="25"/>
  <c r="K186" i="25"/>
  <c r="J210" i="25"/>
  <c r="M209" i="25"/>
  <c r="L208" i="25"/>
  <c r="K207" i="25"/>
  <c r="J206" i="25"/>
  <c r="M205" i="25"/>
  <c r="L204" i="25"/>
  <c r="K203" i="25"/>
  <c r="J202" i="25"/>
  <c r="M201" i="25"/>
  <c r="L200" i="25"/>
  <c r="K199" i="25"/>
  <c r="J198" i="25"/>
  <c r="M197" i="25"/>
  <c r="L196" i="25"/>
  <c r="K195" i="25"/>
  <c r="J194" i="25"/>
  <c r="M193" i="25"/>
  <c r="L192" i="25"/>
  <c r="K191" i="25"/>
  <c r="J190" i="25"/>
  <c r="M189" i="25"/>
  <c r="L188" i="25"/>
  <c r="K187" i="25"/>
  <c r="J186" i="25"/>
  <c r="O208" i="25"/>
  <c r="N207" i="25"/>
  <c r="O204" i="25"/>
  <c r="N203" i="25"/>
  <c r="N199" i="25"/>
  <c r="O196" i="25"/>
  <c r="N195" i="25"/>
  <c r="N191" i="25"/>
  <c r="N187" i="25"/>
  <c r="K202" i="25"/>
  <c r="K167" i="25"/>
  <c r="K22" i="25"/>
  <c r="N5" i="25"/>
  <c r="K51" i="25"/>
  <c r="K55" i="25"/>
  <c r="K71" i="25"/>
  <c r="K75" i="25"/>
  <c r="N77" i="25"/>
  <c r="K88" i="25"/>
  <c r="K91" i="25"/>
  <c r="K98" i="25"/>
  <c r="K99" i="25"/>
  <c r="K100" i="25"/>
  <c r="K103" i="25"/>
  <c r="N137" i="25"/>
  <c r="N139" i="25"/>
  <c r="N157" i="25"/>
  <c r="K168" i="25"/>
  <c r="K171" i="25"/>
  <c r="K29" i="25"/>
  <c r="L28" i="25"/>
  <c r="M27" i="25"/>
  <c r="J26" i="25"/>
  <c r="K25" i="25"/>
  <c r="L24" i="25"/>
  <c r="M23" i="25"/>
  <c r="J22" i="25"/>
  <c r="K21" i="25"/>
  <c r="L20" i="25"/>
  <c r="M19" i="25"/>
  <c r="J18" i="25"/>
  <c r="K17" i="25"/>
  <c r="L16" i="25"/>
  <c r="M15" i="25"/>
  <c r="J14" i="25"/>
  <c r="K13" i="25"/>
  <c r="L12" i="25"/>
  <c r="M11" i="25"/>
  <c r="J10" i="25"/>
  <c r="K9" i="25"/>
  <c r="L151" i="25"/>
  <c r="K217" i="25"/>
  <c r="N29" i="25"/>
  <c r="O28" i="25"/>
  <c r="N25" i="25"/>
  <c r="O24" i="25"/>
  <c r="N21" i="25"/>
  <c r="O20" i="25"/>
  <c r="N17" i="25"/>
  <c r="O16" i="25"/>
  <c r="N13" i="25"/>
  <c r="O12" i="25"/>
  <c r="N9" i="25"/>
  <c r="N33" i="25"/>
  <c r="J35" i="25"/>
  <c r="K78" i="25"/>
  <c r="N86" i="25"/>
  <c r="K94" i="25"/>
  <c r="K95" i="25"/>
  <c r="J135" i="25"/>
  <c r="N151" i="25"/>
  <c r="M159" i="25"/>
  <c r="K173" i="25"/>
  <c r="N169" i="25"/>
  <c r="N168" i="25"/>
  <c r="O221" i="25"/>
  <c r="L221" i="25"/>
  <c r="O226" i="25"/>
  <c r="L226" i="25"/>
  <c r="O230" i="25"/>
  <c r="L230" i="25"/>
  <c r="O234" i="25"/>
  <c r="L234" i="25"/>
  <c r="K158" i="25"/>
  <c r="J158" i="25"/>
  <c r="N214" i="25"/>
  <c r="M214" i="25"/>
  <c r="N223" i="25"/>
  <c r="M223" i="25"/>
  <c r="O225" i="25"/>
  <c r="L225" i="25"/>
  <c r="O229" i="25"/>
  <c r="L229" i="25"/>
  <c r="O233" i="25"/>
  <c r="L233" i="25"/>
  <c r="O237" i="25"/>
  <c r="L237" i="25"/>
  <c r="L139" i="25"/>
  <c r="J139" i="25"/>
  <c r="J179" i="25"/>
  <c r="K179" i="25"/>
  <c r="O238" i="25"/>
  <c r="L238" i="25"/>
  <c r="O131" i="25"/>
  <c r="N131" i="25"/>
  <c r="M143" i="25"/>
  <c r="N143" i="25"/>
  <c r="J183" i="25"/>
  <c r="K183" i="25"/>
  <c r="N221" i="25"/>
  <c r="M221" i="25"/>
  <c r="L222" i="25"/>
  <c r="O224" i="25"/>
  <c r="L224" i="25"/>
  <c r="O228" i="25"/>
  <c r="L228" i="25"/>
  <c r="O232" i="25"/>
  <c r="L232" i="25"/>
  <c r="O236" i="25"/>
  <c r="L236" i="25"/>
  <c r="O240" i="25"/>
  <c r="L240" i="25"/>
  <c r="L241" i="25"/>
  <c r="O147" i="25"/>
  <c r="N147" i="25"/>
  <c r="K150" i="25"/>
  <c r="J150" i="25"/>
  <c r="N182" i="25"/>
  <c r="M182" i="25"/>
  <c r="L141" i="25"/>
  <c r="K154" i="25"/>
  <c r="J154" i="25"/>
  <c r="J215" i="25"/>
  <c r="K215" i="25"/>
  <c r="O223" i="25"/>
  <c r="L223" i="25"/>
  <c r="O227" i="25"/>
  <c r="L227" i="25"/>
  <c r="O231" i="25"/>
  <c r="L231" i="25"/>
  <c r="O235" i="25"/>
  <c r="L235" i="25"/>
  <c r="O239" i="25"/>
  <c r="L239" i="25"/>
  <c r="N229" i="25"/>
  <c r="N231" i="25"/>
  <c r="N233" i="25"/>
  <c r="N235" i="25"/>
  <c r="N237" i="25"/>
  <c r="N239" i="25"/>
  <c r="N241" i="25"/>
  <c r="K79" i="25"/>
  <c r="N85" i="25"/>
  <c r="K86" i="25"/>
  <c r="L86" i="25"/>
  <c r="J88" i="25"/>
  <c r="N89" i="25"/>
  <c r="K90" i="25"/>
  <c r="L90" i="25"/>
  <c r="J92" i="25"/>
  <c r="L94" i="25"/>
  <c r="J96" i="25"/>
  <c r="L98" i="25"/>
  <c r="K152" i="25"/>
  <c r="K175" i="25"/>
  <c r="N178" i="25"/>
  <c r="K181" i="25"/>
  <c r="K213" i="25"/>
  <c r="K219" i="25"/>
  <c r="K222" i="25"/>
  <c r="K224" i="25"/>
  <c r="K226" i="25"/>
  <c r="K228" i="25"/>
  <c r="K230" i="25"/>
  <c r="K232" i="25"/>
  <c r="K234" i="25"/>
  <c r="K236" i="25"/>
  <c r="K238" i="25"/>
  <c r="K240" i="25"/>
  <c r="L45" i="25"/>
  <c r="L53" i="25"/>
  <c r="L57" i="25"/>
  <c r="L61" i="25"/>
  <c r="L65" i="25"/>
  <c r="L69" i="25"/>
  <c r="L88" i="25"/>
  <c r="L92" i="25"/>
  <c r="L96" i="25"/>
  <c r="L100" i="25"/>
  <c r="L131" i="25"/>
  <c r="L142" i="25"/>
  <c r="L147" i="25"/>
  <c r="N150" i="25"/>
  <c r="L155" i="25"/>
  <c r="N158" i="25"/>
  <c r="N174" i="25"/>
  <c r="K177" i="25"/>
  <c r="N180" i="25"/>
  <c r="N216" i="25"/>
  <c r="N217" i="25"/>
  <c r="N222" i="25"/>
  <c r="N224" i="25"/>
  <c r="N226" i="25"/>
  <c r="N228" i="25"/>
  <c r="N230" i="25"/>
  <c r="N232" i="25"/>
  <c r="N234" i="25"/>
  <c r="N236" i="25"/>
  <c r="N238" i="25"/>
  <c r="N240" i="25"/>
  <c r="N225" i="25"/>
  <c r="N227" i="25"/>
  <c r="K43" i="25"/>
  <c r="N87" i="25"/>
  <c r="N88" i="25"/>
  <c r="N91" i="25"/>
  <c r="N92" i="25"/>
  <c r="M93" i="25"/>
  <c r="N95" i="25"/>
  <c r="N96" i="25"/>
  <c r="M97" i="25"/>
  <c r="N99" i="25"/>
  <c r="N100" i="25"/>
  <c r="N141" i="25"/>
  <c r="L143" i="25"/>
  <c r="N172" i="25"/>
  <c r="N212" i="25"/>
  <c r="N219" i="25"/>
  <c r="K223" i="25"/>
  <c r="K225" i="25"/>
  <c r="M225" i="25"/>
  <c r="K227" i="25"/>
  <c r="M227" i="25"/>
  <c r="K229" i="25"/>
  <c r="M229" i="25"/>
  <c r="K231" i="25"/>
  <c r="M231" i="25"/>
  <c r="K233" i="25"/>
  <c r="M233" i="25"/>
  <c r="K235" i="25"/>
  <c r="M235" i="25"/>
  <c r="K237" i="25"/>
  <c r="M237" i="25"/>
  <c r="K239" i="25"/>
  <c r="M239" i="25"/>
  <c r="K241" i="25"/>
  <c r="M241" i="25"/>
  <c r="J57" i="25"/>
  <c r="K59" i="25"/>
  <c r="K63" i="25"/>
  <c r="N74" i="25"/>
  <c r="J37" i="25"/>
  <c r="J51" i="25"/>
  <c r="J65" i="25"/>
  <c r="N78" i="25"/>
  <c r="N6" i="25"/>
  <c r="N34" i="25"/>
  <c r="L41" i="25"/>
  <c r="L55" i="25"/>
  <c r="L7" i="25"/>
  <c r="L31" i="25"/>
  <c r="L35" i="25"/>
  <c r="L43" i="25"/>
  <c r="J45" i="25"/>
  <c r="L51" i="25"/>
  <c r="J53" i="25"/>
  <c r="J59" i="25"/>
  <c r="N30" i="25"/>
  <c r="L49" i="25"/>
  <c r="L63" i="25"/>
  <c r="K4" i="25"/>
  <c r="L4" i="25"/>
  <c r="M5" i="25"/>
  <c r="N7" i="25"/>
  <c r="K8" i="25"/>
  <c r="L8" i="25"/>
  <c r="N31" i="25"/>
  <c r="K32" i="25"/>
  <c r="L32" i="25"/>
  <c r="M33" i="25"/>
  <c r="K54" i="25"/>
  <c r="L59" i="25"/>
  <c r="J61" i="25"/>
  <c r="K67" i="25"/>
  <c r="L67" i="25"/>
  <c r="J69" i="25"/>
  <c r="K73" i="25"/>
  <c r="K74" i="25"/>
  <c r="M74" i="25"/>
  <c r="N79" i="25"/>
  <c r="L71" i="25"/>
  <c r="K6" i="25"/>
  <c r="L6" i="25"/>
  <c r="K30" i="25"/>
  <c r="L30" i="25"/>
  <c r="N32" i="25"/>
  <c r="K34" i="25"/>
  <c r="L34" i="25"/>
  <c r="N37" i="25"/>
  <c r="K39" i="25"/>
  <c r="L39" i="25"/>
  <c r="K47" i="25"/>
  <c r="L47" i="25"/>
  <c r="J55" i="25"/>
  <c r="J63" i="25"/>
  <c r="J71" i="25"/>
  <c r="K77" i="25"/>
  <c r="M77" i="25"/>
  <c r="J78" i="25"/>
  <c r="N4" i="25"/>
  <c r="K5" i="25"/>
  <c r="N8" i="25"/>
  <c r="K33" i="25"/>
  <c r="M37" i="25"/>
  <c r="L42" i="25"/>
  <c r="L46" i="25"/>
  <c r="L50" i="25"/>
  <c r="L5" i="25"/>
  <c r="J7" i="25"/>
  <c r="J31" i="25"/>
  <c r="L33" i="25"/>
  <c r="K36" i="25"/>
  <c r="K40" i="25"/>
  <c r="N41" i="25"/>
  <c r="K44" i="25"/>
  <c r="N45" i="25"/>
  <c r="K48" i="25"/>
  <c r="N49" i="25"/>
  <c r="K52" i="25"/>
  <c r="N53" i="25"/>
  <c r="K56" i="25"/>
  <c r="N57" i="25"/>
  <c r="K60" i="25"/>
  <c r="N61" i="25"/>
  <c r="K64" i="25"/>
  <c r="N65" i="25"/>
  <c r="K68" i="25"/>
  <c r="N69" i="25"/>
  <c r="L72" i="25"/>
  <c r="N73" i="25"/>
  <c r="M73" i="25"/>
  <c r="L75" i="25"/>
  <c r="J75" i="25"/>
  <c r="L79" i="25"/>
  <c r="J79" i="25"/>
  <c r="K7" i="25"/>
  <c r="L44" i="25"/>
  <c r="N46" i="25"/>
  <c r="L48" i="25"/>
  <c r="L52" i="25"/>
  <c r="N54" i="25"/>
  <c r="L56" i="25"/>
  <c r="N58" i="25"/>
  <c r="L60" i="25"/>
  <c r="N62" i="25"/>
  <c r="L64" i="25"/>
  <c r="N66" i="25"/>
  <c r="L68" i="25"/>
  <c r="N70" i="25"/>
  <c r="M72" i="25"/>
  <c r="N72" i="25"/>
  <c r="K31" i="25"/>
  <c r="L36" i="25"/>
  <c r="N38" i="25"/>
  <c r="L40" i="25"/>
  <c r="N42" i="25"/>
  <c r="N50" i="25"/>
  <c r="M32" i="25"/>
  <c r="N35" i="25"/>
  <c r="N36" i="25"/>
  <c r="M36" i="25"/>
  <c r="K37" i="25"/>
  <c r="N39" i="25"/>
  <c r="N40" i="25"/>
  <c r="M40" i="25"/>
  <c r="K41" i="25"/>
  <c r="J42" i="25"/>
  <c r="N43" i="25"/>
  <c r="N44" i="25"/>
  <c r="M44" i="25"/>
  <c r="K45" i="25"/>
  <c r="J46" i="25"/>
  <c r="N47" i="25"/>
  <c r="N48" i="25"/>
  <c r="M48" i="25"/>
  <c r="K49" i="25"/>
  <c r="J50" i="25"/>
  <c r="N51" i="25"/>
  <c r="N52" i="25"/>
  <c r="M52" i="25"/>
  <c r="K53" i="25"/>
  <c r="N55" i="25"/>
  <c r="N56" i="25"/>
  <c r="M56" i="25"/>
  <c r="K57" i="25"/>
  <c r="N59" i="25"/>
  <c r="N60" i="25"/>
  <c r="M60" i="25"/>
  <c r="K61" i="25"/>
  <c r="N63" i="25"/>
  <c r="N64" i="25"/>
  <c r="M64" i="25"/>
  <c r="K65" i="25"/>
  <c r="N67" i="25"/>
  <c r="N68" i="25"/>
  <c r="M68" i="25"/>
  <c r="K69" i="25"/>
  <c r="N71" i="25"/>
  <c r="K76" i="25"/>
  <c r="L77" i="25"/>
  <c r="O77" i="25"/>
  <c r="L38" i="25"/>
  <c r="K38" i="25"/>
  <c r="K42" i="25"/>
  <c r="K46" i="25"/>
  <c r="K50" i="25"/>
  <c r="L54" i="25"/>
  <c r="L58" i="25"/>
  <c r="K58" i="25"/>
  <c r="L62" i="25"/>
  <c r="K62" i="25"/>
  <c r="L66" i="25"/>
  <c r="K66" i="25"/>
  <c r="L70" i="25"/>
  <c r="K70" i="25"/>
  <c r="K72" i="25"/>
  <c r="L73" i="25"/>
  <c r="M76" i="25"/>
  <c r="N76" i="25"/>
  <c r="L74" i="25"/>
  <c r="J76" i="25"/>
  <c r="L78" i="25"/>
  <c r="J85" i="25"/>
  <c r="L87" i="25"/>
  <c r="J89" i="25"/>
  <c r="L91" i="25"/>
  <c r="J93" i="25"/>
  <c r="L95" i="25"/>
  <c r="J97" i="25"/>
  <c r="L99" i="25"/>
  <c r="J101" i="25"/>
  <c r="N102" i="25"/>
  <c r="M102" i="25"/>
  <c r="N103" i="25"/>
  <c r="M103" i="25"/>
  <c r="N130" i="25"/>
  <c r="K132" i="25"/>
  <c r="K133" i="25"/>
  <c r="M133" i="25"/>
  <c r="N134" i="25"/>
  <c r="K136" i="25"/>
  <c r="K137" i="25"/>
  <c r="M137" i="25"/>
  <c r="N138" i="25"/>
  <c r="K140" i="25"/>
  <c r="K141" i="25"/>
  <c r="M141" i="25"/>
  <c r="N142" i="25"/>
  <c r="K144" i="25"/>
  <c r="K145" i="25"/>
  <c r="M145" i="25"/>
  <c r="N146" i="25"/>
  <c r="K148" i="25"/>
  <c r="K149" i="25"/>
  <c r="M149" i="25"/>
  <c r="L153" i="25"/>
  <c r="N156" i="25"/>
  <c r="M156" i="25"/>
  <c r="K159" i="25"/>
  <c r="L160" i="25"/>
  <c r="J166" i="25"/>
  <c r="L166" i="25"/>
  <c r="K166" i="25"/>
  <c r="N184" i="25"/>
  <c r="M184" i="25"/>
  <c r="K85" i="25"/>
  <c r="K89" i="25"/>
  <c r="K93" i="25"/>
  <c r="K97" i="25"/>
  <c r="K101" i="25"/>
  <c r="L132" i="25"/>
  <c r="L136" i="25"/>
  <c r="L140" i="25"/>
  <c r="L144" i="25"/>
  <c r="L148" i="25"/>
  <c r="L150" i="25"/>
  <c r="O150" i="25"/>
  <c r="N160" i="25"/>
  <c r="M160" i="25"/>
  <c r="N176" i="25"/>
  <c r="M176" i="25"/>
  <c r="M86" i="25"/>
  <c r="J87" i="25"/>
  <c r="M90" i="25"/>
  <c r="J91" i="25"/>
  <c r="M94" i="25"/>
  <c r="J95" i="25"/>
  <c r="M98" i="25"/>
  <c r="J99" i="25"/>
  <c r="K102" i="25"/>
  <c r="K131" i="25"/>
  <c r="N132" i="25"/>
  <c r="M132" i="25"/>
  <c r="K135" i="25"/>
  <c r="N136" i="25"/>
  <c r="M136" i="25"/>
  <c r="K139" i="25"/>
  <c r="N140" i="25"/>
  <c r="M140" i="25"/>
  <c r="K143" i="25"/>
  <c r="N144" i="25"/>
  <c r="M144" i="25"/>
  <c r="K147" i="25"/>
  <c r="N148" i="25"/>
  <c r="M148" i="25"/>
  <c r="K151" i="25"/>
  <c r="L152" i="25"/>
  <c r="N153" i="25"/>
  <c r="L154" i="25"/>
  <c r="O154" i="25"/>
  <c r="J155" i="25"/>
  <c r="K156" i="25"/>
  <c r="K157" i="25"/>
  <c r="M157" i="25"/>
  <c r="N218" i="25"/>
  <c r="K218" i="25"/>
  <c r="M218" i="25"/>
  <c r="L102" i="25"/>
  <c r="L103" i="25"/>
  <c r="L130" i="25"/>
  <c r="L134" i="25"/>
  <c r="L138" i="25"/>
  <c r="N152" i="25"/>
  <c r="M152" i="25"/>
  <c r="K155" i="25"/>
  <c r="L156" i="25"/>
  <c r="L158" i="25"/>
  <c r="O158" i="25"/>
  <c r="K160" i="25"/>
  <c r="J170" i="25"/>
  <c r="L170" i="25"/>
  <c r="K170" i="25"/>
  <c r="K130" i="25"/>
  <c r="J133" i="25"/>
  <c r="K134" i="25"/>
  <c r="J137" i="25"/>
  <c r="K138" i="25"/>
  <c r="J141" i="25"/>
  <c r="K142" i="25"/>
  <c r="J145" i="25"/>
  <c r="K146" i="25"/>
  <c r="J149" i="25"/>
  <c r="J153" i="25"/>
  <c r="J157" i="25"/>
  <c r="N166" i="25"/>
  <c r="J167" i="25"/>
  <c r="L167" i="25"/>
  <c r="N170" i="25"/>
  <c r="J171" i="25"/>
  <c r="L171" i="25"/>
  <c r="M178" i="25"/>
  <c r="M212" i="25"/>
  <c r="N167" i="25"/>
  <c r="J168" i="25"/>
  <c r="L168" i="25"/>
  <c r="N171" i="25"/>
  <c r="J172" i="25"/>
  <c r="L172" i="25"/>
  <c r="J169" i="25"/>
  <c r="L169" i="25"/>
  <c r="J173" i="25"/>
  <c r="L173" i="25"/>
  <c r="M216" i="25"/>
  <c r="N220" i="25"/>
  <c r="K220" i="25"/>
  <c r="N173" i="25"/>
  <c r="L175" i="25"/>
  <c r="L177" i="25"/>
  <c r="L179" i="25"/>
  <c r="L181" i="25"/>
  <c r="L183" i="25"/>
  <c r="L211" i="25"/>
  <c r="L213" i="25"/>
  <c r="L215" i="25"/>
  <c r="L217" i="25"/>
  <c r="L219" i="25"/>
  <c r="K221" i="25"/>
  <c r="J221" i="25"/>
  <c r="M166" i="25"/>
  <c r="M167" i="25"/>
  <c r="M168" i="25"/>
  <c r="M169" i="25"/>
  <c r="M170" i="25"/>
  <c r="M171" i="25"/>
  <c r="M172" i="25"/>
  <c r="M173" i="25"/>
  <c r="K174" i="25"/>
  <c r="N175" i="25"/>
  <c r="M175" i="25"/>
  <c r="K176" i="25"/>
  <c r="N177" i="25"/>
  <c r="M177" i="25"/>
  <c r="K178" i="25"/>
  <c r="N179" i="25"/>
  <c r="M179" i="25"/>
  <c r="K180" i="25"/>
  <c r="N181" i="25"/>
  <c r="M181" i="25"/>
  <c r="K182" i="25"/>
  <c r="N183" i="25"/>
  <c r="M183" i="25"/>
  <c r="K184" i="25"/>
  <c r="N211" i="25"/>
  <c r="M211" i="25"/>
  <c r="K212" i="25"/>
  <c r="N213" i="25"/>
  <c r="M213" i="25"/>
  <c r="K214" i="25"/>
  <c r="N215" i="25"/>
  <c r="M215" i="25"/>
  <c r="K216" i="25"/>
  <c r="M217" i="25"/>
  <c r="M219" i="25"/>
  <c r="L174" i="25"/>
  <c r="L176" i="25"/>
  <c r="L178" i="25"/>
  <c r="L180" i="25"/>
  <c r="L182" i="25"/>
  <c r="L184" i="25"/>
  <c r="L212" i="25"/>
  <c r="L214" i="25"/>
  <c r="L216" i="25"/>
  <c r="L218" i="25"/>
  <c r="L220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Q31" i="28" l="1"/>
  <c r="R31" i="28" s="1"/>
  <c r="Q164" i="28"/>
  <c r="R164" i="28" s="1"/>
  <c r="Q68" i="28"/>
  <c r="R68" i="28" s="1"/>
  <c r="G164" i="25" a="1"/>
  <c r="J164" i="25" s="1"/>
  <c r="E63" i="19" s="1"/>
  <c r="Q42" i="28"/>
  <c r="R42" i="28" s="1"/>
  <c r="H14" i="19"/>
  <c r="Q180" i="28"/>
  <c r="R180" i="28" s="1"/>
  <c r="Q215" i="28"/>
  <c r="R215" i="28" s="1"/>
  <c r="K62" i="19"/>
  <c r="Q196" i="28"/>
  <c r="R196" i="28" s="1"/>
  <c r="Q13" i="28"/>
  <c r="R13" i="28" s="1"/>
  <c r="Q212" i="28"/>
  <c r="R212" i="28" s="1"/>
  <c r="Q155" i="28"/>
  <c r="R155" i="28" s="1"/>
  <c r="Q168" i="28"/>
  <c r="R168" i="28" s="1"/>
  <c r="Q184" i="28"/>
  <c r="R184" i="28" s="1"/>
  <c r="Q200" i="28"/>
  <c r="R200" i="28" s="1"/>
  <c r="Q216" i="28"/>
  <c r="R216" i="28" s="1"/>
  <c r="Q150" i="28"/>
  <c r="R150" i="28" s="1"/>
  <c r="Q172" i="28"/>
  <c r="R172" i="28" s="1"/>
  <c r="Q188" i="28"/>
  <c r="R188" i="28" s="1"/>
  <c r="Q204" i="28"/>
  <c r="R204" i="28" s="1"/>
  <c r="Q158" i="28"/>
  <c r="R158" i="28" s="1"/>
  <c r="Q176" i="28"/>
  <c r="R176" i="28" s="1"/>
  <c r="Q192" i="28"/>
  <c r="R192" i="28" s="1"/>
  <c r="Q208" i="28"/>
  <c r="R208" i="28" s="1"/>
  <c r="Q157" i="28"/>
  <c r="R157" i="28" s="1"/>
  <c r="Q152" i="28"/>
  <c r="R152" i="28" s="1"/>
  <c r="Q160" i="28"/>
  <c r="R160" i="28" s="1"/>
  <c r="Q165" i="28"/>
  <c r="R165" i="28" s="1"/>
  <c r="Q169" i="28"/>
  <c r="R169" i="28" s="1"/>
  <c r="Q173" i="28"/>
  <c r="R173" i="28" s="1"/>
  <c r="Q177" i="28"/>
  <c r="R177" i="28" s="1"/>
  <c r="Q181" i="28"/>
  <c r="R181" i="28" s="1"/>
  <c r="Q185" i="28"/>
  <c r="R185" i="28" s="1"/>
  <c r="Q189" i="28"/>
  <c r="R189" i="28" s="1"/>
  <c r="Q193" i="28"/>
  <c r="R193" i="28" s="1"/>
  <c r="Q197" i="28"/>
  <c r="R197" i="28" s="1"/>
  <c r="Q201" i="28"/>
  <c r="R201" i="28" s="1"/>
  <c r="Q205" i="28"/>
  <c r="R205" i="28" s="1"/>
  <c r="Q209" i="28"/>
  <c r="R209" i="28" s="1"/>
  <c r="Q213" i="28"/>
  <c r="R213" i="28" s="1"/>
  <c r="Q217" i="28"/>
  <c r="R217" i="28" s="1"/>
  <c r="Q151" i="28"/>
  <c r="R151" i="28" s="1"/>
  <c r="Q159" i="28"/>
  <c r="R159" i="28" s="1"/>
  <c r="Q154" i="28"/>
  <c r="R154" i="28" s="1"/>
  <c r="Q162" i="28"/>
  <c r="R162" i="28" s="1"/>
  <c r="Q166" i="28"/>
  <c r="R166" i="28" s="1"/>
  <c r="Q170" i="28"/>
  <c r="R170" i="28" s="1"/>
  <c r="Q174" i="28"/>
  <c r="R174" i="28" s="1"/>
  <c r="Q178" i="28"/>
  <c r="R178" i="28" s="1"/>
  <c r="Q182" i="28"/>
  <c r="R182" i="28" s="1"/>
  <c r="Q186" i="28"/>
  <c r="R186" i="28" s="1"/>
  <c r="Q190" i="28"/>
  <c r="R190" i="28" s="1"/>
  <c r="Q194" i="28"/>
  <c r="R194" i="28" s="1"/>
  <c r="Q198" i="28"/>
  <c r="R198" i="28" s="1"/>
  <c r="Q202" i="28"/>
  <c r="R202" i="28" s="1"/>
  <c r="Q206" i="28"/>
  <c r="R206" i="28" s="1"/>
  <c r="Q210" i="28"/>
  <c r="R210" i="28" s="1"/>
  <c r="Q214" i="28"/>
  <c r="R214" i="28" s="1"/>
  <c r="Q153" i="28"/>
  <c r="R153" i="28" s="1"/>
  <c r="Q161" i="28"/>
  <c r="R161" i="28" s="1"/>
  <c r="Q156" i="28"/>
  <c r="R156" i="28" s="1"/>
  <c r="Q163" i="28"/>
  <c r="R163" i="28" s="1"/>
  <c r="Q167" i="28"/>
  <c r="R167" i="28" s="1"/>
  <c r="Q171" i="28"/>
  <c r="R171" i="28" s="1"/>
  <c r="Q175" i="28"/>
  <c r="R175" i="28" s="1"/>
  <c r="Q179" i="28"/>
  <c r="R179" i="28" s="1"/>
  <c r="Q183" i="28"/>
  <c r="R183" i="28" s="1"/>
  <c r="Q187" i="28"/>
  <c r="R187" i="28" s="1"/>
  <c r="Q191" i="28"/>
  <c r="R191" i="28" s="1"/>
  <c r="Q195" i="28"/>
  <c r="R195" i="28" s="1"/>
  <c r="Q199" i="28"/>
  <c r="R199" i="28" s="1"/>
  <c r="Q203" i="28"/>
  <c r="R203" i="28" s="1"/>
  <c r="Q207" i="28"/>
  <c r="R207" i="28" s="1"/>
  <c r="Q211" i="28"/>
  <c r="R211" i="28" s="1"/>
  <c r="Q45" i="28"/>
  <c r="R45" i="28" s="1"/>
  <c r="Q6" i="28"/>
  <c r="R6" i="28" s="1"/>
  <c r="Q52" i="28"/>
  <c r="R52" i="28" s="1"/>
  <c r="Q16" i="28"/>
  <c r="R16" i="28" s="1"/>
  <c r="Q38" i="28"/>
  <c r="R38" i="28" s="1"/>
  <c r="Q65" i="28"/>
  <c r="R65" i="28" s="1"/>
  <c r="Q67" i="28"/>
  <c r="R67" i="28" s="1"/>
  <c r="Q53" i="28"/>
  <c r="R53" i="28" s="1"/>
  <c r="Q7" i="28"/>
  <c r="R7" i="28" s="1"/>
  <c r="Q14" i="28"/>
  <c r="R14" i="28" s="1"/>
  <c r="Q66" i="28"/>
  <c r="R66" i="28" s="1"/>
  <c r="Q44" i="28"/>
  <c r="R44" i="28" s="1"/>
  <c r="Q29" i="28"/>
  <c r="R29" i="28" s="1"/>
  <c r="Q32" i="28"/>
  <c r="R32" i="28" s="1"/>
  <c r="Q50" i="28"/>
  <c r="R50" i="28" s="1"/>
  <c r="Q51" i="28"/>
  <c r="R51" i="28" s="1"/>
  <c r="Q21" i="28"/>
  <c r="R21" i="28" s="1"/>
  <c r="Q24" i="28"/>
  <c r="R24" i="28" s="1"/>
  <c r="Q61" i="28"/>
  <c r="R61" i="28" s="1"/>
  <c r="Q15" i="28"/>
  <c r="R15" i="28" s="1"/>
  <c r="Q22" i="28"/>
  <c r="R22" i="28" s="1"/>
  <c r="Q71" i="28"/>
  <c r="R71" i="28" s="1"/>
  <c r="Q5" i="28"/>
  <c r="R5" i="28" s="1"/>
  <c r="Q37" i="28"/>
  <c r="R37" i="28" s="1"/>
  <c r="Q8" i="28"/>
  <c r="R8" i="28" s="1"/>
  <c r="Q39" i="28"/>
  <c r="R39" i="28" s="1"/>
  <c r="Q23" i="28"/>
  <c r="R23" i="28" s="1"/>
  <c r="Q58" i="28"/>
  <c r="R58" i="28" s="1"/>
  <c r="Q30" i="28"/>
  <c r="R30" i="28" s="1"/>
  <c r="Q59" i="28"/>
  <c r="R59" i="28" s="1"/>
  <c r="Q60" i="28"/>
  <c r="R60" i="28" s="1"/>
  <c r="Q9" i="28"/>
  <c r="R9" i="28" s="1"/>
  <c r="Q25" i="28"/>
  <c r="R25" i="28" s="1"/>
  <c r="Q40" i="28"/>
  <c r="R40" i="28" s="1"/>
  <c r="Q57" i="28"/>
  <c r="R57" i="28" s="1"/>
  <c r="Q12" i="28"/>
  <c r="R12" i="28" s="1"/>
  <c r="Q28" i="28"/>
  <c r="R28" i="28" s="1"/>
  <c r="Q43" i="28"/>
  <c r="R43" i="28" s="1"/>
  <c r="Q11" i="28"/>
  <c r="R11" i="28" s="1"/>
  <c r="Q27" i="28"/>
  <c r="R27" i="28" s="1"/>
  <c r="Q46" i="28"/>
  <c r="R46" i="28" s="1"/>
  <c r="Q62" i="28"/>
  <c r="R62" i="28" s="1"/>
  <c r="Q18" i="28"/>
  <c r="R18" i="28" s="1"/>
  <c r="Q34" i="28"/>
  <c r="R34" i="28" s="1"/>
  <c r="Q47" i="28"/>
  <c r="R47" i="28" s="1"/>
  <c r="Q63" i="28"/>
  <c r="R63" i="28" s="1"/>
  <c r="Q48" i="28"/>
  <c r="R48" i="28" s="1"/>
  <c r="Q64" i="28"/>
  <c r="R64" i="28" s="1"/>
  <c r="Q17" i="28"/>
  <c r="R17" i="28" s="1"/>
  <c r="Q33" i="28"/>
  <c r="R33" i="28" s="1"/>
  <c r="Q49" i="28"/>
  <c r="R49" i="28" s="1"/>
  <c r="Q4" i="28"/>
  <c r="R4" i="28" s="1"/>
  <c r="Q20" i="28"/>
  <c r="R20" i="28" s="1"/>
  <c r="Q36" i="28"/>
  <c r="R36" i="28" s="1"/>
  <c r="Q69" i="28"/>
  <c r="R69" i="28" s="1"/>
  <c r="Q19" i="28"/>
  <c r="R19" i="28" s="1"/>
  <c r="Q35" i="28"/>
  <c r="R35" i="28" s="1"/>
  <c r="Q54" i="28"/>
  <c r="R54" i="28" s="1"/>
  <c r="Q10" i="28"/>
  <c r="R10" i="28" s="1"/>
  <c r="Q26" i="28"/>
  <c r="R26" i="28" s="1"/>
  <c r="Q41" i="28"/>
  <c r="R41" i="28" s="1"/>
  <c r="Q55" i="28"/>
  <c r="R55" i="28" s="1"/>
  <c r="Q70" i="28"/>
  <c r="R70" i="28" s="1"/>
  <c r="Q56" i="28"/>
  <c r="R56" i="28" s="1"/>
  <c r="Q143" i="28"/>
  <c r="R143" i="28" s="1"/>
  <c r="Q139" i="28"/>
  <c r="R139" i="28" s="1"/>
  <c r="Q144" i="28"/>
  <c r="R144" i="28" s="1"/>
  <c r="Q140" i="28"/>
  <c r="R140" i="28" s="1"/>
  <c r="Q136" i="28"/>
  <c r="R136" i="28" s="1"/>
  <c r="Q132" i="28"/>
  <c r="R132" i="28" s="1"/>
  <c r="Q137" i="28"/>
  <c r="R137" i="28" s="1"/>
  <c r="Q128" i="28"/>
  <c r="R128" i="28" s="1"/>
  <c r="Q124" i="28"/>
  <c r="R124" i="28" s="1"/>
  <c r="Q120" i="28"/>
  <c r="R120" i="28" s="1"/>
  <c r="Q116" i="28"/>
  <c r="R116" i="28" s="1"/>
  <c r="Q112" i="28"/>
  <c r="R112" i="28" s="1"/>
  <c r="Q108" i="28"/>
  <c r="R108" i="28" s="1"/>
  <c r="Q104" i="28"/>
  <c r="R104" i="28" s="1"/>
  <c r="Q100" i="28"/>
  <c r="R100" i="28" s="1"/>
  <c r="Q96" i="28"/>
  <c r="R96" i="28" s="1"/>
  <c r="Q92" i="28"/>
  <c r="R92" i="28" s="1"/>
  <c r="Q89" i="28"/>
  <c r="R89" i="28" s="1"/>
  <c r="Q85" i="28"/>
  <c r="R85" i="28" s="1"/>
  <c r="Q81" i="28"/>
  <c r="R81" i="28" s="1"/>
  <c r="Q77" i="28"/>
  <c r="R77" i="28" s="1"/>
  <c r="Q142" i="28"/>
  <c r="R142" i="28" s="1"/>
  <c r="Q129" i="28"/>
  <c r="R129" i="28" s="1"/>
  <c r="Q125" i="28"/>
  <c r="R125" i="28" s="1"/>
  <c r="Q121" i="28"/>
  <c r="R121" i="28" s="1"/>
  <c r="Q117" i="28"/>
  <c r="R117" i="28" s="1"/>
  <c r="Q113" i="28"/>
  <c r="R113" i="28" s="1"/>
  <c r="Q109" i="28"/>
  <c r="R109" i="28" s="1"/>
  <c r="Q105" i="28"/>
  <c r="R105" i="28" s="1"/>
  <c r="Q101" i="28"/>
  <c r="R101" i="28" s="1"/>
  <c r="Q97" i="28"/>
  <c r="R97" i="28" s="1"/>
  <c r="Q93" i="28"/>
  <c r="R93" i="28" s="1"/>
  <c r="Q90" i="28"/>
  <c r="R90" i="28" s="1"/>
  <c r="Q86" i="28"/>
  <c r="R86" i="28" s="1"/>
  <c r="Q82" i="28"/>
  <c r="R82" i="28" s="1"/>
  <c r="Q78" i="28"/>
  <c r="R78" i="28" s="1"/>
  <c r="Q138" i="28"/>
  <c r="R138" i="28" s="1"/>
  <c r="Q135" i="28"/>
  <c r="R135" i="28" s="1"/>
  <c r="Q131" i="28"/>
  <c r="R131" i="28" s="1"/>
  <c r="Q126" i="28"/>
  <c r="R126" i="28" s="1"/>
  <c r="Q122" i="28"/>
  <c r="R122" i="28" s="1"/>
  <c r="Q118" i="28"/>
  <c r="R118" i="28" s="1"/>
  <c r="Q114" i="28"/>
  <c r="R114" i="28" s="1"/>
  <c r="Q110" i="28"/>
  <c r="R110" i="28" s="1"/>
  <c r="Q106" i="28"/>
  <c r="R106" i="28" s="1"/>
  <c r="Q102" i="28"/>
  <c r="R102" i="28" s="1"/>
  <c r="Q98" i="28"/>
  <c r="R98" i="28" s="1"/>
  <c r="Q94" i="28"/>
  <c r="R94" i="28" s="1"/>
  <c r="Q87" i="28"/>
  <c r="R87" i="28" s="1"/>
  <c r="Q83" i="28"/>
  <c r="R83" i="28" s="1"/>
  <c r="Q79" i="28"/>
  <c r="R79" i="28" s="1"/>
  <c r="Q134" i="28"/>
  <c r="R134" i="28" s="1"/>
  <c r="Q127" i="28"/>
  <c r="R127" i="28" s="1"/>
  <c r="Q123" i="28"/>
  <c r="R123" i="28" s="1"/>
  <c r="Q119" i="28"/>
  <c r="R119" i="28" s="1"/>
  <c r="Q115" i="28"/>
  <c r="R115" i="28" s="1"/>
  <c r="Q111" i="28"/>
  <c r="R111" i="28" s="1"/>
  <c r="Q133" i="28"/>
  <c r="R133" i="28" s="1"/>
  <c r="Q103" i="28"/>
  <c r="R103" i="28" s="1"/>
  <c r="Q95" i="28"/>
  <c r="R95" i="28" s="1"/>
  <c r="Q88" i="28"/>
  <c r="R88" i="28" s="1"/>
  <c r="Q80" i="28"/>
  <c r="R80" i="28" s="1"/>
  <c r="Q141" i="28"/>
  <c r="R141" i="28" s="1"/>
  <c r="Q130" i="28"/>
  <c r="R130" i="28" s="1"/>
  <c r="Q107" i="28"/>
  <c r="R107" i="28" s="1"/>
  <c r="Q99" i="28"/>
  <c r="R99" i="28" s="1"/>
  <c r="Q91" i="28"/>
  <c r="R91" i="28" s="1"/>
  <c r="Q84" i="28"/>
  <c r="R84" i="28" s="1"/>
  <c r="G2" i="25" a="1"/>
  <c r="N2" i="25" s="1"/>
  <c r="I15" i="19" s="1"/>
  <c r="G83" i="25" a="1"/>
  <c r="G164" i="25" l="1"/>
  <c r="B63" i="19" s="1"/>
  <c r="P164" i="25"/>
  <c r="K63" i="19" s="1"/>
  <c r="O164" i="25"/>
  <c r="J63" i="19" s="1"/>
  <c r="K164" i="25"/>
  <c r="F63" i="19" s="1"/>
  <c r="M164" i="25"/>
  <c r="H63" i="19" s="1"/>
  <c r="L164" i="25"/>
  <c r="G63" i="19" s="1"/>
  <c r="H164" i="25"/>
  <c r="C63" i="19" s="1"/>
  <c r="I164" i="25"/>
  <c r="D63" i="19" s="1"/>
  <c r="N164" i="25"/>
  <c r="I63" i="19" s="1"/>
  <c r="H2" i="25"/>
  <c r="C15" i="19" s="1"/>
  <c r="G2" i="25"/>
  <c r="B15" i="19" s="1"/>
  <c r="P2" i="25"/>
  <c r="K15" i="19" s="1"/>
  <c r="L2" i="25"/>
  <c r="K2" i="25"/>
  <c r="F15" i="19" s="1"/>
  <c r="I2" i="25"/>
  <c r="D15" i="19" s="1"/>
  <c r="O2" i="25"/>
  <c r="J15" i="19" s="1"/>
  <c r="J2" i="25"/>
  <c r="E15" i="19" s="1"/>
  <c r="M2" i="25"/>
  <c r="H15" i="19" s="1"/>
  <c r="Q201" i="25"/>
  <c r="R201" i="25" s="1"/>
  <c r="Q238" i="25"/>
  <c r="R238" i="25" s="1"/>
  <c r="Q222" i="25"/>
  <c r="R222" i="25" s="1"/>
  <c r="O83" i="25"/>
  <c r="J39" i="19" s="1"/>
  <c r="K83" i="25"/>
  <c r="F39" i="19" s="1"/>
  <c r="G83" i="25"/>
  <c r="B39" i="19" s="1"/>
  <c r="N83" i="25"/>
  <c r="I39" i="19" s="1"/>
  <c r="J83" i="25"/>
  <c r="E39" i="19" s="1"/>
  <c r="M83" i="25"/>
  <c r="H39" i="19" s="1"/>
  <c r="I83" i="25"/>
  <c r="D39" i="19" s="1"/>
  <c r="P83" i="25"/>
  <c r="K39" i="19" s="1"/>
  <c r="L83" i="25"/>
  <c r="G39" i="19" s="1"/>
  <c r="H83" i="25"/>
  <c r="C39" i="19" s="1"/>
  <c r="Q33" i="25" l="1"/>
  <c r="R33" i="25" s="1"/>
  <c r="Q169" i="25"/>
  <c r="R169" i="25" s="1"/>
  <c r="Q225" i="25"/>
  <c r="R225" i="25" s="1"/>
  <c r="Q241" i="25"/>
  <c r="R241" i="25" s="1"/>
  <c r="Q193" i="25"/>
  <c r="R193" i="25" s="1"/>
  <c r="Q172" i="25"/>
  <c r="R172" i="25" s="1"/>
  <c r="Q183" i="25"/>
  <c r="R183" i="25" s="1"/>
  <c r="Q178" i="25"/>
  <c r="R178" i="25" s="1"/>
  <c r="Q228" i="25"/>
  <c r="R228" i="25" s="1"/>
  <c r="Q25" i="25"/>
  <c r="R25" i="25" s="1"/>
  <c r="Q195" i="25"/>
  <c r="R195" i="25" s="1"/>
  <c r="Q217" i="25"/>
  <c r="R217" i="25" s="1"/>
  <c r="Q229" i="25"/>
  <c r="R229" i="25" s="1"/>
  <c r="Q26" i="25"/>
  <c r="R26" i="25" s="1"/>
  <c r="Q206" i="25"/>
  <c r="R206" i="25" s="1"/>
  <c r="Q180" i="25"/>
  <c r="R180" i="25" s="1"/>
  <c r="Q72" i="25"/>
  <c r="R72" i="25" s="1"/>
  <c r="Q173" i="25"/>
  <c r="R173" i="25" s="1"/>
  <c r="Q182" i="25"/>
  <c r="R182" i="25" s="1"/>
  <c r="Q230" i="25"/>
  <c r="R230" i="25" s="1"/>
  <c r="Q199" i="25"/>
  <c r="R199" i="25" s="1"/>
  <c r="Q198" i="25"/>
  <c r="R198" i="25" s="1"/>
  <c r="Q70" i="25"/>
  <c r="R70" i="25" s="1"/>
  <c r="Q233" i="25"/>
  <c r="R233" i="25" s="1"/>
  <c r="Q204" i="25"/>
  <c r="R204" i="25" s="1"/>
  <c r="Q186" i="25"/>
  <c r="R186" i="25" s="1"/>
  <c r="Q56" i="25"/>
  <c r="R56" i="25" s="1"/>
  <c r="Q37" i="25"/>
  <c r="R37" i="25" s="1"/>
  <c r="Q214" i="25"/>
  <c r="R214" i="25" s="1"/>
  <c r="Q167" i="25"/>
  <c r="R167" i="25" s="1"/>
  <c r="Q220" i="25"/>
  <c r="R220" i="25" s="1"/>
  <c r="Q236" i="25"/>
  <c r="R236" i="25" s="1"/>
  <c r="Q196" i="25"/>
  <c r="R196" i="25" s="1"/>
  <c r="Q219" i="25"/>
  <c r="R219" i="25" s="1"/>
  <c r="Q64" i="25"/>
  <c r="R64" i="25" s="1"/>
  <c r="Q179" i="25"/>
  <c r="R179" i="25" s="1"/>
  <c r="Q77" i="25"/>
  <c r="R77" i="25" s="1"/>
  <c r="Q168" i="25"/>
  <c r="R168" i="25" s="1"/>
  <c r="Q221" i="25"/>
  <c r="R221" i="25" s="1"/>
  <c r="Q237" i="25"/>
  <c r="R237" i="25" s="1"/>
  <c r="Q207" i="25"/>
  <c r="R207" i="25" s="1"/>
  <c r="Q9" i="25"/>
  <c r="R9" i="25" s="1"/>
  <c r="Q200" i="25"/>
  <c r="R200" i="25" s="1"/>
  <c r="Q197" i="25"/>
  <c r="R197" i="25" s="1"/>
  <c r="Q202" i="25"/>
  <c r="R202" i="25" s="1"/>
  <c r="Q57" i="25"/>
  <c r="R57" i="25" s="1"/>
  <c r="Q181" i="25"/>
  <c r="R181" i="25" s="1"/>
  <c r="Q170" i="25"/>
  <c r="R170" i="25" s="1"/>
  <c r="Q184" i="25"/>
  <c r="R184" i="25" s="1"/>
  <c r="Q223" i="25"/>
  <c r="R223" i="25" s="1"/>
  <c r="Q231" i="25"/>
  <c r="R231" i="25" s="1"/>
  <c r="Q239" i="25"/>
  <c r="R239" i="25" s="1"/>
  <c r="Q10" i="25"/>
  <c r="R10" i="25" s="1"/>
  <c r="Q192" i="25"/>
  <c r="R192" i="25" s="1"/>
  <c r="Q189" i="25"/>
  <c r="R189" i="25" s="1"/>
  <c r="Q194" i="25"/>
  <c r="R194" i="25" s="1"/>
  <c r="Q14" i="25"/>
  <c r="R14" i="25" s="1"/>
  <c r="G15" i="19"/>
  <c r="Q32" i="25"/>
  <c r="R32" i="25" s="1"/>
  <c r="Q177" i="25"/>
  <c r="R177" i="25" s="1"/>
  <c r="Q215" i="25"/>
  <c r="R215" i="25" s="1"/>
  <c r="Q171" i="25"/>
  <c r="R171" i="25" s="1"/>
  <c r="Q212" i="25"/>
  <c r="R212" i="25" s="1"/>
  <c r="Q224" i="25"/>
  <c r="R224" i="25" s="1"/>
  <c r="Q232" i="25"/>
  <c r="R232" i="25" s="1"/>
  <c r="Q240" i="25"/>
  <c r="R240" i="25" s="1"/>
  <c r="Q203" i="25"/>
  <c r="R203" i="25" s="1"/>
  <c r="Q188" i="25"/>
  <c r="R188" i="25" s="1"/>
  <c r="Q185" i="25"/>
  <c r="R185" i="25" s="1"/>
  <c r="Q190" i="25"/>
  <c r="R190" i="25" s="1"/>
  <c r="Q40" i="25"/>
  <c r="R40" i="25" s="1"/>
  <c r="Q38" i="25"/>
  <c r="R38" i="25" s="1"/>
  <c r="Q211" i="25"/>
  <c r="R211" i="25" s="1"/>
  <c r="Q213" i="25"/>
  <c r="R213" i="25" s="1"/>
  <c r="Q174" i="25"/>
  <c r="R174" i="25" s="1"/>
  <c r="Q216" i="25"/>
  <c r="R216" i="25" s="1"/>
  <c r="Q226" i="25"/>
  <c r="R226" i="25" s="1"/>
  <c r="Q234" i="25"/>
  <c r="R234" i="25" s="1"/>
  <c r="Q27" i="25"/>
  <c r="R27" i="25" s="1"/>
  <c r="Q191" i="25"/>
  <c r="R191" i="25" s="1"/>
  <c r="Q209" i="25"/>
  <c r="R209" i="25" s="1"/>
  <c r="Q187" i="25"/>
  <c r="R187" i="25" s="1"/>
  <c r="Q48" i="25"/>
  <c r="R48" i="25" s="1"/>
  <c r="Q54" i="25"/>
  <c r="R54" i="25" s="1"/>
  <c r="Q175" i="25"/>
  <c r="R175" i="25" s="1"/>
  <c r="Q166" i="25"/>
  <c r="R166" i="25" s="1"/>
  <c r="Q176" i="25"/>
  <c r="R176" i="25" s="1"/>
  <c r="Q218" i="25"/>
  <c r="R218" i="25" s="1"/>
  <c r="Q227" i="25"/>
  <c r="R227" i="25" s="1"/>
  <c r="Q235" i="25"/>
  <c r="R235" i="25" s="1"/>
  <c r="Q16" i="25"/>
  <c r="R16" i="25" s="1"/>
  <c r="Q208" i="25"/>
  <c r="R208" i="25" s="1"/>
  <c r="Q205" i="25"/>
  <c r="R205" i="25" s="1"/>
  <c r="Q210" i="25"/>
  <c r="R210" i="25" s="1"/>
  <c r="Q105" i="25"/>
  <c r="R105" i="25" s="1"/>
  <c r="Q109" i="25"/>
  <c r="R109" i="25" s="1"/>
  <c r="Q113" i="25"/>
  <c r="R113" i="25" s="1"/>
  <c r="Q117" i="25"/>
  <c r="R117" i="25" s="1"/>
  <c r="Q121" i="25"/>
  <c r="R121" i="25" s="1"/>
  <c r="Q125" i="25"/>
  <c r="R125" i="25" s="1"/>
  <c r="Q129" i="25"/>
  <c r="R129" i="25" s="1"/>
  <c r="Q122" i="25"/>
  <c r="R122" i="25" s="1"/>
  <c r="Q104" i="25"/>
  <c r="R104" i="25" s="1"/>
  <c r="Q108" i="25"/>
  <c r="R108" i="25" s="1"/>
  <c r="Q112" i="25"/>
  <c r="R112" i="25" s="1"/>
  <c r="Q116" i="25"/>
  <c r="R116" i="25" s="1"/>
  <c r="Q120" i="25"/>
  <c r="R120" i="25" s="1"/>
  <c r="Q124" i="25"/>
  <c r="R124" i="25" s="1"/>
  <c r="Q128" i="25"/>
  <c r="R128" i="25" s="1"/>
  <c r="Q118" i="25"/>
  <c r="R118" i="25" s="1"/>
  <c r="Q126" i="25"/>
  <c r="R126" i="25" s="1"/>
  <c r="Q107" i="25"/>
  <c r="R107" i="25" s="1"/>
  <c r="Q111" i="25"/>
  <c r="R111" i="25" s="1"/>
  <c r="Q115" i="25"/>
  <c r="R115" i="25" s="1"/>
  <c r="Q119" i="25"/>
  <c r="R119" i="25" s="1"/>
  <c r="Q123" i="25"/>
  <c r="R123" i="25" s="1"/>
  <c r="Q127" i="25"/>
  <c r="R127" i="25" s="1"/>
  <c r="Q106" i="25"/>
  <c r="R106" i="25" s="1"/>
  <c r="Q110" i="25"/>
  <c r="R110" i="25" s="1"/>
  <c r="Q114" i="25"/>
  <c r="R114" i="25" s="1"/>
  <c r="Q4" i="25"/>
  <c r="R4" i="25" s="1"/>
  <c r="Q35" i="25"/>
  <c r="R35" i="25" s="1"/>
  <c r="Q43" i="25"/>
  <c r="R43" i="25" s="1"/>
  <c r="Q51" i="25"/>
  <c r="R51" i="25" s="1"/>
  <c r="Q59" i="25"/>
  <c r="R59" i="25" s="1"/>
  <c r="Q67" i="25"/>
  <c r="R67" i="25" s="1"/>
  <c r="Q41" i="25"/>
  <c r="R41" i="25" s="1"/>
  <c r="Q61" i="25"/>
  <c r="R61" i="25" s="1"/>
  <c r="Q45" i="25"/>
  <c r="R45" i="25" s="1"/>
  <c r="Q6" i="25"/>
  <c r="R6" i="25" s="1"/>
  <c r="Q42" i="25"/>
  <c r="R42" i="25" s="1"/>
  <c r="Q58" i="25"/>
  <c r="R58" i="25" s="1"/>
  <c r="Q74" i="25"/>
  <c r="R74" i="25" s="1"/>
  <c r="Q71" i="25"/>
  <c r="R71" i="25" s="1"/>
  <c r="Q28" i="25"/>
  <c r="R28" i="25" s="1"/>
  <c r="Q12" i="25"/>
  <c r="R12" i="25" s="1"/>
  <c r="Q21" i="25"/>
  <c r="R21" i="25" s="1"/>
  <c r="Q23" i="25"/>
  <c r="R23" i="25" s="1"/>
  <c r="Q22" i="25"/>
  <c r="R22" i="25" s="1"/>
  <c r="Q30" i="25"/>
  <c r="R30" i="25" s="1"/>
  <c r="Q36" i="25"/>
  <c r="R36" i="25" s="1"/>
  <c r="Q44" i="25"/>
  <c r="R44" i="25" s="1"/>
  <c r="Q52" i="25"/>
  <c r="R52" i="25" s="1"/>
  <c r="Q60" i="25"/>
  <c r="R60" i="25" s="1"/>
  <c r="Q68" i="25"/>
  <c r="R68" i="25" s="1"/>
  <c r="Q49" i="25"/>
  <c r="R49" i="25" s="1"/>
  <c r="Q65" i="25"/>
  <c r="R65" i="25" s="1"/>
  <c r="Q7" i="25"/>
  <c r="R7" i="25" s="1"/>
  <c r="Q76" i="25"/>
  <c r="R76" i="25" s="1"/>
  <c r="Q46" i="25"/>
  <c r="R46" i="25" s="1"/>
  <c r="Q62" i="25"/>
  <c r="R62" i="25" s="1"/>
  <c r="Q78" i="25"/>
  <c r="R78" i="25" s="1"/>
  <c r="Q75" i="25"/>
  <c r="R75" i="25" s="1"/>
  <c r="Q24" i="25"/>
  <c r="R24" i="25" s="1"/>
  <c r="Q19" i="25"/>
  <c r="R19" i="25" s="1"/>
  <c r="Q17" i="25"/>
  <c r="R17" i="25" s="1"/>
  <c r="Q15" i="25"/>
  <c r="R15" i="25" s="1"/>
  <c r="Q18" i="25"/>
  <c r="R18" i="25" s="1"/>
  <c r="Q5" i="25"/>
  <c r="R5" i="25" s="1"/>
  <c r="Q39" i="25"/>
  <c r="R39" i="25" s="1"/>
  <c r="Q47" i="25"/>
  <c r="R47" i="25" s="1"/>
  <c r="Q55" i="25"/>
  <c r="R55" i="25" s="1"/>
  <c r="Q63" i="25"/>
  <c r="R63" i="25" s="1"/>
  <c r="Q8" i="25"/>
  <c r="R8" i="25" s="1"/>
  <c r="Q53" i="25"/>
  <c r="R53" i="25" s="1"/>
  <c r="Q69" i="25"/>
  <c r="R69" i="25" s="1"/>
  <c r="Q31" i="25"/>
  <c r="R31" i="25" s="1"/>
  <c r="Q34" i="25"/>
  <c r="R34" i="25" s="1"/>
  <c r="Q50" i="25"/>
  <c r="R50" i="25" s="1"/>
  <c r="Q66" i="25"/>
  <c r="R66" i="25" s="1"/>
  <c r="Q73" i="25"/>
  <c r="R73" i="25" s="1"/>
  <c r="Q79" i="25"/>
  <c r="R79" i="25" s="1"/>
  <c r="Q20" i="25"/>
  <c r="R20" i="25" s="1"/>
  <c r="Q29" i="25"/>
  <c r="R29" i="25" s="1"/>
  <c r="Q13" i="25"/>
  <c r="R13" i="25" s="1"/>
  <c r="Q11" i="25"/>
  <c r="R11" i="25" s="1"/>
  <c r="Q158" i="25"/>
  <c r="R158" i="25" s="1"/>
  <c r="Q154" i="25"/>
  <c r="R154" i="25" s="1"/>
  <c r="Q150" i="25"/>
  <c r="R150" i="25" s="1"/>
  <c r="Q146" i="25"/>
  <c r="R146" i="25" s="1"/>
  <c r="Q142" i="25"/>
  <c r="R142" i="25" s="1"/>
  <c r="Q138" i="25"/>
  <c r="R138" i="25" s="1"/>
  <c r="Q134" i="25"/>
  <c r="R134" i="25" s="1"/>
  <c r="Q130" i="25"/>
  <c r="R130" i="25" s="1"/>
  <c r="Q159" i="25"/>
  <c r="R159" i="25" s="1"/>
  <c r="Q155" i="25"/>
  <c r="R155" i="25" s="1"/>
  <c r="Q151" i="25"/>
  <c r="R151" i="25" s="1"/>
  <c r="Q147" i="25"/>
  <c r="R147" i="25" s="1"/>
  <c r="Q143" i="25"/>
  <c r="R143" i="25" s="1"/>
  <c r="Q139" i="25"/>
  <c r="R139" i="25" s="1"/>
  <c r="Q135" i="25"/>
  <c r="R135" i="25" s="1"/>
  <c r="Q131" i="25"/>
  <c r="R131" i="25" s="1"/>
  <c r="Q157" i="25"/>
  <c r="R157" i="25" s="1"/>
  <c r="Q148" i="25"/>
  <c r="R148" i="25" s="1"/>
  <c r="Q144" i="25"/>
  <c r="R144" i="25" s="1"/>
  <c r="Q140" i="25"/>
  <c r="R140" i="25" s="1"/>
  <c r="Q136" i="25"/>
  <c r="R136" i="25" s="1"/>
  <c r="Q132" i="25"/>
  <c r="R132" i="25" s="1"/>
  <c r="Q100" i="25"/>
  <c r="R100" i="25" s="1"/>
  <c r="Q96" i="25"/>
  <c r="R96" i="25" s="1"/>
  <c r="Q92" i="25"/>
  <c r="R92" i="25" s="1"/>
  <c r="Q88" i="25"/>
  <c r="R88" i="25" s="1"/>
  <c r="Q160" i="25"/>
  <c r="R160" i="25" s="1"/>
  <c r="Q153" i="25"/>
  <c r="R153" i="25" s="1"/>
  <c r="Q102" i="25"/>
  <c r="R102" i="25" s="1"/>
  <c r="Q101" i="25"/>
  <c r="R101" i="25" s="1"/>
  <c r="Q97" i="25"/>
  <c r="R97" i="25" s="1"/>
  <c r="Q93" i="25"/>
  <c r="R93" i="25" s="1"/>
  <c r="Q89" i="25"/>
  <c r="R89" i="25" s="1"/>
  <c r="Q85" i="25"/>
  <c r="R85" i="25" s="1"/>
  <c r="Q156" i="25"/>
  <c r="R156" i="25" s="1"/>
  <c r="Q149" i="25"/>
  <c r="R149" i="25" s="1"/>
  <c r="Q145" i="25"/>
  <c r="R145" i="25" s="1"/>
  <c r="Q141" i="25"/>
  <c r="R141" i="25" s="1"/>
  <c r="Q137" i="25"/>
  <c r="R137" i="25" s="1"/>
  <c r="Q133" i="25"/>
  <c r="R133" i="25" s="1"/>
  <c r="Q103" i="25"/>
  <c r="R103" i="25" s="1"/>
  <c r="Q98" i="25"/>
  <c r="R98" i="25" s="1"/>
  <c r="Q94" i="25"/>
  <c r="R94" i="25" s="1"/>
  <c r="Q90" i="25"/>
  <c r="R90" i="25" s="1"/>
  <c r="Q86" i="25"/>
  <c r="R86" i="25" s="1"/>
  <c r="Q152" i="25"/>
  <c r="R152" i="25" s="1"/>
  <c r="Q99" i="25"/>
  <c r="R99" i="25" s="1"/>
  <c r="Q95" i="25"/>
  <c r="R95" i="25" s="1"/>
  <c r="Q91" i="25"/>
  <c r="R91" i="25" s="1"/>
  <c r="Q87" i="25"/>
  <c r="R87" i="25" s="1"/>
  <c r="C106" i="22"/>
  <c r="C105" i="22"/>
  <c r="C104" i="22"/>
  <c r="I104" i="22" s="1"/>
  <c r="C103" i="22"/>
  <c r="C102" i="22"/>
  <c r="I102" i="22" s="1"/>
  <c r="C101" i="22"/>
  <c r="I101" i="22" s="1"/>
  <c r="C100" i="22"/>
  <c r="I100" i="22" s="1"/>
  <c r="C99" i="22"/>
  <c r="I99" i="22" s="1"/>
  <c r="C98" i="22"/>
  <c r="I98" i="22" s="1"/>
  <c r="I34" i="22"/>
  <c r="O34" i="22" s="1"/>
  <c r="H34" i="22"/>
  <c r="M34" i="22" s="1"/>
  <c r="G34" i="22"/>
  <c r="L34" i="22" s="1"/>
  <c r="I33" i="22"/>
  <c r="O33" i="22" s="1"/>
  <c r="H33" i="22"/>
  <c r="M33" i="22" s="1"/>
  <c r="G33" i="22"/>
  <c r="J33" i="22" s="1"/>
  <c r="I32" i="22"/>
  <c r="H32" i="22"/>
  <c r="M32" i="22" s="1"/>
  <c r="G32" i="22"/>
  <c r="L32" i="22" s="1"/>
  <c r="I31" i="22"/>
  <c r="O31" i="22" s="1"/>
  <c r="H31" i="22"/>
  <c r="M31" i="22" s="1"/>
  <c r="G31" i="22"/>
  <c r="I30" i="22"/>
  <c r="O30" i="22" s="1"/>
  <c r="H30" i="22"/>
  <c r="G30" i="22"/>
  <c r="J30" i="22" s="1"/>
  <c r="I29" i="22"/>
  <c r="O29" i="22" s="1"/>
  <c r="H29" i="22"/>
  <c r="M29" i="22" s="1"/>
  <c r="G29" i="22"/>
  <c r="I28" i="22"/>
  <c r="H28" i="22"/>
  <c r="M28" i="22" s="1"/>
  <c r="G28" i="22"/>
  <c r="I27" i="22"/>
  <c r="O27" i="22" s="1"/>
  <c r="H27" i="22"/>
  <c r="M27" i="22" s="1"/>
  <c r="G27" i="22"/>
  <c r="J27" i="22" s="1"/>
  <c r="I26" i="22"/>
  <c r="O26" i="22" s="1"/>
  <c r="H26" i="22"/>
  <c r="G26" i="22"/>
  <c r="J26" i="22" s="1"/>
  <c r="H98" i="22"/>
  <c r="G98" i="22"/>
  <c r="J98" i="22" s="1"/>
  <c r="I62" i="22"/>
  <c r="O62" i="22" s="1"/>
  <c r="H62" i="22"/>
  <c r="G62" i="22"/>
  <c r="J62" i="22" s="1"/>
  <c r="C77" i="22"/>
  <c r="I77" i="22" s="1"/>
  <c r="O77" i="22" s="1"/>
  <c r="C78" i="22"/>
  <c r="I78" i="22" s="1"/>
  <c r="O78" i="22" s="1"/>
  <c r="C79" i="22"/>
  <c r="C80" i="22"/>
  <c r="I80" i="22" s="1"/>
  <c r="O80" i="22" s="1"/>
  <c r="C81" i="22"/>
  <c r="C82" i="22"/>
  <c r="I82" i="22" s="1"/>
  <c r="O82" i="22" s="1"/>
  <c r="C83" i="22"/>
  <c r="I83" i="22" s="1"/>
  <c r="O83" i="22" s="1"/>
  <c r="C84" i="22"/>
  <c r="I84" i="22" s="1"/>
  <c r="O84" i="22" s="1"/>
  <c r="C85" i="22"/>
  <c r="I85" i="22" s="1"/>
  <c r="O85" i="22" s="1"/>
  <c r="C86" i="22"/>
  <c r="I86" i="22" s="1"/>
  <c r="O86" i="22" s="1"/>
  <c r="C87" i="22"/>
  <c r="I87" i="22" s="1"/>
  <c r="O87" i="22" s="1"/>
  <c r="C88" i="22"/>
  <c r="I88" i="22" s="1"/>
  <c r="C89" i="22"/>
  <c r="C90" i="22"/>
  <c r="I90" i="22" s="1"/>
  <c r="C91" i="22"/>
  <c r="C92" i="22"/>
  <c r="I92" i="22" s="1"/>
  <c r="C93" i="22"/>
  <c r="I93" i="22" s="1"/>
  <c r="O93" i="22" s="1"/>
  <c r="C94" i="22"/>
  <c r="I94" i="22" s="1"/>
  <c r="C95" i="22"/>
  <c r="I95" i="22" s="1"/>
  <c r="C96" i="22"/>
  <c r="I96" i="22" s="1"/>
  <c r="C97" i="22"/>
  <c r="I105" i="22"/>
  <c r="C76" i="22"/>
  <c r="I76" i="22" s="1"/>
  <c r="O76" i="22" s="1"/>
  <c r="H148" i="23"/>
  <c r="M148" i="23" s="1"/>
  <c r="G148" i="23"/>
  <c r="J148" i="23" s="1"/>
  <c r="C148" i="23"/>
  <c r="I148" i="23" s="1"/>
  <c r="O148" i="23" s="1"/>
  <c r="H147" i="23"/>
  <c r="M147" i="23" s="1"/>
  <c r="G147" i="23"/>
  <c r="J147" i="23" s="1"/>
  <c r="C147" i="23"/>
  <c r="I147" i="23" s="1"/>
  <c r="O147" i="23" s="1"/>
  <c r="H146" i="23"/>
  <c r="M146" i="23" s="1"/>
  <c r="G146" i="23"/>
  <c r="J146" i="23" s="1"/>
  <c r="C146" i="23"/>
  <c r="I146" i="23" s="1"/>
  <c r="H145" i="23"/>
  <c r="M145" i="23" s="1"/>
  <c r="G145" i="23"/>
  <c r="J145" i="23" s="1"/>
  <c r="C145" i="23"/>
  <c r="I145" i="23" s="1"/>
  <c r="H144" i="23"/>
  <c r="M144" i="23" s="1"/>
  <c r="G144" i="23"/>
  <c r="J144" i="23" s="1"/>
  <c r="C144" i="23"/>
  <c r="I144" i="23" s="1"/>
  <c r="H143" i="23"/>
  <c r="M143" i="23" s="1"/>
  <c r="G143" i="23"/>
  <c r="J143" i="23" s="1"/>
  <c r="C143" i="23"/>
  <c r="I143" i="23" s="1"/>
  <c r="H142" i="23"/>
  <c r="M142" i="23" s="1"/>
  <c r="G142" i="23"/>
  <c r="J142" i="23" s="1"/>
  <c r="C142" i="23"/>
  <c r="I142" i="23" s="1"/>
  <c r="H141" i="23"/>
  <c r="M141" i="23" s="1"/>
  <c r="G141" i="23"/>
  <c r="J141" i="23" s="1"/>
  <c r="C141" i="23"/>
  <c r="I141" i="23" s="1"/>
  <c r="H140" i="23"/>
  <c r="M140" i="23" s="1"/>
  <c r="G140" i="23"/>
  <c r="J140" i="23" s="1"/>
  <c r="C140" i="23"/>
  <c r="I140" i="23" s="1"/>
  <c r="H139" i="23"/>
  <c r="M139" i="23" s="1"/>
  <c r="G139" i="23"/>
  <c r="C139" i="23"/>
  <c r="I139" i="23" s="1"/>
  <c r="H138" i="23"/>
  <c r="M138" i="23" s="1"/>
  <c r="G138" i="23"/>
  <c r="C138" i="23"/>
  <c r="I138" i="23" s="1"/>
  <c r="H137" i="23"/>
  <c r="M137" i="23" s="1"/>
  <c r="G137" i="23"/>
  <c r="C137" i="23"/>
  <c r="I137" i="23" s="1"/>
  <c r="H136" i="23"/>
  <c r="M136" i="23" s="1"/>
  <c r="G136" i="23"/>
  <c r="C136" i="23"/>
  <c r="I136" i="23" s="1"/>
  <c r="H135" i="23"/>
  <c r="M135" i="23" s="1"/>
  <c r="G135" i="23"/>
  <c r="C135" i="23"/>
  <c r="I135" i="23" s="1"/>
  <c r="H134" i="23"/>
  <c r="M134" i="23" s="1"/>
  <c r="G134" i="23"/>
  <c r="C134" i="23"/>
  <c r="I134" i="23" s="1"/>
  <c r="H133" i="23"/>
  <c r="M133" i="23" s="1"/>
  <c r="G133" i="23"/>
  <c r="C133" i="23"/>
  <c r="I133" i="23" s="1"/>
  <c r="H132" i="23"/>
  <c r="M132" i="23" s="1"/>
  <c r="G132" i="23"/>
  <c r="C132" i="23"/>
  <c r="I132" i="23" s="1"/>
  <c r="H131" i="23"/>
  <c r="M131" i="23" s="1"/>
  <c r="G131" i="23"/>
  <c r="C131" i="23"/>
  <c r="I131" i="23" s="1"/>
  <c r="H130" i="23"/>
  <c r="M130" i="23" s="1"/>
  <c r="G130" i="23"/>
  <c r="C130" i="23"/>
  <c r="I130" i="23" s="1"/>
  <c r="H129" i="23"/>
  <c r="M129" i="23" s="1"/>
  <c r="G129" i="23"/>
  <c r="C129" i="23"/>
  <c r="I129" i="23" s="1"/>
  <c r="H128" i="23"/>
  <c r="M128" i="23" s="1"/>
  <c r="G128" i="23"/>
  <c r="C128" i="23"/>
  <c r="I128" i="23" s="1"/>
  <c r="H127" i="23"/>
  <c r="M127" i="23" s="1"/>
  <c r="G127" i="23"/>
  <c r="C127" i="23"/>
  <c r="I127" i="23" s="1"/>
  <c r="H126" i="23"/>
  <c r="M126" i="23" s="1"/>
  <c r="G126" i="23"/>
  <c r="C126" i="23"/>
  <c r="I126" i="23" s="1"/>
  <c r="O126" i="23" s="1"/>
  <c r="H125" i="23"/>
  <c r="M125" i="23" s="1"/>
  <c r="G125" i="23"/>
  <c r="J125" i="23" s="1"/>
  <c r="C125" i="23"/>
  <c r="I125" i="23" s="1"/>
  <c r="H124" i="23"/>
  <c r="M124" i="23" s="1"/>
  <c r="G124" i="23"/>
  <c r="J124" i="23" s="1"/>
  <c r="C124" i="23"/>
  <c r="I124" i="23" s="1"/>
  <c r="H123" i="23"/>
  <c r="G123" i="23"/>
  <c r="C123" i="23"/>
  <c r="I123" i="23" s="1"/>
  <c r="H122" i="23"/>
  <c r="M122" i="23" s="1"/>
  <c r="G122" i="23"/>
  <c r="C122" i="23"/>
  <c r="I122" i="23" s="1"/>
  <c r="H121" i="23"/>
  <c r="M121" i="23" s="1"/>
  <c r="G121" i="23"/>
  <c r="K121" i="23" s="1"/>
  <c r="C121" i="23"/>
  <c r="I121" i="23" s="1"/>
  <c r="H120" i="23"/>
  <c r="G120" i="23"/>
  <c r="C120" i="23"/>
  <c r="I120" i="23" s="1"/>
  <c r="H119" i="23"/>
  <c r="G119" i="23"/>
  <c r="C119" i="23"/>
  <c r="I119" i="23" s="1"/>
  <c r="H118" i="23"/>
  <c r="M118" i="23" s="1"/>
  <c r="G118" i="23"/>
  <c r="C118" i="23"/>
  <c r="I118" i="23" s="1"/>
  <c r="H117" i="23"/>
  <c r="M117" i="23" s="1"/>
  <c r="G117" i="23"/>
  <c r="C117" i="23"/>
  <c r="I117" i="23" s="1"/>
  <c r="H116" i="23"/>
  <c r="G116" i="23"/>
  <c r="C116" i="23"/>
  <c r="I116" i="23" s="1"/>
  <c r="H115" i="23"/>
  <c r="G115" i="23"/>
  <c r="C115" i="23"/>
  <c r="I115" i="23" s="1"/>
  <c r="H114" i="23"/>
  <c r="M114" i="23" s="1"/>
  <c r="G114" i="23"/>
  <c r="K114" i="23" s="1"/>
  <c r="C114" i="23"/>
  <c r="I114" i="23" s="1"/>
  <c r="H113" i="23"/>
  <c r="M113" i="23" s="1"/>
  <c r="G113" i="23"/>
  <c r="C113" i="23"/>
  <c r="I113" i="23" s="1"/>
  <c r="H112" i="23"/>
  <c r="M112" i="23" s="1"/>
  <c r="G112" i="23"/>
  <c r="C112" i="23"/>
  <c r="I112" i="23" s="1"/>
  <c r="H111" i="23"/>
  <c r="G111" i="23"/>
  <c r="C111" i="23"/>
  <c r="I111" i="23" s="1"/>
  <c r="H110" i="23"/>
  <c r="M110" i="23" s="1"/>
  <c r="G110" i="23"/>
  <c r="C110" i="23"/>
  <c r="I110" i="23" s="1"/>
  <c r="H109" i="23"/>
  <c r="M109" i="23" s="1"/>
  <c r="G109" i="23"/>
  <c r="C109" i="23"/>
  <c r="I109" i="23" s="1"/>
  <c r="H108" i="23"/>
  <c r="M108" i="23" s="1"/>
  <c r="G108" i="23"/>
  <c r="C108" i="23"/>
  <c r="I108" i="23" s="1"/>
  <c r="H107" i="23"/>
  <c r="G107" i="23"/>
  <c r="C107" i="23"/>
  <c r="I107" i="23" s="1"/>
  <c r="H106" i="23"/>
  <c r="M106" i="23" s="1"/>
  <c r="G106" i="23"/>
  <c r="C106" i="23"/>
  <c r="I106" i="23" s="1"/>
  <c r="H105" i="23"/>
  <c r="M105" i="23" s="1"/>
  <c r="G105" i="23"/>
  <c r="K105" i="23" s="1"/>
  <c r="C105" i="23"/>
  <c r="I105" i="23" s="1"/>
  <c r="H104" i="23"/>
  <c r="M104" i="23" s="1"/>
  <c r="G104" i="23"/>
  <c r="C104" i="23"/>
  <c r="I104" i="23" s="1"/>
  <c r="I98" i="23"/>
  <c r="O98" i="23" s="1"/>
  <c r="H98" i="23"/>
  <c r="M98" i="23" s="1"/>
  <c r="G98" i="23"/>
  <c r="J98" i="23" s="1"/>
  <c r="I97" i="23"/>
  <c r="O97" i="23" s="1"/>
  <c r="H97" i="23"/>
  <c r="G97" i="23"/>
  <c r="J97" i="23" s="1"/>
  <c r="I96" i="23"/>
  <c r="O96" i="23" s="1"/>
  <c r="H96" i="23"/>
  <c r="M96" i="23" s="1"/>
  <c r="G96" i="23"/>
  <c r="J96" i="23" s="1"/>
  <c r="I95" i="23"/>
  <c r="H95" i="23"/>
  <c r="M95" i="23" s="1"/>
  <c r="G95" i="23"/>
  <c r="I94" i="23"/>
  <c r="O94" i="23" s="1"/>
  <c r="H94" i="23"/>
  <c r="G94" i="23"/>
  <c r="J94" i="23" s="1"/>
  <c r="I93" i="23"/>
  <c r="O93" i="23" s="1"/>
  <c r="H93" i="23"/>
  <c r="G93" i="23"/>
  <c r="J93" i="23" s="1"/>
  <c r="I92" i="23"/>
  <c r="O92" i="23" s="1"/>
  <c r="H92" i="23"/>
  <c r="M92" i="23" s="1"/>
  <c r="G92" i="23"/>
  <c r="I91" i="23"/>
  <c r="H91" i="23"/>
  <c r="M91" i="23" s="1"/>
  <c r="G91" i="23"/>
  <c r="I90" i="23"/>
  <c r="H90" i="23"/>
  <c r="M90" i="23" s="1"/>
  <c r="G90" i="23"/>
  <c r="J90" i="23" s="1"/>
  <c r="I89" i="23"/>
  <c r="H89" i="23"/>
  <c r="M89" i="23" s="1"/>
  <c r="G89" i="23"/>
  <c r="I88" i="23"/>
  <c r="O88" i="23" s="1"/>
  <c r="H88" i="23"/>
  <c r="G88" i="23"/>
  <c r="I87" i="23"/>
  <c r="O87" i="23" s="1"/>
  <c r="H87" i="23"/>
  <c r="M87" i="23" s="1"/>
  <c r="G87" i="23"/>
  <c r="K87" i="23" s="1"/>
  <c r="I86" i="23"/>
  <c r="H86" i="23"/>
  <c r="G86" i="23"/>
  <c r="J86" i="23" s="1"/>
  <c r="I85" i="23"/>
  <c r="H85" i="23"/>
  <c r="M85" i="23" s="1"/>
  <c r="G85" i="23"/>
  <c r="I84" i="23"/>
  <c r="O84" i="23" s="1"/>
  <c r="H84" i="23"/>
  <c r="G84" i="23"/>
  <c r="I83" i="23"/>
  <c r="O83" i="23" s="1"/>
  <c r="H83" i="23"/>
  <c r="G83" i="23"/>
  <c r="I82" i="23"/>
  <c r="H82" i="23"/>
  <c r="M82" i="23" s="1"/>
  <c r="G82" i="23"/>
  <c r="J82" i="23" s="1"/>
  <c r="I81" i="23"/>
  <c r="H81" i="23"/>
  <c r="M81" i="23" s="1"/>
  <c r="G81" i="23"/>
  <c r="I80" i="23"/>
  <c r="O80" i="23" s="1"/>
  <c r="H80" i="23"/>
  <c r="G80" i="23"/>
  <c r="I79" i="23"/>
  <c r="O79" i="23" s="1"/>
  <c r="H79" i="23"/>
  <c r="M79" i="23" s="1"/>
  <c r="G79" i="23"/>
  <c r="I78" i="23"/>
  <c r="H78" i="23"/>
  <c r="N78" i="23" s="1"/>
  <c r="G78" i="23"/>
  <c r="J78" i="23" s="1"/>
  <c r="I77" i="23"/>
  <c r="H77" i="23"/>
  <c r="M77" i="23" s="1"/>
  <c r="G77" i="23"/>
  <c r="I76" i="23"/>
  <c r="O76" i="23" s="1"/>
  <c r="H76" i="23"/>
  <c r="G76" i="23"/>
  <c r="I75" i="23"/>
  <c r="O75" i="23" s="1"/>
  <c r="H75" i="23"/>
  <c r="M75" i="23" s="1"/>
  <c r="G75" i="23"/>
  <c r="I74" i="23"/>
  <c r="H74" i="23"/>
  <c r="M74" i="23" s="1"/>
  <c r="G74" i="23"/>
  <c r="J74" i="23" s="1"/>
  <c r="I73" i="23"/>
  <c r="H73" i="23"/>
  <c r="M73" i="23" s="1"/>
  <c r="G73" i="23"/>
  <c r="I72" i="23"/>
  <c r="O72" i="23" s="1"/>
  <c r="H72" i="23"/>
  <c r="G72" i="23"/>
  <c r="I71" i="23"/>
  <c r="O71" i="23" s="1"/>
  <c r="H71" i="23"/>
  <c r="M71" i="23" s="1"/>
  <c r="G71" i="23"/>
  <c r="I70" i="23"/>
  <c r="H70" i="23"/>
  <c r="M70" i="23" s="1"/>
  <c r="G70" i="23"/>
  <c r="I69" i="23"/>
  <c r="H69" i="23"/>
  <c r="M69" i="23" s="1"/>
  <c r="G69" i="23"/>
  <c r="I68" i="23"/>
  <c r="O68" i="23" s="1"/>
  <c r="H68" i="23"/>
  <c r="G68" i="23"/>
  <c r="I67" i="23"/>
  <c r="O67" i="23" s="1"/>
  <c r="H67" i="23"/>
  <c r="G67" i="23"/>
  <c r="I66" i="23"/>
  <c r="H66" i="23"/>
  <c r="M66" i="23" s="1"/>
  <c r="G66" i="23"/>
  <c r="J66" i="23" s="1"/>
  <c r="I65" i="23"/>
  <c r="O65" i="23" s="1"/>
  <c r="H65" i="23"/>
  <c r="M65" i="23" s="1"/>
  <c r="G65" i="23"/>
  <c r="I64" i="23"/>
  <c r="O64" i="23" s="1"/>
  <c r="H64" i="23"/>
  <c r="G64" i="23"/>
  <c r="J64" i="23" s="1"/>
  <c r="I63" i="23"/>
  <c r="O63" i="23" s="1"/>
  <c r="H63" i="23"/>
  <c r="G63" i="23"/>
  <c r="J63" i="23" s="1"/>
  <c r="I62" i="23"/>
  <c r="H62" i="23"/>
  <c r="M62" i="23" s="1"/>
  <c r="G62" i="23"/>
  <c r="J62" i="23" s="1"/>
  <c r="I61" i="23"/>
  <c r="O61" i="23" s="1"/>
  <c r="H61" i="23"/>
  <c r="G61" i="23"/>
  <c r="I60" i="23"/>
  <c r="O60" i="23" s="1"/>
  <c r="H60" i="23"/>
  <c r="G60" i="23"/>
  <c r="J60" i="23" s="1"/>
  <c r="I59" i="23"/>
  <c r="O59" i="23" s="1"/>
  <c r="H59" i="23"/>
  <c r="M59" i="23" s="1"/>
  <c r="G59" i="23"/>
  <c r="I58" i="23"/>
  <c r="H58" i="23"/>
  <c r="M58" i="23" s="1"/>
  <c r="G58" i="23"/>
  <c r="J58" i="23" s="1"/>
  <c r="I57" i="23"/>
  <c r="O57" i="23" s="1"/>
  <c r="H57" i="23"/>
  <c r="M57" i="23" s="1"/>
  <c r="G57" i="23"/>
  <c r="I56" i="23"/>
  <c r="O56" i="23" s="1"/>
  <c r="H56" i="23"/>
  <c r="G56" i="23"/>
  <c r="J56" i="23" s="1"/>
  <c r="I55" i="23"/>
  <c r="O55" i="23" s="1"/>
  <c r="H55" i="23"/>
  <c r="N55" i="23" s="1"/>
  <c r="G55" i="23"/>
  <c r="I54" i="23"/>
  <c r="H54" i="23"/>
  <c r="M54" i="23" s="1"/>
  <c r="G54" i="23"/>
  <c r="I48" i="23"/>
  <c r="O48" i="23" s="1"/>
  <c r="H48" i="23"/>
  <c r="M48" i="23" s="1"/>
  <c r="G48" i="23"/>
  <c r="J48" i="23" s="1"/>
  <c r="I47" i="23"/>
  <c r="O47" i="23" s="1"/>
  <c r="H47" i="23"/>
  <c r="G47" i="23"/>
  <c r="I46" i="23"/>
  <c r="O46" i="23" s="1"/>
  <c r="H46" i="23"/>
  <c r="G46" i="23"/>
  <c r="J46" i="23" s="1"/>
  <c r="I45" i="23"/>
  <c r="O45" i="23" s="1"/>
  <c r="H45" i="23"/>
  <c r="M45" i="23" s="1"/>
  <c r="G45" i="23"/>
  <c r="I44" i="23"/>
  <c r="O44" i="23" s="1"/>
  <c r="H44" i="23"/>
  <c r="M44" i="23" s="1"/>
  <c r="G44" i="23"/>
  <c r="I43" i="23"/>
  <c r="O43" i="23" s="1"/>
  <c r="H43" i="23"/>
  <c r="M43" i="23" s="1"/>
  <c r="G43" i="23"/>
  <c r="J43" i="23" s="1"/>
  <c r="I42" i="23"/>
  <c r="O42" i="23" s="1"/>
  <c r="H42" i="23"/>
  <c r="G42" i="23"/>
  <c r="J42" i="23" s="1"/>
  <c r="I41" i="23"/>
  <c r="O41" i="23" s="1"/>
  <c r="H41" i="23"/>
  <c r="M41" i="23" s="1"/>
  <c r="G41" i="23"/>
  <c r="I40" i="23"/>
  <c r="H40" i="23"/>
  <c r="M40" i="23" s="1"/>
  <c r="G40" i="23"/>
  <c r="I39" i="23"/>
  <c r="O39" i="23" s="1"/>
  <c r="H39" i="23"/>
  <c r="G39" i="23"/>
  <c r="I38" i="23"/>
  <c r="O38" i="23" s="1"/>
  <c r="H38" i="23"/>
  <c r="G38" i="23"/>
  <c r="I37" i="23"/>
  <c r="O37" i="23" s="1"/>
  <c r="H37" i="23"/>
  <c r="M37" i="23" s="1"/>
  <c r="G37" i="23"/>
  <c r="I36" i="23"/>
  <c r="H36" i="23"/>
  <c r="M36" i="23" s="1"/>
  <c r="G36" i="23"/>
  <c r="I35" i="23"/>
  <c r="O35" i="23" s="1"/>
  <c r="H35" i="23"/>
  <c r="G35" i="23"/>
  <c r="I34" i="23"/>
  <c r="O34" i="23" s="1"/>
  <c r="H34" i="23"/>
  <c r="G34" i="23"/>
  <c r="I33" i="23"/>
  <c r="O33" i="23" s="1"/>
  <c r="H33" i="23"/>
  <c r="M33" i="23" s="1"/>
  <c r="G33" i="23"/>
  <c r="J33" i="23" s="1"/>
  <c r="I32" i="23"/>
  <c r="H32" i="23"/>
  <c r="M32" i="23" s="1"/>
  <c r="G32" i="23"/>
  <c r="J32" i="23" s="1"/>
  <c r="I31" i="23"/>
  <c r="O31" i="23" s="1"/>
  <c r="H31" i="23"/>
  <c r="G31" i="23"/>
  <c r="I30" i="23"/>
  <c r="O30" i="23" s="1"/>
  <c r="H30" i="23"/>
  <c r="G30" i="23"/>
  <c r="I29" i="23"/>
  <c r="O29" i="23" s="1"/>
  <c r="H29" i="23"/>
  <c r="M29" i="23" s="1"/>
  <c r="G29" i="23"/>
  <c r="J29" i="23" s="1"/>
  <c r="I28" i="23"/>
  <c r="H28" i="23"/>
  <c r="M28" i="23" s="1"/>
  <c r="G28" i="23"/>
  <c r="J28" i="23" s="1"/>
  <c r="I27" i="23"/>
  <c r="O27" i="23" s="1"/>
  <c r="H27" i="23"/>
  <c r="G27" i="23"/>
  <c r="I26" i="23"/>
  <c r="O26" i="23" s="1"/>
  <c r="H26" i="23"/>
  <c r="G26" i="23"/>
  <c r="I25" i="23"/>
  <c r="O25" i="23" s="1"/>
  <c r="H25" i="23"/>
  <c r="M25" i="23" s="1"/>
  <c r="G25" i="23"/>
  <c r="I24" i="23"/>
  <c r="H24" i="23"/>
  <c r="M24" i="23" s="1"/>
  <c r="G24" i="23"/>
  <c r="J24" i="23" s="1"/>
  <c r="I23" i="23"/>
  <c r="O23" i="23" s="1"/>
  <c r="H23" i="23"/>
  <c r="G23" i="23"/>
  <c r="I22" i="23"/>
  <c r="O22" i="23" s="1"/>
  <c r="H22" i="23"/>
  <c r="G22" i="23"/>
  <c r="I21" i="23"/>
  <c r="O21" i="23" s="1"/>
  <c r="H21" i="23"/>
  <c r="M21" i="23" s="1"/>
  <c r="G21" i="23"/>
  <c r="J21" i="23" s="1"/>
  <c r="I20" i="23"/>
  <c r="H20" i="23"/>
  <c r="M20" i="23" s="1"/>
  <c r="G20" i="23"/>
  <c r="I19" i="23"/>
  <c r="O19" i="23" s="1"/>
  <c r="H19" i="23"/>
  <c r="G19" i="23"/>
  <c r="I18" i="23"/>
  <c r="O18" i="23" s="1"/>
  <c r="H18" i="23"/>
  <c r="G18" i="23"/>
  <c r="I17" i="23"/>
  <c r="O17" i="23" s="1"/>
  <c r="H17" i="23"/>
  <c r="M17" i="23" s="1"/>
  <c r="G17" i="23"/>
  <c r="I16" i="23"/>
  <c r="H16" i="23"/>
  <c r="M16" i="23" s="1"/>
  <c r="G16" i="23"/>
  <c r="J16" i="23" s="1"/>
  <c r="I15" i="23"/>
  <c r="O15" i="23" s="1"/>
  <c r="H15" i="23"/>
  <c r="G15" i="23"/>
  <c r="I14" i="23"/>
  <c r="O14" i="23" s="1"/>
  <c r="H14" i="23"/>
  <c r="G14" i="23"/>
  <c r="I13" i="23"/>
  <c r="O13" i="23" s="1"/>
  <c r="H13" i="23"/>
  <c r="M13" i="23" s="1"/>
  <c r="G13" i="23"/>
  <c r="J13" i="23" s="1"/>
  <c r="I12" i="23"/>
  <c r="H12" i="23"/>
  <c r="M12" i="23" s="1"/>
  <c r="G12" i="23"/>
  <c r="J12" i="23" s="1"/>
  <c r="I11" i="23"/>
  <c r="O11" i="23" s="1"/>
  <c r="H11" i="23"/>
  <c r="G11" i="23"/>
  <c r="I10" i="23"/>
  <c r="O10" i="23" s="1"/>
  <c r="H10" i="23"/>
  <c r="G10" i="23"/>
  <c r="I9" i="23"/>
  <c r="O9" i="23" s="1"/>
  <c r="H9" i="23"/>
  <c r="M9" i="23" s="1"/>
  <c r="G9" i="23"/>
  <c r="J9" i="23" s="1"/>
  <c r="I8" i="23"/>
  <c r="H8" i="23"/>
  <c r="M8" i="23" s="1"/>
  <c r="G8" i="23"/>
  <c r="J8" i="23" s="1"/>
  <c r="I7" i="23"/>
  <c r="O7" i="23" s="1"/>
  <c r="H7" i="23"/>
  <c r="G7" i="23"/>
  <c r="I6" i="23"/>
  <c r="O6" i="23" s="1"/>
  <c r="H6" i="23"/>
  <c r="G6" i="23"/>
  <c r="I5" i="23"/>
  <c r="O5" i="23" s="1"/>
  <c r="H5" i="23"/>
  <c r="M5" i="23" s="1"/>
  <c r="G5" i="23"/>
  <c r="J5" i="23" s="1"/>
  <c r="I4" i="23"/>
  <c r="H4" i="23"/>
  <c r="M4" i="23" s="1"/>
  <c r="G4" i="23"/>
  <c r="J4" i="23" s="1"/>
  <c r="H106" i="22"/>
  <c r="M106" i="22" s="1"/>
  <c r="G106" i="22"/>
  <c r="I106" i="22"/>
  <c r="H105" i="22"/>
  <c r="M105" i="22" s="1"/>
  <c r="G105" i="22"/>
  <c r="H104" i="22"/>
  <c r="M104" i="22" s="1"/>
  <c r="G104" i="22"/>
  <c r="H103" i="22"/>
  <c r="M103" i="22" s="1"/>
  <c r="G103" i="22"/>
  <c r="I103" i="22"/>
  <c r="H102" i="22"/>
  <c r="M102" i="22" s="1"/>
  <c r="G102" i="22"/>
  <c r="H101" i="22"/>
  <c r="M101" i="22" s="1"/>
  <c r="G101" i="22"/>
  <c r="H100" i="22"/>
  <c r="M100" i="22" s="1"/>
  <c r="G100" i="22"/>
  <c r="H99" i="22"/>
  <c r="M99" i="22" s="1"/>
  <c r="G99" i="22"/>
  <c r="H97" i="22"/>
  <c r="M97" i="22" s="1"/>
  <c r="G97" i="22"/>
  <c r="I97" i="22"/>
  <c r="H96" i="22"/>
  <c r="M96" i="22" s="1"/>
  <c r="G96" i="22"/>
  <c r="H95" i="22"/>
  <c r="M95" i="22" s="1"/>
  <c r="G95" i="22"/>
  <c r="H94" i="22"/>
  <c r="M94" i="22" s="1"/>
  <c r="G94" i="22"/>
  <c r="H93" i="22"/>
  <c r="M93" i="22" s="1"/>
  <c r="G93" i="22"/>
  <c r="H92" i="22"/>
  <c r="M92" i="22" s="1"/>
  <c r="G92" i="22"/>
  <c r="H91" i="22"/>
  <c r="M91" i="22" s="1"/>
  <c r="G91" i="22"/>
  <c r="I91" i="22"/>
  <c r="O91" i="22" s="1"/>
  <c r="H90" i="22"/>
  <c r="M90" i="22" s="1"/>
  <c r="G90" i="22"/>
  <c r="H89" i="22"/>
  <c r="M89" i="22" s="1"/>
  <c r="G89" i="22"/>
  <c r="I89" i="22"/>
  <c r="O89" i="22" s="1"/>
  <c r="H88" i="22"/>
  <c r="M88" i="22" s="1"/>
  <c r="G88" i="22"/>
  <c r="H87" i="22"/>
  <c r="M87" i="22" s="1"/>
  <c r="G87" i="22"/>
  <c r="J87" i="22" s="1"/>
  <c r="H86" i="22"/>
  <c r="M86" i="22" s="1"/>
  <c r="G86" i="22"/>
  <c r="J86" i="22" s="1"/>
  <c r="H85" i="22"/>
  <c r="M85" i="22" s="1"/>
  <c r="G85" i="22"/>
  <c r="H84" i="22"/>
  <c r="M84" i="22" s="1"/>
  <c r="G84" i="22"/>
  <c r="J84" i="22" s="1"/>
  <c r="H83" i="22"/>
  <c r="M83" i="22" s="1"/>
  <c r="G83" i="22"/>
  <c r="H82" i="22"/>
  <c r="M82" i="22" s="1"/>
  <c r="G82" i="22"/>
  <c r="J82" i="22" s="1"/>
  <c r="H81" i="22"/>
  <c r="G81" i="22"/>
  <c r="J81" i="22" s="1"/>
  <c r="I81" i="22"/>
  <c r="O81" i="22" s="1"/>
  <c r="H80" i="22"/>
  <c r="M80" i="22" s="1"/>
  <c r="G80" i="22"/>
  <c r="J80" i="22" s="1"/>
  <c r="H79" i="22"/>
  <c r="M79" i="22" s="1"/>
  <c r="G79" i="22"/>
  <c r="J79" i="22" s="1"/>
  <c r="I79" i="22"/>
  <c r="O79" i="22" s="1"/>
  <c r="H78" i="22"/>
  <c r="M78" i="22" s="1"/>
  <c r="G78" i="22"/>
  <c r="J78" i="22" s="1"/>
  <c r="H77" i="22"/>
  <c r="M77" i="22" s="1"/>
  <c r="G77" i="22"/>
  <c r="J77" i="22" s="1"/>
  <c r="H76" i="22"/>
  <c r="M76" i="22" s="1"/>
  <c r="G76" i="22"/>
  <c r="J76" i="22" s="1"/>
  <c r="I70" i="22"/>
  <c r="O70" i="22" s="1"/>
  <c r="H70" i="22"/>
  <c r="M70" i="22" s="1"/>
  <c r="G70" i="22"/>
  <c r="J70" i="22" s="1"/>
  <c r="I69" i="22"/>
  <c r="O69" i="22" s="1"/>
  <c r="H69" i="22"/>
  <c r="G69" i="22"/>
  <c r="J69" i="22" s="1"/>
  <c r="I68" i="22"/>
  <c r="O68" i="22" s="1"/>
  <c r="H68" i="22"/>
  <c r="M68" i="22" s="1"/>
  <c r="G68" i="22"/>
  <c r="I67" i="22"/>
  <c r="H67" i="22"/>
  <c r="M67" i="22" s="1"/>
  <c r="G67" i="22"/>
  <c r="J67" i="22" s="1"/>
  <c r="I66" i="22"/>
  <c r="O66" i="22" s="1"/>
  <c r="H66" i="22"/>
  <c r="M66" i="22" s="1"/>
  <c r="G66" i="22"/>
  <c r="J66" i="22" s="1"/>
  <c r="I65" i="22"/>
  <c r="O65" i="22" s="1"/>
  <c r="H65" i="22"/>
  <c r="G65" i="22"/>
  <c r="J65" i="22" s="1"/>
  <c r="I64" i="22"/>
  <c r="H64" i="22"/>
  <c r="M64" i="22" s="1"/>
  <c r="G64" i="22"/>
  <c r="J64" i="22" s="1"/>
  <c r="I63" i="22"/>
  <c r="H63" i="22"/>
  <c r="G63" i="22"/>
  <c r="I61" i="22"/>
  <c r="O61" i="22" s="1"/>
  <c r="H61" i="22"/>
  <c r="G61" i="22"/>
  <c r="I60" i="22"/>
  <c r="O60" i="22" s="1"/>
  <c r="H60" i="22"/>
  <c r="G60" i="22"/>
  <c r="I59" i="22"/>
  <c r="H59" i="22"/>
  <c r="M59" i="22" s="1"/>
  <c r="G59" i="22"/>
  <c r="J59" i="22" s="1"/>
  <c r="I58" i="22"/>
  <c r="H58" i="22"/>
  <c r="M58" i="22" s="1"/>
  <c r="G58" i="22"/>
  <c r="I57" i="22"/>
  <c r="O57" i="22" s="1"/>
  <c r="H57" i="22"/>
  <c r="G57" i="22"/>
  <c r="I56" i="22"/>
  <c r="O56" i="22" s="1"/>
  <c r="H56" i="22"/>
  <c r="M56" i="22" s="1"/>
  <c r="G56" i="22"/>
  <c r="I55" i="22"/>
  <c r="H55" i="22"/>
  <c r="M55" i="22" s="1"/>
  <c r="G55" i="22"/>
  <c r="I54" i="22"/>
  <c r="H54" i="22"/>
  <c r="M54" i="22" s="1"/>
  <c r="G54" i="22"/>
  <c r="I53" i="22"/>
  <c r="H53" i="22"/>
  <c r="G53" i="22"/>
  <c r="I52" i="22"/>
  <c r="O52" i="22" s="1"/>
  <c r="H52" i="22"/>
  <c r="M52" i="22" s="1"/>
  <c r="G52" i="22"/>
  <c r="I51" i="22"/>
  <c r="H51" i="22"/>
  <c r="M51" i="22" s="1"/>
  <c r="G51" i="22"/>
  <c r="I50" i="22"/>
  <c r="H50" i="22"/>
  <c r="M50" i="22" s="1"/>
  <c r="G50" i="22"/>
  <c r="I49" i="22"/>
  <c r="O49" i="22" s="1"/>
  <c r="H49" i="22"/>
  <c r="G49" i="22"/>
  <c r="I48" i="22"/>
  <c r="O48" i="22" s="1"/>
  <c r="H48" i="22"/>
  <c r="G48" i="22"/>
  <c r="I47" i="22"/>
  <c r="H47" i="22"/>
  <c r="G47" i="22"/>
  <c r="J47" i="22" s="1"/>
  <c r="I46" i="22"/>
  <c r="H46" i="22"/>
  <c r="M46" i="22" s="1"/>
  <c r="G46" i="22"/>
  <c r="I45" i="22"/>
  <c r="O45" i="22" s="1"/>
  <c r="H45" i="22"/>
  <c r="G45" i="22"/>
  <c r="I44" i="22"/>
  <c r="O44" i="22" s="1"/>
  <c r="H44" i="22"/>
  <c r="M44" i="22" s="1"/>
  <c r="G44" i="22"/>
  <c r="I43" i="22"/>
  <c r="H43" i="22"/>
  <c r="M43" i="22" s="1"/>
  <c r="G43" i="22"/>
  <c r="J43" i="22" s="1"/>
  <c r="I42" i="22"/>
  <c r="H42" i="22"/>
  <c r="M42" i="22" s="1"/>
  <c r="G42" i="22"/>
  <c r="I41" i="22"/>
  <c r="H41" i="22"/>
  <c r="G41" i="22"/>
  <c r="I40" i="22"/>
  <c r="H40" i="22"/>
  <c r="M40" i="22" s="1"/>
  <c r="G40" i="22"/>
  <c r="I25" i="22"/>
  <c r="H25" i="22"/>
  <c r="G25" i="22"/>
  <c r="I24" i="22"/>
  <c r="O24" i="22" s="1"/>
  <c r="H24" i="22"/>
  <c r="G24" i="22"/>
  <c r="J24" i="22" s="1"/>
  <c r="I23" i="22"/>
  <c r="O23" i="22" s="1"/>
  <c r="H23" i="22"/>
  <c r="M23" i="22" s="1"/>
  <c r="G23" i="22"/>
  <c r="I22" i="22"/>
  <c r="H22" i="22"/>
  <c r="M22" i="22" s="1"/>
  <c r="G22" i="22"/>
  <c r="J22" i="22" s="1"/>
  <c r="I21" i="22"/>
  <c r="O21" i="22" s="1"/>
  <c r="H21" i="22"/>
  <c r="G21" i="22"/>
  <c r="J21" i="22" s="1"/>
  <c r="I20" i="22"/>
  <c r="O20" i="22" s="1"/>
  <c r="H20" i="22"/>
  <c r="M20" i="22" s="1"/>
  <c r="G20" i="22"/>
  <c r="I19" i="22"/>
  <c r="H19" i="22"/>
  <c r="M19" i="22" s="1"/>
  <c r="G19" i="22"/>
  <c r="I18" i="22"/>
  <c r="O18" i="22" s="1"/>
  <c r="H18" i="22"/>
  <c r="G18" i="22"/>
  <c r="I17" i="22"/>
  <c r="O17" i="22" s="1"/>
  <c r="H17" i="22"/>
  <c r="G17" i="22"/>
  <c r="J17" i="22" s="1"/>
  <c r="I16" i="22"/>
  <c r="H16" i="22"/>
  <c r="M16" i="22" s="1"/>
  <c r="G16" i="22"/>
  <c r="J16" i="22" s="1"/>
  <c r="I15" i="22"/>
  <c r="H15" i="22"/>
  <c r="M15" i="22" s="1"/>
  <c r="G15" i="22"/>
  <c r="I14" i="22"/>
  <c r="O14" i="22" s="1"/>
  <c r="H14" i="22"/>
  <c r="G14" i="22"/>
  <c r="J14" i="22" s="1"/>
  <c r="I13" i="22"/>
  <c r="O13" i="22" s="1"/>
  <c r="H13" i="22"/>
  <c r="M13" i="22" s="1"/>
  <c r="G13" i="22"/>
  <c r="J13" i="22" s="1"/>
  <c r="I12" i="22"/>
  <c r="H12" i="22"/>
  <c r="M12" i="22" s="1"/>
  <c r="G12" i="22"/>
  <c r="J12" i="22" s="1"/>
  <c r="I11" i="22"/>
  <c r="O11" i="22" s="1"/>
  <c r="H11" i="22"/>
  <c r="G11" i="22"/>
  <c r="J11" i="22" s="1"/>
  <c r="I10" i="22"/>
  <c r="O10" i="22" s="1"/>
  <c r="H10" i="22"/>
  <c r="G10" i="22"/>
  <c r="J10" i="22" s="1"/>
  <c r="I9" i="22"/>
  <c r="O9" i="22" s="1"/>
  <c r="H9" i="22"/>
  <c r="M9" i="22" s="1"/>
  <c r="G9" i="22"/>
  <c r="I8" i="22"/>
  <c r="H8" i="22"/>
  <c r="M8" i="22" s="1"/>
  <c r="G8" i="22"/>
  <c r="I7" i="22"/>
  <c r="O7" i="22" s="1"/>
  <c r="H7" i="22"/>
  <c r="G7" i="22"/>
  <c r="J7" i="22" s="1"/>
  <c r="I6" i="22"/>
  <c r="O6" i="22" s="1"/>
  <c r="H6" i="22"/>
  <c r="G6" i="22"/>
  <c r="J6" i="22" s="1"/>
  <c r="I5" i="22"/>
  <c r="O5" i="22" s="1"/>
  <c r="H5" i="22"/>
  <c r="G5" i="22"/>
  <c r="J5" i="22" s="1"/>
  <c r="I4" i="22"/>
  <c r="O4" i="22" s="1"/>
  <c r="H4" i="22"/>
  <c r="M4" i="22" s="1"/>
  <c r="G4" i="22"/>
  <c r="K106" i="23" l="1"/>
  <c r="K29" i="22"/>
  <c r="K71" i="23"/>
  <c r="K129" i="23"/>
  <c r="K130" i="23"/>
  <c r="K31" i="22"/>
  <c r="K133" i="23"/>
  <c r="K138" i="23"/>
  <c r="K26" i="23"/>
  <c r="N83" i="23"/>
  <c r="K112" i="23"/>
  <c r="K120" i="23"/>
  <c r="K128" i="23"/>
  <c r="N33" i="22"/>
  <c r="L27" i="22"/>
  <c r="J29" i="22"/>
  <c r="L28" i="22"/>
  <c r="K67" i="23"/>
  <c r="N71" i="23"/>
  <c r="N30" i="22"/>
  <c r="N30" i="23"/>
  <c r="N67" i="23"/>
  <c r="K70" i="23"/>
  <c r="N26" i="22"/>
  <c r="K33" i="22"/>
  <c r="L23" i="23"/>
  <c r="L36" i="23"/>
  <c r="K75" i="23"/>
  <c r="N95" i="23"/>
  <c r="N32" i="22"/>
  <c r="J32" i="22"/>
  <c r="N29" i="22"/>
  <c r="K69" i="23"/>
  <c r="N86" i="23"/>
  <c r="N94" i="23"/>
  <c r="N28" i="22"/>
  <c r="J31" i="22"/>
  <c r="K134" i="23"/>
  <c r="K27" i="22"/>
  <c r="J28" i="22"/>
  <c r="L31" i="22"/>
  <c r="L90" i="23"/>
  <c r="K137" i="23"/>
  <c r="L39" i="23"/>
  <c r="M83" i="23"/>
  <c r="K132" i="23"/>
  <c r="K136" i="23"/>
  <c r="L20" i="23"/>
  <c r="N47" i="23"/>
  <c r="K79" i="23"/>
  <c r="K83" i="23"/>
  <c r="K104" i="23"/>
  <c r="K108" i="23"/>
  <c r="K113" i="23"/>
  <c r="K117" i="23"/>
  <c r="K127" i="23"/>
  <c r="K131" i="23"/>
  <c r="K135" i="23"/>
  <c r="K139" i="23"/>
  <c r="J127" i="23"/>
  <c r="J128" i="23"/>
  <c r="J129" i="23"/>
  <c r="J130" i="23"/>
  <c r="J131" i="23"/>
  <c r="J132" i="23"/>
  <c r="J133" i="23"/>
  <c r="J134" i="23"/>
  <c r="J135" i="23"/>
  <c r="J136" i="23"/>
  <c r="J137" i="23"/>
  <c r="J138" i="23"/>
  <c r="J139" i="23"/>
  <c r="K109" i="23"/>
  <c r="K140" i="23"/>
  <c r="K141" i="23"/>
  <c r="K142" i="23"/>
  <c r="N22" i="23"/>
  <c r="L59" i="23"/>
  <c r="K116" i="23"/>
  <c r="N14" i="23"/>
  <c r="L17" i="23"/>
  <c r="J20" i="23"/>
  <c r="N42" i="23"/>
  <c r="N46" i="23"/>
  <c r="K54" i="23"/>
  <c r="N70" i="23"/>
  <c r="N107" i="23"/>
  <c r="N111" i="23"/>
  <c r="N115" i="23"/>
  <c r="N119" i="23"/>
  <c r="N123" i="23"/>
  <c r="K143" i="23"/>
  <c r="K144" i="23"/>
  <c r="K145" i="23"/>
  <c r="K146" i="23"/>
  <c r="K21" i="23"/>
  <c r="N21" i="23"/>
  <c r="K68" i="23"/>
  <c r="K92" i="23"/>
  <c r="K126" i="23"/>
  <c r="J54" i="23"/>
  <c r="N63" i="23"/>
  <c r="L74" i="23"/>
  <c r="K84" i="23"/>
  <c r="K85" i="23"/>
  <c r="K86" i="23"/>
  <c r="M86" i="23"/>
  <c r="N91" i="23"/>
  <c r="M55" i="23"/>
  <c r="N90" i="23"/>
  <c r="K91" i="23"/>
  <c r="O95" i="23"/>
  <c r="N54" i="23"/>
  <c r="N59" i="23"/>
  <c r="K62" i="23"/>
  <c r="K64" i="23"/>
  <c r="M67" i="23"/>
  <c r="J70" i="23"/>
  <c r="N75" i="23"/>
  <c r="K76" i="23"/>
  <c r="K77" i="23"/>
  <c r="K78" i="23"/>
  <c r="M78" i="23"/>
  <c r="L82" i="23"/>
  <c r="O91" i="23"/>
  <c r="J92" i="23"/>
  <c r="K96" i="23"/>
  <c r="L40" i="23"/>
  <c r="L37" i="23"/>
  <c r="L27" i="23"/>
  <c r="L25" i="23"/>
  <c r="L28" i="23"/>
  <c r="L31" i="23"/>
  <c r="L19" i="23"/>
  <c r="N26" i="23"/>
  <c r="N18" i="23"/>
  <c r="L13" i="23"/>
  <c r="N13" i="23"/>
  <c r="L15" i="23"/>
  <c r="L11" i="23"/>
  <c r="L12" i="23"/>
  <c r="N10" i="23"/>
  <c r="N6" i="23"/>
  <c r="N5" i="23"/>
  <c r="L4" i="23"/>
  <c r="N45" i="23"/>
  <c r="N58" i="23"/>
  <c r="L65" i="23"/>
  <c r="L72" i="23"/>
  <c r="L80" i="23"/>
  <c r="L88" i="23"/>
  <c r="N116" i="23"/>
  <c r="N120" i="23"/>
  <c r="N79" i="23"/>
  <c r="N87" i="23"/>
  <c r="L94" i="23"/>
  <c r="L98" i="23"/>
  <c r="L7" i="23"/>
  <c r="L29" i="23"/>
  <c r="N29" i="23"/>
  <c r="L35" i="23"/>
  <c r="N38" i="23"/>
  <c r="N41" i="23"/>
  <c r="L45" i="23"/>
  <c r="L55" i="23"/>
  <c r="L63" i="23"/>
  <c r="M63" i="23"/>
  <c r="K65" i="23"/>
  <c r="K72" i="23"/>
  <c r="K80" i="23"/>
  <c r="K88" i="23"/>
  <c r="L92" i="23"/>
  <c r="L96" i="23"/>
  <c r="N105" i="23"/>
  <c r="M107" i="23"/>
  <c r="N109" i="23"/>
  <c r="K110" i="23"/>
  <c r="M111" i="23"/>
  <c r="N113" i="23"/>
  <c r="M115" i="23"/>
  <c r="N117" i="23"/>
  <c r="K118" i="23"/>
  <c r="M119" i="23"/>
  <c r="N121" i="23"/>
  <c r="K122" i="23"/>
  <c r="M123" i="23"/>
  <c r="L147" i="23"/>
  <c r="N66" i="23"/>
  <c r="N74" i="23"/>
  <c r="N82" i="23"/>
  <c r="N126" i="23"/>
  <c r="J17" i="23"/>
  <c r="J25" i="23"/>
  <c r="N34" i="23"/>
  <c r="N37" i="23"/>
  <c r="K41" i="23"/>
  <c r="L44" i="23"/>
  <c r="K47" i="23"/>
  <c r="K58" i="23"/>
  <c r="N61" i="23"/>
  <c r="N65" i="23"/>
  <c r="K66" i="23"/>
  <c r="L68" i="23"/>
  <c r="L70" i="23"/>
  <c r="K73" i="23"/>
  <c r="K74" i="23"/>
  <c r="L76" i="23"/>
  <c r="L78" i="23"/>
  <c r="K81" i="23"/>
  <c r="K82" i="23"/>
  <c r="L84" i="23"/>
  <c r="L86" i="23"/>
  <c r="K89" i="23"/>
  <c r="K90" i="23"/>
  <c r="N92" i="23"/>
  <c r="N96" i="23"/>
  <c r="K107" i="23"/>
  <c r="K111" i="23"/>
  <c r="K115" i="23"/>
  <c r="M116" i="23"/>
  <c r="N118" i="23"/>
  <c r="K119" i="23"/>
  <c r="M120" i="23"/>
  <c r="N122" i="23"/>
  <c r="K123" i="23"/>
  <c r="J126" i="23"/>
  <c r="J39" i="23"/>
  <c r="N40" i="23"/>
  <c r="J47" i="23"/>
  <c r="J36" i="23"/>
  <c r="J40" i="23"/>
  <c r="K43" i="23"/>
  <c r="L43" i="23"/>
  <c r="J44" i="23"/>
  <c r="L47" i="23"/>
  <c r="K34" i="23"/>
  <c r="J37" i="23"/>
  <c r="J41" i="23"/>
  <c r="J45" i="23"/>
  <c r="K33" i="23"/>
  <c r="N33" i="23"/>
  <c r="N25" i="23"/>
  <c r="K10" i="23"/>
  <c r="N17" i="23"/>
  <c r="K9" i="23"/>
  <c r="N9" i="23"/>
  <c r="K18" i="23"/>
  <c r="J34" i="22"/>
  <c r="N34" i="22"/>
  <c r="K34" i="22"/>
  <c r="M26" i="22"/>
  <c r="N27" i="22"/>
  <c r="K28" i="22"/>
  <c r="O28" i="22"/>
  <c r="L29" i="22"/>
  <c r="M30" i="22"/>
  <c r="N31" i="22"/>
  <c r="K32" i="22"/>
  <c r="O32" i="22"/>
  <c r="L33" i="22"/>
  <c r="K26" i="22"/>
  <c r="K30" i="22"/>
  <c r="L26" i="22"/>
  <c r="L30" i="22"/>
  <c r="K62" i="22"/>
  <c r="K98" i="22"/>
  <c r="N98" i="22"/>
  <c r="L98" i="22"/>
  <c r="O98" i="22"/>
  <c r="M98" i="22"/>
  <c r="N62" i="22"/>
  <c r="L62" i="22"/>
  <c r="M62" i="22"/>
  <c r="N88" i="22"/>
  <c r="K21" i="22"/>
  <c r="N8" i="22"/>
  <c r="K57" i="22"/>
  <c r="N90" i="22"/>
  <c r="N16" i="22"/>
  <c r="L43" i="22"/>
  <c r="N44" i="22"/>
  <c r="L18" i="22"/>
  <c r="L59" i="22"/>
  <c r="K49" i="22"/>
  <c r="K54" i="22"/>
  <c r="K55" i="22"/>
  <c r="L85" i="22"/>
  <c r="N86" i="22"/>
  <c r="K9" i="22"/>
  <c r="N15" i="22"/>
  <c r="L42" i="22"/>
  <c r="K44" i="22"/>
  <c r="K46" i="22"/>
  <c r="K47" i="22"/>
  <c r="K52" i="22"/>
  <c r="K56" i="22"/>
  <c r="L58" i="22"/>
  <c r="N92" i="22"/>
  <c r="K93" i="22"/>
  <c r="L23" i="22"/>
  <c r="K45" i="22"/>
  <c r="N47" i="22"/>
  <c r="K51" i="22"/>
  <c r="L68" i="22"/>
  <c r="K79" i="22"/>
  <c r="K91" i="22"/>
  <c r="K101" i="22"/>
  <c r="K50" i="22"/>
  <c r="J55" i="22"/>
  <c r="K95" i="22"/>
  <c r="K100" i="22"/>
  <c r="K104" i="22"/>
  <c r="N12" i="22"/>
  <c r="N40" i="22"/>
  <c r="M47" i="22"/>
  <c r="L49" i="22"/>
  <c r="J51" i="22"/>
  <c r="L57" i="22"/>
  <c r="K15" i="22"/>
  <c r="K53" i="22"/>
  <c r="K61" i="22"/>
  <c r="L64" i="22"/>
  <c r="K84" i="22"/>
  <c r="K89" i="22"/>
  <c r="N20" i="22"/>
  <c r="K40" i="22"/>
  <c r="O40" i="22"/>
  <c r="N49" i="22"/>
  <c r="L54" i="22"/>
  <c r="L55" i="22"/>
  <c r="N57" i="22"/>
  <c r="K58" i="22"/>
  <c r="L63" i="22"/>
  <c r="N64" i="22"/>
  <c r="J93" i="22"/>
  <c r="K96" i="22"/>
  <c r="K97" i="22"/>
  <c r="K105" i="22"/>
  <c r="K106" i="22"/>
  <c r="L53" i="22"/>
  <c r="O53" i="22"/>
  <c r="K13" i="22"/>
  <c r="K16" i="22"/>
  <c r="L20" i="22"/>
  <c r="J20" i="22"/>
  <c r="O25" i="22"/>
  <c r="L25" i="22"/>
  <c r="L9" i="22"/>
  <c r="N60" i="22"/>
  <c r="M60" i="22"/>
  <c r="L4" i="22"/>
  <c r="K5" i="22"/>
  <c r="K6" i="22"/>
  <c r="L6" i="22"/>
  <c r="N11" i="22"/>
  <c r="K19" i="22"/>
  <c r="J19" i="22"/>
  <c r="N22" i="22"/>
  <c r="O41" i="22"/>
  <c r="L41" i="22"/>
  <c r="N55" i="22"/>
  <c r="N63" i="22"/>
  <c r="M63" i="22"/>
  <c r="M81" i="22"/>
  <c r="N81" i="22"/>
  <c r="K85" i="22"/>
  <c r="J85" i="22"/>
  <c r="K88" i="22"/>
  <c r="J88" i="22"/>
  <c r="K90" i="22"/>
  <c r="J90" i="22"/>
  <c r="K92" i="22"/>
  <c r="J92" i="22"/>
  <c r="N4" i="22"/>
  <c r="N6" i="22"/>
  <c r="J9" i="22"/>
  <c r="J15" i="22"/>
  <c r="N48" i="22"/>
  <c r="M48" i="22"/>
  <c r="K83" i="22"/>
  <c r="J83" i="22"/>
  <c r="N79" i="22"/>
  <c r="L84" i="22"/>
  <c r="N85" i="22"/>
  <c r="J89" i="22"/>
  <c r="J91" i="22"/>
  <c r="L93" i="22"/>
  <c r="K41" i="22"/>
  <c r="N46" i="22"/>
  <c r="N56" i="22"/>
  <c r="K59" i="22"/>
  <c r="N67" i="22"/>
  <c r="K69" i="22"/>
  <c r="N84" i="22"/>
  <c r="K87" i="22"/>
  <c r="L87" i="22"/>
  <c r="L89" i="22"/>
  <c r="L91" i="22"/>
  <c r="K102" i="22"/>
  <c r="K22" i="22"/>
  <c r="N23" i="22"/>
  <c r="N25" i="22"/>
  <c r="K42" i="22"/>
  <c r="K43" i="22"/>
  <c r="L46" i="22"/>
  <c r="L47" i="22"/>
  <c r="K48" i="22"/>
  <c r="L50" i="22"/>
  <c r="L51" i="22"/>
  <c r="N54" i="22"/>
  <c r="K60" i="22"/>
  <c r="K63" i="22"/>
  <c r="K64" i="22"/>
  <c r="K81" i="22"/>
  <c r="N83" i="22"/>
  <c r="K86" i="22"/>
  <c r="L86" i="22"/>
  <c r="K94" i="22"/>
  <c r="K99" i="22"/>
  <c r="K103" i="22"/>
  <c r="L76" i="22"/>
  <c r="L45" i="22"/>
  <c r="N50" i="22"/>
  <c r="N51" i="22"/>
  <c r="N53" i="22"/>
  <c r="L61" i="22"/>
  <c r="N41" i="22"/>
  <c r="N52" i="22"/>
  <c r="N42" i="22"/>
  <c r="N43" i="22"/>
  <c r="N45" i="22"/>
  <c r="N58" i="22"/>
  <c r="N59" i="22"/>
  <c r="N61" i="22"/>
  <c r="N18" i="22"/>
  <c r="L13" i="22"/>
  <c r="N7" i="22"/>
  <c r="L5" i="22"/>
  <c r="N5" i="22"/>
  <c r="L8" i="22"/>
  <c r="M11" i="23"/>
  <c r="N11" i="23"/>
  <c r="J14" i="23"/>
  <c r="L14" i="23"/>
  <c r="O16" i="23"/>
  <c r="N16" i="23"/>
  <c r="J22" i="23"/>
  <c r="L22" i="23"/>
  <c r="M35" i="23"/>
  <c r="N35" i="23"/>
  <c r="J38" i="23"/>
  <c r="L38" i="23"/>
  <c r="K7" i="23"/>
  <c r="K15" i="23"/>
  <c r="K23" i="23"/>
  <c r="K31" i="23"/>
  <c r="K39" i="23"/>
  <c r="J6" i="23"/>
  <c r="L6" i="23"/>
  <c r="M27" i="23"/>
  <c r="N27" i="23"/>
  <c r="J30" i="23"/>
  <c r="L30" i="23"/>
  <c r="N32" i="23"/>
  <c r="O32" i="23"/>
  <c r="O4" i="23"/>
  <c r="N4" i="23"/>
  <c r="N7" i="23"/>
  <c r="M7" i="23"/>
  <c r="L8" i="23"/>
  <c r="J10" i="23"/>
  <c r="L10" i="23"/>
  <c r="O12" i="23"/>
  <c r="N12" i="23"/>
  <c r="M15" i="23"/>
  <c r="N15" i="23"/>
  <c r="L16" i="23"/>
  <c r="J18" i="23"/>
  <c r="L18" i="23"/>
  <c r="N20" i="23"/>
  <c r="O20" i="23"/>
  <c r="M23" i="23"/>
  <c r="N23" i="23"/>
  <c r="L24" i="23"/>
  <c r="J26" i="23"/>
  <c r="L26" i="23"/>
  <c r="O28" i="23"/>
  <c r="N28" i="23"/>
  <c r="N31" i="23"/>
  <c r="M31" i="23"/>
  <c r="L32" i="23"/>
  <c r="J34" i="23"/>
  <c r="L34" i="23"/>
  <c r="O36" i="23"/>
  <c r="N36" i="23"/>
  <c r="N39" i="23"/>
  <c r="M39" i="23"/>
  <c r="N8" i="23"/>
  <c r="O8" i="23"/>
  <c r="N19" i="23"/>
  <c r="M19" i="23"/>
  <c r="O24" i="23"/>
  <c r="N24" i="23"/>
  <c r="K6" i="23"/>
  <c r="K11" i="23"/>
  <c r="K14" i="23"/>
  <c r="K19" i="23"/>
  <c r="K22" i="23"/>
  <c r="K27" i="23"/>
  <c r="K30" i="23"/>
  <c r="K35" i="23"/>
  <c r="K38" i="23"/>
  <c r="K5" i="23"/>
  <c r="K13" i="23"/>
  <c r="K17" i="23"/>
  <c r="K25" i="23"/>
  <c r="K29" i="23"/>
  <c r="K37" i="23"/>
  <c r="L42" i="23"/>
  <c r="N44" i="23"/>
  <c r="K45" i="23"/>
  <c r="M47" i="23"/>
  <c r="K59" i="23"/>
  <c r="L62" i="23"/>
  <c r="O62" i="23"/>
  <c r="L73" i="23"/>
  <c r="O73" i="23"/>
  <c r="K4" i="23"/>
  <c r="L5" i="23"/>
  <c r="M6" i="23"/>
  <c r="J7" i="23"/>
  <c r="K8" i="23"/>
  <c r="L9" i="23"/>
  <c r="M10" i="23"/>
  <c r="J11" i="23"/>
  <c r="K12" i="23"/>
  <c r="M14" i="23"/>
  <c r="J15" i="23"/>
  <c r="K16" i="23"/>
  <c r="M18" i="23"/>
  <c r="J19" i="23"/>
  <c r="K20" i="23"/>
  <c r="L21" i="23"/>
  <c r="M22" i="23"/>
  <c r="J23" i="23"/>
  <c r="K24" i="23"/>
  <c r="M26" i="23"/>
  <c r="J27" i="23"/>
  <c r="K28" i="23"/>
  <c r="M30" i="23"/>
  <c r="J31" i="23"/>
  <c r="K32" i="23"/>
  <c r="L33" i="23"/>
  <c r="M34" i="23"/>
  <c r="J35" i="23"/>
  <c r="K36" i="23"/>
  <c r="M38" i="23"/>
  <c r="K40" i="23"/>
  <c r="O40" i="23"/>
  <c r="L41" i="23"/>
  <c r="M42" i="23"/>
  <c r="N43" i="23"/>
  <c r="K44" i="23"/>
  <c r="M46" i="23"/>
  <c r="L48" i="23"/>
  <c r="K48" i="23"/>
  <c r="L57" i="23"/>
  <c r="N60" i="23"/>
  <c r="M60" i="23"/>
  <c r="K63" i="23"/>
  <c r="L64" i="23"/>
  <c r="L66" i="23"/>
  <c r="O66" i="23"/>
  <c r="J67" i="23"/>
  <c r="L67" i="23"/>
  <c r="N68" i="23"/>
  <c r="M68" i="23"/>
  <c r="J71" i="23"/>
  <c r="L71" i="23"/>
  <c r="N72" i="23"/>
  <c r="M72" i="23"/>
  <c r="J75" i="23"/>
  <c r="L75" i="23"/>
  <c r="N76" i="23"/>
  <c r="M76" i="23"/>
  <c r="J79" i="23"/>
  <c r="L79" i="23"/>
  <c r="N80" i="23"/>
  <c r="M80" i="23"/>
  <c r="J83" i="23"/>
  <c r="L83" i="23"/>
  <c r="N84" i="23"/>
  <c r="M84" i="23"/>
  <c r="J87" i="23"/>
  <c r="L87" i="23"/>
  <c r="N88" i="23"/>
  <c r="M88" i="23"/>
  <c r="L91" i="23"/>
  <c r="J91" i="23"/>
  <c r="O125" i="23"/>
  <c r="L125" i="23"/>
  <c r="K42" i="23"/>
  <c r="K46" i="23"/>
  <c r="N48" i="23"/>
  <c r="L46" i="23"/>
  <c r="N56" i="23"/>
  <c r="M56" i="23"/>
  <c r="L60" i="23"/>
  <c r="L69" i="23"/>
  <c r="O69" i="23"/>
  <c r="L77" i="23"/>
  <c r="O77" i="23"/>
  <c r="L81" i="23"/>
  <c r="O81" i="23"/>
  <c r="L85" i="23"/>
  <c r="O85" i="23"/>
  <c r="L89" i="23"/>
  <c r="O89" i="23"/>
  <c r="L95" i="23"/>
  <c r="J95" i="23"/>
  <c r="L54" i="23"/>
  <c r="O54" i="23"/>
  <c r="J55" i="23"/>
  <c r="K56" i="23"/>
  <c r="K57" i="23"/>
  <c r="L61" i="23"/>
  <c r="N64" i="23"/>
  <c r="M64" i="23"/>
  <c r="K55" i="23"/>
  <c r="L56" i="23"/>
  <c r="N57" i="23"/>
  <c r="L58" i="23"/>
  <c r="O58" i="23"/>
  <c r="J59" i="23"/>
  <c r="K60" i="23"/>
  <c r="K61" i="23"/>
  <c r="M61" i="23"/>
  <c r="N62" i="23"/>
  <c r="N69" i="23"/>
  <c r="N73" i="23"/>
  <c r="N77" i="23"/>
  <c r="N81" i="23"/>
  <c r="N85" i="23"/>
  <c r="N89" i="23"/>
  <c r="M94" i="23"/>
  <c r="K95" i="23"/>
  <c r="L138" i="23"/>
  <c r="O138" i="23"/>
  <c r="N138" i="23"/>
  <c r="J57" i="23"/>
  <c r="J61" i="23"/>
  <c r="J65" i="23"/>
  <c r="J69" i="23"/>
  <c r="O70" i="23"/>
  <c r="J73" i="23"/>
  <c r="O74" i="23"/>
  <c r="J77" i="23"/>
  <c r="O78" i="23"/>
  <c r="J81" i="23"/>
  <c r="O82" i="23"/>
  <c r="J85" i="23"/>
  <c r="O86" i="23"/>
  <c r="J89" i="23"/>
  <c r="O90" i="23"/>
  <c r="K93" i="23"/>
  <c r="K97" i="23"/>
  <c r="L105" i="23"/>
  <c r="O105" i="23"/>
  <c r="L107" i="23"/>
  <c r="O107" i="23"/>
  <c r="L109" i="23"/>
  <c r="O109" i="23"/>
  <c r="L111" i="23"/>
  <c r="O111" i="23"/>
  <c r="L113" i="23"/>
  <c r="O113" i="23"/>
  <c r="L115" i="23"/>
  <c r="O115" i="23"/>
  <c r="L117" i="23"/>
  <c r="O117" i="23"/>
  <c r="L119" i="23"/>
  <c r="O119" i="23"/>
  <c r="L121" i="23"/>
  <c r="O121" i="23"/>
  <c r="O123" i="23"/>
  <c r="L123" i="23"/>
  <c r="L142" i="23"/>
  <c r="O142" i="23"/>
  <c r="N142" i="23"/>
  <c r="J68" i="23"/>
  <c r="J72" i="23"/>
  <c r="J76" i="23"/>
  <c r="J80" i="23"/>
  <c r="J84" i="23"/>
  <c r="J88" i="23"/>
  <c r="L93" i="23"/>
  <c r="L97" i="23"/>
  <c r="K98" i="23"/>
  <c r="N104" i="23"/>
  <c r="N106" i="23"/>
  <c r="N108" i="23"/>
  <c r="N110" i="23"/>
  <c r="N112" i="23"/>
  <c r="N114" i="23"/>
  <c r="N125" i="23"/>
  <c r="L130" i="23"/>
  <c r="O130" i="23"/>
  <c r="N130" i="23"/>
  <c r="L146" i="23"/>
  <c r="O146" i="23"/>
  <c r="N146" i="23"/>
  <c r="N93" i="23"/>
  <c r="M93" i="23"/>
  <c r="K94" i="23"/>
  <c r="N97" i="23"/>
  <c r="M97" i="23"/>
  <c r="N98" i="23"/>
  <c r="L104" i="23"/>
  <c r="O104" i="23"/>
  <c r="L106" i="23"/>
  <c r="O106" i="23"/>
  <c r="L108" i="23"/>
  <c r="O108" i="23"/>
  <c r="L110" i="23"/>
  <c r="O110" i="23"/>
  <c r="L112" i="23"/>
  <c r="O112" i="23"/>
  <c r="L114" i="23"/>
  <c r="O114" i="23"/>
  <c r="L116" i="23"/>
  <c r="O116" i="23"/>
  <c r="L118" i="23"/>
  <c r="O118" i="23"/>
  <c r="L120" i="23"/>
  <c r="O120" i="23"/>
  <c r="L122" i="23"/>
  <c r="O122" i="23"/>
  <c r="O124" i="23"/>
  <c r="N124" i="23"/>
  <c r="L124" i="23"/>
  <c r="L134" i="23"/>
  <c r="O134" i="23"/>
  <c r="N134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K124" i="23"/>
  <c r="L127" i="23"/>
  <c r="O127" i="23"/>
  <c r="N127" i="23"/>
  <c r="L131" i="23"/>
  <c r="O131" i="23"/>
  <c r="N131" i="23"/>
  <c r="L135" i="23"/>
  <c r="O135" i="23"/>
  <c r="N135" i="23"/>
  <c r="L139" i="23"/>
  <c r="O139" i="23"/>
  <c r="N139" i="23"/>
  <c r="L143" i="23"/>
  <c r="O143" i="23"/>
  <c r="N143" i="23"/>
  <c r="N147" i="23"/>
  <c r="L128" i="23"/>
  <c r="O128" i="23"/>
  <c r="N128" i="23"/>
  <c r="L132" i="23"/>
  <c r="O132" i="23"/>
  <c r="N132" i="23"/>
  <c r="L136" i="23"/>
  <c r="O136" i="23"/>
  <c r="N136" i="23"/>
  <c r="L140" i="23"/>
  <c r="O140" i="23"/>
  <c r="N140" i="23"/>
  <c r="L144" i="23"/>
  <c r="O144" i="23"/>
  <c r="N144" i="23"/>
  <c r="N148" i="23"/>
  <c r="K125" i="23"/>
  <c r="L126" i="23"/>
  <c r="L129" i="23"/>
  <c r="O129" i="23"/>
  <c r="N129" i="23"/>
  <c r="L133" i="23"/>
  <c r="O133" i="23"/>
  <c r="N133" i="23"/>
  <c r="L137" i="23"/>
  <c r="O137" i="23"/>
  <c r="N137" i="23"/>
  <c r="L141" i="23"/>
  <c r="O141" i="23"/>
  <c r="N141" i="23"/>
  <c r="L145" i="23"/>
  <c r="O145" i="23"/>
  <c r="N145" i="23"/>
  <c r="L148" i="23"/>
  <c r="K147" i="23"/>
  <c r="K148" i="23"/>
  <c r="L10" i="22"/>
  <c r="L14" i="22"/>
  <c r="L17" i="22"/>
  <c r="L19" i="22"/>
  <c r="O19" i="22"/>
  <c r="J4" i="22"/>
  <c r="M6" i="22"/>
  <c r="K7" i="22"/>
  <c r="L7" i="22"/>
  <c r="J8" i="22"/>
  <c r="O8" i="22"/>
  <c r="N9" i="22"/>
  <c r="N10" i="22"/>
  <c r="M10" i="22"/>
  <c r="K11" i="22"/>
  <c r="L11" i="22"/>
  <c r="O12" i="22"/>
  <c r="N13" i="22"/>
  <c r="N14" i="22"/>
  <c r="M14" i="22"/>
  <c r="N17" i="22"/>
  <c r="M17" i="22"/>
  <c r="K20" i="22"/>
  <c r="L21" i="22"/>
  <c r="L22" i="22"/>
  <c r="O22" i="22"/>
  <c r="J23" i="22"/>
  <c r="K24" i="22"/>
  <c r="K25" i="22"/>
  <c r="M25" i="22"/>
  <c r="K4" i="22"/>
  <c r="M7" i="22"/>
  <c r="K8" i="22"/>
  <c r="L12" i="22"/>
  <c r="L15" i="22"/>
  <c r="O15" i="22"/>
  <c r="K23" i="22"/>
  <c r="L24" i="22"/>
  <c r="M11" i="22"/>
  <c r="K12" i="22"/>
  <c r="N21" i="22"/>
  <c r="M21" i="22"/>
  <c r="M5" i="22"/>
  <c r="K10" i="22"/>
  <c r="K14" i="22"/>
  <c r="L16" i="22"/>
  <c r="O16" i="22"/>
  <c r="K17" i="22"/>
  <c r="K18" i="22"/>
  <c r="M18" i="22"/>
  <c r="N19" i="22"/>
  <c r="N24" i="22"/>
  <c r="M24" i="22"/>
  <c r="L40" i="22"/>
  <c r="M41" i="22"/>
  <c r="J42" i="22"/>
  <c r="O43" i="22"/>
  <c r="L44" i="22"/>
  <c r="M45" i="22"/>
  <c r="J46" i="22"/>
  <c r="O47" i="22"/>
  <c r="L48" i="22"/>
  <c r="M49" i="22"/>
  <c r="J50" i="22"/>
  <c r="O51" i="22"/>
  <c r="L52" i="22"/>
  <c r="M53" i="22"/>
  <c r="J54" i="22"/>
  <c r="O55" i="22"/>
  <c r="L56" i="22"/>
  <c r="M57" i="22"/>
  <c r="J58" i="22"/>
  <c r="O59" i="22"/>
  <c r="L60" i="22"/>
  <c r="M61" i="22"/>
  <c r="J63" i="22"/>
  <c r="O64" i="22"/>
  <c r="N65" i="22"/>
  <c r="M65" i="22"/>
  <c r="K66" i="22"/>
  <c r="L66" i="22"/>
  <c r="O67" i="22"/>
  <c r="N68" i="22"/>
  <c r="N69" i="22"/>
  <c r="M69" i="22"/>
  <c r="K70" i="22"/>
  <c r="L70" i="22"/>
  <c r="J18" i="22"/>
  <c r="J25" i="22"/>
  <c r="J41" i="22"/>
  <c r="O42" i="22"/>
  <c r="J45" i="22"/>
  <c r="O46" i="22"/>
  <c r="J49" i="22"/>
  <c r="O50" i="22"/>
  <c r="J53" i="22"/>
  <c r="O54" i="22"/>
  <c r="J57" i="22"/>
  <c r="O58" i="22"/>
  <c r="J61" i="22"/>
  <c r="O63" i="22"/>
  <c r="L67" i="22"/>
  <c r="K67" i="22"/>
  <c r="J68" i="22"/>
  <c r="J40" i="22"/>
  <c r="J44" i="22"/>
  <c r="J48" i="22"/>
  <c r="J52" i="22"/>
  <c r="J56" i="22"/>
  <c r="J60" i="22"/>
  <c r="K65" i="22"/>
  <c r="N66" i="22"/>
  <c r="K68" i="22"/>
  <c r="N70" i="22"/>
  <c r="L65" i="22"/>
  <c r="L69" i="22"/>
  <c r="N76" i="22"/>
  <c r="L77" i="22"/>
  <c r="K78" i="22"/>
  <c r="L79" i="22"/>
  <c r="K80" i="22"/>
  <c r="N80" i="22"/>
  <c r="L83" i="22"/>
  <c r="O94" i="22"/>
  <c r="L94" i="22"/>
  <c r="O96" i="22"/>
  <c r="L96" i="22"/>
  <c r="O99" i="22"/>
  <c r="L99" i="22"/>
  <c r="O101" i="22"/>
  <c r="L101" i="22"/>
  <c r="O103" i="22"/>
  <c r="L103" i="22"/>
  <c r="O105" i="22"/>
  <c r="L105" i="22"/>
  <c r="N77" i="22"/>
  <c r="L78" i="22"/>
  <c r="L82" i="22"/>
  <c r="O88" i="22"/>
  <c r="L88" i="22"/>
  <c r="K76" i="22"/>
  <c r="N78" i="22"/>
  <c r="L81" i="22"/>
  <c r="K82" i="22"/>
  <c r="N82" i="22"/>
  <c r="O90" i="22"/>
  <c r="L90" i="22"/>
  <c r="O95" i="22"/>
  <c r="L95" i="22"/>
  <c r="O97" i="22"/>
  <c r="L97" i="22"/>
  <c r="O100" i="22"/>
  <c r="L100" i="22"/>
  <c r="O102" i="22"/>
  <c r="L102" i="22"/>
  <c r="O104" i="22"/>
  <c r="L104" i="22"/>
  <c r="O106" i="22"/>
  <c r="L106" i="22"/>
  <c r="K77" i="22"/>
  <c r="L80" i="22"/>
  <c r="O92" i="22"/>
  <c r="L92" i="22"/>
  <c r="N87" i="22"/>
  <c r="N89" i="22"/>
  <c r="N91" i="22"/>
  <c r="N93" i="22"/>
  <c r="N94" i="22"/>
  <c r="N95" i="22"/>
  <c r="N96" i="22"/>
  <c r="N97" i="22"/>
  <c r="N99" i="22"/>
  <c r="N100" i="22"/>
  <c r="N101" i="22"/>
  <c r="N102" i="22"/>
  <c r="N103" i="22"/>
  <c r="N104" i="22"/>
  <c r="N105" i="22"/>
  <c r="N106" i="22"/>
  <c r="J94" i="22"/>
  <c r="J95" i="22"/>
  <c r="J96" i="22"/>
  <c r="J97" i="22"/>
  <c r="J99" i="22"/>
  <c r="J100" i="22"/>
  <c r="J101" i="22"/>
  <c r="J102" i="22"/>
  <c r="J103" i="22"/>
  <c r="J104" i="22"/>
  <c r="J105" i="22"/>
  <c r="J106" i="22"/>
  <c r="E6" i="20"/>
  <c r="C10" i="20" s="1"/>
  <c r="G102" i="23" l="1" a="1"/>
  <c r="K102" i="23" s="1"/>
  <c r="F61" i="19" s="1"/>
  <c r="G2" i="23" a="1"/>
  <c r="H2" i="23" s="1"/>
  <c r="C13" i="19" s="1"/>
  <c r="G74" i="22" a="1"/>
  <c r="H74" i="22" s="1"/>
  <c r="C60" i="19" s="1"/>
  <c r="G38" i="22" a="1"/>
  <c r="M38" i="22" s="1"/>
  <c r="H36" i="19" s="1"/>
  <c r="G52" i="23" a="1"/>
  <c r="G2" i="22" a="1"/>
  <c r="C40" i="20"/>
  <c r="C36" i="20"/>
  <c r="C32" i="20"/>
  <c r="C28" i="20"/>
  <c r="C24" i="20"/>
  <c r="C20" i="20"/>
  <c r="C16" i="20"/>
  <c r="C12" i="20"/>
  <c r="C41" i="20"/>
  <c r="C33" i="20"/>
  <c r="C25" i="20"/>
  <c r="C17" i="20"/>
  <c r="C44" i="20"/>
  <c r="C9" i="20"/>
  <c r="C43" i="20"/>
  <c r="C39" i="20"/>
  <c r="C35" i="20"/>
  <c r="C31" i="20"/>
  <c r="C27" i="20"/>
  <c r="C23" i="20"/>
  <c r="C19" i="20"/>
  <c r="C15" i="20"/>
  <c r="C11" i="20"/>
  <c r="C45" i="20"/>
  <c r="C37" i="20"/>
  <c r="C29" i="20"/>
  <c r="C21" i="20"/>
  <c r="C13" i="20"/>
  <c r="C46" i="20"/>
  <c r="C42" i="20"/>
  <c r="C38" i="20"/>
  <c r="C34" i="20"/>
  <c r="C30" i="20"/>
  <c r="C26" i="20"/>
  <c r="C22" i="20"/>
  <c r="C18" i="20"/>
  <c r="C14" i="20"/>
  <c r="L102" i="23" l="1"/>
  <c r="G61" i="19" s="1"/>
  <c r="O102" i="23"/>
  <c r="J61" i="19" s="1"/>
  <c r="J102" i="23"/>
  <c r="E61" i="19" s="1"/>
  <c r="I102" i="23"/>
  <c r="G102" i="23"/>
  <c r="B61" i="19" s="1"/>
  <c r="P102" i="23"/>
  <c r="K61" i="19" s="1"/>
  <c r="N102" i="23"/>
  <c r="H102" i="23"/>
  <c r="M102" i="23"/>
  <c r="H61" i="19" s="1"/>
  <c r="G2" i="23"/>
  <c r="B13" i="19" s="1"/>
  <c r="P2" i="23"/>
  <c r="K13" i="19" s="1"/>
  <c r="J2" i="23"/>
  <c r="E13" i="19" s="1"/>
  <c r="K2" i="23"/>
  <c r="F13" i="19" s="1"/>
  <c r="I2" i="23"/>
  <c r="D13" i="19" s="1"/>
  <c r="N2" i="23"/>
  <c r="I13" i="19" s="1"/>
  <c r="O2" i="23"/>
  <c r="J13" i="19" s="1"/>
  <c r="M2" i="23"/>
  <c r="H13" i="19" s="1"/>
  <c r="L2" i="23"/>
  <c r="G13" i="19" s="1"/>
  <c r="I74" i="22"/>
  <c r="D60" i="19" s="1"/>
  <c r="L74" i="22"/>
  <c r="G60" i="19" s="1"/>
  <c r="N74" i="22"/>
  <c r="I60" i="19" s="1"/>
  <c r="G74" i="22"/>
  <c r="B60" i="19" s="1"/>
  <c r="J74" i="22"/>
  <c r="E60" i="19" s="1"/>
  <c r="M74" i="22"/>
  <c r="H60" i="19" s="1"/>
  <c r="K74" i="22"/>
  <c r="F60" i="19" s="1"/>
  <c r="P74" i="22"/>
  <c r="O74" i="22"/>
  <c r="J60" i="19" s="1"/>
  <c r="K38" i="22"/>
  <c r="F36" i="19" s="1"/>
  <c r="P38" i="22"/>
  <c r="K36" i="19" s="1"/>
  <c r="J38" i="22"/>
  <c r="E36" i="19" s="1"/>
  <c r="O38" i="22"/>
  <c r="J36" i="19" s="1"/>
  <c r="I38" i="22"/>
  <c r="D36" i="19" s="1"/>
  <c r="G38" i="22"/>
  <c r="B36" i="19" s="1"/>
  <c r="L38" i="22"/>
  <c r="G36" i="19" s="1"/>
  <c r="N38" i="22"/>
  <c r="I36" i="19" s="1"/>
  <c r="H38" i="22"/>
  <c r="C36" i="19" s="1"/>
  <c r="M52" i="23"/>
  <c r="H37" i="19" s="1"/>
  <c r="I52" i="23"/>
  <c r="D37" i="19" s="1"/>
  <c r="P52" i="23"/>
  <c r="K37" i="19" s="1"/>
  <c r="K52" i="23"/>
  <c r="F37" i="19" s="1"/>
  <c r="O52" i="23"/>
  <c r="J37" i="19" s="1"/>
  <c r="J52" i="23"/>
  <c r="E37" i="19" s="1"/>
  <c r="L52" i="23"/>
  <c r="G37" i="19" s="1"/>
  <c r="N52" i="23"/>
  <c r="I37" i="19" s="1"/>
  <c r="H52" i="23"/>
  <c r="C37" i="19" s="1"/>
  <c r="G52" i="23"/>
  <c r="B37" i="19" s="1"/>
  <c r="J2" i="22"/>
  <c r="E12" i="19" s="1"/>
  <c r="M2" i="22"/>
  <c r="H12" i="19" s="1"/>
  <c r="I2" i="22"/>
  <c r="D12" i="19" s="1"/>
  <c r="P2" i="22"/>
  <c r="L2" i="22"/>
  <c r="G12" i="19" s="1"/>
  <c r="H2" i="22"/>
  <c r="C12" i="19" s="1"/>
  <c r="O2" i="22"/>
  <c r="J12" i="19" s="1"/>
  <c r="K2" i="22"/>
  <c r="F12" i="19" s="1"/>
  <c r="G2" i="22"/>
  <c r="B12" i="19" s="1"/>
  <c r="N2" i="22"/>
  <c r="I12" i="19" s="1"/>
  <c r="C5" i="20"/>
  <c r="Q125" i="23" l="1"/>
  <c r="R125" i="23" s="1"/>
  <c r="C61" i="19"/>
  <c r="Q115" i="23"/>
  <c r="R115" i="23" s="1"/>
  <c r="I61" i="19"/>
  <c r="Q126" i="23"/>
  <c r="R126" i="23" s="1"/>
  <c r="D61" i="19"/>
  <c r="N2" i="20"/>
  <c r="A6" i="21" s="1"/>
  <c r="N1" i="20"/>
  <c r="AV5" i="20" s="1"/>
  <c r="AU8" i="20"/>
  <c r="AQ8" i="20"/>
  <c r="AM8" i="20"/>
  <c r="AH8" i="20"/>
  <c r="AD8" i="20"/>
  <c r="Y8" i="20"/>
  <c r="U8" i="20"/>
  <c r="Q8" i="20"/>
  <c r="AI8" i="20"/>
  <c r="AT8" i="20"/>
  <c r="AP8" i="20"/>
  <c r="AL8" i="20"/>
  <c r="AG8" i="20"/>
  <c r="AC8" i="20"/>
  <c r="X8" i="20"/>
  <c r="T8" i="20"/>
  <c r="P8" i="20"/>
  <c r="AN8" i="20"/>
  <c r="AA8" i="20"/>
  <c r="R8" i="20"/>
  <c r="R3" i="20"/>
  <c r="AS8" i="20"/>
  <c r="AO8" i="20"/>
  <c r="AJ8" i="20"/>
  <c r="AF8" i="20"/>
  <c r="AB8" i="20"/>
  <c r="W8" i="20"/>
  <c r="S8" i="20"/>
  <c r="R4" i="20"/>
  <c r="AR8" i="20"/>
  <c r="AE8" i="20"/>
  <c r="V8" i="20"/>
  <c r="Q146" i="23"/>
  <c r="R146" i="23" s="1"/>
  <c r="Q134" i="23"/>
  <c r="R134" i="23" s="1"/>
  <c r="Q138" i="23"/>
  <c r="R138" i="23" s="1"/>
  <c r="Q145" i="23"/>
  <c r="R145" i="23" s="1"/>
  <c r="Q105" i="23"/>
  <c r="R105" i="23" s="1"/>
  <c r="Q142" i="23"/>
  <c r="R142" i="23" s="1"/>
  <c r="Q119" i="23"/>
  <c r="R119" i="23" s="1"/>
  <c r="Q107" i="23"/>
  <c r="R107" i="23" s="1"/>
  <c r="Q124" i="23"/>
  <c r="R124" i="23" s="1"/>
  <c r="Q111" i="23"/>
  <c r="R111" i="23" s="1"/>
  <c r="Q130" i="23"/>
  <c r="R130" i="23" s="1"/>
  <c r="Q104" i="23"/>
  <c r="R104" i="23" s="1"/>
  <c r="Q108" i="23"/>
  <c r="R108" i="23" s="1"/>
  <c r="Q112" i="23"/>
  <c r="R112" i="23" s="1"/>
  <c r="Q116" i="23"/>
  <c r="R116" i="23" s="1"/>
  <c r="Q120" i="23"/>
  <c r="R120" i="23" s="1"/>
  <c r="Q127" i="23"/>
  <c r="R127" i="23" s="1"/>
  <c r="Q131" i="23"/>
  <c r="R131" i="23" s="1"/>
  <c r="Q135" i="23"/>
  <c r="R135" i="23" s="1"/>
  <c r="Q139" i="23"/>
  <c r="R139" i="23" s="1"/>
  <c r="Q143" i="23"/>
  <c r="R143" i="23" s="1"/>
  <c r="Q147" i="23"/>
  <c r="R147" i="23" s="1"/>
  <c r="Q109" i="23"/>
  <c r="R109" i="23" s="1"/>
  <c r="Q117" i="23"/>
  <c r="R117" i="23" s="1"/>
  <c r="Q121" i="23"/>
  <c r="R121" i="23" s="1"/>
  <c r="Q128" i="23"/>
  <c r="R128" i="23" s="1"/>
  <c r="Q132" i="23"/>
  <c r="R132" i="23" s="1"/>
  <c r="Q136" i="23"/>
  <c r="R136" i="23" s="1"/>
  <c r="Q140" i="23"/>
  <c r="R140" i="23" s="1"/>
  <c r="Q144" i="23"/>
  <c r="R144" i="23" s="1"/>
  <c r="Q148" i="23"/>
  <c r="R148" i="23" s="1"/>
  <c r="Q48" i="23"/>
  <c r="R48" i="23" s="1"/>
  <c r="Q113" i="23"/>
  <c r="R113" i="23" s="1"/>
  <c r="Q123" i="23"/>
  <c r="R123" i="23" s="1"/>
  <c r="Q106" i="23"/>
  <c r="R106" i="23" s="1"/>
  <c r="Q110" i="23"/>
  <c r="R110" i="23" s="1"/>
  <c r="Q114" i="23"/>
  <c r="R114" i="23" s="1"/>
  <c r="Q118" i="23"/>
  <c r="R118" i="23" s="1"/>
  <c r="Q122" i="23"/>
  <c r="R122" i="23" s="1"/>
  <c r="Q129" i="23"/>
  <c r="R129" i="23" s="1"/>
  <c r="Q133" i="23"/>
  <c r="R133" i="23" s="1"/>
  <c r="Q137" i="23"/>
  <c r="R137" i="23" s="1"/>
  <c r="Q141" i="23"/>
  <c r="R141" i="23" s="1"/>
  <c r="Q35" i="23"/>
  <c r="R35" i="23" s="1"/>
  <c r="Q29" i="23"/>
  <c r="R29" i="23" s="1"/>
  <c r="Q24" i="23"/>
  <c r="R24" i="23" s="1"/>
  <c r="Q40" i="23"/>
  <c r="R40" i="23" s="1"/>
  <c r="Q20" i="23"/>
  <c r="R20" i="23" s="1"/>
  <c r="Q26" i="23"/>
  <c r="R26" i="23" s="1"/>
  <c r="Q45" i="23"/>
  <c r="R45" i="23" s="1"/>
  <c r="Q38" i="23"/>
  <c r="R38" i="23" s="1"/>
  <c r="Q31" i="23"/>
  <c r="R31" i="23" s="1"/>
  <c r="Q13" i="23"/>
  <c r="R13" i="23" s="1"/>
  <c r="Q8" i="23"/>
  <c r="R8" i="23" s="1"/>
  <c r="Q7" i="23"/>
  <c r="R7" i="23" s="1"/>
  <c r="Q39" i="23"/>
  <c r="R39" i="23" s="1"/>
  <c r="Q46" i="23"/>
  <c r="R46" i="23" s="1"/>
  <c r="Q33" i="23"/>
  <c r="R33" i="23" s="1"/>
  <c r="Q34" i="23"/>
  <c r="R34" i="23" s="1"/>
  <c r="Q28" i="23"/>
  <c r="R28" i="23" s="1"/>
  <c r="Q44" i="23"/>
  <c r="R44" i="23" s="1"/>
  <c r="Q15" i="23"/>
  <c r="R15" i="23" s="1"/>
  <c r="Q43" i="23"/>
  <c r="R43" i="23" s="1"/>
  <c r="Q18" i="23"/>
  <c r="R18" i="23" s="1"/>
  <c r="Q5" i="23"/>
  <c r="R5" i="23" s="1"/>
  <c r="Q21" i="23"/>
  <c r="R21" i="23" s="1"/>
  <c r="Q37" i="23"/>
  <c r="R37" i="23" s="1"/>
  <c r="Q14" i="23"/>
  <c r="R14" i="23" s="1"/>
  <c r="Q42" i="23"/>
  <c r="R42" i="23" s="1"/>
  <c r="Q16" i="23"/>
  <c r="R16" i="23" s="1"/>
  <c r="Q32" i="23"/>
  <c r="R32" i="23" s="1"/>
  <c r="Q11" i="23"/>
  <c r="R11" i="23" s="1"/>
  <c r="Q6" i="23"/>
  <c r="R6" i="23" s="1"/>
  <c r="Q17" i="23"/>
  <c r="R17" i="23" s="1"/>
  <c r="Q10" i="23"/>
  <c r="R10" i="23" s="1"/>
  <c r="Q12" i="23"/>
  <c r="R12" i="23" s="1"/>
  <c r="Q19" i="23"/>
  <c r="R19" i="23" s="1"/>
  <c r="Q23" i="23"/>
  <c r="R23" i="23" s="1"/>
  <c r="Q27" i="23"/>
  <c r="R27" i="23" s="1"/>
  <c r="Q47" i="23"/>
  <c r="R47" i="23" s="1"/>
  <c r="Q30" i="23"/>
  <c r="R30" i="23" s="1"/>
  <c r="Q9" i="23"/>
  <c r="R9" i="23" s="1"/>
  <c r="Q25" i="23"/>
  <c r="R25" i="23" s="1"/>
  <c r="Q41" i="23"/>
  <c r="R41" i="23" s="1"/>
  <c r="Q22" i="23"/>
  <c r="R22" i="23" s="1"/>
  <c r="Q4" i="23"/>
  <c r="R4" i="23" s="1"/>
  <c r="Q36" i="23"/>
  <c r="R36" i="23" s="1"/>
  <c r="Q34" i="22"/>
  <c r="R34" i="22" s="1"/>
  <c r="K12" i="19"/>
  <c r="Q32" i="22"/>
  <c r="R32" i="22" s="1"/>
  <c r="Q28" i="22"/>
  <c r="R28" i="22" s="1"/>
  <c r="Q30" i="22"/>
  <c r="R30" i="22" s="1"/>
  <c r="Q26" i="22"/>
  <c r="R26" i="22" s="1"/>
  <c r="Q31" i="22"/>
  <c r="R31" i="22" s="1"/>
  <c r="Q27" i="22"/>
  <c r="R27" i="22" s="1"/>
  <c r="Q33" i="22"/>
  <c r="R33" i="22" s="1"/>
  <c r="Q29" i="22"/>
  <c r="R29" i="22" s="1"/>
  <c r="K60" i="19"/>
  <c r="Q98" i="22"/>
  <c r="R98" i="22" s="1"/>
  <c r="Q104" i="22"/>
  <c r="R104" i="22" s="1"/>
  <c r="Q86" i="22"/>
  <c r="R86" i="22" s="1"/>
  <c r="Q62" i="22"/>
  <c r="R62" i="22" s="1"/>
  <c r="Q101" i="22"/>
  <c r="R101" i="22" s="1"/>
  <c r="Q83" i="22"/>
  <c r="R83" i="22" s="1"/>
  <c r="Q105" i="22"/>
  <c r="R105" i="22" s="1"/>
  <c r="Q81" i="22"/>
  <c r="R81" i="22" s="1"/>
  <c r="Q91" i="22"/>
  <c r="R91" i="22" s="1"/>
  <c r="Q77" i="22"/>
  <c r="R77" i="22" s="1"/>
  <c r="Q96" i="22"/>
  <c r="R96" i="22" s="1"/>
  <c r="Q80" i="22"/>
  <c r="R80" i="22" s="1"/>
  <c r="Q88" i="22"/>
  <c r="R88" i="22" s="1"/>
  <c r="Q85" i="22"/>
  <c r="R85" i="22" s="1"/>
  <c r="Q93" i="22"/>
  <c r="R93" i="22" s="1"/>
  <c r="Q97" i="22"/>
  <c r="R97" i="22" s="1"/>
  <c r="Q102" i="22"/>
  <c r="R102" i="22" s="1"/>
  <c r="Q106" i="22"/>
  <c r="R106" i="22" s="1"/>
  <c r="Q76" i="22"/>
  <c r="R76" i="22" s="1"/>
  <c r="Q87" i="22"/>
  <c r="R87" i="22" s="1"/>
  <c r="Q99" i="22"/>
  <c r="R99" i="22" s="1"/>
  <c r="Q103" i="22"/>
  <c r="R103" i="22" s="1"/>
  <c r="Q78" i="22"/>
  <c r="R78" i="22" s="1"/>
  <c r="Q82" i="22"/>
  <c r="R82" i="22" s="1"/>
  <c r="Q90" i="22"/>
  <c r="R90" i="22" s="1"/>
  <c r="Q94" i="22"/>
  <c r="R94" i="22" s="1"/>
  <c r="Q79" i="22"/>
  <c r="R79" i="22" s="1"/>
  <c r="Q84" i="22"/>
  <c r="R84" i="22" s="1"/>
  <c r="Q92" i="22"/>
  <c r="R92" i="22" s="1"/>
  <c r="Q89" i="22"/>
  <c r="R89" i="22" s="1"/>
  <c r="Q95" i="22"/>
  <c r="R95" i="22" s="1"/>
  <c r="Q100" i="22"/>
  <c r="R100" i="22" s="1"/>
  <c r="Q40" i="22"/>
  <c r="R40" i="22" s="1"/>
  <c r="Q53" i="22"/>
  <c r="R53" i="22" s="1"/>
  <c r="Q54" i="22"/>
  <c r="R54" i="22" s="1"/>
  <c r="Q56" i="22"/>
  <c r="R56" i="22" s="1"/>
  <c r="Q68" i="22"/>
  <c r="R68" i="22" s="1"/>
  <c r="Q70" i="22"/>
  <c r="R70" i="22" s="1"/>
  <c r="Q51" i="22"/>
  <c r="R51" i="22" s="1"/>
  <c r="Q44" i="22"/>
  <c r="R44" i="22" s="1"/>
  <c r="Q60" i="22"/>
  <c r="R60" i="22" s="1"/>
  <c r="Q55" i="22"/>
  <c r="R55" i="22" s="1"/>
  <c r="Q42" i="22"/>
  <c r="R42" i="22" s="1"/>
  <c r="Q58" i="22"/>
  <c r="R58" i="22" s="1"/>
  <c r="Q69" i="22"/>
  <c r="R69" i="22" s="1"/>
  <c r="Q41" i="22"/>
  <c r="R41" i="22" s="1"/>
  <c r="Q57" i="22"/>
  <c r="R57" i="22" s="1"/>
  <c r="Q67" i="22"/>
  <c r="R67" i="22" s="1"/>
  <c r="Q48" i="22"/>
  <c r="R48" i="22" s="1"/>
  <c r="Q43" i="22"/>
  <c r="R43" i="22" s="1"/>
  <c r="Q59" i="22"/>
  <c r="R59" i="22" s="1"/>
  <c r="Q46" i="22"/>
  <c r="R46" i="22" s="1"/>
  <c r="Q63" i="22"/>
  <c r="R63" i="22" s="1"/>
  <c r="Q45" i="22"/>
  <c r="R45" i="22" s="1"/>
  <c r="Q61" i="22"/>
  <c r="R61" i="22" s="1"/>
  <c r="Q52" i="22"/>
  <c r="R52" i="22" s="1"/>
  <c r="Q47" i="22"/>
  <c r="R47" i="22" s="1"/>
  <c r="Q64" i="22"/>
  <c r="R64" i="22" s="1"/>
  <c r="Q50" i="22"/>
  <c r="R50" i="22" s="1"/>
  <c r="Q65" i="22"/>
  <c r="R65" i="22" s="1"/>
  <c r="Q49" i="22"/>
  <c r="R49" i="22" s="1"/>
  <c r="Q66" i="22"/>
  <c r="R66" i="22" s="1"/>
  <c r="Q97" i="23"/>
  <c r="R97" i="23" s="1"/>
  <c r="Q95" i="23"/>
  <c r="R95" i="23" s="1"/>
  <c r="Q91" i="23"/>
  <c r="R91" i="23" s="1"/>
  <c r="Q89" i="23"/>
  <c r="R89" i="23" s="1"/>
  <c r="Q85" i="23"/>
  <c r="R85" i="23" s="1"/>
  <c r="Q81" i="23"/>
  <c r="R81" i="23" s="1"/>
  <c r="Q77" i="23"/>
  <c r="R77" i="23" s="1"/>
  <c r="Q73" i="23"/>
  <c r="R73" i="23" s="1"/>
  <c r="Q69" i="23"/>
  <c r="R69" i="23" s="1"/>
  <c r="Q94" i="23"/>
  <c r="R94" i="23" s="1"/>
  <c r="Q90" i="23"/>
  <c r="R90" i="23" s="1"/>
  <c r="Q86" i="23"/>
  <c r="R86" i="23" s="1"/>
  <c r="Q82" i="23"/>
  <c r="R82" i="23" s="1"/>
  <c r="Q78" i="23"/>
  <c r="R78" i="23" s="1"/>
  <c r="Q74" i="23"/>
  <c r="R74" i="23" s="1"/>
  <c r="Q70" i="23"/>
  <c r="R70" i="23" s="1"/>
  <c r="Q66" i="23"/>
  <c r="R66" i="23" s="1"/>
  <c r="Q62" i="23"/>
  <c r="R62" i="23" s="1"/>
  <c r="Q58" i="23"/>
  <c r="R58" i="23" s="1"/>
  <c r="Q54" i="23"/>
  <c r="R54" i="23" s="1"/>
  <c r="Q96" i="23"/>
  <c r="R96" i="23" s="1"/>
  <c r="Q93" i="23"/>
  <c r="R93" i="23" s="1"/>
  <c r="Q92" i="23"/>
  <c r="R92" i="23" s="1"/>
  <c r="Q87" i="23"/>
  <c r="R87" i="23" s="1"/>
  <c r="Q83" i="23"/>
  <c r="R83" i="23" s="1"/>
  <c r="Q79" i="23"/>
  <c r="R79" i="23" s="1"/>
  <c r="Q75" i="23"/>
  <c r="R75" i="23" s="1"/>
  <c r="Q71" i="23"/>
  <c r="R71" i="23" s="1"/>
  <c r="Q67" i="23"/>
  <c r="R67" i="23" s="1"/>
  <c r="Q63" i="23"/>
  <c r="R63" i="23" s="1"/>
  <c r="Q59" i="23"/>
  <c r="R59" i="23" s="1"/>
  <c r="Q55" i="23"/>
  <c r="R55" i="23" s="1"/>
  <c r="Q98" i="23"/>
  <c r="R98" i="23" s="1"/>
  <c r="Q64" i="23"/>
  <c r="R64" i="23" s="1"/>
  <c r="Q57" i="23"/>
  <c r="R57" i="23" s="1"/>
  <c r="Q60" i="23"/>
  <c r="R60" i="23" s="1"/>
  <c r="Q61" i="23"/>
  <c r="R61" i="23" s="1"/>
  <c r="Q88" i="23"/>
  <c r="R88" i="23" s="1"/>
  <c r="Q84" i="23"/>
  <c r="R84" i="23" s="1"/>
  <c r="Q80" i="23"/>
  <c r="R80" i="23" s="1"/>
  <c r="Q76" i="23"/>
  <c r="R76" i="23" s="1"/>
  <c r="Q72" i="23"/>
  <c r="R72" i="23" s="1"/>
  <c r="Q68" i="23"/>
  <c r="R68" i="23" s="1"/>
  <c r="Q65" i="23"/>
  <c r="R65" i="23" s="1"/>
  <c r="Q56" i="23"/>
  <c r="R56" i="23" s="1"/>
  <c r="Q22" i="22"/>
  <c r="R22" i="22" s="1"/>
  <c r="Q19" i="22"/>
  <c r="R19" i="22" s="1"/>
  <c r="Q16" i="22"/>
  <c r="R16" i="22" s="1"/>
  <c r="Q15" i="22"/>
  <c r="R15" i="22" s="1"/>
  <c r="Q23" i="22"/>
  <c r="R23" i="22" s="1"/>
  <c r="Q20" i="22"/>
  <c r="R20" i="22" s="1"/>
  <c r="Q12" i="22"/>
  <c r="R12" i="22" s="1"/>
  <c r="Q8" i="22"/>
  <c r="R8" i="22" s="1"/>
  <c r="Q7" i="22"/>
  <c r="R7" i="22" s="1"/>
  <c r="Q21" i="22"/>
  <c r="R21" i="22" s="1"/>
  <c r="Q13" i="22"/>
  <c r="R13" i="22" s="1"/>
  <c r="Q10" i="22"/>
  <c r="R10" i="22" s="1"/>
  <c r="Q9" i="22"/>
  <c r="R9" i="22" s="1"/>
  <c r="Q6" i="22"/>
  <c r="R6" i="22" s="1"/>
  <c r="Q4" i="22"/>
  <c r="R4" i="22" s="1"/>
  <c r="Q14" i="22"/>
  <c r="R14" i="22" s="1"/>
  <c r="Q25" i="22"/>
  <c r="R25" i="22" s="1"/>
  <c r="Q17" i="22"/>
  <c r="R17" i="22" s="1"/>
  <c r="Q5" i="22"/>
  <c r="R5" i="22" s="1"/>
  <c r="Q24" i="22"/>
  <c r="R24" i="22" s="1"/>
  <c r="Q18" i="22"/>
  <c r="R18" i="22" s="1"/>
  <c r="Q11" i="22"/>
  <c r="R11" i="22" s="1"/>
  <c r="C39" i="18"/>
  <c r="C40" i="18"/>
  <c r="C41" i="18"/>
  <c r="C42" i="18"/>
  <c r="C43" i="18"/>
  <c r="C44" i="18"/>
  <c r="C45" i="18"/>
  <c r="C46" i="18"/>
  <c r="C47" i="18"/>
  <c r="C48" i="18"/>
  <c r="C49" i="18"/>
  <c r="C38" i="18"/>
  <c r="C41" i="17"/>
  <c r="C42" i="17"/>
  <c r="C43" i="17"/>
  <c r="C44" i="17"/>
  <c r="C45" i="17"/>
  <c r="C46" i="17"/>
  <c r="C47" i="17"/>
  <c r="C48" i="17"/>
  <c r="C49" i="17"/>
  <c r="C50" i="17"/>
  <c r="C51" i="17"/>
  <c r="C52" i="17"/>
  <c r="C40" i="17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50" i="14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50" i="16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50" i="15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92" i="12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80" i="13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15" i="8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88" i="11"/>
  <c r="P11" i="20" l="1"/>
  <c r="AA11" i="20" s="1"/>
  <c r="AD11" i="20" s="1"/>
  <c r="P27" i="20"/>
  <c r="AL27" i="20" s="1"/>
  <c r="AO27" i="20" s="1"/>
  <c r="P43" i="20"/>
  <c r="AL43" i="20" s="1"/>
  <c r="AO43" i="20" s="1"/>
  <c r="P29" i="20"/>
  <c r="AL29" i="20" s="1"/>
  <c r="AO29" i="20" s="1"/>
  <c r="P18" i="20"/>
  <c r="AA18" i="20" s="1"/>
  <c r="AD18" i="20" s="1"/>
  <c r="P38" i="20"/>
  <c r="AA38" i="20" s="1"/>
  <c r="AD38" i="20" s="1"/>
  <c r="P20" i="20"/>
  <c r="AA20" i="20" s="1"/>
  <c r="AD20" i="20" s="1"/>
  <c r="P36" i="20"/>
  <c r="AA36" i="20" s="1"/>
  <c r="AD36" i="20" s="1"/>
  <c r="P17" i="20"/>
  <c r="AL17" i="20" s="1"/>
  <c r="AO17" i="20" s="1"/>
  <c r="P30" i="20"/>
  <c r="AA30" i="20" s="1"/>
  <c r="AD30" i="20" s="1"/>
  <c r="P21" i="20"/>
  <c r="AA21" i="20" s="1"/>
  <c r="P14" i="20"/>
  <c r="AL14" i="20" s="1"/>
  <c r="AO14" i="20" s="1"/>
  <c r="P16" i="20"/>
  <c r="AA16" i="20" s="1"/>
  <c r="AD16" i="20" s="1"/>
  <c r="P9" i="20"/>
  <c r="AL9" i="20" s="1"/>
  <c r="AO9" i="20" s="1"/>
  <c r="P15" i="20"/>
  <c r="AL15" i="20" s="1"/>
  <c r="AO15" i="20" s="1"/>
  <c r="P31" i="20"/>
  <c r="AA31" i="20" s="1"/>
  <c r="P10" i="20"/>
  <c r="AA10" i="20" s="1"/>
  <c r="AD10" i="20" s="1"/>
  <c r="P37" i="20"/>
  <c r="AA37" i="20" s="1"/>
  <c r="AD37" i="20" s="1"/>
  <c r="P22" i="20"/>
  <c r="AA22" i="20" s="1"/>
  <c r="AD22" i="20" s="1"/>
  <c r="P46" i="20"/>
  <c r="AL46" i="20" s="1"/>
  <c r="AO46" i="20" s="1"/>
  <c r="P24" i="20"/>
  <c r="AA24" i="20" s="1"/>
  <c r="AD24" i="20" s="1"/>
  <c r="P40" i="20"/>
  <c r="AL40" i="20" s="1"/>
  <c r="AO40" i="20" s="1"/>
  <c r="P25" i="20"/>
  <c r="AA25" i="20" s="1"/>
  <c r="AD25" i="20" s="1"/>
  <c r="P42" i="20"/>
  <c r="AA42" i="20" s="1"/>
  <c r="AD42" i="20" s="1"/>
  <c r="P39" i="20"/>
  <c r="AA39" i="20" s="1"/>
  <c r="AD39" i="20" s="1"/>
  <c r="P34" i="20"/>
  <c r="AA34" i="20" s="1"/>
  <c r="AD34" i="20" s="1"/>
  <c r="P32" i="20"/>
  <c r="AL32" i="20" s="1"/>
  <c r="AO32" i="20" s="1"/>
  <c r="P19" i="20"/>
  <c r="AA19" i="20" s="1"/>
  <c r="AD19" i="20" s="1"/>
  <c r="P35" i="20"/>
  <c r="AL35" i="20" s="1"/>
  <c r="AO35" i="20" s="1"/>
  <c r="P13" i="20"/>
  <c r="AL13" i="20" s="1"/>
  <c r="AO13" i="20" s="1"/>
  <c r="P45" i="20"/>
  <c r="AL45" i="20" s="1"/>
  <c r="AO45" i="20" s="1"/>
  <c r="P26" i="20"/>
  <c r="AL26" i="20" s="1"/>
  <c r="AO26" i="20" s="1"/>
  <c r="P12" i="20"/>
  <c r="AL12" i="20" s="1"/>
  <c r="AO12" i="20" s="1"/>
  <c r="P28" i="20"/>
  <c r="AL28" i="20" s="1"/>
  <c r="AO28" i="20" s="1"/>
  <c r="P44" i="20"/>
  <c r="AA44" i="20" s="1"/>
  <c r="AD44" i="20" s="1"/>
  <c r="P33" i="20"/>
  <c r="AA33" i="20" s="1"/>
  <c r="AD33" i="20" s="1"/>
  <c r="P23" i="20"/>
  <c r="AL23" i="20" s="1"/>
  <c r="AO23" i="20" s="1"/>
  <c r="P41" i="20"/>
  <c r="AL41" i="20" s="1"/>
  <c r="AA41" i="20" l="1"/>
  <c r="AD41" i="20" s="1"/>
  <c r="AL22" i="20"/>
  <c r="AL33" i="20"/>
  <c r="AL36" i="20"/>
  <c r="AL44" i="20"/>
  <c r="AL18" i="20"/>
  <c r="AA29" i="20"/>
  <c r="AD29" i="20" s="1"/>
  <c r="AL39" i="20"/>
  <c r="AA32" i="20"/>
  <c r="AD32" i="20" s="1"/>
  <c r="AL38" i="20"/>
  <c r="AL30" i="20"/>
  <c r="AA35" i="20"/>
  <c r="AD35" i="20" s="1"/>
  <c r="AA15" i="20"/>
  <c r="AD15" i="20" s="1"/>
  <c r="AL21" i="20"/>
  <c r="AA46" i="20"/>
  <c r="AD46" i="20" s="1"/>
  <c r="AL10" i="20"/>
  <c r="AL16" i="20"/>
  <c r="AL19" i="20"/>
  <c r="AA14" i="20"/>
  <c r="AD14" i="20" s="1"/>
  <c r="AL25" i="20"/>
  <c r="AA45" i="20"/>
  <c r="AD45" i="20" s="1"/>
  <c r="AL20" i="20"/>
  <c r="AA43" i="20"/>
  <c r="AD43" i="20" s="1"/>
  <c r="AA26" i="20"/>
  <c r="AD26" i="20" s="1"/>
  <c r="AL24" i="20"/>
  <c r="AA12" i="20"/>
  <c r="AD12" i="20" s="1"/>
  <c r="AL31" i="20"/>
  <c r="AA23" i="20"/>
  <c r="AD23" i="20" s="1"/>
  <c r="AA28" i="20"/>
  <c r="AD28" i="20" s="1"/>
  <c r="AA17" i="20"/>
  <c r="AD17" i="20" s="1"/>
  <c r="AL34" i="20"/>
  <c r="AL37" i="20"/>
  <c r="AA40" i="20"/>
  <c r="AD40" i="20" s="1"/>
  <c r="AA27" i="20"/>
  <c r="AD27" i="20" s="1"/>
  <c r="AL42" i="20"/>
  <c r="AA9" i="20"/>
  <c r="AD9" i="20" s="1"/>
  <c r="AL11" i="20"/>
  <c r="AA13" i="20"/>
  <c r="AD13" i="20" s="1"/>
  <c r="AO41" i="20"/>
  <c r="AD31" i="20"/>
  <c r="AD21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N10" i="20"/>
  <c r="N11" i="20"/>
  <c r="Q11" i="20" s="1"/>
  <c r="N12" i="20"/>
  <c r="Q12" i="20" s="1"/>
  <c r="N13" i="20"/>
  <c r="Q13" i="20" s="1"/>
  <c r="N14" i="20"/>
  <c r="Q14" i="20" s="1"/>
  <c r="N15" i="20"/>
  <c r="Q15" i="20" s="1"/>
  <c r="N16" i="20"/>
  <c r="Q16" i="20" s="1"/>
  <c r="N17" i="20"/>
  <c r="Q17" i="20" s="1"/>
  <c r="N18" i="20"/>
  <c r="Q18" i="20" s="1"/>
  <c r="N19" i="20"/>
  <c r="Q19" i="20" s="1"/>
  <c r="N20" i="20"/>
  <c r="Q20" i="20" s="1"/>
  <c r="N21" i="20"/>
  <c r="Q21" i="20" s="1"/>
  <c r="N22" i="20"/>
  <c r="Q22" i="20" s="1"/>
  <c r="N23" i="20"/>
  <c r="Q23" i="20" s="1"/>
  <c r="N24" i="20"/>
  <c r="Q24" i="20" s="1"/>
  <c r="N25" i="20"/>
  <c r="Q25" i="20" s="1"/>
  <c r="N26" i="20"/>
  <c r="Q26" i="20" s="1"/>
  <c r="N27" i="20"/>
  <c r="Q27" i="20" s="1"/>
  <c r="N28" i="20"/>
  <c r="Q28" i="20" s="1"/>
  <c r="N29" i="20"/>
  <c r="Q29" i="20" s="1"/>
  <c r="N30" i="20"/>
  <c r="Q30" i="20" s="1"/>
  <c r="N31" i="20"/>
  <c r="Q31" i="20" s="1"/>
  <c r="N32" i="20"/>
  <c r="Q32" i="20" s="1"/>
  <c r="N33" i="20"/>
  <c r="Q33" i="20" s="1"/>
  <c r="N34" i="20"/>
  <c r="Q34" i="20" s="1"/>
  <c r="N35" i="20"/>
  <c r="Q35" i="20" s="1"/>
  <c r="N36" i="20"/>
  <c r="Q36" i="20" s="1"/>
  <c r="N37" i="20"/>
  <c r="Q37" i="20" s="1"/>
  <c r="N38" i="20"/>
  <c r="Q38" i="20" s="1"/>
  <c r="N39" i="20"/>
  <c r="Q39" i="20" s="1"/>
  <c r="N40" i="20"/>
  <c r="Q40" i="20" s="1"/>
  <c r="N41" i="20"/>
  <c r="Q41" i="20" s="1"/>
  <c r="N42" i="20"/>
  <c r="Q42" i="20" s="1"/>
  <c r="N43" i="20"/>
  <c r="Q43" i="20" s="1"/>
  <c r="N44" i="20"/>
  <c r="Q44" i="20" s="1"/>
  <c r="N45" i="20"/>
  <c r="Q45" i="20" s="1"/>
  <c r="N46" i="20"/>
  <c r="Q46" i="20" s="1"/>
  <c r="N9" i="20"/>
  <c r="S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9" i="20"/>
  <c r="AO20" i="20" l="1"/>
  <c r="AO19" i="20"/>
  <c r="AO21" i="20"/>
  <c r="AO38" i="20"/>
  <c r="AO18" i="20"/>
  <c r="AO22" i="20"/>
  <c r="AO11" i="20"/>
  <c r="AO24" i="20"/>
  <c r="AO16" i="20"/>
  <c r="AO44" i="20"/>
  <c r="AO37" i="20"/>
  <c r="AO25" i="20"/>
  <c r="AO10" i="20"/>
  <c r="AO39" i="20"/>
  <c r="AO36" i="20"/>
  <c r="AO42" i="20"/>
  <c r="AO34" i="20"/>
  <c r="AO31" i="20"/>
  <c r="AO30" i="20"/>
  <c r="AO33" i="20"/>
  <c r="Q9" i="20"/>
  <c r="AB9" i="20" s="1"/>
  <c r="Q10" i="20"/>
  <c r="T10" i="20" s="1"/>
  <c r="AB13" i="20"/>
  <c r="T13" i="20"/>
  <c r="V13" i="20"/>
  <c r="AB12" i="20"/>
  <c r="V12" i="20"/>
  <c r="T12" i="20"/>
  <c r="AB11" i="20"/>
  <c r="V11" i="20"/>
  <c r="T11" i="20"/>
  <c r="AC45" i="20"/>
  <c r="L45" i="20"/>
  <c r="AC41" i="20"/>
  <c r="AI41" i="20" s="1"/>
  <c r="L41" i="20"/>
  <c r="AC37" i="20"/>
  <c r="AI37" i="20" s="1"/>
  <c r="L37" i="20"/>
  <c r="AC33" i="20"/>
  <c r="AI33" i="20" s="1"/>
  <c r="L33" i="20"/>
  <c r="AC29" i="20"/>
  <c r="AF29" i="20" s="1"/>
  <c r="L29" i="20"/>
  <c r="AC25" i="20"/>
  <c r="L25" i="20"/>
  <c r="AC21" i="20"/>
  <c r="AF21" i="20" s="1"/>
  <c r="L21" i="20"/>
  <c r="AC13" i="20"/>
  <c r="L13" i="20"/>
  <c r="AC44" i="20"/>
  <c r="AI44" i="20" s="1"/>
  <c r="L44" i="20"/>
  <c r="AC36" i="20"/>
  <c r="AI36" i="20" s="1"/>
  <c r="L36" i="20"/>
  <c r="AC32" i="20"/>
  <c r="AI32" i="20" s="1"/>
  <c r="L32" i="20"/>
  <c r="AC24" i="20"/>
  <c r="AF24" i="20" s="1"/>
  <c r="L24" i="20"/>
  <c r="AC20" i="20"/>
  <c r="AF20" i="20" s="1"/>
  <c r="L20" i="20"/>
  <c r="AC12" i="20"/>
  <c r="L12" i="20"/>
  <c r="AC9" i="20"/>
  <c r="L9" i="20"/>
  <c r="AC43" i="20"/>
  <c r="L43" i="20"/>
  <c r="AC39" i="20"/>
  <c r="L39" i="20"/>
  <c r="AC35" i="20"/>
  <c r="L35" i="20"/>
  <c r="AC31" i="20"/>
  <c r="AI31" i="20" s="1"/>
  <c r="L31" i="20"/>
  <c r="AC27" i="20"/>
  <c r="AF27" i="20" s="1"/>
  <c r="L27" i="20"/>
  <c r="AC23" i="20"/>
  <c r="AF23" i="20" s="1"/>
  <c r="L23" i="20"/>
  <c r="AC19" i="20"/>
  <c r="L19" i="20"/>
  <c r="AC15" i="20"/>
  <c r="AF15" i="20" s="1"/>
  <c r="L15" i="20"/>
  <c r="AC11" i="20"/>
  <c r="L11" i="20"/>
  <c r="AC17" i="20"/>
  <c r="L17" i="20"/>
  <c r="AC40" i="20"/>
  <c r="AI40" i="20" s="1"/>
  <c r="L40" i="20"/>
  <c r="AC28" i="20"/>
  <c r="AI28" i="20" s="1"/>
  <c r="L28" i="20"/>
  <c r="AC16" i="20"/>
  <c r="AF16" i="20" s="1"/>
  <c r="L16" i="20"/>
  <c r="AC46" i="20"/>
  <c r="AI46" i="20" s="1"/>
  <c r="L46" i="20"/>
  <c r="AC42" i="20"/>
  <c r="AF42" i="20" s="1"/>
  <c r="L42" i="20"/>
  <c r="AC38" i="20"/>
  <c r="L38" i="20"/>
  <c r="AC34" i="20"/>
  <c r="L34" i="20"/>
  <c r="AC30" i="20"/>
  <c r="AI30" i="20" s="1"/>
  <c r="L30" i="20"/>
  <c r="AC26" i="20"/>
  <c r="AF26" i="20" s="1"/>
  <c r="L26" i="20"/>
  <c r="AC22" i="20"/>
  <c r="AF22" i="20" s="1"/>
  <c r="L22" i="20"/>
  <c r="AC18" i="20"/>
  <c r="AF18" i="20" s="1"/>
  <c r="L18" i="20"/>
  <c r="AC14" i="20"/>
  <c r="AI14" i="20" s="1"/>
  <c r="L14" i="20"/>
  <c r="AC10" i="20"/>
  <c r="AI10" i="20" s="1"/>
  <c r="L10" i="20"/>
  <c r="S10" i="20"/>
  <c r="L47" i="20" l="1"/>
  <c r="B3" i="53" s="1"/>
  <c r="T9" i="20"/>
  <c r="V10" i="20"/>
  <c r="AI22" i="20"/>
  <c r="V9" i="20"/>
  <c r="AM9" i="20"/>
  <c r="AR9" i="20" s="1"/>
  <c r="AG9" i="20"/>
  <c r="AE9" i="20"/>
  <c r="AB10" i="20"/>
  <c r="AF37" i="20"/>
  <c r="AG12" i="20"/>
  <c r="AM12" i="20"/>
  <c r="AE12" i="20"/>
  <c r="AM11" i="20"/>
  <c r="AG11" i="20"/>
  <c r="AE11" i="20"/>
  <c r="AM13" i="20"/>
  <c r="AG13" i="20"/>
  <c r="AE13" i="20"/>
  <c r="AH12" i="20"/>
  <c r="AF46" i="20"/>
  <c r="AI15" i="20"/>
  <c r="AI39" i="20"/>
  <c r="AF17" i="20"/>
  <c r="AF45" i="20"/>
  <c r="AF44" i="20"/>
  <c r="AF39" i="20"/>
  <c r="AF30" i="20"/>
  <c r="AI25" i="20"/>
  <c r="AF38" i="20"/>
  <c r="AI27" i="20"/>
  <c r="AI18" i="20"/>
  <c r="AF33" i="20"/>
  <c r="AF28" i="20"/>
  <c r="AF31" i="20"/>
  <c r="AI29" i="20"/>
  <c r="AI38" i="20"/>
  <c r="AI17" i="20"/>
  <c r="AI23" i="20"/>
  <c r="AI45" i="20"/>
  <c r="AF14" i="20"/>
  <c r="AF36" i="20"/>
  <c r="AF25" i="20"/>
  <c r="AI26" i="20"/>
  <c r="AF41" i="20"/>
  <c r="AI34" i="20"/>
  <c r="AF19" i="20"/>
  <c r="AF34" i="20"/>
  <c r="AI12" i="20"/>
  <c r="AI16" i="20"/>
  <c r="AI42" i="20"/>
  <c r="AI19" i="20"/>
  <c r="AF10" i="20"/>
  <c r="AI13" i="20"/>
  <c r="AF13" i="20"/>
  <c r="AH13" i="20"/>
  <c r="AI35" i="20"/>
  <c r="AF35" i="20"/>
  <c r="AI11" i="20"/>
  <c r="AH11" i="20"/>
  <c r="AF11" i="20"/>
  <c r="AF43" i="20"/>
  <c r="AI43" i="20"/>
  <c r="M2" i="21" l="1"/>
  <c r="AP9" i="20"/>
  <c r="AM10" i="20"/>
  <c r="AG10" i="20"/>
  <c r="AE10" i="20"/>
  <c r="AP11" i="20"/>
  <c r="AR11" i="20"/>
  <c r="AR13" i="20"/>
  <c r="AP13" i="20"/>
  <c r="AR12" i="20"/>
  <c r="AP12" i="20"/>
  <c r="H49" i="18"/>
  <c r="M49" i="18" s="1"/>
  <c r="G49" i="18"/>
  <c r="J49" i="18" s="1"/>
  <c r="H48" i="18"/>
  <c r="M48" i="18" s="1"/>
  <c r="G48" i="18"/>
  <c r="J48" i="18" s="1"/>
  <c r="H47" i="18"/>
  <c r="M47" i="18" s="1"/>
  <c r="G47" i="18"/>
  <c r="J47" i="18" s="1"/>
  <c r="H46" i="18"/>
  <c r="M46" i="18" s="1"/>
  <c r="G46" i="18"/>
  <c r="J46" i="18" s="1"/>
  <c r="H45" i="18"/>
  <c r="M45" i="18" s="1"/>
  <c r="G45" i="18"/>
  <c r="J45" i="18" s="1"/>
  <c r="H44" i="18"/>
  <c r="M44" i="18" s="1"/>
  <c r="G44" i="18"/>
  <c r="J44" i="18" s="1"/>
  <c r="H43" i="18"/>
  <c r="M43" i="18" s="1"/>
  <c r="G43" i="18"/>
  <c r="J43" i="18" s="1"/>
  <c r="H42" i="18"/>
  <c r="M42" i="18" s="1"/>
  <c r="G42" i="18"/>
  <c r="J42" i="18" s="1"/>
  <c r="H41" i="18"/>
  <c r="M41" i="18" s="1"/>
  <c r="G41" i="18"/>
  <c r="J41" i="18" s="1"/>
  <c r="H40" i="18"/>
  <c r="M40" i="18" s="1"/>
  <c r="G40" i="18"/>
  <c r="J40" i="18" s="1"/>
  <c r="H39" i="18"/>
  <c r="M39" i="18" s="1"/>
  <c r="G39" i="18"/>
  <c r="J39" i="18" s="1"/>
  <c r="H38" i="18"/>
  <c r="M38" i="18" s="1"/>
  <c r="G38" i="18"/>
  <c r="J38" i="18" s="1"/>
  <c r="I32" i="18"/>
  <c r="O32" i="18" s="1"/>
  <c r="H32" i="18"/>
  <c r="G32" i="18"/>
  <c r="I31" i="18"/>
  <c r="O31" i="18" s="1"/>
  <c r="H31" i="18"/>
  <c r="G31" i="18"/>
  <c r="I30" i="18"/>
  <c r="O30" i="18" s="1"/>
  <c r="H30" i="18"/>
  <c r="M30" i="18" s="1"/>
  <c r="G30" i="18"/>
  <c r="J30" i="18" s="1"/>
  <c r="I29" i="18"/>
  <c r="H29" i="18"/>
  <c r="M29" i="18" s="1"/>
  <c r="G29" i="18"/>
  <c r="I28" i="18"/>
  <c r="O28" i="18" s="1"/>
  <c r="H28" i="18"/>
  <c r="G28" i="18"/>
  <c r="I27" i="18"/>
  <c r="O27" i="18" s="1"/>
  <c r="H27" i="18"/>
  <c r="G27" i="18"/>
  <c r="I26" i="18"/>
  <c r="O26" i="18" s="1"/>
  <c r="H26" i="18"/>
  <c r="M26" i="18" s="1"/>
  <c r="G26" i="18"/>
  <c r="J26" i="18" s="1"/>
  <c r="I25" i="18"/>
  <c r="H25" i="18"/>
  <c r="M25" i="18" s="1"/>
  <c r="G25" i="18"/>
  <c r="J25" i="18" s="1"/>
  <c r="I24" i="18"/>
  <c r="O24" i="18" s="1"/>
  <c r="H24" i="18"/>
  <c r="G24" i="18"/>
  <c r="I23" i="18"/>
  <c r="O23" i="18" s="1"/>
  <c r="H23" i="18"/>
  <c r="G23" i="18"/>
  <c r="I22" i="18"/>
  <c r="O22" i="18" s="1"/>
  <c r="H22" i="18"/>
  <c r="M22" i="18" s="1"/>
  <c r="G22" i="18"/>
  <c r="J22" i="18" s="1"/>
  <c r="I21" i="18"/>
  <c r="H21" i="18"/>
  <c r="M21" i="18" s="1"/>
  <c r="G21" i="18"/>
  <c r="J21" i="18" s="1"/>
  <c r="I15" i="18"/>
  <c r="O15" i="18" s="1"/>
  <c r="H15" i="18"/>
  <c r="M15" i="18" s="1"/>
  <c r="G15" i="18"/>
  <c r="J15" i="18" s="1"/>
  <c r="I14" i="18"/>
  <c r="H14" i="18"/>
  <c r="M14" i="18" s="1"/>
  <c r="G14" i="18"/>
  <c r="I13" i="18"/>
  <c r="O13" i="18" s="1"/>
  <c r="H13" i="18"/>
  <c r="G13" i="18"/>
  <c r="I12" i="18"/>
  <c r="O12" i="18" s="1"/>
  <c r="H12" i="18"/>
  <c r="G12" i="18"/>
  <c r="J12" i="18" s="1"/>
  <c r="I11" i="18"/>
  <c r="O11" i="18" s="1"/>
  <c r="H11" i="18"/>
  <c r="G11" i="18"/>
  <c r="I10" i="18"/>
  <c r="H10" i="18"/>
  <c r="M10" i="18" s="1"/>
  <c r="G10" i="18"/>
  <c r="J10" i="18" s="1"/>
  <c r="I9" i="18"/>
  <c r="O9" i="18" s="1"/>
  <c r="H9" i="18"/>
  <c r="M9" i="18" s="1"/>
  <c r="G9" i="18"/>
  <c r="I8" i="18"/>
  <c r="O8" i="18" s="1"/>
  <c r="H8" i="18"/>
  <c r="M8" i="18" s="1"/>
  <c r="G8" i="18"/>
  <c r="J8" i="18" s="1"/>
  <c r="I7" i="18"/>
  <c r="O7" i="18" s="1"/>
  <c r="H7" i="18"/>
  <c r="M7" i="18" s="1"/>
  <c r="G7" i="18"/>
  <c r="I6" i="18"/>
  <c r="O6" i="18" s="1"/>
  <c r="H6" i="18"/>
  <c r="M6" i="18" s="1"/>
  <c r="G6" i="18"/>
  <c r="I5" i="18"/>
  <c r="H5" i="18"/>
  <c r="M5" i="18" s="1"/>
  <c r="G5" i="18"/>
  <c r="J5" i="18" s="1"/>
  <c r="I4" i="18"/>
  <c r="O4" i="18" s="1"/>
  <c r="H4" i="18"/>
  <c r="M4" i="18" s="1"/>
  <c r="G4" i="18"/>
  <c r="L4" i="18" s="1"/>
  <c r="H52" i="17"/>
  <c r="M52" i="17" s="1"/>
  <c r="G52" i="17"/>
  <c r="J52" i="17" s="1"/>
  <c r="H51" i="17"/>
  <c r="M51" i="17" s="1"/>
  <c r="G51" i="17"/>
  <c r="J51" i="17" s="1"/>
  <c r="H50" i="17"/>
  <c r="M50" i="17" s="1"/>
  <c r="G50" i="17"/>
  <c r="J50" i="17" s="1"/>
  <c r="H49" i="17"/>
  <c r="M49" i="17" s="1"/>
  <c r="G49" i="17"/>
  <c r="J49" i="17" s="1"/>
  <c r="H48" i="17"/>
  <c r="M48" i="17" s="1"/>
  <c r="G48" i="17"/>
  <c r="J48" i="17" s="1"/>
  <c r="H47" i="17"/>
  <c r="M47" i="17" s="1"/>
  <c r="G47" i="17"/>
  <c r="J47" i="17" s="1"/>
  <c r="H46" i="17"/>
  <c r="M46" i="17" s="1"/>
  <c r="G46" i="17"/>
  <c r="J46" i="17" s="1"/>
  <c r="H45" i="17"/>
  <c r="M45" i="17" s="1"/>
  <c r="G45" i="17"/>
  <c r="J45" i="17" s="1"/>
  <c r="H44" i="17"/>
  <c r="M44" i="17" s="1"/>
  <c r="G44" i="17"/>
  <c r="H43" i="17"/>
  <c r="M43" i="17" s="1"/>
  <c r="G43" i="17"/>
  <c r="H42" i="17"/>
  <c r="M42" i="17" s="1"/>
  <c r="G42" i="17"/>
  <c r="J42" i="17" s="1"/>
  <c r="H41" i="17"/>
  <c r="M41" i="17" s="1"/>
  <c r="G41" i="17"/>
  <c r="H40" i="17"/>
  <c r="M40" i="17" s="1"/>
  <c r="G40" i="17"/>
  <c r="J40" i="17" s="1"/>
  <c r="I34" i="17"/>
  <c r="O34" i="17" s="1"/>
  <c r="H34" i="17"/>
  <c r="M34" i="17" s="1"/>
  <c r="G34" i="17"/>
  <c r="J34" i="17" s="1"/>
  <c r="I33" i="17"/>
  <c r="O33" i="17" s="1"/>
  <c r="H33" i="17"/>
  <c r="M33" i="17" s="1"/>
  <c r="G33" i="17"/>
  <c r="I32" i="17"/>
  <c r="O32" i="17" s="1"/>
  <c r="H32" i="17"/>
  <c r="M32" i="17" s="1"/>
  <c r="G32" i="17"/>
  <c r="K32" i="17" s="1"/>
  <c r="I31" i="17"/>
  <c r="O31" i="17" s="1"/>
  <c r="H31" i="17"/>
  <c r="M31" i="17" s="1"/>
  <c r="G31" i="17"/>
  <c r="J31" i="17" s="1"/>
  <c r="I30" i="17"/>
  <c r="O30" i="17" s="1"/>
  <c r="H30" i="17"/>
  <c r="M30" i="17" s="1"/>
  <c r="G30" i="17"/>
  <c r="I29" i="17"/>
  <c r="O29" i="17" s="1"/>
  <c r="H29" i="17"/>
  <c r="M29" i="17" s="1"/>
  <c r="G29" i="17"/>
  <c r="I28" i="17"/>
  <c r="O28" i="17" s="1"/>
  <c r="H28" i="17"/>
  <c r="M28" i="17" s="1"/>
  <c r="G28" i="17"/>
  <c r="J28" i="17" s="1"/>
  <c r="I27" i="17"/>
  <c r="O27" i="17" s="1"/>
  <c r="H27" i="17"/>
  <c r="M27" i="17" s="1"/>
  <c r="G27" i="17"/>
  <c r="I26" i="17"/>
  <c r="O26" i="17" s="1"/>
  <c r="H26" i="17"/>
  <c r="M26" i="17" s="1"/>
  <c r="G26" i="17"/>
  <c r="J26" i="17" s="1"/>
  <c r="I25" i="17"/>
  <c r="O25" i="17" s="1"/>
  <c r="H25" i="17"/>
  <c r="M25" i="17" s="1"/>
  <c r="G25" i="17"/>
  <c r="J25" i="17" s="1"/>
  <c r="I24" i="17"/>
  <c r="O24" i="17" s="1"/>
  <c r="H24" i="17"/>
  <c r="M24" i="17" s="1"/>
  <c r="G24" i="17"/>
  <c r="I23" i="17"/>
  <c r="O23" i="17" s="1"/>
  <c r="H23" i="17"/>
  <c r="G23" i="17"/>
  <c r="J23" i="17" s="1"/>
  <c r="I22" i="17"/>
  <c r="O22" i="17" s="1"/>
  <c r="H22" i="17"/>
  <c r="M22" i="17" s="1"/>
  <c r="G22" i="17"/>
  <c r="I16" i="17"/>
  <c r="O16" i="17" s="1"/>
  <c r="H16" i="17"/>
  <c r="G16" i="17"/>
  <c r="J16" i="17" s="1"/>
  <c r="I15" i="17"/>
  <c r="O15" i="17" s="1"/>
  <c r="H15" i="17"/>
  <c r="M15" i="17" s="1"/>
  <c r="G15" i="17"/>
  <c r="J15" i="17" s="1"/>
  <c r="I14" i="17"/>
  <c r="O14" i="17" s="1"/>
  <c r="H14" i="17"/>
  <c r="G14" i="17"/>
  <c r="I13" i="17"/>
  <c r="O13" i="17" s="1"/>
  <c r="H13" i="17"/>
  <c r="G13" i="17"/>
  <c r="K13" i="17" s="1"/>
  <c r="I12" i="17"/>
  <c r="O12" i="17" s="1"/>
  <c r="H12" i="17"/>
  <c r="M12" i="17" s="1"/>
  <c r="G12" i="17"/>
  <c r="J12" i="17" s="1"/>
  <c r="I11" i="17"/>
  <c r="O11" i="17" s="1"/>
  <c r="H11" i="17"/>
  <c r="G11" i="17"/>
  <c r="I10" i="17"/>
  <c r="O10" i="17" s="1"/>
  <c r="H10" i="17"/>
  <c r="G10" i="17"/>
  <c r="I9" i="17"/>
  <c r="O9" i="17" s="1"/>
  <c r="H9" i="17"/>
  <c r="M9" i="17" s="1"/>
  <c r="G9" i="17"/>
  <c r="J9" i="17" s="1"/>
  <c r="I8" i="17"/>
  <c r="O8" i="17" s="1"/>
  <c r="H8" i="17"/>
  <c r="G8" i="17"/>
  <c r="I7" i="17"/>
  <c r="O7" i="17" s="1"/>
  <c r="H7" i="17"/>
  <c r="M7" i="17" s="1"/>
  <c r="G7" i="17"/>
  <c r="J7" i="17" s="1"/>
  <c r="I6" i="17"/>
  <c r="O6" i="17" s="1"/>
  <c r="H6" i="17"/>
  <c r="G6" i="17"/>
  <c r="I5" i="17"/>
  <c r="O5" i="17" s="1"/>
  <c r="H5" i="17"/>
  <c r="G5" i="17"/>
  <c r="J5" i="17" s="1"/>
  <c r="I4" i="17"/>
  <c r="O4" i="17" s="1"/>
  <c r="H4" i="17"/>
  <c r="M4" i="17" s="1"/>
  <c r="G4" i="17"/>
  <c r="J4" i="17" s="1"/>
  <c r="H67" i="16"/>
  <c r="M67" i="16" s="1"/>
  <c r="G67" i="16"/>
  <c r="J67" i="16" s="1"/>
  <c r="H66" i="16"/>
  <c r="M66" i="16" s="1"/>
  <c r="G66" i="16"/>
  <c r="H65" i="16"/>
  <c r="M65" i="16" s="1"/>
  <c r="G65" i="16"/>
  <c r="H64" i="16"/>
  <c r="M64" i="16" s="1"/>
  <c r="G64" i="16"/>
  <c r="H63" i="16"/>
  <c r="M63" i="16" s="1"/>
  <c r="G63" i="16"/>
  <c r="H62" i="16"/>
  <c r="M62" i="16" s="1"/>
  <c r="G62" i="16"/>
  <c r="H61" i="16"/>
  <c r="M61" i="16" s="1"/>
  <c r="G61" i="16"/>
  <c r="H60" i="16"/>
  <c r="M60" i="16" s="1"/>
  <c r="G60" i="16"/>
  <c r="K60" i="16" s="1"/>
  <c r="H59" i="16"/>
  <c r="M59" i="16" s="1"/>
  <c r="G59" i="16"/>
  <c r="H58" i="16"/>
  <c r="M58" i="16" s="1"/>
  <c r="G58" i="16"/>
  <c r="H57" i="16"/>
  <c r="M57" i="16" s="1"/>
  <c r="G57" i="16"/>
  <c r="H56" i="16"/>
  <c r="M56" i="16" s="1"/>
  <c r="G56" i="16"/>
  <c r="K56" i="16" s="1"/>
  <c r="H55" i="16"/>
  <c r="M55" i="16" s="1"/>
  <c r="G55" i="16"/>
  <c r="H54" i="16"/>
  <c r="M54" i="16" s="1"/>
  <c r="G54" i="16"/>
  <c r="J53" i="16"/>
  <c r="H53" i="16"/>
  <c r="M53" i="16" s="1"/>
  <c r="G53" i="16"/>
  <c r="K53" i="16" s="1"/>
  <c r="H52" i="16"/>
  <c r="M52" i="16" s="1"/>
  <c r="G52" i="16"/>
  <c r="K52" i="16" s="1"/>
  <c r="H51" i="16"/>
  <c r="M51" i="16" s="1"/>
  <c r="G51" i="16"/>
  <c r="K51" i="16" s="1"/>
  <c r="H50" i="16"/>
  <c r="M50" i="16" s="1"/>
  <c r="G50" i="16"/>
  <c r="I44" i="16"/>
  <c r="H44" i="16"/>
  <c r="M44" i="16" s="1"/>
  <c r="G44" i="16"/>
  <c r="J44" i="16" s="1"/>
  <c r="I43" i="16"/>
  <c r="O43" i="16" s="1"/>
  <c r="H43" i="16"/>
  <c r="G43" i="16"/>
  <c r="K43" i="16" s="1"/>
  <c r="I42" i="16"/>
  <c r="O42" i="16" s="1"/>
  <c r="H42" i="16"/>
  <c r="G42" i="16"/>
  <c r="I41" i="16"/>
  <c r="O41" i="16" s="1"/>
  <c r="H41" i="16"/>
  <c r="M41" i="16" s="1"/>
  <c r="G41" i="16"/>
  <c r="I40" i="16"/>
  <c r="O40" i="16" s="1"/>
  <c r="H40" i="16"/>
  <c r="M40" i="16" s="1"/>
  <c r="G40" i="16"/>
  <c r="J40" i="16" s="1"/>
  <c r="I39" i="16"/>
  <c r="O39" i="16" s="1"/>
  <c r="H39" i="16"/>
  <c r="G39" i="16"/>
  <c r="K39" i="16" s="1"/>
  <c r="I38" i="16"/>
  <c r="O38" i="16" s="1"/>
  <c r="H38" i="16"/>
  <c r="G38" i="16"/>
  <c r="J38" i="16" s="1"/>
  <c r="I37" i="16"/>
  <c r="O37" i="16" s="1"/>
  <c r="H37" i="16"/>
  <c r="M37" i="16" s="1"/>
  <c r="G37" i="16"/>
  <c r="L37" i="16" s="1"/>
  <c r="I36" i="16"/>
  <c r="O36" i="16" s="1"/>
  <c r="H36" i="16"/>
  <c r="M36" i="16" s="1"/>
  <c r="G36" i="16"/>
  <c r="J36" i="16" s="1"/>
  <c r="I35" i="16"/>
  <c r="O35" i="16" s="1"/>
  <c r="H35" i="16"/>
  <c r="G35" i="16"/>
  <c r="J35" i="16" s="1"/>
  <c r="I34" i="16"/>
  <c r="O34" i="16" s="1"/>
  <c r="H34" i="16"/>
  <c r="G34" i="16"/>
  <c r="J34" i="16" s="1"/>
  <c r="I33" i="16"/>
  <c r="O33" i="16" s="1"/>
  <c r="H33" i="16"/>
  <c r="M33" i="16" s="1"/>
  <c r="G33" i="16"/>
  <c r="J33" i="16" s="1"/>
  <c r="I32" i="16"/>
  <c r="O32" i="16" s="1"/>
  <c r="H32" i="16"/>
  <c r="M32" i="16" s="1"/>
  <c r="G32" i="16"/>
  <c r="J32" i="16" s="1"/>
  <c r="I31" i="16"/>
  <c r="O31" i="16" s="1"/>
  <c r="H31" i="16"/>
  <c r="M31" i="16" s="1"/>
  <c r="G31" i="16"/>
  <c r="J31" i="16" s="1"/>
  <c r="I30" i="16"/>
  <c r="O30" i="16" s="1"/>
  <c r="H30" i="16"/>
  <c r="G30" i="16"/>
  <c r="K30" i="16" s="1"/>
  <c r="I29" i="16"/>
  <c r="O29" i="16" s="1"/>
  <c r="H29" i="16"/>
  <c r="G29" i="16"/>
  <c r="J29" i="16" s="1"/>
  <c r="J28" i="16"/>
  <c r="I28" i="16"/>
  <c r="H28" i="16"/>
  <c r="M28" i="16" s="1"/>
  <c r="G28" i="16"/>
  <c r="I27" i="16"/>
  <c r="O27" i="16" s="1"/>
  <c r="H27" i="16"/>
  <c r="M27" i="16" s="1"/>
  <c r="G27" i="16"/>
  <c r="J27" i="16" s="1"/>
  <c r="I21" i="16"/>
  <c r="O21" i="16" s="1"/>
  <c r="H21" i="16"/>
  <c r="M21" i="16" s="1"/>
  <c r="G21" i="16"/>
  <c r="J21" i="16" s="1"/>
  <c r="I20" i="16"/>
  <c r="O20" i="16" s="1"/>
  <c r="H20" i="16"/>
  <c r="M20" i="16" s="1"/>
  <c r="G20" i="16"/>
  <c r="I19" i="16"/>
  <c r="H19" i="16"/>
  <c r="M19" i="16" s="1"/>
  <c r="G19" i="16"/>
  <c r="K19" i="16" s="1"/>
  <c r="I18" i="16"/>
  <c r="O18" i="16" s="1"/>
  <c r="H18" i="16"/>
  <c r="G18" i="16"/>
  <c r="I17" i="16"/>
  <c r="O17" i="16" s="1"/>
  <c r="H17" i="16"/>
  <c r="M17" i="16" s="1"/>
  <c r="G17" i="16"/>
  <c r="J17" i="16" s="1"/>
  <c r="I16" i="16"/>
  <c r="O16" i="16" s="1"/>
  <c r="H16" i="16"/>
  <c r="N16" i="16" s="1"/>
  <c r="G16" i="16"/>
  <c r="J16" i="16" s="1"/>
  <c r="I15" i="16"/>
  <c r="H15" i="16"/>
  <c r="M15" i="16" s="1"/>
  <c r="G15" i="16"/>
  <c r="I14" i="16"/>
  <c r="O14" i="16" s="1"/>
  <c r="H14" i="16"/>
  <c r="G14" i="16"/>
  <c r="I13" i="16"/>
  <c r="O13" i="16" s="1"/>
  <c r="H13" i="16"/>
  <c r="M13" i="16" s="1"/>
  <c r="G13" i="16"/>
  <c r="J13" i="16" s="1"/>
  <c r="I12" i="16"/>
  <c r="O12" i="16" s="1"/>
  <c r="H12" i="16"/>
  <c r="G12" i="16"/>
  <c r="J12" i="16" s="1"/>
  <c r="I11" i="16"/>
  <c r="O11" i="16" s="1"/>
  <c r="H11" i="16"/>
  <c r="M11" i="16" s="1"/>
  <c r="G11" i="16"/>
  <c r="I10" i="16"/>
  <c r="O10" i="16" s="1"/>
  <c r="H10" i="16"/>
  <c r="G10" i="16"/>
  <c r="K10" i="16" s="1"/>
  <c r="I9" i="16"/>
  <c r="O9" i="16" s="1"/>
  <c r="H9" i="16"/>
  <c r="N9" i="16" s="1"/>
  <c r="G9" i="16"/>
  <c r="J9" i="16" s="1"/>
  <c r="I8" i="16"/>
  <c r="O8" i="16" s="1"/>
  <c r="H8" i="16"/>
  <c r="M8" i="16" s="1"/>
  <c r="G8" i="16"/>
  <c r="J8" i="16" s="1"/>
  <c r="I7" i="16"/>
  <c r="O7" i="16" s="1"/>
  <c r="H7" i="16"/>
  <c r="M7" i="16" s="1"/>
  <c r="G7" i="16"/>
  <c r="I6" i="16"/>
  <c r="O6" i="16" s="1"/>
  <c r="H6" i="16"/>
  <c r="G6" i="16"/>
  <c r="I5" i="16"/>
  <c r="O5" i="16" s="1"/>
  <c r="H5" i="16"/>
  <c r="G5" i="16"/>
  <c r="J5" i="16" s="1"/>
  <c r="I4" i="16"/>
  <c r="O4" i="16" s="1"/>
  <c r="H4" i="16"/>
  <c r="M4" i="16" s="1"/>
  <c r="G4" i="16"/>
  <c r="J4" i="16" s="1"/>
  <c r="H67" i="15"/>
  <c r="M67" i="15" s="1"/>
  <c r="G67" i="15"/>
  <c r="H66" i="15"/>
  <c r="M66" i="15" s="1"/>
  <c r="G66" i="15"/>
  <c r="H65" i="15"/>
  <c r="M65" i="15" s="1"/>
  <c r="G65" i="15"/>
  <c r="H64" i="15"/>
  <c r="M64" i="15" s="1"/>
  <c r="G64" i="15"/>
  <c r="K64" i="15" s="1"/>
  <c r="H63" i="15"/>
  <c r="M63" i="15" s="1"/>
  <c r="G63" i="15"/>
  <c r="M62" i="15"/>
  <c r="H62" i="15"/>
  <c r="G62" i="15"/>
  <c r="K62" i="15" s="1"/>
  <c r="H61" i="15"/>
  <c r="M61" i="15" s="1"/>
  <c r="G61" i="15"/>
  <c r="H60" i="15"/>
  <c r="M60" i="15" s="1"/>
  <c r="G60" i="15"/>
  <c r="K60" i="15" s="1"/>
  <c r="H59" i="15"/>
  <c r="M59" i="15" s="1"/>
  <c r="G59" i="15"/>
  <c r="H58" i="15"/>
  <c r="M58" i="15" s="1"/>
  <c r="G58" i="15"/>
  <c r="K58" i="15" s="1"/>
  <c r="H57" i="15"/>
  <c r="M57" i="15" s="1"/>
  <c r="G57" i="15"/>
  <c r="H56" i="15"/>
  <c r="M56" i="15" s="1"/>
  <c r="G56" i="15"/>
  <c r="K56" i="15" s="1"/>
  <c r="H55" i="15"/>
  <c r="M55" i="15" s="1"/>
  <c r="G55" i="15"/>
  <c r="K55" i="15" s="1"/>
  <c r="H54" i="15"/>
  <c r="M54" i="15" s="1"/>
  <c r="G54" i="15"/>
  <c r="K54" i="15" s="1"/>
  <c r="H53" i="15"/>
  <c r="M53" i="15" s="1"/>
  <c r="G53" i="15"/>
  <c r="H52" i="15"/>
  <c r="M52" i="15" s="1"/>
  <c r="G52" i="15"/>
  <c r="H51" i="15"/>
  <c r="M51" i="15" s="1"/>
  <c r="G51" i="15"/>
  <c r="H50" i="15"/>
  <c r="M50" i="15" s="1"/>
  <c r="G50" i="15"/>
  <c r="I44" i="15"/>
  <c r="H44" i="15"/>
  <c r="M44" i="15" s="1"/>
  <c r="G44" i="15"/>
  <c r="K44" i="15" s="1"/>
  <c r="I43" i="15"/>
  <c r="O43" i="15" s="1"/>
  <c r="H43" i="15"/>
  <c r="G43" i="15"/>
  <c r="L43" i="15" s="1"/>
  <c r="I42" i="15"/>
  <c r="O42" i="15" s="1"/>
  <c r="H42" i="15"/>
  <c r="G42" i="15"/>
  <c r="I41" i="15"/>
  <c r="O41" i="15" s="1"/>
  <c r="H41" i="15"/>
  <c r="M41" i="15" s="1"/>
  <c r="G41" i="15"/>
  <c r="J41" i="15" s="1"/>
  <c r="I40" i="15"/>
  <c r="H40" i="15"/>
  <c r="M40" i="15" s="1"/>
  <c r="G40" i="15"/>
  <c r="I39" i="15"/>
  <c r="O39" i="15" s="1"/>
  <c r="H39" i="15"/>
  <c r="G39" i="15"/>
  <c r="L39" i="15" s="1"/>
  <c r="I38" i="15"/>
  <c r="O38" i="15" s="1"/>
  <c r="H38" i="15"/>
  <c r="G38" i="15"/>
  <c r="I37" i="15"/>
  <c r="O37" i="15" s="1"/>
  <c r="H37" i="15"/>
  <c r="M37" i="15" s="1"/>
  <c r="G37" i="15"/>
  <c r="J37" i="15" s="1"/>
  <c r="I36" i="15"/>
  <c r="H36" i="15"/>
  <c r="M36" i="15" s="1"/>
  <c r="G36" i="15"/>
  <c r="J36" i="15" s="1"/>
  <c r="I35" i="15"/>
  <c r="O35" i="15" s="1"/>
  <c r="H35" i="15"/>
  <c r="G35" i="15"/>
  <c r="I34" i="15"/>
  <c r="O34" i="15" s="1"/>
  <c r="H34" i="15"/>
  <c r="G34" i="15"/>
  <c r="I33" i="15"/>
  <c r="O33" i="15" s="1"/>
  <c r="H33" i="15"/>
  <c r="M33" i="15" s="1"/>
  <c r="G33" i="15"/>
  <c r="J33" i="15" s="1"/>
  <c r="I32" i="15"/>
  <c r="H32" i="15"/>
  <c r="M32" i="15" s="1"/>
  <c r="G32" i="15"/>
  <c r="L31" i="15"/>
  <c r="I31" i="15"/>
  <c r="O31" i="15" s="1"/>
  <c r="H31" i="15"/>
  <c r="G31" i="15"/>
  <c r="O30" i="15"/>
  <c r="I30" i="15"/>
  <c r="H30" i="15"/>
  <c r="N30" i="15" s="1"/>
  <c r="G30" i="15"/>
  <c r="K30" i="15" s="1"/>
  <c r="I29" i="15"/>
  <c r="O29" i="15" s="1"/>
  <c r="H29" i="15"/>
  <c r="M29" i="15" s="1"/>
  <c r="G29" i="15"/>
  <c r="J29" i="15" s="1"/>
  <c r="I28" i="15"/>
  <c r="H28" i="15"/>
  <c r="M28" i="15" s="1"/>
  <c r="G28" i="15"/>
  <c r="J28" i="15" s="1"/>
  <c r="I27" i="15"/>
  <c r="O27" i="15" s="1"/>
  <c r="H27" i="15"/>
  <c r="G27" i="15"/>
  <c r="I21" i="15"/>
  <c r="O21" i="15" s="1"/>
  <c r="H21" i="15"/>
  <c r="M21" i="15" s="1"/>
  <c r="G21" i="15"/>
  <c r="J21" i="15" s="1"/>
  <c r="I20" i="15"/>
  <c r="O20" i="15" s="1"/>
  <c r="H20" i="15"/>
  <c r="G20" i="15"/>
  <c r="J20" i="15" s="1"/>
  <c r="I19" i="15"/>
  <c r="O19" i="15" s="1"/>
  <c r="H19" i="15"/>
  <c r="G19" i="15"/>
  <c r="J18" i="15"/>
  <c r="I18" i="15"/>
  <c r="H18" i="15"/>
  <c r="M18" i="15" s="1"/>
  <c r="G18" i="15"/>
  <c r="K18" i="15" s="1"/>
  <c r="I17" i="15"/>
  <c r="O17" i="15" s="1"/>
  <c r="H17" i="15"/>
  <c r="G17" i="15"/>
  <c r="I16" i="15"/>
  <c r="O16" i="15" s="1"/>
  <c r="H16" i="15"/>
  <c r="G16" i="15"/>
  <c r="J16" i="15" s="1"/>
  <c r="I15" i="15"/>
  <c r="O15" i="15" s="1"/>
  <c r="H15" i="15"/>
  <c r="N15" i="15" s="1"/>
  <c r="G15" i="15"/>
  <c r="J15" i="15" s="1"/>
  <c r="I14" i="15"/>
  <c r="H14" i="15"/>
  <c r="N14" i="15" s="1"/>
  <c r="G14" i="15"/>
  <c r="I13" i="15"/>
  <c r="O13" i="15" s="1"/>
  <c r="H13" i="15"/>
  <c r="G13" i="15"/>
  <c r="K13" i="15" s="1"/>
  <c r="I12" i="15"/>
  <c r="O12" i="15" s="1"/>
  <c r="H12" i="15"/>
  <c r="G12" i="15"/>
  <c r="J12" i="15" s="1"/>
  <c r="I11" i="15"/>
  <c r="O11" i="15" s="1"/>
  <c r="H11" i="15"/>
  <c r="M11" i="15" s="1"/>
  <c r="G11" i="15"/>
  <c r="J11" i="15" s="1"/>
  <c r="M10" i="15"/>
  <c r="I10" i="15"/>
  <c r="O10" i="15" s="1"/>
  <c r="H10" i="15"/>
  <c r="G10" i="15"/>
  <c r="I9" i="15"/>
  <c r="O9" i="15" s="1"/>
  <c r="H9" i="15"/>
  <c r="G9" i="15"/>
  <c r="I8" i="15"/>
  <c r="O8" i="15" s="1"/>
  <c r="H8" i="15"/>
  <c r="G8" i="15"/>
  <c r="J8" i="15" s="1"/>
  <c r="I7" i="15"/>
  <c r="O7" i="15" s="1"/>
  <c r="H7" i="15"/>
  <c r="M7" i="15" s="1"/>
  <c r="G7" i="15"/>
  <c r="J7" i="15" s="1"/>
  <c r="I6" i="15"/>
  <c r="O6" i="15" s="1"/>
  <c r="H6" i="15"/>
  <c r="G6" i="15"/>
  <c r="I5" i="15"/>
  <c r="O5" i="15" s="1"/>
  <c r="H5" i="15"/>
  <c r="G5" i="15"/>
  <c r="J5" i="15" s="1"/>
  <c r="O4" i="15"/>
  <c r="M4" i="15"/>
  <c r="I4" i="15"/>
  <c r="H4" i="15"/>
  <c r="G4" i="15"/>
  <c r="J4" i="15" s="1"/>
  <c r="I20" i="14"/>
  <c r="O20" i="14" s="1"/>
  <c r="I19" i="14"/>
  <c r="O19" i="14" s="1"/>
  <c r="H20" i="14"/>
  <c r="H19" i="14"/>
  <c r="G20" i="14"/>
  <c r="J20" i="14" s="1"/>
  <c r="G19" i="14"/>
  <c r="J19" i="14" s="1"/>
  <c r="I18" i="14"/>
  <c r="O18" i="14" s="1"/>
  <c r="H18" i="14"/>
  <c r="M18" i="14" s="1"/>
  <c r="G18" i="14"/>
  <c r="J18" i="14" s="1"/>
  <c r="H67" i="14"/>
  <c r="M67" i="14" s="1"/>
  <c r="G67" i="14"/>
  <c r="J67" i="14" s="1"/>
  <c r="H66" i="14"/>
  <c r="M66" i="14" s="1"/>
  <c r="G66" i="14"/>
  <c r="J66" i="14" s="1"/>
  <c r="H65" i="14"/>
  <c r="M65" i="14" s="1"/>
  <c r="G65" i="14"/>
  <c r="J65" i="14" s="1"/>
  <c r="H64" i="14"/>
  <c r="M64" i="14" s="1"/>
  <c r="G64" i="14"/>
  <c r="J64" i="14" s="1"/>
  <c r="H63" i="14"/>
  <c r="M63" i="14" s="1"/>
  <c r="G63" i="14"/>
  <c r="J63" i="14" s="1"/>
  <c r="H62" i="14"/>
  <c r="M62" i="14" s="1"/>
  <c r="G62" i="14"/>
  <c r="J62" i="14" s="1"/>
  <c r="H61" i="14"/>
  <c r="M61" i="14" s="1"/>
  <c r="G61" i="14"/>
  <c r="J61" i="14" s="1"/>
  <c r="H60" i="14"/>
  <c r="M60" i="14" s="1"/>
  <c r="G60" i="14"/>
  <c r="J60" i="14" s="1"/>
  <c r="H59" i="14"/>
  <c r="M59" i="14" s="1"/>
  <c r="G59" i="14"/>
  <c r="J59" i="14" s="1"/>
  <c r="H58" i="14"/>
  <c r="M58" i="14" s="1"/>
  <c r="G58" i="14"/>
  <c r="J58" i="14" s="1"/>
  <c r="H57" i="14"/>
  <c r="M57" i="14" s="1"/>
  <c r="G57" i="14"/>
  <c r="J57" i="14" s="1"/>
  <c r="H56" i="14"/>
  <c r="M56" i="14" s="1"/>
  <c r="G56" i="14"/>
  <c r="J56" i="14" s="1"/>
  <c r="H55" i="14"/>
  <c r="M55" i="14" s="1"/>
  <c r="G55" i="14"/>
  <c r="J55" i="14" s="1"/>
  <c r="H54" i="14"/>
  <c r="M54" i="14" s="1"/>
  <c r="G54" i="14"/>
  <c r="J54" i="14" s="1"/>
  <c r="H53" i="14"/>
  <c r="M53" i="14" s="1"/>
  <c r="G53" i="14"/>
  <c r="J53" i="14" s="1"/>
  <c r="H52" i="14"/>
  <c r="M52" i="14" s="1"/>
  <c r="G52" i="14"/>
  <c r="J52" i="14" s="1"/>
  <c r="H51" i="14"/>
  <c r="M51" i="14" s="1"/>
  <c r="G51" i="14"/>
  <c r="J51" i="14" s="1"/>
  <c r="H50" i="14"/>
  <c r="M50" i="14" s="1"/>
  <c r="G50" i="14"/>
  <c r="J50" i="14" s="1"/>
  <c r="I44" i="14"/>
  <c r="O44" i="14" s="1"/>
  <c r="H44" i="14"/>
  <c r="G44" i="14"/>
  <c r="I43" i="14"/>
  <c r="O43" i="14" s="1"/>
  <c r="H43" i="14"/>
  <c r="M43" i="14" s="1"/>
  <c r="G43" i="14"/>
  <c r="J43" i="14" s="1"/>
  <c r="I42" i="14"/>
  <c r="O42" i="14" s="1"/>
  <c r="H42" i="14"/>
  <c r="G42" i="14"/>
  <c r="I41" i="14"/>
  <c r="O41" i="14" s="1"/>
  <c r="H41" i="14"/>
  <c r="G41" i="14"/>
  <c r="I40" i="14"/>
  <c r="O40" i="14" s="1"/>
  <c r="H40" i="14"/>
  <c r="G40" i="14"/>
  <c r="I39" i="14"/>
  <c r="O39" i="14" s="1"/>
  <c r="H39" i="14"/>
  <c r="M39" i="14" s="1"/>
  <c r="G39" i="14"/>
  <c r="J39" i="14" s="1"/>
  <c r="I38" i="14"/>
  <c r="O38" i="14" s="1"/>
  <c r="H38" i="14"/>
  <c r="G38" i="14"/>
  <c r="J38" i="14" s="1"/>
  <c r="I37" i="14"/>
  <c r="O37" i="14" s="1"/>
  <c r="H37" i="14"/>
  <c r="G37" i="14"/>
  <c r="I36" i="14"/>
  <c r="O36" i="14" s="1"/>
  <c r="H36" i="14"/>
  <c r="M36" i="14" s="1"/>
  <c r="G36" i="14"/>
  <c r="J36" i="14" s="1"/>
  <c r="I35" i="14"/>
  <c r="H35" i="14"/>
  <c r="M35" i="14" s="1"/>
  <c r="G35" i="14"/>
  <c r="I34" i="14"/>
  <c r="O34" i="14" s="1"/>
  <c r="H34" i="14"/>
  <c r="G34" i="14"/>
  <c r="J34" i="14" s="1"/>
  <c r="I33" i="14"/>
  <c r="O33" i="14" s="1"/>
  <c r="H33" i="14"/>
  <c r="G33" i="14"/>
  <c r="I32" i="14"/>
  <c r="O32" i="14" s="1"/>
  <c r="H32" i="14"/>
  <c r="M32" i="14" s="1"/>
  <c r="G32" i="14"/>
  <c r="I31" i="14"/>
  <c r="H31" i="14"/>
  <c r="M31" i="14" s="1"/>
  <c r="G31" i="14"/>
  <c r="J31" i="14" s="1"/>
  <c r="I30" i="14"/>
  <c r="O30" i="14" s="1"/>
  <c r="H30" i="14"/>
  <c r="G30" i="14"/>
  <c r="J30" i="14" s="1"/>
  <c r="I29" i="14"/>
  <c r="O29" i="14" s="1"/>
  <c r="H29" i="14"/>
  <c r="G29" i="14"/>
  <c r="I28" i="14"/>
  <c r="O28" i="14" s="1"/>
  <c r="H28" i="14"/>
  <c r="G28" i="14"/>
  <c r="J28" i="14" s="1"/>
  <c r="I27" i="14"/>
  <c r="H27" i="14"/>
  <c r="M27" i="14" s="1"/>
  <c r="G27" i="14"/>
  <c r="J27" i="14" s="1"/>
  <c r="I21" i="14"/>
  <c r="O21" i="14" s="1"/>
  <c r="H21" i="14"/>
  <c r="G21" i="14"/>
  <c r="J21" i="14" s="1"/>
  <c r="I17" i="14"/>
  <c r="O17" i="14" s="1"/>
  <c r="H17" i="14"/>
  <c r="G17" i="14"/>
  <c r="I16" i="14"/>
  <c r="H16" i="14"/>
  <c r="M16" i="14" s="1"/>
  <c r="G16" i="14"/>
  <c r="I15" i="14"/>
  <c r="O15" i="14" s="1"/>
  <c r="H15" i="14"/>
  <c r="M15" i="14" s="1"/>
  <c r="G15" i="14"/>
  <c r="I14" i="14"/>
  <c r="O14" i="14" s="1"/>
  <c r="H14" i="14"/>
  <c r="G14" i="14"/>
  <c r="I13" i="14"/>
  <c r="O13" i="14" s="1"/>
  <c r="H13" i="14"/>
  <c r="M13" i="14" s="1"/>
  <c r="G13" i="14"/>
  <c r="J13" i="14" s="1"/>
  <c r="I12" i="14"/>
  <c r="O12" i="14" s="1"/>
  <c r="H12" i="14"/>
  <c r="G12" i="14"/>
  <c r="I11" i="14"/>
  <c r="O11" i="14" s="1"/>
  <c r="H11" i="14"/>
  <c r="G11" i="14"/>
  <c r="I10" i="14"/>
  <c r="O10" i="14" s="1"/>
  <c r="H10" i="14"/>
  <c r="G10" i="14"/>
  <c r="J10" i="14" s="1"/>
  <c r="I9" i="14"/>
  <c r="O9" i="14" s="1"/>
  <c r="H9" i="14"/>
  <c r="G9" i="14"/>
  <c r="I8" i="14"/>
  <c r="O8" i="14" s="1"/>
  <c r="H8" i="14"/>
  <c r="M8" i="14" s="1"/>
  <c r="G8" i="14"/>
  <c r="I7" i="14"/>
  <c r="O7" i="14" s="1"/>
  <c r="H7" i="14"/>
  <c r="G7" i="14"/>
  <c r="I6" i="14"/>
  <c r="O6" i="14" s="1"/>
  <c r="H6" i="14"/>
  <c r="G6" i="14"/>
  <c r="I5" i="14"/>
  <c r="H5" i="14"/>
  <c r="M5" i="14" s="1"/>
  <c r="G5" i="14"/>
  <c r="J5" i="14" s="1"/>
  <c r="I4" i="14"/>
  <c r="O4" i="14" s="1"/>
  <c r="H4" i="14"/>
  <c r="G4" i="14"/>
  <c r="H103" i="13"/>
  <c r="H102" i="13"/>
  <c r="M102" i="13" s="1"/>
  <c r="G103" i="13"/>
  <c r="J103" i="13" s="1"/>
  <c r="G102" i="13"/>
  <c r="J102" i="13" s="1"/>
  <c r="I65" i="13"/>
  <c r="H65" i="13"/>
  <c r="M65" i="13" s="1"/>
  <c r="G65" i="13"/>
  <c r="J65" i="13" s="1"/>
  <c r="I27" i="13"/>
  <c r="O27" i="13" s="1"/>
  <c r="I26" i="13"/>
  <c r="O26" i="13" s="1"/>
  <c r="H27" i="13"/>
  <c r="H26" i="13"/>
  <c r="G27" i="13"/>
  <c r="J27" i="13" s="1"/>
  <c r="G26" i="13"/>
  <c r="H112" i="13"/>
  <c r="G112" i="13"/>
  <c r="H111" i="13"/>
  <c r="M111" i="13" s="1"/>
  <c r="G111" i="13"/>
  <c r="J111" i="13" s="1"/>
  <c r="H110" i="13"/>
  <c r="G110" i="13"/>
  <c r="H109" i="13"/>
  <c r="G109" i="13"/>
  <c r="H108" i="13"/>
  <c r="M108" i="13" s="1"/>
  <c r="G108" i="13"/>
  <c r="H107" i="13"/>
  <c r="G107" i="13"/>
  <c r="H106" i="13"/>
  <c r="M106" i="13" s="1"/>
  <c r="G106" i="13"/>
  <c r="H105" i="13"/>
  <c r="G105" i="13"/>
  <c r="H104" i="13"/>
  <c r="M104" i="13" s="1"/>
  <c r="G104" i="13"/>
  <c r="H101" i="13"/>
  <c r="G101" i="13"/>
  <c r="H100" i="13"/>
  <c r="M100" i="13" s="1"/>
  <c r="G100" i="13"/>
  <c r="J100" i="13" s="1"/>
  <c r="H99" i="13"/>
  <c r="M99" i="13" s="1"/>
  <c r="G99" i="13"/>
  <c r="H98" i="13"/>
  <c r="G98" i="13"/>
  <c r="H97" i="13"/>
  <c r="G97" i="13"/>
  <c r="H96" i="13"/>
  <c r="M96" i="13" s="1"/>
  <c r="G96" i="13"/>
  <c r="J96" i="13" s="1"/>
  <c r="H95" i="13"/>
  <c r="G95" i="13"/>
  <c r="H94" i="13"/>
  <c r="G94" i="13"/>
  <c r="J94" i="13" s="1"/>
  <c r="H93" i="13"/>
  <c r="M93" i="13" s="1"/>
  <c r="G93" i="13"/>
  <c r="H92" i="13"/>
  <c r="M92" i="13" s="1"/>
  <c r="G92" i="13"/>
  <c r="H91" i="13"/>
  <c r="M91" i="13" s="1"/>
  <c r="G91" i="13"/>
  <c r="H90" i="13"/>
  <c r="G90" i="13"/>
  <c r="H89" i="13"/>
  <c r="M89" i="13" s="1"/>
  <c r="G89" i="13"/>
  <c r="H88" i="13"/>
  <c r="M88" i="13" s="1"/>
  <c r="G88" i="13"/>
  <c r="J88" i="13" s="1"/>
  <c r="H87" i="13"/>
  <c r="M87" i="13" s="1"/>
  <c r="G87" i="13"/>
  <c r="H86" i="13"/>
  <c r="G86" i="13"/>
  <c r="H85" i="13"/>
  <c r="G85" i="13"/>
  <c r="H84" i="13"/>
  <c r="M84" i="13" s="1"/>
  <c r="G84" i="13"/>
  <c r="J84" i="13" s="1"/>
  <c r="H83" i="13"/>
  <c r="M83" i="13" s="1"/>
  <c r="G83" i="13"/>
  <c r="H82" i="13"/>
  <c r="G82" i="13"/>
  <c r="H81" i="13"/>
  <c r="G81" i="13"/>
  <c r="H80" i="13"/>
  <c r="M80" i="13" s="1"/>
  <c r="G80" i="13"/>
  <c r="I74" i="13"/>
  <c r="O74" i="13" s="1"/>
  <c r="H74" i="13"/>
  <c r="G74" i="13"/>
  <c r="I73" i="13"/>
  <c r="H73" i="13"/>
  <c r="M73" i="13" s="1"/>
  <c r="G73" i="13"/>
  <c r="I72" i="13"/>
  <c r="O72" i="13" s="1"/>
  <c r="H72" i="13"/>
  <c r="M72" i="13" s="1"/>
  <c r="G72" i="13"/>
  <c r="J72" i="13" s="1"/>
  <c r="I71" i="13"/>
  <c r="O71" i="13" s="1"/>
  <c r="H71" i="13"/>
  <c r="M71" i="13" s="1"/>
  <c r="G71" i="13"/>
  <c r="I70" i="13"/>
  <c r="O70" i="13" s="1"/>
  <c r="H70" i="13"/>
  <c r="G70" i="13"/>
  <c r="I69" i="13"/>
  <c r="H69" i="13"/>
  <c r="M69" i="13" s="1"/>
  <c r="G69" i="13"/>
  <c r="I68" i="13"/>
  <c r="O68" i="13" s="1"/>
  <c r="H68" i="13"/>
  <c r="M68" i="13" s="1"/>
  <c r="G68" i="13"/>
  <c r="I67" i="13"/>
  <c r="O67" i="13" s="1"/>
  <c r="H67" i="13"/>
  <c r="M67" i="13" s="1"/>
  <c r="G67" i="13"/>
  <c r="I66" i="13"/>
  <c r="O66" i="13" s="1"/>
  <c r="H66" i="13"/>
  <c r="G66" i="13"/>
  <c r="I64" i="13"/>
  <c r="O64" i="13" s="1"/>
  <c r="H64" i="13"/>
  <c r="M64" i="13" s="1"/>
  <c r="G64" i="13"/>
  <c r="I63" i="13"/>
  <c r="H63" i="13"/>
  <c r="M63" i="13" s="1"/>
  <c r="G63" i="13"/>
  <c r="I62" i="13"/>
  <c r="O62" i="13" s="1"/>
  <c r="H62" i="13"/>
  <c r="G62" i="13"/>
  <c r="J62" i="13" s="1"/>
  <c r="I61" i="13"/>
  <c r="O61" i="13" s="1"/>
  <c r="H61" i="13"/>
  <c r="G61" i="13"/>
  <c r="I60" i="13"/>
  <c r="O60" i="13" s="1"/>
  <c r="H60" i="13"/>
  <c r="G60" i="13"/>
  <c r="I59" i="13"/>
  <c r="O59" i="13" s="1"/>
  <c r="H59" i="13"/>
  <c r="M59" i="13" s="1"/>
  <c r="G59" i="13"/>
  <c r="J59" i="13" s="1"/>
  <c r="I58" i="13"/>
  <c r="O58" i="13" s="1"/>
  <c r="H58" i="13"/>
  <c r="G58" i="13"/>
  <c r="J58" i="13" s="1"/>
  <c r="I57" i="13"/>
  <c r="O57" i="13" s="1"/>
  <c r="H57" i="13"/>
  <c r="G57" i="13"/>
  <c r="I56" i="13"/>
  <c r="O56" i="13" s="1"/>
  <c r="H56" i="13"/>
  <c r="G56" i="13"/>
  <c r="J56" i="13" s="1"/>
  <c r="I55" i="13"/>
  <c r="O55" i="13" s="1"/>
  <c r="H55" i="13"/>
  <c r="M55" i="13" s="1"/>
  <c r="G55" i="13"/>
  <c r="I54" i="13"/>
  <c r="O54" i="13" s="1"/>
  <c r="H54" i="13"/>
  <c r="M54" i="13" s="1"/>
  <c r="G54" i="13"/>
  <c r="I53" i="13"/>
  <c r="O53" i="13" s="1"/>
  <c r="H53" i="13"/>
  <c r="M53" i="13" s="1"/>
  <c r="G53" i="13"/>
  <c r="I52" i="13"/>
  <c r="O52" i="13" s="1"/>
  <c r="H52" i="13"/>
  <c r="G52" i="13"/>
  <c r="I51" i="13"/>
  <c r="O51" i="13" s="1"/>
  <c r="H51" i="13"/>
  <c r="M51" i="13" s="1"/>
  <c r="G51" i="13"/>
  <c r="I50" i="13"/>
  <c r="O50" i="13" s="1"/>
  <c r="H50" i="13"/>
  <c r="M50" i="13" s="1"/>
  <c r="G50" i="13"/>
  <c r="J50" i="13" s="1"/>
  <c r="I49" i="13"/>
  <c r="O49" i="13" s="1"/>
  <c r="H49" i="13"/>
  <c r="M49" i="13" s="1"/>
  <c r="G49" i="13"/>
  <c r="I48" i="13"/>
  <c r="O48" i="13" s="1"/>
  <c r="H48" i="13"/>
  <c r="G48" i="13"/>
  <c r="J48" i="13" s="1"/>
  <c r="I47" i="13"/>
  <c r="O47" i="13" s="1"/>
  <c r="H47" i="13"/>
  <c r="G47" i="13"/>
  <c r="I46" i="13"/>
  <c r="O46" i="13" s="1"/>
  <c r="H46" i="13"/>
  <c r="M46" i="13" s="1"/>
  <c r="G46" i="13"/>
  <c r="J46" i="13" s="1"/>
  <c r="I45" i="13"/>
  <c r="O45" i="13" s="1"/>
  <c r="H45" i="13"/>
  <c r="G45" i="13"/>
  <c r="I44" i="13"/>
  <c r="O44" i="13" s="1"/>
  <c r="H44" i="13"/>
  <c r="G44" i="13"/>
  <c r="J44" i="13" s="1"/>
  <c r="I43" i="13"/>
  <c r="O43" i="13" s="1"/>
  <c r="H43" i="13"/>
  <c r="G43" i="13"/>
  <c r="I42" i="13"/>
  <c r="O42" i="13" s="1"/>
  <c r="H42" i="13"/>
  <c r="M42" i="13" s="1"/>
  <c r="G42" i="13"/>
  <c r="I36" i="13"/>
  <c r="O36" i="13" s="1"/>
  <c r="H36" i="13"/>
  <c r="G36" i="13"/>
  <c r="J36" i="13" s="1"/>
  <c r="I35" i="13"/>
  <c r="O35" i="13" s="1"/>
  <c r="H35" i="13"/>
  <c r="M35" i="13" s="1"/>
  <c r="G35" i="13"/>
  <c r="I34" i="13"/>
  <c r="O34" i="13" s="1"/>
  <c r="H34" i="13"/>
  <c r="M34" i="13" s="1"/>
  <c r="G34" i="13"/>
  <c r="J34" i="13" s="1"/>
  <c r="I33" i="13"/>
  <c r="O33" i="13" s="1"/>
  <c r="H33" i="13"/>
  <c r="M33" i="13" s="1"/>
  <c r="G33" i="13"/>
  <c r="I32" i="13"/>
  <c r="O32" i="13" s="1"/>
  <c r="H32" i="13"/>
  <c r="G32" i="13"/>
  <c r="J32" i="13" s="1"/>
  <c r="I31" i="13"/>
  <c r="O31" i="13" s="1"/>
  <c r="H31" i="13"/>
  <c r="G31" i="13"/>
  <c r="I30" i="13"/>
  <c r="O30" i="13" s="1"/>
  <c r="H30" i="13"/>
  <c r="M30" i="13" s="1"/>
  <c r="G30" i="13"/>
  <c r="J30" i="13" s="1"/>
  <c r="I29" i="13"/>
  <c r="O29" i="13" s="1"/>
  <c r="H29" i="13"/>
  <c r="G29" i="13"/>
  <c r="I28" i="13"/>
  <c r="O28" i="13" s="1"/>
  <c r="H28" i="13"/>
  <c r="G28" i="13"/>
  <c r="J28" i="13" s="1"/>
  <c r="I25" i="13"/>
  <c r="O25" i="13" s="1"/>
  <c r="H25" i="13"/>
  <c r="G25" i="13"/>
  <c r="J25" i="13" s="1"/>
  <c r="I24" i="13"/>
  <c r="O24" i="13" s="1"/>
  <c r="H24" i="13"/>
  <c r="G24" i="13"/>
  <c r="I23" i="13"/>
  <c r="O23" i="13" s="1"/>
  <c r="H23" i="13"/>
  <c r="M23" i="13" s="1"/>
  <c r="G23" i="13"/>
  <c r="J23" i="13" s="1"/>
  <c r="I22" i="13"/>
  <c r="H22" i="13"/>
  <c r="M22" i="13" s="1"/>
  <c r="G22" i="13"/>
  <c r="I21" i="13"/>
  <c r="O21" i="13" s="1"/>
  <c r="H21" i="13"/>
  <c r="G21" i="13"/>
  <c r="I20" i="13"/>
  <c r="O20" i="13" s="1"/>
  <c r="H20" i="13"/>
  <c r="G20" i="13"/>
  <c r="I19" i="13"/>
  <c r="O19" i="13" s="1"/>
  <c r="H19" i="13"/>
  <c r="M19" i="13" s="1"/>
  <c r="G19" i="13"/>
  <c r="J19" i="13" s="1"/>
  <c r="I18" i="13"/>
  <c r="H18" i="13"/>
  <c r="M18" i="13" s="1"/>
  <c r="G18" i="13"/>
  <c r="I17" i="13"/>
  <c r="O17" i="13" s="1"/>
  <c r="H17" i="13"/>
  <c r="M17" i="13" s="1"/>
  <c r="G17" i="13"/>
  <c r="J17" i="13" s="1"/>
  <c r="I16" i="13"/>
  <c r="O16" i="13" s="1"/>
  <c r="H16" i="13"/>
  <c r="M16" i="13" s="1"/>
  <c r="G16" i="13"/>
  <c r="I15" i="13"/>
  <c r="O15" i="13" s="1"/>
  <c r="H15" i="13"/>
  <c r="M15" i="13" s="1"/>
  <c r="G15" i="13"/>
  <c r="J15" i="13" s="1"/>
  <c r="I14" i="13"/>
  <c r="O14" i="13" s="1"/>
  <c r="H14" i="13"/>
  <c r="M14" i="13" s="1"/>
  <c r="G14" i="13"/>
  <c r="I13" i="13"/>
  <c r="O13" i="13" s="1"/>
  <c r="H13" i="13"/>
  <c r="M13" i="13" s="1"/>
  <c r="G13" i="13"/>
  <c r="J13" i="13" s="1"/>
  <c r="I12" i="13"/>
  <c r="O12" i="13" s="1"/>
  <c r="H12" i="13"/>
  <c r="G12" i="13"/>
  <c r="J12" i="13" s="1"/>
  <c r="I11" i="13"/>
  <c r="O11" i="13" s="1"/>
  <c r="H11" i="13"/>
  <c r="M11" i="13" s="1"/>
  <c r="G11" i="13"/>
  <c r="I10" i="13"/>
  <c r="O10" i="13" s="1"/>
  <c r="H10" i="13"/>
  <c r="G10" i="13"/>
  <c r="I9" i="13"/>
  <c r="O9" i="13" s="1"/>
  <c r="H9" i="13"/>
  <c r="G9" i="13"/>
  <c r="J9" i="13" s="1"/>
  <c r="I8" i="13"/>
  <c r="O8" i="13" s="1"/>
  <c r="H8" i="13"/>
  <c r="M8" i="13" s="1"/>
  <c r="G8" i="13"/>
  <c r="J8" i="13" s="1"/>
  <c r="I7" i="13"/>
  <c r="O7" i="13" s="1"/>
  <c r="H7" i="13"/>
  <c r="G7" i="13"/>
  <c r="I6" i="13"/>
  <c r="O6" i="13" s="1"/>
  <c r="H6" i="13"/>
  <c r="G6" i="13"/>
  <c r="I5" i="13"/>
  <c r="O5" i="13" s="1"/>
  <c r="H5" i="13"/>
  <c r="G5" i="13"/>
  <c r="J5" i="13" s="1"/>
  <c r="I4" i="13"/>
  <c r="O4" i="13" s="1"/>
  <c r="H4" i="13"/>
  <c r="M4" i="13" s="1"/>
  <c r="G4" i="13"/>
  <c r="J4" i="13" s="1"/>
  <c r="H120" i="12"/>
  <c r="M120" i="12" s="1"/>
  <c r="G120" i="12"/>
  <c r="J120" i="12" s="1"/>
  <c r="H109" i="12"/>
  <c r="G109" i="12"/>
  <c r="J109" i="12" s="1"/>
  <c r="I76" i="12"/>
  <c r="O76" i="12" s="1"/>
  <c r="H76" i="12"/>
  <c r="G76" i="12"/>
  <c r="J76" i="12" s="1"/>
  <c r="I65" i="12"/>
  <c r="O65" i="12" s="1"/>
  <c r="H65" i="12"/>
  <c r="G65" i="12"/>
  <c r="J65" i="12" s="1"/>
  <c r="I32" i="12"/>
  <c r="O32" i="12" s="1"/>
  <c r="H32" i="12"/>
  <c r="M32" i="12" s="1"/>
  <c r="G32" i="12"/>
  <c r="J32" i="12" s="1"/>
  <c r="I21" i="12"/>
  <c r="O21" i="12" s="1"/>
  <c r="H21" i="12"/>
  <c r="M21" i="12" s="1"/>
  <c r="G21" i="12"/>
  <c r="J21" i="12" s="1"/>
  <c r="H130" i="12"/>
  <c r="M130" i="12" s="1"/>
  <c r="G130" i="12"/>
  <c r="J130" i="12" s="1"/>
  <c r="H129" i="12"/>
  <c r="M129" i="12" s="1"/>
  <c r="G129" i="12"/>
  <c r="J129" i="12" s="1"/>
  <c r="H128" i="12"/>
  <c r="M128" i="12" s="1"/>
  <c r="G128" i="12"/>
  <c r="J128" i="12" s="1"/>
  <c r="H127" i="12"/>
  <c r="M127" i="12" s="1"/>
  <c r="G127" i="12"/>
  <c r="J127" i="12" s="1"/>
  <c r="H126" i="12"/>
  <c r="M126" i="12" s="1"/>
  <c r="G126" i="12"/>
  <c r="J126" i="12" s="1"/>
  <c r="H125" i="12"/>
  <c r="M125" i="12" s="1"/>
  <c r="G125" i="12"/>
  <c r="J125" i="12" s="1"/>
  <c r="J124" i="12"/>
  <c r="H124" i="12"/>
  <c r="M124" i="12" s="1"/>
  <c r="G124" i="12"/>
  <c r="H123" i="12"/>
  <c r="M123" i="12" s="1"/>
  <c r="G123" i="12"/>
  <c r="J123" i="12" s="1"/>
  <c r="H122" i="12"/>
  <c r="M122" i="12" s="1"/>
  <c r="G122" i="12"/>
  <c r="J122" i="12" s="1"/>
  <c r="H121" i="12"/>
  <c r="M121" i="12" s="1"/>
  <c r="G121" i="12"/>
  <c r="J121" i="12" s="1"/>
  <c r="H119" i="12"/>
  <c r="M119" i="12" s="1"/>
  <c r="G119" i="12"/>
  <c r="J119" i="12" s="1"/>
  <c r="H118" i="12"/>
  <c r="M118" i="12" s="1"/>
  <c r="G118" i="12"/>
  <c r="J118" i="12" s="1"/>
  <c r="H117" i="12"/>
  <c r="M117" i="12" s="1"/>
  <c r="G117" i="12"/>
  <c r="J117" i="12" s="1"/>
  <c r="H116" i="12"/>
  <c r="M116" i="12" s="1"/>
  <c r="G116" i="12"/>
  <c r="J116" i="12" s="1"/>
  <c r="H115" i="12"/>
  <c r="M115" i="12" s="1"/>
  <c r="G115" i="12"/>
  <c r="J115" i="12" s="1"/>
  <c r="H114" i="12"/>
  <c r="M114" i="12" s="1"/>
  <c r="G114" i="12"/>
  <c r="J114" i="12" s="1"/>
  <c r="H113" i="12"/>
  <c r="M113" i="12" s="1"/>
  <c r="G113" i="12"/>
  <c r="J113" i="12" s="1"/>
  <c r="H112" i="12"/>
  <c r="M112" i="12" s="1"/>
  <c r="G112" i="12"/>
  <c r="J112" i="12" s="1"/>
  <c r="H111" i="12"/>
  <c r="M111" i="12" s="1"/>
  <c r="G111" i="12"/>
  <c r="J111" i="12" s="1"/>
  <c r="J110" i="12"/>
  <c r="H110" i="12"/>
  <c r="M110" i="12" s="1"/>
  <c r="G110" i="12"/>
  <c r="H108" i="12"/>
  <c r="M108" i="12" s="1"/>
  <c r="G108" i="12"/>
  <c r="J108" i="12" s="1"/>
  <c r="H107" i="12"/>
  <c r="M107" i="12" s="1"/>
  <c r="G107" i="12"/>
  <c r="J107" i="12" s="1"/>
  <c r="H106" i="12"/>
  <c r="M106" i="12" s="1"/>
  <c r="G106" i="12"/>
  <c r="J106" i="12" s="1"/>
  <c r="H105" i="12"/>
  <c r="M105" i="12" s="1"/>
  <c r="G105" i="12"/>
  <c r="J105" i="12" s="1"/>
  <c r="H104" i="12"/>
  <c r="M104" i="12" s="1"/>
  <c r="G104" i="12"/>
  <c r="J104" i="12" s="1"/>
  <c r="H103" i="12"/>
  <c r="M103" i="12" s="1"/>
  <c r="G103" i="12"/>
  <c r="J103" i="12" s="1"/>
  <c r="H102" i="12"/>
  <c r="M102" i="12" s="1"/>
  <c r="G102" i="12"/>
  <c r="J102" i="12" s="1"/>
  <c r="H101" i="12"/>
  <c r="M101" i="12" s="1"/>
  <c r="G101" i="12"/>
  <c r="J101" i="12" s="1"/>
  <c r="H100" i="12"/>
  <c r="M100" i="12" s="1"/>
  <c r="G100" i="12"/>
  <c r="J100" i="12" s="1"/>
  <c r="H99" i="12"/>
  <c r="M99" i="12" s="1"/>
  <c r="G99" i="12"/>
  <c r="J99" i="12" s="1"/>
  <c r="H98" i="12"/>
  <c r="M98" i="12" s="1"/>
  <c r="G98" i="12"/>
  <c r="J98" i="12" s="1"/>
  <c r="H97" i="12"/>
  <c r="M97" i="12" s="1"/>
  <c r="G97" i="12"/>
  <c r="J97" i="12" s="1"/>
  <c r="H96" i="12"/>
  <c r="M96" i="12" s="1"/>
  <c r="G96" i="12"/>
  <c r="J96" i="12" s="1"/>
  <c r="H95" i="12"/>
  <c r="M95" i="12" s="1"/>
  <c r="G95" i="12"/>
  <c r="J95" i="12" s="1"/>
  <c r="H94" i="12"/>
  <c r="M94" i="12" s="1"/>
  <c r="G94" i="12"/>
  <c r="J94" i="12" s="1"/>
  <c r="J93" i="12"/>
  <c r="H93" i="12"/>
  <c r="M93" i="12" s="1"/>
  <c r="G93" i="12"/>
  <c r="H92" i="12"/>
  <c r="M92" i="12" s="1"/>
  <c r="G92" i="12"/>
  <c r="J92" i="12" s="1"/>
  <c r="I86" i="12"/>
  <c r="O86" i="12" s="1"/>
  <c r="H86" i="12"/>
  <c r="G86" i="12"/>
  <c r="J86" i="12" s="1"/>
  <c r="I85" i="12"/>
  <c r="O85" i="12" s="1"/>
  <c r="H85" i="12"/>
  <c r="G85" i="12"/>
  <c r="J85" i="12" s="1"/>
  <c r="I84" i="12"/>
  <c r="O84" i="12" s="1"/>
  <c r="H84" i="12"/>
  <c r="M84" i="12" s="1"/>
  <c r="G84" i="12"/>
  <c r="J83" i="12"/>
  <c r="I83" i="12"/>
  <c r="H83" i="12"/>
  <c r="M83" i="12" s="1"/>
  <c r="G83" i="12"/>
  <c r="I82" i="12"/>
  <c r="H82" i="12"/>
  <c r="M82" i="12" s="1"/>
  <c r="G82" i="12"/>
  <c r="I81" i="12"/>
  <c r="O81" i="12" s="1"/>
  <c r="H81" i="12"/>
  <c r="G81" i="12"/>
  <c r="I80" i="12"/>
  <c r="O80" i="12" s="1"/>
  <c r="H80" i="12"/>
  <c r="N80" i="12" s="1"/>
  <c r="G80" i="12"/>
  <c r="I79" i="12"/>
  <c r="O79" i="12" s="1"/>
  <c r="H79" i="12"/>
  <c r="M79" i="12" s="1"/>
  <c r="G79" i="12"/>
  <c r="J79" i="12" s="1"/>
  <c r="I78" i="12"/>
  <c r="H78" i="12"/>
  <c r="M78" i="12" s="1"/>
  <c r="G78" i="12"/>
  <c r="I77" i="12"/>
  <c r="O77" i="12" s="1"/>
  <c r="H77" i="12"/>
  <c r="G77" i="12"/>
  <c r="I75" i="12"/>
  <c r="O75" i="12" s="1"/>
  <c r="H75" i="12"/>
  <c r="G75" i="12"/>
  <c r="I74" i="12"/>
  <c r="O74" i="12" s="1"/>
  <c r="H74" i="12"/>
  <c r="M74" i="12" s="1"/>
  <c r="G74" i="12"/>
  <c r="I73" i="12"/>
  <c r="H73" i="12"/>
  <c r="G73" i="12"/>
  <c r="J73" i="12" s="1"/>
  <c r="I72" i="12"/>
  <c r="O72" i="12" s="1"/>
  <c r="H72" i="12"/>
  <c r="G72" i="12"/>
  <c r="I71" i="12"/>
  <c r="O71" i="12" s="1"/>
  <c r="H71" i="12"/>
  <c r="G71" i="12"/>
  <c r="I70" i="12"/>
  <c r="O70" i="12" s="1"/>
  <c r="H70" i="12"/>
  <c r="G70" i="12"/>
  <c r="I69" i="12"/>
  <c r="H69" i="12"/>
  <c r="M69" i="12" s="1"/>
  <c r="G69" i="12"/>
  <c r="J69" i="12" s="1"/>
  <c r="I68" i="12"/>
  <c r="O68" i="12" s="1"/>
  <c r="H68" i="12"/>
  <c r="G68" i="12"/>
  <c r="I67" i="12"/>
  <c r="O67" i="12" s="1"/>
  <c r="H67" i="12"/>
  <c r="N67" i="12" s="1"/>
  <c r="G67" i="12"/>
  <c r="I66" i="12"/>
  <c r="O66" i="12" s="1"/>
  <c r="H66" i="12"/>
  <c r="G66" i="12"/>
  <c r="J66" i="12" s="1"/>
  <c r="I64" i="12"/>
  <c r="H64" i="12"/>
  <c r="G64" i="12"/>
  <c r="I63" i="12"/>
  <c r="O63" i="12" s="1"/>
  <c r="H63" i="12"/>
  <c r="G63" i="12"/>
  <c r="I62" i="12"/>
  <c r="O62" i="12" s="1"/>
  <c r="H62" i="12"/>
  <c r="M62" i="12" s="1"/>
  <c r="G62" i="12"/>
  <c r="I61" i="12"/>
  <c r="O61" i="12" s="1"/>
  <c r="H61" i="12"/>
  <c r="M61" i="12" s="1"/>
  <c r="G61" i="12"/>
  <c r="L61" i="12" s="1"/>
  <c r="I60" i="12"/>
  <c r="H60" i="12"/>
  <c r="G60" i="12"/>
  <c r="J60" i="12" s="1"/>
  <c r="I59" i="12"/>
  <c r="O59" i="12" s="1"/>
  <c r="H59" i="12"/>
  <c r="G59" i="12"/>
  <c r="I58" i="12"/>
  <c r="O58" i="12" s="1"/>
  <c r="H58" i="12"/>
  <c r="M58" i="12" s="1"/>
  <c r="G58" i="12"/>
  <c r="I57" i="12"/>
  <c r="O57" i="12" s="1"/>
  <c r="H57" i="12"/>
  <c r="M57" i="12" s="1"/>
  <c r="G57" i="12"/>
  <c r="J57" i="12" s="1"/>
  <c r="I56" i="12"/>
  <c r="H56" i="12"/>
  <c r="M56" i="12" s="1"/>
  <c r="G56" i="12"/>
  <c r="I55" i="12"/>
  <c r="O55" i="12" s="1"/>
  <c r="H55" i="12"/>
  <c r="G55" i="12"/>
  <c r="I54" i="12"/>
  <c r="O54" i="12" s="1"/>
  <c r="H54" i="12"/>
  <c r="M54" i="12" s="1"/>
  <c r="G54" i="12"/>
  <c r="I53" i="12"/>
  <c r="H53" i="12"/>
  <c r="G53" i="12"/>
  <c r="J53" i="12" s="1"/>
  <c r="I52" i="12"/>
  <c r="O52" i="12" s="1"/>
  <c r="H52" i="12"/>
  <c r="G52" i="12"/>
  <c r="I51" i="12"/>
  <c r="O51" i="12" s="1"/>
  <c r="H51" i="12"/>
  <c r="M51" i="12" s="1"/>
  <c r="G51" i="12"/>
  <c r="I50" i="12"/>
  <c r="H50" i="12"/>
  <c r="M50" i="12" s="1"/>
  <c r="G50" i="12"/>
  <c r="J50" i="12" s="1"/>
  <c r="I49" i="12"/>
  <c r="H49" i="12"/>
  <c r="M49" i="12" s="1"/>
  <c r="G49" i="12"/>
  <c r="I48" i="12"/>
  <c r="O48" i="12" s="1"/>
  <c r="H48" i="12"/>
  <c r="G48" i="12"/>
  <c r="I42" i="12"/>
  <c r="O42" i="12" s="1"/>
  <c r="H42" i="12"/>
  <c r="M42" i="12" s="1"/>
  <c r="G42" i="12"/>
  <c r="J42" i="12" s="1"/>
  <c r="I41" i="12"/>
  <c r="H41" i="12"/>
  <c r="M41" i="12" s="1"/>
  <c r="G41" i="12"/>
  <c r="I40" i="12"/>
  <c r="O40" i="12" s="1"/>
  <c r="H40" i="12"/>
  <c r="G40" i="12"/>
  <c r="I39" i="12"/>
  <c r="O39" i="12" s="1"/>
  <c r="H39" i="12"/>
  <c r="M39" i="12" s="1"/>
  <c r="G39" i="12"/>
  <c r="I38" i="12"/>
  <c r="O38" i="12" s="1"/>
  <c r="H38" i="12"/>
  <c r="M38" i="12" s="1"/>
  <c r="G38" i="12"/>
  <c r="I37" i="12"/>
  <c r="H37" i="12"/>
  <c r="M37" i="12" s="1"/>
  <c r="G37" i="12"/>
  <c r="I36" i="12"/>
  <c r="O36" i="12" s="1"/>
  <c r="H36" i="12"/>
  <c r="G36" i="12"/>
  <c r="I35" i="12"/>
  <c r="O35" i="12" s="1"/>
  <c r="H35" i="12"/>
  <c r="M35" i="12" s="1"/>
  <c r="G35" i="12"/>
  <c r="I34" i="12"/>
  <c r="O34" i="12" s="1"/>
  <c r="H34" i="12"/>
  <c r="M34" i="12" s="1"/>
  <c r="G34" i="12"/>
  <c r="J34" i="12" s="1"/>
  <c r="I33" i="12"/>
  <c r="H33" i="12"/>
  <c r="G33" i="12"/>
  <c r="I31" i="12"/>
  <c r="O31" i="12" s="1"/>
  <c r="H31" i="12"/>
  <c r="G31" i="12"/>
  <c r="I30" i="12"/>
  <c r="O30" i="12" s="1"/>
  <c r="H30" i="12"/>
  <c r="M30" i="12" s="1"/>
  <c r="G30" i="12"/>
  <c r="I29" i="12"/>
  <c r="O29" i="12" s="1"/>
  <c r="H29" i="12"/>
  <c r="M29" i="12" s="1"/>
  <c r="G29" i="12"/>
  <c r="J29" i="12" s="1"/>
  <c r="I28" i="12"/>
  <c r="H28" i="12"/>
  <c r="G28" i="12"/>
  <c r="I27" i="12"/>
  <c r="O27" i="12" s="1"/>
  <c r="H27" i="12"/>
  <c r="G27" i="12"/>
  <c r="J27" i="12" s="1"/>
  <c r="I26" i="12"/>
  <c r="O26" i="12" s="1"/>
  <c r="H26" i="12"/>
  <c r="M26" i="12" s="1"/>
  <c r="G26" i="12"/>
  <c r="I25" i="12"/>
  <c r="O25" i="12" s="1"/>
  <c r="H25" i="12"/>
  <c r="G25" i="12"/>
  <c r="J25" i="12" s="1"/>
  <c r="I24" i="12"/>
  <c r="O24" i="12" s="1"/>
  <c r="H24" i="12"/>
  <c r="G24" i="12"/>
  <c r="I23" i="12"/>
  <c r="O23" i="12" s="1"/>
  <c r="H23" i="12"/>
  <c r="G23" i="12"/>
  <c r="J23" i="12" s="1"/>
  <c r="I22" i="12"/>
  <c r="O22" i="12" s="1"/>
  <c r="H22" i="12"/>
  <c r="M22" i="12" s="1"/>
  <c r="G22" i="12"/>
  <c r="J22" i="12" s="1"/>
  <c r="I20" i="12"/>
  <c r="O20" i="12" s="1"/>
  <c r="H20" i="12"/>
  <c r="M20" i="12" s="1"/>
  <c r="G20" i="12"/>
  <c r="J20" i="12" s="1"/>
  <c r="I19" i="12"/>
  <c r="O19" i="12" s="1"/>
  <c r="H19" i="12"/>
  <c r="G19" i="12"/>
  <c r="J19" i="12" s="1"/>
  <c r="I18" i="12"/>
  <c r="O18" i="12" s="1"/>
  <c r="H18" i="12"/>
  <c r="G18" i="12"/>
  <c r="J18" i="12" s="1"/>
  <c r="I17" i="12"/>
  <c r="O17" i="12" s="1"/>
  <c r="H17" i="12"/>
  <c r="M17" i="12" s="1"/>
  <c r="G17" i="12"/>
  <c r="I16" i="12"/>
  <c r="O16" i="12" s="1"/>
  <c r="H16" i="12"/>
  <c r="M16" i="12" s="1"/>
  <c r="G16" i="12"/>
  <c r="J16" i="12" s="1"/>
  <c r="I15" i="12"/>
  <c r="O15" i="12" s="1"/>
  <c r="H15" i="12"/>
  <c r="G15" i="12"/>
  <c r="I14" i="12"/>
  <c r="O14" i="12" s="1"/>
  <c r="H14" i="12"/>
  <c r="G14" i="12"/>
  <c r="J14" i="12" s="1"/>
  <c r="I13" i="12"/>
  <c r="O13" i="12" s="1"/>
  <c r="H13" i="12"/>
  <c r="M13" i="12" s="1"/>
  <c r="G13" i="12"/>
  <c r="I12" i="12"/>
  <c r="O12" i="12" s="1"/>
  <c r="H12" i="12"/>
  <c r="M12" i="12" s="1"/>
  <c r="G12" i="12"/>
  <c r="J12" i="12" s="1"/>
  <c r="I11" i="12"/>
  <c r="O11" i="12" s="1"/>
  <c r="H11" i="12"/>
  <c r="G11" i="12"/>
  <c r="I10" i="12"/>
  <c r="O10" i="12" s="1"/>
  <c r="H10" i="12"/>
  <c r="G10" i="12"/>
  <c r="J10" i="12" s="1"/>
  <c r="I9" i="12"/>
  <c r="O9" i="12" s="1"/>
  <c r="H9" i="12"/>
  <c r="M9" i="12" s="1"/>
  <c r="G9" i="12"/>
  <c r="I8" i="12"/>
  <c r="O8" i="12" s="1"/>
  <c r="H8" i="12"/>
  <c r="M8" i="12" s="1"/>
  <c r="G8" i="12"/>
  <c r="J8" i="12" s="1"/>
  <c r="I7" i="12"/>
  <c r="H7" i="12"/>
  <c r="M7" i="12" s="1"/>
  <c r="G7" i="12"/>
  <c r="J7" i="12" s="1"/>
  <c r="I6" i="12"/>
  <c r="O6" i="12" s="1"/>
  <c r="H6" i="12"/>
  <c r="G6" i="12"/>
  <c r="I5" i="12"/>
  <c r="H5" i="12"/>
  <c r="M5" i="12" s="1"/>
  <c r="G5" i="12"/>
  <c r="I4" i="12"/>
  <c r="H4" i="12"/>
  <c r="M4" i="12" s="1"/>
  <c r="G4" i="12"/>
  <c r="J4" i="12" s="1"/>
  <c r="H124" i="11"/>
  <c r="M124" i="11" s="1"/>
  <c r="G124" i="11"/>
  <c r="J124" i="11" s="1"/>
  <c r="H123" i="11"/>
  <c r="M123" i="11" s="1"/>
  <c r="G123" i="11"/>
  <c r="J123" i="11" s="1"/>
  <c r="H122" i="11"/>
  <c r="G122" i="11"/>
  <c r="H121" i="11"/>
  <c r="G121" i="11"/>
  <c r="J121" i="11" s="1"/>
  <c r="J120" i="11"/>
  <c r="H120" i="11"/>
  <c r="M120" i="11" s="1"/>
  <c r="G120" i="11"/>
  <c r="H119" i="11"/>
  <c r="M119" i="11" s="1"/>
  <c r="G119" i="11"/>
  <c r="J119" i="11" s="1"/>
  <c r="H118" i="11"/>
  <c r="G118" i="11"/>
  <c r="H117" i="11"/>
  <c r="G117" i="11"/>
  <c r="J117" i="11" s="1"/>
  <c r="H116" i="11"/>
  <c r="M116" i="11" s="1"/>
  <c r="G116" i="11"/>
  <c r="J116" i="11" s="1"/>
  <c r="H115" i="11"/>
  <c r="M115" i="11" s="1"/>
  <c r="G115" i="11"/>
  <c r="J115" i="11" s="1"/>
  <c r="H114" i="11"/>
  <c r="G114" i="11"/>
  <c r="H113" i="11"/>
  <c r="G113" i="11"/>
  <c r="J113" i="11" s="1"/>
  <c r="H112" i="11"/>
  <c r="M112" i="11" s="1"/>
  <c r="G112" i="11"/>
  <c r="J112" i="11" s="1"/>
  <c r="H111" i="11"/>
  <c r="M111" i="11" s="1"/>
  <c r="G111" i="11"/>
  <c r="J111" i="11" s="1"/>
  <c r="H110" i="11"/>
  <c r="G110" i="11"/>
  <c r="H109" i="11"/>
  <c r="G109" i="11"/>
  <c r="J109" i="11" s="1"/>
  <c r="H108" i="11"/>
  <c r="M108" i="11" s="1"/>
  <c r="G108" i="11"/>
  <c r="J108" i="11" s="1"/>
  <c r="H107" i="11"/>
  <c r="M107" i="11" s="1"/>
  <c r="G107" i="11"/>
  <c r="J107" i="11" s="1"/>
  <c r="H106" i="11"/>
  <c r="G106" i="11"/>
  <c r="H105" i="11"/>
  <c r="G105" i="11"/>
  <c r="J105" i="11" s="1"/>
  <c r="H104" i="11"/>
  <c r="M104" i="11" s="1"/>
  <c r="G104" i="11"/>
  <c r="J104" i="11" s="1"/>
  <c r="H103" i="11"/>
  <c r="M103" i="11" s="1"/>
  <c r="G103" i="11"/>
  <c r="J103" i="11" s="1"/>
  <c r="H102" i="11"/>
  <c r="G102" i="11"/>
  <c r="H101" i="11"/>
  <c r="G101" i="11"/>
  <c r="J101" i="11" s="1"/>
  <c r="H100" i="11"/>
  <c r="M100" i="11" s="1"/>
  <c r="G100" i="11"/>
  <c r="J100" i="11" s="1"/>
  <c r="H99" i="11"/>
  <c r="M99" i="11" s="1"/>
  <c r="G99" i="11"/>
  <c r="J99" i="11" s="1"/>
  <c r="H98" i="11"/>
  <c r="G98" i="11"/>
  <c r="H97" i="11"/>
  <c r="G97" i="11"/>
  <c r="J97" i="11" s="1"/>
  <c r="H96" i="11"/>
  <c r="M96" i="11" s="1"/>
  <c r="G96" i="11"/>
  <c r="J96" i="11" s="1"/>
  <c r="H95" i="11"/>
  <c r="M95" i="11" s="1"/>
  <c r="G95" i="11"/>
  <c r="J95" i="11" s="1"/>
  <c r="H94" i="11"/>
  <c r="G94" i="11"/>
  <c r="K94" i="11" s="1"/>
  <c r="H93" i="11"/>
  <c r="G93" i="11"/>
  <c r="J93" i="11" s="1"/>
  <c r="H92" i="11"/>
  <c r="M92" i="11" s="1"/>
  <c r="G92" i="11"/>
  <c r="J92" i="11" s="1"/>
  <c r="H91" i="11"/>
  <c r="M91" i="11" s="1"/>
  <c r="G91" i="11"/>
  <c r="J91" i="11" s="1"/>
  <c r="H90" i="11"/>
  <c r="G90" i="11"/>
  <c r="H89" i="11"/>
  <c r="G89" i="11"/>
  <c r="J89" i="11" s="1"/>
  <c r="H88" i="11"/>
  <c r="M88" i="11" s="1"/>
  <c r="G88" i="11"/>
  <c r="J88" i="11" s="1"/>
  <c r="I82" i="11"/>
  <c r="O82" i="11" s="1"/>
  <c r="H82" i="11"/>
  <c r="M82" i="11" s="1"/>
  <c r="G82" i="11"/>
  <c r="J82" i="11" s="1"/>
  <c r="I81" i="11"/>
  <c r="O81" i="11" s="1"/>
  <c r="H81" i="11"/>
  <c r="G81" i="11"/>
  <c r="I80" i="11"/>
  <c r="O80" i="11" s="1"/>
  <c r="H80" i="11"/>
  <c r="G80" i="11"/>
  <c r="J80" i="11" s="1"/>
  <c r="I79" i="11"/>
  <c r="O79" i="11" s="1"/>
  <c r="H79" i="11"/>
  <c r="G79" i="11"/>
  <c r="J79" i="11" s="1"/>
  <c r="I78" i="11"/>
  <c r="O78" i="11" s="1"/>
  <c r="H78" i="11"/>
  <c r="M78" i="11" s="1"/>
  <c r="G78" i="11"/>
  <c r="J78" i="11" s="1"/>
  <c r="I77" i="11"/>
  <c r="O77" i="11" s="1"/>
  <c r="H77" i="11"/>
  <c r="G77" i="11"/>
  <c r="I76" i="11"/>
  <c r="O76" i="11" s="1"/>
  <c r="H76" i="11"/>
  <c r="G76" i="11"/>
  <c r="J76" i="11" s="1"/>
  <c r="I75" i="11"/>
  <c r="O75" i="11" s="1"/>
  <c r="H75" i="11"/>
  <c r="M75" i="11" s="1"/>
  <c r="G75" i="11"/>
  <c r="J75" i="11" s="1"/>
  <c r="I74" i="11"/>
  <c r="O74" i="11" s="1"/>
  <c r="H74" i="11"/>
  <c r="M74" i="11" s="1"/>
  <c r="G74" i="11"/>
  <c r="J74" i="11" s="1"/>
  <c r="I73" i="11"/>
  <c r="O73" i="11" s="1"/>
  <c r="H73" i="11"/>
  <c r="G73" i="11"/>
  <c r="I72" i="11"/>
  <c r="O72" i="11" s="1"/>
  <c r="H72" i="11"/>
  <c r="G72" i="11"/>
  <c r="J72" i="11" s="1"/>
  <c r="I71" i="11"/>
  <c r="O71" i="11" s="1"/>
  <c r="H71" i="11"/>
  <c r="M71" i="11" s="1"/>
  <c r="G71" i="11"/>
  <c r="J71" i="11" s="1"/>
  <c r="I70" i="11"/>
  <c r="O70" i="11" s="1"/>
  <c r="H70" i="11"/>
  <c r="M70" i="11" s="1"/>
  <c r="G70" i="11"/>
  <c r="J70" i="11" s="1"/>
  <c r="I69" i="11"/>
  <c r="O69" i="11" s="1"/>
  <c r="H69" i="11"/>
  <c r="G69" i="11"/>
  <c r="I68" i="11"/>
  <c r="O68" i="11" s="1"/>
  <c r="H68" i="11"/>
  <c r="G68" i="11"/>
  <c r="J68" i="11" s="1"/>
  <c r="I67" i="11"/>
  <c r="O67" i="11" s="1"/>
  <c r="H67" i="11"/>
  <c r="M67" i="11" s="1"/>
  <c r="G67" i="11"/>
  <c r="J67" i="11" s="1"/>
  <c r="I66" i="11"/>
  <c r="O66" i="11" s="1"/>
  <c r="H66" i="11"/>
  <c r="M66" i="11" s="1"/>
  <c r="G66" i="11"/>
  <c r="J66" i="11" s="1"/>
  <c r="I65" i="11"/>
  <c r="O65" i="11" s="1"/>
  <c r="H65" i="11"/>
  <c r="G65" i="11"/>
  <c r="I64" i="11"/>
  <c r="O64" i="11" s="1"/>
  <c r="H64" i="11"/>
  <c r="G64" i="11"/>
  <c r="J64" i="11" s="1"/>
  <c r="I63" i="11"/>
  <c r="O63" i="11" s="1"/>
  <c r="H63" i="11"/>
  <c r="M63" i="11" s="1"/>
  <c r="G63" i="11"/>
  <c r="J63" i="11" s="1"/>
  <c r="I62" i="11"/>
  <c r="O62" i="11" s="1"/>
  <c r="H62" i="11"/>
  <c r="M62" i="11" s="1"/>
  <c r="G62" i="11"/>
  <c r="J62" i="11" s="1"/>
  <c r="I61" i="11"/>
  <c r="O61" i="11" s="1"/>
  <c r="H61" i="11"/>
  <c r="N61" i="11" s="1"/>
  <c r="G61" i="11"/>
  <c r="I60" i="11"/>
  <c r="O60" i="11" s="1"/>
  <c r="H60" i="11"/>
  <c r="G60" i="11"/>
  <c r="J60" i="11" s="1"/>
  <c r="I59" i="11"/>
  <c r="O59" i="11" s="1"/>
  <c r="H59" i="11"/>
  <c r="M59" i="11" s="1"/>
  <c r="G59" i="11"/>
  <c r="J59" i="11" s="1"/>
  <c r="I58" i="11"/>
  <c r="O58" i="11" s="1"/>
  <c r="H58" i="11"/>
  <c r="M58" i="11" s="1"/>
  <c r="G58" i="11"/>
  <c r="J58" i="11" s="1"/>
  <c r="I57" i="11"/>
  <c r="O57" i="11" s="1"/>
  <c r="H57" i="11"/>
  <c r="G57" i="11"/>
  <c r="I56" i="11"/>
  <c r="O56" i="11" s="1"/>
  <c r="H56" i="11"/>
  <c r="G56" i="11"/>
  <c r="J56" i="11" s="1"/>
  <c r="I55" i="11"/>
  <c r="O55" i="11" s="1"/>
  <c r="H55" i="11"/>
  <c r="M55" i="11" s="1"/>
  <c r="G55" i="11"/>
  <c r="J55" i="11" s="1"/>
  <c r="I54" i="11"/>
  <c r="O54" i="11" s="1"/>
  <c r="H54" i="11"/>
  <c r="M54" i="11" s="1"/>
  <c r="G54" i="11"/>
  <c r="J54" i="11" s="1"/>
  <c r="I53" i="11"/>
  <c r="O53" i="11" s="1"/>
  <c r="H53" i="11"/>
  <c r="G53" i="11"/>
  <c r="I52" i="11"/>
  <c r="O52" i="11" s="1"/>
  <c r="H52" i="11"/>
  <c r="G52" i="11"/>
  <c r="J52" i="11" s="1"/>
  <c r="I51" i="11"/>
  <c r="O51" i="11" s="1"/>
  <c r="H51" i="11"/>
  <c r="M51" i="11" s="1"/>
  <c r="G51" i="11"/>
  <c r="J51" i="11" s="1"/>
  <c r="I50" i="11"/>
  <c r="O50" i="11" s="1"/>
  <c r="H50" i="11"/>
  <c r="M50" i="11" s="1"/>
  <c r="G50" i="11"/>
  <c r="J50" i="11" s="1"/>
  <c r="I49" i="11"/>
  <c r="O49" i="11" s="1"/>
  <c r="H49" i="11"/>
  <c r="G49" i="11"/>
  <c r="I48" i="11"/>
  <c r="O48" i="11" s="1"/>
  <c r="H48" i="11"/>
  <c r="G48" i="11"/>
  <c r="J48" i="11" s="1"/>
  <c r="I47" i="11"/>
  <c r="O47" i="11" s="1"/>
  <c r="H47" i="11"/>
  <c r="M47" i="11" s="1"/>
  <c r="G47" i="11"/>
  <c r="J47" i="11" s="1"/>
  <c r="I46" i="11"/>
  <c r="O46" i="11" s="1"/>
  <c r="H46" i="11"/>
  <c r="M46" i="11" s="1"/>
  <c r="G46" i="11"/>
  <c r="J46" i="11" s="1"/>
  <c r="I40" i="11"/>
  <c r="O40" i="11" s="1"/>
  <c r="H40" i="11"/>
  <c r="M40" i="11" s="1"/>
  <c r="G40" i="11"/>
  <c r="I39" i="11"/>
  <c r="O39" i="11" s="1"/>
  <c r="H39" i="11"/>
  <c r="M39" i="11" s="1"/>
  <c r="G39" i="11"/>
  <c r="J39" i="11" s="1"/>
  <c r="I38" i="11"/>
  <c r="O38" i="11" s="1"/>
  <c r="H38" i="11"/>
  <c r="G38" i="11"/>
  <c r="I37" i="11"/>
  <c r="O37" i="11" s="1"/>
  <c r="H37" i="11"/>
  <c r="G37" i="11"/>
  <c r="J37" i="11" s="1"/>
  <c r="I36" i="11"/>
  <c r="O36" i="11" s="1"/>
  <c r="H36" i="11"/>
  <c r="M36" i="11" s="1"/>
  <c r="G36" i="11"/>
  <c r="I35" i="11"/>
  <c r="O35" i="11" s="1"/>
  <c r="H35" i="11"/>
  <c r="M35" i="11" s="1"/>
  <c r="G35" i="11"/>
  <c r="J35" i="11" s="1"/>
  <c r="I34" i="11"/>
  <c r="O34" i="11" s="1"/>
  <c r="H34" i="11"/>
  <c r="G34" i="11"/>
  <c r="I33" i="11"/>
  <c r="O33" i="11" s="1"/>
  <c r="H33" i="11"/>
  <c r="G33" i="11"/>
  <c r="J33" i="11" s="1"/>
  <c r="I32" i="11"/>
  <c r="O32" i="11" s="1"/>
  <c r="H32" i="11"/>
  <c r="M32" i="11" s="1"/>
  <c r="G32" i="11"/>
  <c r="I31" i="11"/>
  <c r="O31" i="11" s="1"/>
  <c r="H31" i="11"/>
  <c r="M31" i="11" s="1"/>
  <c r="G31" i="11"/>
  <c r="J31" i="11" s="1"/>
  <c r="I30" i="11"/>
  <c r="O30" i="11" s="1"/>
  <c r="H30" i="11"/>
  <c r="G30" i="11"/>
  <c r="J30" i="11" s="1"/>
  <c r="I29" i="11"/>
  <c r="O29" i="11" s="1"/>
  <c r="H29" i="11"/>
  <c r="M29" i="11" s="1"/>
  <c r="G29" i="11"/>
  <c r="I28" i="11"/>
  <c r="O28" i="11" s="1"/>
  <c r="H28" i="11"/>
  <c r="G28" i="11"/>
  <c r="I27" i="11"/>
  <c r="O27" i="11" s="1"/>
  <c r="H27" i="11"/>
  <c r="G27" i="11"/>
  <c r="J27" i="11" s="1"/>
  <c r="I26" i="11"/>
  <c r="O26" i="11" s="1"/>
  <c r="H26" i="11"/>
  <c r="M26" i="11" s="1"/>
  <c r="G26" i="11"/>
  <c r="I25" i="11"/>
  <c r="O25" i="11" s="1"/>
  <c r="H25" i="11"/>
  <c r="M25" i="11" s="1"/>
  <c r="G25" i="11"/>
  <c r="J25" i="11" s="1"/>
  <c r="I24" i="11"/>
  <c r="O24" i="11" s="1"/>
  <c r="H24" i="11"/>
  <c r="G24" i="11"/>
  <c r="I23" i="11"/>
  <c r="O23" i="11" s="1"/>
  <c r="H23" i="11"/>
  <c r="G23" i="11"/>
  <c r="J23" i="11" s="1"/>
  <c r="I22" i="11"/>
  <c r="O22" i="11" s="1"/>
  <c r="H22" i="11"/>
  <c r="M22" i="11" s="1"/>
  <c r="G22" i="11"/>
  <c r="J22" i="11" s="1"/>
  <c r="I21" i="11"/>
  <c r="O21" i="11" s="1"/>
  <c r="H21" i="11"/>
  <c r="M21" i="11" s="1"/>
  <c r="G21" i="11"/>
  <c r="J21" i="11" s="1"/>
  <c r="I20" i="11"/>
  <c r="O20" i="11" s="1"/>
  <c r="H20" i="11"/>
  <c r="G20" i="11"/>
  <c r="J20" i="11" s="1"/>
  <c r="I19" i="11"/>
  <c r="O19" i="11" s="1"/>
  <c r="H19" i="11"/>
  <c r="M19" i="11" s="1"/>
  <c r="G19" i="11"/>
  <c r="J19" i="11" s="1"/>
  <c r="I18" i="11"/>
  <c r="O18" i="11" s="1"/>
  <c r="H18" i="11"/>
  <c r="G18" i="11"/>
  <c r="J18" i="11" s="1"/>
  <c r="I17" i="11"/>
  <c r="O17" i="11" s="1"/>
  <c r="H17" i="11"/>
  <c r="G17" i="11"/>
  <c r="J17" i="11" s="1"/>
  <c r="I16" i="11"/>
  <c r="O16" i="11" s="1"/>
  <c r="H16" i="11"/>
  <c r="M16" i="11" s="1"/>
  <c r="G16" i="11"/>
  <c r="I15" i="11"/>
  <c r="O15" i="11" s="1"/>
  <c r="H15" i="11"/>
  <c r="G15" i="11"/>
  <c r="J15" i="11" s="1"/>
  <c r="I14" i="11"/>
  <c r="O14" i="11" s="1"/>
  <c r="H14" i="11"/>
  <c r="G14" i="11"/>
  <c r="J14" i="11" s="1"/>
  <c r="I13" i="11"/>
  <c r="O13" i="11" s="1"/>
  <c r="H13" i="11"/>
  <c r="M13" i="11" s="1"/>
  <c r="G13" i="11"/>
  <c r="J13" i="11" s="1"/>
  <c r="I12" i="11"/>
  <c r="O12" i="11" s="1"/>
  <c r="H12" i="11"/>
  <c r="M12" i="11" s="1"/>
  <c r="G12" i="11"/>
  <c r="I11" i="11"/>
  <c r="O11" i="11" s="1"/>
  <c r="H11" i="11"/>
  <c r="G11" i="11"/>
  <c r="J11" i="11" s="1"/>
  <c r="I10" i="11"/>
  <c r="O10" i="11" s="1"/>
  <c r="H10" i="11"/>
  <c r="G10" i="11"/>
  <c r="J10" i="11" s="1"/>
  <c r="I9" i="11"/>
  <c r="O9" i="11" s="1"/>
  <c r="H9" i="11"/>
  <c r="M9" i="11" s="1"/>
  <c r="G9" i="11"/>
  <c r="J9" i="11" s="1"/>
  <c r="I8" i="11"/>
  <c r="H8" i="11"/>
  <c r="M8" i="11" s="1"/>
  <c r="G8" i="11"/>
  <c r="I7" i="11"/>
  <c r="O7" i="11" s="1"/>
  <c r="H7" i="11"/>
  <c r="G7" i="11"/>
  <c r="J7" i="11" s="1"/>
  <c r="I6" i="11"/>
  <c r="O6" i="11" s="1"/>
  <c r="H6" i="11"/>
  <c r="G6" i="11"/>
  <c r="J6" i="11" s="1"/>
  <c r="I5" i="11"/>
  <c r="H5" i="11"/>
  <c r="M5" i="11" s="1"/>
  <c r="G5" i="11"/>
  <c r="I4" i="11"/>
  <c r="O4" i="11" s="1"/>
  <c r="H4" i="11"/>
  <c r="G4" i="11"/>
  <c r="J4" i="11" s="1"/>
  <c r="I164" i="8"/>
  <c r="O164" i="8" s="1"/>
  <c r="H164" i="8"/>
  <c r="G164" i="8"/>
  <c r="J164" i="8" s="1"/>
  <c r="I163" i="8"/>
  <c r="O163" i="8" s="1"/>
  <c r="H163" i="8"/>
  <c r="M163" i="8" s="1"/>
  <c r="G163" i="8"/>
  <c r="J163" i="8" s="1"/>
  <c r="I162" i="8"/>
  <c r="O162" i="8" s="1"/>
  <c r="H162" i="8"/>
  <c r="G162" i="8"/>
  <c r="J162" i="8" s="1"/>
  <c r="I161" i="8"/>
  <c r="O161" i="8" s="1"/>
  <c r="H161" i="8"/>
  <c r="G161" i="8"/>
  <c r="J161" i="8" s="1"/>
  <c r="I160" i="8"/>
  <c r="O160" i="8" s="1"/>
  <c r="H160" i="8"/>
  <c r="M160" i="8" s="1"/>
  <c r="G160" i="8"/>
  <c r="I159" i="8"/>
  <c r="O159" i="8" s="1"/>
  <c r="H159" i="8"/>
  <c r="G159" i="8"/>
  <c r="J159" i="8" s="1"/>
  <c r="I158" i="8"/>
  <c r="O158" i="8" s="1"/>
  <c r="H158" i="8"/>
  <c r="G158" i="8"/>
  <c r="J158" i="8" s="1"/>
  <c r="I157" i="8"/>
  <c r="O157" i="8" s="1"/>
  <c r="H157" i="8"/>
  <c r="G157" i="8"/>
  <c r="J157" i="8" s="1"/>
  <c r="I156" i="8"/>
  <c r="O156" i="8" s="1"/>
  <c r="H156" i="8"/>
  <c r="M156" i="8" s="1"/>
  <c r="G156" i="8"/>
  <c r="J156" i="8" s="1"/>
  <c r="I155" i="8"/>
  <c r="O155" i="8" s="1"/>
  <c r="H155" i="8"/>
  <c r="M155" i="8" s="1"/>
  <c r="G155" i="8"/>
  <c r="J155" i="8" s="1"/>
  <c r="I154" i="8"/>
  <c r="O154" i="8" s="1"/>
  <c r="H154" i="8"/>
  <c r="G154" i="8"/>
  <c r="I153" i="8"/>
  <c r="O153" i="8" s="1"/>
  <c r="H153" i="8"/>
  <c r="G153" i="8"/>
  <c r="J153" i="8" s="1"/>
  <c r="I152" i="8"/>
  <c r="O152" i="8" s="1"/>
  <c r="H152" i="8"/>
  <c r="M152" i="8" s="1"/>
  <c r="G152" i="8"/>
  <c r="J152" i="8" s="1"/>
  <c r="I151" i="8"/>
  <c r="O151" i="8" s="1"/>
  <c r="H151" i="8"/>
  <c r="M151" i="8" s="1"/>
  <c r="G151" i="8"/>
  <c r="J151" i="8" s="1"/>
  <c r="I150" i="8"/>
  <c r="O150" i="8" s="1"/>
  <c r="H150" i="8"/>
  <c r="G150" i="8"/>
  <c r="I149" i="8"/>
  <c r="O149" i="8" s="1"/>
  <c r="H149" i="8"/>
  <c r="G149" i="8"/>
  <c r="J149" i="8" s="1"/>
  <c r="I148" i="8"/>
  <c r="H148" i="8"/>
  <c r="M148" i="8" s="1"/>
  <c r="G148" i="8"/>
  <c r="J148" i="8" s="1"/>
  <c r="I147" i="8"/>
  <c r="O147" i="8" s="1"/>
  <c r="H147" i="8"/>
  <c r="M147" i="8" s="1"/>
  <c r="G147" i="8"/>
  <c r="J147" i="8" s="1"/>
  <c r="I146" i="8"/>
  <c r="O146" i="8" s="1"/>
  <c r="H146" i="8"/>
  <c r="M146" i="8" s="1"/>
  <c r="G146" i="8"/>
  <c r="I145" i="8"/>
  <c r="O145" i="8" s="1"/>
  <c r="H145" i="8"/>
  <c r="G145" i="8"/>
  <c r="J145" i="8" s="1"/>
  <c r="I144" i="8"/>
  <c r="O144" i="8" s="1"/>
  <c r="H144" i="8"/>
  <c r="M144" i="8" s="1"/>
  <c r="G144" i="8"/>
  <c r="J144" i="8" s="1"/>
  <c r="I143" i="8"/>
  <c r="O143" i="8" s="1"/>
  <c r="H143" i="8"/>
  <c r="M143" i="8" s="1"/>
  <c r="G143" i="8"/>
  <c r="J143" i="8" s="1"/>
  <c r="I142" i="8"/>
  <c r="O142" i="8" s="1"/>
  <c r="H142" i="8"/>
  <c r="M142" i="8" s="1"/>
  <c r="G142" i="8"/>
  <c r="I141" i="8"/>
  <c r="O141" i="8" s="1"/>
  <c r="H141" i="8"/>
  <c r="G141" i="8"/>
  <c r="I140" i="8"/>
  <c r="H140" i="8"/>
  <c r="M140" i="8" s="1"/>
  <c r="G140" i="8"/>
  <c r="J140" i="8" s="1"/>
  <c r="I139" i="8"/>
  <c r="O139" i="8" s="1"/>
  <c r="H139" i="8"/>
  <c r="M139" i="8" s="1"/>
  <c r="G139" i="8"/>
  <c r="J139" i="8" s="1"/>
  <c r="I138" i="8"/>
  <c r="O138" i="8" s="1"/>
  <c r="H138" i="8"/>
  <c r="M138" i="8" s="1"/>
  <c r="G138" i="8"/>
  <c r="I137" i="8"/>
  <c r="O137" i="8" s="1"/>
  <c r="H137" i="8"/>
  <c r="G137" i="8"/>
  <c r="J137" i="8" s="1"/>
  <c r="I136" i="8"/>
  <c r="O136" i="8" s="1"/>
  <c r="H136" i="8"/>
  <c r="M136" i="8" s="1"/>
  <c r="G136" i="8"/>
  <c r="J136" i="8" s="1"/>
  <c r="I135" i="8"/>
  <c r="O135" i="8" s="1"/>
  <c r="H135" i="8"/>
  <c r="M135" i="8" s="1"/>
  <c r="G135" i="8"/>
  <c r="J135" i="8" s="1"/>
  <c r="I134" i="8"/>
  <c r="O134" i="8" s="1"/>
  <c r="H134" i="8"/>
  <c r="N134" i="8" s="1"/>
  <c r="G134" i="8"/>
  <c r="I133" i="8"/>
  <c r="O133" i="8" s="1"/>
  <c r="H133" i="8"/>
  <c r="G133" i="8"/>
  <c r="J133" i="8" s="1"/>
  <c r="I132" i="8"/>
  <c r="O132" i="8" s="1"/>
  <c r="H132" i="8"/>
  <c r="M132" i="8" s="1"/>
  <c r="G132" i="8"/>
  <c r="J132" i="8" s="1"/>
  <c r="I131" i="8"/>
  <c r="O131" i="8" s="1"/>
  <c r="H131" i="8"/>
  <c r="M131" i="8" s="1"/>
  <c r="G131" i="8"/>
  <c r="J131" i="8" s="1"/>
  <c r="I130" i="8"/>
  <c r="O130" i="8" s="1"/>
  <c r="H130" i="8"/>
  <c r="M130" i="8" s="1"/>
  <c r="G130" i="8"/>
  <c r="I129" i="8"/>
  <c r="O129" i="8" s="1"/>
  <c r="H129" i="8"/>
  <c r="G129" i="8"/>
  <c r="I128" i="8"/>
  <c r="H128" i="8"/>
  <c r="M128" i="8" s="1"/>
  <c r="G128" i="8"/>
  <c r="J128" i="8" s="1"/>
  <c r="I127" i="8"/>
  <c r="O127" i="8" s="1"/>
  <c r="H127" i="8"/>
  <c r="M127" i="8" s="1"/>
  <c r="G127" i="8"/>
  <c r="J127" i="8" s="1"/>
  <c r="I126" i="8"/>
  <c r="O126" i="8" s="1"/>
  <c r="H126" i="8"/>
  <c r="M126" i="8" s="1"/>
  <c r="G126" i="8"/>
  <c r="I125" i="8"/>
  <c r="O125" i="8" s="1"/>
  <c r="H125" i="8"/>
  <c r="G125" i="8"/>
  <c r="J125" i="8" s="1"/>
  <c r="I124" i="8"/>
  <c r="O124" i="8" s="1"/>
  <c r="H124" i="8"/>
  <c r="M124" i="8" s="1"/>
  <c r="G124" i="8"/>
  <c r="J124" i="8" s="1"/>
  <c r="I123" i="8"/>
  <c r="O123" i="8" s="1"/>
  <c r="H123" i="8"/>
  <c r="M123" i="8" s="1"/>
  <c r="G123" i="8"/>
  <c r="J123" i="8" s="1"/>
  <c r="I122" i="8"/>
  <c r="O122" i="8" s="1"/>
  <c r="H122" i="8"/>
  <c r="M122" i="8" s="1"/>
  <c r="G122" i="8"/>
  <c r="J122" i="8" s="1"/>
  <c r="I121" i="8"/>
  <c r="O121" i="8" s="1"/>
  <c r="H121" i="8"/>
  <c r="M121" i="8" s="1"/>
  <c r="G121" i="8"/>
  <c r="J121" i="8" s="1"/>
  <c r="I120" i="8"/>
  <c r="O120" i="8" s="1"/>
  <c r="H120" i="8"/>
  <c r="G120" i="8"/>
  <c r="J120" i="8" s="1"/>
  <c r="I119" i="8"/>
  <c r="O119" i="8" s="1"/>
  <c r="H119" i="8"/>
  <c r="M119" i="8" s="1"/>
  <c r="G119" i="8"/>
  <c r="I118" i="8"/>
  <c r="H118" i="8"/>
  <c r="M118" i="8" s="1"/>
  <c r="G118" i="8"/>
  <c r="J118" i="8" s="1"/>
  <c r="I117" i="8"/>
  <c r="O117" i="8" s="1"/>
  <c r="H117" i="8"/>
  <c r="G117" i="8"/>
  <c r="J117" i="8" s="1"/>
  <c r="I116" i="8"/>
  <c r="O116" i="8" s="1"/>
  <c r="H116" i="8"/>
  <c r="G116" i="8"/>
  <c r="J116" i="8" s="1"/>
  <c r="I115" i="8"/>
  <c r="O115" i="8" s="1"/>
  <c r="H115" i="8"/>
  <c r="M115" i="8" s="1"/>
  <c r="G115" i="8"/>
  <c r="I109" i="8"/>
  <c r="O109" i="8" s="1"/>
  <c r="H109" i="8"/>
  <c r="G109" i="8"/>
  <c r="J109" i="8" s="1"/>
  <c r="I108" i="8"/>
  <c r="O108" i="8" s="1"/>
  <c r="H108" i="8"/>
  <c r="M108" i="8" s="1"/>
  <c r="G108" i="8"/>
  <c r="I107" i="8"/>
  <c r="O107" i="8" s="1"/>
  <c r="H107" i="8"/>
  <c r="M107" i="8" s="1"/>
  <c r="G107" i="8"/>
  <c r="J107" i="8" s="1"/>
  <c r="I106" i="8"/>
  <c r="O106" i="8" s="1"/>
  <c r="H106" i="8"/>
  <c r="M106" i="8" s="1"/>
  <c r="G106" i="8"/>
  <c r="I105" i="8"/>
  <c r="O105" i="8" s="1"/>
  <c r="H105" i="8"/>
  <c r="M105" i="8" s="1"/>
  <c r="G105" i="8"/>
  <c r="L105" i="8" s="1"/>
  <c r="I104" i="8"/>
  <c r="O104" i="8" s="1"/>
  <c r="H104" i="8"/>
  <c r="G104" i="8"/>
  <c r="I103" i="8"/>
  <c r="O103" i="8" s="1"/>
  <c r="H103" i="8"/>
  <c r="G103" i="8"/>
  <c r="J103" i="8" s="1"/>
  <c r="O102" i="8"/>
  <c r="I102" i="8"/>
  <c r="H102" i="8"/>
  <c r="M102" i="8" s="1"/>
  <c r="G102" i="8"/>
  <c r="I101" i="8"/>
  <c r="O101" i="8" s="1"/>
  <c r="H101" i="8"/>
  <c r="M101" i="8" s="1"/>
  <c r="G101" i="8"/>
  <c r="J101" i="8" s="1"/>
  <c r="M100" i="8"/>
  <c r="I100" i="8"/>
  <c r="O100" i="8" s="1"/>
  <c r="H100" i="8"/>
  <c r="G100" i="8"/>
  <c r="K100" i="8" s="1"/>
  <c r="I99" i="8"/>
  <c r="H99" i="8"/>
  <c r="M99" i="8" s="1"/>
  <c r="G99" i="8"/>
  <c r="J99" i="8" s="1"/>
  <c r="I98" i="8"/>
  <c r="H98" i="8"/>
  <c r="M98" i="8" s="1"/>
  <c r="G98" i="8"/>
  <c r="I97" i="8"/>
  <c r="O97" i="8" s="1"/>
  <c r="H97" i="8"/>
  <c r="M97" i="8" s="1"/>
  <c r="G97" i="8"/>
  <c r="J97" i="8" s="1"/>
  <c r="I96" i="8"/>
  <c r="O96" i="8" s="1"/>
  <c r="H96" i="8"/>
  <c r="M96" i="8" s="1"/>
  <c r="G96" i="8"/>
  <c r="K96" i="8" s="1"/>
  <c r="I95" i="8"/>
  <c r="O95" i="8" s="1"/>
  <c r="H95" i="8"/>
  <c r="M95" i="8" s="1"/>
  <c r="G95" i="8"/>
  <c r="J95" i="8" s="1"/>
  <c r="I94" i="8"/>
  <c r="H94" i="8"/>
  <c r="M94" i="8" s="1"/>
  <c r="G94" i="8"/>
  <c r="J93" i="8"/>
  <c r="I93" i="8"/>
  <c r="O93" i="8" s="1"/>
  <c r="H93" i="8"/>
  <c r="G93" i="8"/>
  <c r="I92" i="8"/>
  <c r="O92" i="8" s="1"/>
  <c r="H92" i="8"/>
  <c r="G92" i="8"/>
  <c r="I91" i="8"/>
  <c r="O91" i="8" s="1"/>
  <c r="H91" i="8"/>
  <c r="M91" i="8" s="1"/>
  <c r="G91" i="8"/>
  <c r="I90" i="8"/>
  <c r="H90" i="8"/>
  <c r="M90" i="8" s="1"/>
  <c r="G90" i="8"/>
  <c r="K90" i="8" s="1"/>
  <c r="I89" i="8"/>
  <c r="O89" i="8" s="1"/>
  <c r="H89" i="8"/>
  <c r="M89" i="8" s="1"/>
  <c r="G89" i="8"/>
  <c r="J89" i="8" s="1"/>
  <c r="I88" i="8"/>
  <c r="O88" i="8" s="1"/>
  <c r="H88" i="8"/>
  <c r="G88" i="8"/>
  <c r="I87" i="8"/>
  <c r="O87" i="8" s="1"/>
  <c r="H87" i="8"/>
  <c r="G87" i="8"/>
  <c r="I86" i="8"/>
  <c r="O86" i="8" s="1"/>
  <c r="H86" i="8"/>
  <c r="M86" i="8" s="1"/>
  <c r="G86" i="8"/>
  <c r="I85" i="8"/>
  <c r="O85" i="8" s="1"/>
  <c r="H85" i="8"/>
  <c r="M85" i="8" s="1"/>
  <c r="G85" i="8"/>
  <c r="J85" i="8" s="1"/>
  <c r="I84" i="8"/>
  <c r="O84" i="8" s="1"/>
  <c r="H84" i="8"/>
  <c r="M84" i="8" s="1"/>
  <c r="G84" i="8"/>
  <c r="I83" i="8"/>
  <c r="O83" i="8" s="1"/>
  <c r="H83" i="8"/>
  <c r="M83" i="8" s="1"/>
  <c r="G83" i="8"/>
  <c r="J83" i="8" s="1"/>
  <c r="I82" i="8"/>
  <c r="H82" i="8"/>
  <c r="M82" i="8" s="1"/>
  <c r="G82" i="8"/>
  <c r="I81" i="8"/>
  <c r="O81" i="8" s="1"/>
  <c r="H81" i="8"/>
  <c r="M81" i="8" s="1"/>
  <c r="G81" i="8"/>
  <c r="K81" i="8" s="1"/>
  <c r="K80" i="8"/>
  <c r="I80" i="8"/>
  <c r="O80" i="8" s="1"/>
  <c r="H80" i="8"/>
  <c r="M80" i="8" s="1"/>
  <c r="G80" i="8"/>
  <c r="O79" i="8"/>
  <c r="I79" i="8"/>
  <c r="H79" i="8"/>
  <c r="M79" i="8" s="1"/>
  <c r="G79" i="8"/>
  <c r="K79" i="8" s="1"/>
  <c r="I78" i="8"/>
  <c r="O78" i="8" s="1"/>
  <c r="H78" i="8"/>
  <c r="M78" i="8" s="1"/>
  <c r="G78" i="8"/>
  <c r="J78" i="8" s="1"/>
  <c r="I77" i="8"/>
  <c r="H77" i="8"/>
  <c r="G77" i="8"/>
  <c r="J77" i="8" s="1"/>
  <c r="I76" i="8"/>
  <c r="O76" i="8" s="1"/>
  <c r="H76" i="8"/>
  <c r="G76" i="8"/>
  <c r="J76" i="8" s="1"/>
  <c r="I75" i="8"/>
  <c r="O75" i="8" s="1"/>
  <c r="H75" i="8"/>
  <c r="M75" i="8" s="1"/>
  <c r="G75" i="8"/>
  <c r="K75" i="8" s="1"/>
  <c r="I74" i="8"/>
  <c r="O74" i="8" s="1"/>
  <c r="H74" i="8"/>
  <c r="M74" i="8" s="1"/>
  <c r="G74" i="8"/>
  <c r="J74" i="8" s="1"/>
  <c r="I73" i="8"/>
  <c r="H73" i="8"/>
  <c r="M73" i="8" s="1"/>
  <c r="G73" i="8"/>
  <c r="J73" i="8" s="1"/>
  <c r="I72" i="8"/>
  <c r="O72" i="8" s="1"/>
  <c r="H72" i="8"/>
  <c r="G72" i="8"/>
  <c r="J72" i="8" s="1"/>
  <c r="I71" i="8"/>
  <c r="O71" i="8" s="1"/>
  <c r="H71" i="8"/>
  <c r="G71" i="8"/>
  <c r="I70" i="8"/>
  <c r="O70" i="8" s="1"/>
  <c r="H70" i="8"/>
  <c r="G70" i="8"/>
  <c r="J70" i="8" s="1"/>
  <c r="I69" i="8"/>
  <c r="H69" i="8"/>
  <c r="M69" i="8" s="1"/>
  <c r="G69" i="8"/>
  <c r="J69" i="8" s="1"/>
  <c r="I68" i="8"/>
  <c r="O68" i="8" s="1"/>
  <c r="H68" i="8"/>
  <c r="G68" i="8"/>
  <c r="J68" i="8" s="1"/>
  <c r="I67" i="8"/>
  <c r="O67" i="8" s="1"/>
  <c r="H67" i="8"/>
  <c r="M67" i="8" s="1"/>
  <c r="G67" i="8"/>
  <c r="I66" i="8"/>
  <c r="O66" i="8" s="1"/>
  <c r="H66" i="8"/>
  <c r="G66" i="8"/>
  <c r="J66" i="8" s="1"/>
  <c r="M65" i="8"/>
  <c r="I65" i="8"/>
  <c r="O65" i="8" s="1"/>
  <c r="H65" i="8"/>
  <c r="G65" i="8"/>
  <c r="J65" i="8" s="1"/>
  <c r="I64" i="8"/>
  <c r="H64" i="8"/>
  <c r="N64" i="8" s="1"/>
  <c r="G64" i="8"/>
  <c r="I63" i="8"/>
  <c r="O63" i="8" s="1"/>
  <c r="H63" i="8"/>
  <c r="G63" i="8"/>
  <c r="I62" i="8"/>
  <c r="O62" i="8" s="1"/>
  <c r="H62" i="8"/>
  <c r="G62" i="8"/>
  <c r="J62" i="8" s="1"/>
  <c r="I61" i="8"/>
  <c r="O61" i="8" s="1"/>
  <c r="H61" i="8"/>
  <c r="M61" i="8" s="1"/>
  <c r="G61" i="8"/>
  <c r="J61" i="8" s="1"/>
  <c r="I60" i="8"/>
  <c r="H60" i="8"/>
  <c r="M60" i="8" s="1"/>
  <c r="G60" i="8"/>
  <c r="I59" i="8"/>
  <c r="O59" i="8" s="1"/>
  <c r="H59" i="8"/>
  <c r="G59" i="8"/>
  <c r="L41" i="16" l="1"/>
  <c r="N86" i="12"/>
  <c r="K32" i="15"/>
  <c r="K50" i="15"/>
  <c r="K64" i="16"/>
  <c r="J32" i="15"/>
  <c r="K52" i="15"/>
  <c r="K90" i="11"/>
  <c r="K91" i="8"/>
  <c r="L26" i="13"/>
  <c r="J91" i="8"/>
  <c r="L35" i="15"/>
  <c r="K60" i="8"/>
  <c r="K42" i="15"/>
  <c r="K50" i="16"/>
  <c r="L93" i="8"/>
  <c r="K66" i="15"/>
  <c r="L15" i="16"/>
  <c r="L87" i="8"/>
  <c r="L99" i="8"/>
  <c r="K137" i="8"/>
  <c r="K68" i="8"/>
  <c r="K94" i="8"/>
  <c r="O99" i="8"/>
  <c r="M134" i="8"/>
  <c r="K120" i="12"/>
  <c r="L89" i="8"/>
  <c r="K153" i="8"/>
  <c r="K157" i="8"/>
  <c r="N12" i="16"/>
  <c r="N70" i="8"/>
  <c r="K97" i="8"/>
  <c r="K106" i="8"/>
  <c r="K154" i="8"/>
  <c r="N6" i="15"/>
  <c r="K63" i="15"/>
  <c r="L15" i="21"/>
  <c r="L14" i="21"/>
  <c r="C14" i="54"/>
  <c r="I14" i="54" s="1"/>
  <c r="K51" i="15"/>
  <c r="K59" i="15"/>
  <c r="K67" i="15"/>
  <c r="N10" i="16"/>
  <c r="K15" i="16"/>
  <c r="N17" i="16"/>
  <c r="K54" i="16"/>
  <c r="K58" i="16"/>
  <c r="K62" i="16"/>
  <c r="K66" i="16"/>
  <c r="K29" i="17"/>
  <c r="K64" i="8"/>
  <c r="K72" i="8"/>
  <c r="K76" i="8"/>
  <c r="M12" i="16"/>
  <c r="L20" i="16"/>
  <c r="N37" i="16"/>
  <c r="K84" i="8"/>
  <c r="K134" i="8"/>
  <c r="N79" i="11"/>
  <c r="N53" i="12"/>
  <c r="K65" i="12"/>
  <c r="K14" i="15"/>
  <c r="M15" i="15"/>
  <c r="N20" i="15"/>
  <c r="K38" i="15"/>
  <c r="K40" i="15"/>
  <c r="K57" i="15"/>
  <c r="K65" i="15"/>
  <c r="K6" i="16"/>
  <c r="N20" i="16"/>
  <c r="K55" i="16"/>
  <c r="K59" i="16"/>
  <c r="K63" i="16"/>
  <c r="K6" i="17"/>
  <c r="N11" i="18"/>
  <c r="K14" i="18"/>
  <c r="K32" i="18"/>
  <c r="K145" i="8"/>
  <c r="J154" i="8"/>
  <c r="J60" i="8"/>
  <c r="M64" i="8"/>
  <c r="K146" i="8"/>
  <c r="N58" i="12"/>
  <c r="K62" i="8"/>
  <c r="K66" i="8"/>
  <c r="L83" i="8"/>
  <c r="J87" i="8"/>
  <c r="M14" i="15"/>
  <c r="M20" i="15"/>
  <c r="J40" i="15"/>
  <c r="N65" i="8"/>
  <c r="J81" i="8"/>
  <c r="K125" i="8"/>
  <c r="K130" i="8"/>
  <c r="K142" i="8"/>
  <c r="N159" i="8"/>
  <c r="K39" i="12"/>
  <c r="L15" i="15"/>
  <c r="K17" i="15"/>
  <c r="K39" i="15"/>
  <c r="K53" i="15"/>
  <c r="K61" i="15"/>
  <c r="K42" i="16"/>
  <c r="K57" i="16"/>
  <c r="K61" i="16"/>
  <c r="K65" i="16"/>
  <c r="K10" i="17"/>
  <c r="N59" i="8"/>
  <c r="N63" i="8"/>
  <c r="K67" i="8"/>
  <c r="N73" i="8"/>
  <c r="K126" i="8"/>
  <c r="N135" i="8"/>
  <c r="K118" i="11"/>
  <c r="K44" i="14"/>
  <c r="E34" i="53"/>
  <c r="E38" i="53"/>
  <c r="E42" i="53"/>
  <c r="E37" i="53"/>
  <c r="E31" i="53"/>
  <c r="E35" i="53"/>
  <c r="E39" i="53"/>
  <c r="E33" i="53"/>
  <c r="E32" i="53"/>
  <c r="E36" i="53"/>
  <c r="E40" i="53"/>
  <c r="E41" i="53"/>
  <c r="AP10" i="20"/>
  <c r="AR10" i="20"/>
  <c r="N61" i="8"/>
  <c r="M77" i="8"/>
  <c r="N77" i="8"/>
  <c r="N88" i="8"/>
  <c r="M88" i="8"/>
  <c r="L103" i="8"/>
  <c r="L67" i="8"/>
  <c r="N82" i="8"/>
  <c r="O82" i="8"/>
  <c r="K105" i="8"/>
  <c r="J105" i="8"/>
  <c r="K119" i="8"/>
  <c r="J119" i="8"/>
  <c r="L125" i="8"/>
  <c r="J129" i="8"/>
  <c r="K129" i="8"/>
  <c r="J141" i="8"/>
  <c r="K141" i="8"/>
  <c r="M164" i="8"/>
  <c r="N164" i="8"/>
  <c r="N92" i="8"/>
  <c r="M92" i="8"/>
  <c r="M109" i="8"/>
  <c r="N109" i="8"/>
  <c r="N128" i="8"/>
  <c r="O128" i="8"/>
  <c r="N150" i="8"/>
  <c r="M150" i="8"/>
  <c r="N98" i="8"/>
  <c r="O98" i="8"/>
  <c r="N107" i="8"/>
  <c r="N151" i="8"/>
  <c r="L63" i="8"/>
  <c r="M70" i="8"/>
  <c r="K61" i="8"/>
  <c r="K63" i="8"/>
  <c r="M63" i="8"/>
  <c r="J64" i="8"/>
  <c r="N67" i="8"/>
  <c r="J71" i="8"/>
  <c r="K71" i="8"/>
  <c r="N104" i="8"/>
  <c r="M104" i="8"/>
  <c r="K115" i="8"/>
  <c r="J115" i="8"/>
  <c r="N118" i="8"/>
  <c r="K133" i="8"/>
  <c r="N148" i="8"/>
  <c r="K122" i="11"/>
  <c r="L81" i="8"/>
  <c r="N86" i="8"/>
  <c r="L91" i="8"/>
  <c r="L97" i="8"/>
  <c r="N102" i="8"/>
  <c r="N140" i="8"/>
  <c r="K149" i="8"/>
  <c r="K158" i="8"/>
  <c r="M159" i="8"/>
  <c r="K162" i="8"/>
  <c r="N49" i="11"/>
  <c r="N69" i="11"/>
  <c r="K110" i="11"/>
  <c r="K5" i="12"/>
  <c r="K35" i="12"/>
  <c r="K58" i="12"/>
  <c r="N60" i="12"/>
  <c r="M65" i="12"/>
  <c r="K82" i="8"/>
  <c r="K85" i="8"/>
  <c r="L85" i="8"/>
  <c r="K88" i="8"/>
  <c r="N90" i="8"/>
  <c r="K95" i="8"/>
  <c r="L95" i="8"/>
  <c r="K98" i="8"/>
  <c r="K101" i="8"/>
  <c r="L101" i="8"/>
  <c r="K104" i="8"/>
  <c r="N106" i="8"/>
  <c r="K107" i="8"/>
  <c r="L107" i="8"/>
  <c r="N108" i="8"/>
  <c r="K117" i="8"/>
  <c r="K121" i="8"/>
  <c r="K138" i="8"/>
  <c r="N144" i="8"/>
  <c r="K150" i="8"/>
  <c r="N158" i="8"/>
  <c r="K164" i="8"/>
  <c r="N57" i="11"/>
  <c r="N73" i="11"/>
  <c r="K80" i="11"/>
  <c r="K106" i="11"/>
  <c r="K62" i="12"/>
  <c r="K77" i="12"/>
  <c r="N32" i="12"/>
  <c r="L30" i="16"/>
  <c r="N36" i="16"/>
  <c r="J52" i="16"/>
  <c r="J56" i="16"/>
  <c r="J60" i="16"/>
  <c r="J64" i="16"/>
  <c r="K46" i="17"/>
  <c r="K24" i="12"/>
  <c r="N25" i="12"/>
  <c r="N48" i="12"/>
  <c r="L63" i="12"/>
  <c r="N64" i="12"/>
  <c r="L68" i="12"/>
  <c r="K78" i="12"/>
  <c r="K84" i="12"/>
  <c r="N85" i="12"/>
  <c r="K109" i="12"/>
  <c r="N65" i="13"/>
  <c r="K20" i="14"/>
  <c r="N4" i="15"/>
  <c r="K5" i="15"/>
  <c r="L5" i="15"/>
  <c r="M6" i="15"/>
  <c r="N13" i="15"/>
  <c r="L14" i="15"/>
  <c r="L21" i="15"/>
  <c r="K28" i="15"/>
  <c r="N11" i="16"/>
  <c r="N13" i="16"/>
  <c r="K18" i="16"/>
  <c r="N19" i="16"/>
  <c r="N21" i="16"/>
  <c r="N28" i="16"/>
  <c r="K31" i="16"/>
  <c r="K34" i="16"/>
  <c r="K38" i="16"/>
  <c r="J39" i="16"/>
  <c r="J51" i="16"/>
  <c r="J55" i="16"/>
  <c r="J59" i="16"/>
  <c r="J63" i="16"/>
  <c r="K16" i="17"/>
  <c r="N5" i="15"/>
  <c r="L6" i="15"/>
  <c r="L7" i="15"/>
  <c r="N7" i="15"/>
  <c r="K9" i="15"/>
  <c r="N12" i="15"/>
  <c r="J14" i="15"/>
  <c r="L18" i="15"/>
  <c r="L29" i="15"/>
  <c r="K35" i="15"/>
  <c r="K36" i="15"/>
  <c r="J44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M16" i="16"/>
  <c r="L19" i="16"/>
  <c r="L40" i="16"/>
  <c r="N41" i="16"/>
  <c r="J43" i="16"/>
  <c r="J50" i="16"/>
  <c r="J54" i="16"/>
  <c r="J58" i="16"/>
  <c r="J62" i="16"/>
  <c r="J66" i="16"/>
  <c r="J32" i="17"/>
  <c r="K14" i="16"/>
  <c r="N15" i="16"/>
  <c r="J20" i="16"/>
  <c r="O28" i="16"/>
  <c r="J30" i="16"/>
  <c r="N33" i="16"/>
  <c r="K35" i="16"/>
  <c r="J57" i="16"/>
  <c r="J61" i="16"/>
  <c r="J65" i="16"/>
  <c r="J6" i="17"/>
  <c r="N119" i="8"/>
  <c r="N130" i="8"/>
  <c r="N131" i="8"/>
  <c r="O140" i="8"/>
  <c r="L154" i="8"/>
  <c r="O148" i="8"/>
  <c r="N154" i="8"/>
  <c r="N146" i="8"/>
  <c r="N147" i="8"/>
  <c r="N156" i="8"/>
  <c r="N123" i="8"/>
  <c r="N132" i="8"/>
  <c r="N160" i="8"/>
  <c r="L117" i="8"/>
  <c r="L121" i="8"/>
  <c r="N124" i="8"/>
  <c r="N136" i="8"/>
  <c r="N138" i="8"/>
  <c r="N139" i="8"/>
  <c r="N152" i="8"/>
  <c r="N116" i="8"/>
  <c r="N120" i="8"/>
  <c r="L122" i="8"/>
  <c r="N126" i="8"/>
  <c r="N127" i="8"/>
  <c r="N142" i="8"/>
  <c r="N143" i="8"/>
  <c r="N155" i="8"/>
  <c r="L158" i="8"/>
  <c r="N115" i="8"/>
  <c r="N29" i="15"/>
  <c r="L33" i="15"/>
  <c r="N34" i="15"/>
  <c r="L37" i="15"/>
  <c r="N38" i="15"/>
  <c r="L41" i="15"/>
  <c r="N42" i="15"/>
  <c r="N33" i="15"/>
  <c r="N37" i="15"/>
  <c r="N41" i="15"/>
  <c r="L27" i="15"/>
  <c r="L9" i="15"/>
  <c r="L17" i="15"/>
  <c r="N21" i="15"/>
  <c r="L10" i="15"/>
  <c r="L11" i="15"/>
  <c r="N11" i="15"/>
  <c r="L13" i="15"/>
  <c r="L19" i="15"/>
  <c r="N8" i="15"/>
  <c r="N9" i="15"/>
  <c r="N10" i="15"/>
  <c r="N16" i="15"/>
  <c r="N17" i="15"/>
  <c r="N29" i="16"/>
  <c r="N30" i="16"/>
  <c r="N32" i="16"/>
  <c r="L35" i="16"/>
  <c r="L43" i="16"/>
  <c r="L28" i="16"/>
  <c r="L33" i="16"/>
  <c r="N35" i="16"/>
  <c r="L36" i="16"/>
  <c r="L39" i="16"/>
  <c r="N42" i="16"/>
  <c r="L27" i="16"/>
  <c r="L6" i="16"/>
  <c r="L14" i="16"/>
  <c r="L18" i="16"/>
  <c r="L7" i="16"/>
  <c r="L8" i="16"/>
  <c r="N8" i="16"/>
  <c r="L10" i="16"/>
  <c r="N5" i="16"/>
  <c r="N6" i="16"/>
  <c r="N7" i="16"/>
  <c r="L11" i="16"/>
  <c r="L12" i="16"/>
  <c r="N14" i="16"/>
  <c r="L16" i="16"/>
  <c r="N18" i="16"/>
  <c r="L4" i="16"/>
  <c r="N4" i="16"/>
  <c r="N30" i="17"/>
  <c r="L30" i="17"/>
  <c r="L11" i="17"/>
  <c r="L12" i="17"/>
  <c r="N12" i="17"/>
  <c r="N5" i="17"/>
  <c r="N6" i="17"/>
  <c r="N10" i="17"/>
  <c r="N27" i="18"/>
  <c r="L6" i="18"/>
  <c r="N4" i="18"/>
  <c r="K23" i="18"/>
  <c r="L29" i="18"/>
  <c r="L30" i="18"/>
  <c r="N30" i="18"/>
  <c r="N23" i="18"/>
  <c r="K28" i="18"/>
  <c r="K31" i="18"/>
  <c r="N10" i="18"/>
  <c r="L15" i="18"/>
  <c r="L26" i="18"/>
  <c r="N26" i="18"/>
  <c r="N5" i="18"/>
  <c r="L7" i="18"/>
  <c r="L8" i="18"/>
  <c r="N8" i="18"/>
  <c r="N15" i="18"/>
  <c r="N22" i="18"/>
  <c r="K24" i="18"/>
  <c r="K27" i="18"/>
  <c r="N31" i="18"/>
  <c r="K49" i="18"/>
  <c r="O5" i="18"/>
  <c r="J6" i="18"/>
  <c r="N7" i="18"/>
  <c r="K10" i="18"/>
  <c r="M11" i="18"/>
  <c r="N13" i="18"/>
  <c r="J4" i="18"/>
  <c r="L11" i="18"/>
  <c r="J14" i="18"/>
  <c r="L24" i="18"/>
  <c r="L28" i="18"/>
  <c r="J29" i="18"/>
  <c r="L32" i="18"/>
  <c r="K5" i="18"/>
  <c r="K11" i="18"/>
  <c r="L12" i="18"/>
  <c r="L14" i="18"/>
  <c r="O14" i="18"/>
  <c r="K4" i="18"/>
  <c r="L5" i="18"/>
  <c r="N6" i="18"/>
  <c r="K8" i="18"/>
  <c r="L9" i="18"/>
  <c r="N12" i="18"/>
  <c r="M12" i="18"/>
  <c r="K15" i="18"/>
  <c r="L21" i="18"/>
  <c r="J23" i="18"/>
  <c r="L23" i="18"/>
  <c r="O25" i="18"/>
  <c r="N25" i="18"/>
  <c r="N28" i="18"/>
  <c r="M28" i="18"/>
  <c r="J31" i="18"/>
  <c r="L31" i="18"/>
  <c r="K7" i="18"/>
  <c r="K9" i="18"/>
  <c r="J9" i="18"/>
  <c r="L13" i="18"/>
  <c r="K6" i="18"/>
  <c r="J7" i="18"/>
  <c r="N9" i="18"/>
  <c r="L10" i="18"/>
  <c r="O10" i="18"/>
  <c r="J11" i="18"/>
  <c r="K12" i="18"/>
  <c r="K13" i="18"/>
  <c r="M13" i="18"/>
  <c r="N14" i="18"/>
  <c r="O21" i="18"/>
  <c r="N21" i="18"/>
  <c r="N24" i="18"/>
  <c r="M24" i="18"/>
  <c r="L25" i="18"/>
  <c r="J27" i="18"/>
  <c r="L27" i="18"/>
  <c r="O29" i="18"/>
  <c r="N29" i="18"/>
  <c r="N32" i="18"/>
  <c r="M32" i="18"/>
  <c r="K22" i="18"/>
  <c r="K26" i="18"/>
  <c r="K30" i="18"/>
  <c r="K38" i="18"/>
  <c r="K39" i="18"/>
  <c r="K40" i="18"/>
  <c r="K41" i="18"/>
  <c r="K42" i="18"/>
  <c r="K43" i="18"/>
  <c r="K44" i="18"/>
  <c r="K45" i="18"/>
  <c r="K46" i="18"/>
  <c r="K47" i="18"/>
  <c r="K48" i="18"/>
  <c r="J13" i="18"/>
  <c r="K21" i="18"/>
  <c r="L22" i="18"/>
  <c r="M23" i="18"/>
  <c r="J24" i="18"/>
  <c r="K25" i="18"/>
  <c r="M27" i="18"/>
  <c r="J28" i="18"/>
  <c r="K29" i="18"/>
  <c r="M31" i="18"/>
  <c r="J32" i="18"/>
  <c r="K45" i="17"/>
  <c r="K51" i="17"/>
  <c r="L23" i="17"/>
  <c r="N8" i="17"/>
  <c r="K43" i="17"/>
  <c r="N25" i="17"/>
  <c r="L29" i="17"/>
  <c r="L6" i="17"/>
  <c r="N22" i="17"/>
  <c r="L7" i="17"/>
  <c r="M8" i="17"/>
  <c r="L14" i="17"/>
  <c r="L16" i="17"/>
  <c r="K22" i="17"/>
  <c r="N27" i="17"/>
  <c r="L32" i="17"/>
  <c r="N33" i="17"/>
  <c r="J43" i="17"/>
  <c r="K48" i="17"/>
  <c r="K49" i="17"/>
  <c r="L4" i="17"/>
  <c r="N4" i="17"/>
  <c r="L8" i="17"/>
  <c r="L9" i="17"/>
  <c r="N9" i="17"/>
  <c r="N13" i="17"/>
  <c r="L15" i="17"/>
  <c r="N15" i="17"/>
  <c r="K25" i="17"/>
  <c r="L25" i="17"/>
  <c r="N26" i="17"/>
  <c r="L27" i="17"/>
  <c r="J29" i="17"/>
  <c r="L33" i="17"/>
  <c r="K34" i="17"/>
  <c r="L34" i="17"/>
  <c r="K42" i="17"/>
  <c r="K5" i="17"/>
  <c r="N14" i="17"/>
  <c r="M14" i="17"/>
  <c r="J10" i="17"/>
  <c r="L10" i="17"/>
  <c r="J13" i="17"/>
  <c r="L13" i="17"/>
  <c r="L24" i="17"/>
  <c r="N28" i="17"/>
  <c r="K28" i="17"/>
  <c r="K44" i="17"/>
  <c r="J44" i="17"/>
  <c r="N11" i="17"/>
  <c r="M11" i="17"/>
  <c r="N23" i="17"/>
  <c r="M23" i="17"/>
  <c r="K4" i="17"/>
  <c r="L5" i="17"/>
  <c r="M6" i="17"/>
  <c r="N7" i="17"/>
  <c r="N16" i="17"/>
  <c r="M16" i="17"/>
  <c r="J22" i="17"/>
  <c r="L22" i="17"/>
  <c r="K41" i="17"/>
  <c r="J41" i="17"/>
  <c r="M5" i="17"/>
  <c r="K7" i="17"/>
  <c r="K11" i="17"/>
  <c r="K14" i="17"/>
  <c r="K23" i="17"/>
  <c r="N24" i="17"/>
  <c r="N31" i="17"/>
  <c r="K31" i="17"/>
  <c r="J8" i="17"/>
  <c r="K9" i="17"/>
  <c r="K12" i="17"/>
  <c r="K15" i="17"/>
  <c r="J24" i="17"/>
  <c r="L26" i="17"/>
  <c r="K26" i="17"/>
  <c r="J27" i="17"/>
  <c r="J30" i="17"/>
  <c r="J33" i="17"/>
  <c r="K8" i="17"/>
  <c r="M10" i="17"/>
  <c r="J11" i="17"/>
  <c r="M13" i="17"/>
  <c r="J14" i="17"/>
  <c r="K24" i="17"/>
  <c r="K27" i="17"/>
  <c r="N29" i="17"/>
  <c r="K30" i="17"/>
  <c r="N32" i="17"/>
  <c r="K33" i="17"/>
  <c r="N34" i="17"/>
  <c r="K40" i="17"/>
  <c r="K47" i="17"/>
  <c r="K50" i="17"/>
  <c r="K52" i="17"/>
  <c r="L28" i="17"/>
  <c r="L31" i="17"/>
  <c r="K4" i="16"/>
  <c r="L5" i="16"/>
  <c r="M6" i="16"/>
  <c r="J7" i="16"/>
  <c r="K8" i="16"/>
  <c r="L9" i="16"/>
  <c r="M10" i="16"/>
  <c r="J11" i="16"/>
  <c r="K12" i="16"/>
  <c r="L13" i="16"/>
  <c r="M14" i="16"/>
  <c r="J15" i="16"/>
  <c r="K16" i="16"/>
  <c r="L17" i="16"/>
  <c r="M18" i="16"/>
  <c r="J19" i="16"/>
  <c r="K20" i="16"/>
  <c r="L21" i="16"/>
  <c r="N27" i="16"/>
  <c r="K28" i="16"/>
  <c r="L29" i="16"/>
  <c r="M30" i="16"/>
  <c r="L34" i="16"/>
  <c r="M35" i="16"/>
  <c r="N43" i="16"/>
  <c r="M43" i="16"/>
  <c r="K13" i="16"/>
  <c r="K21" i="16"/>
  <c r="K29" i="16"/>
  <c r="O44" i="16"/>
  <c r="N44" i="16"/>
  <c r="M5" i="16"/>
  <c r="J6" i="16"/>
  <c r="K7" i="16"/>
  <c r="M9" i="16"/>
  <c r="J10" i="16"/>
  <c r="K11" i="16"/>
  <c r="J14" i="16"/>
  <c r="O15" i="16"/>
  <c r="J18" i="16"/>
  <c r="O19" i="16"/>
  <c r="K27" i="16"/>
  <c r="M29" i="16"/>
  <c r="L31" i="16"/>
  <c r="K33" i="16"/>
  <c r="N34" i="16"/>
  <c r="M34" i="16"/>
  <c r="J37" i="16"/>
  <c r="L38" i="16"/>
  <c r="N39" i="16"/>
  <c r="M39" i="16"/>
  <c r="N40" i="16"/>
  <c r="L44" i="16"/>
  <c r="K5" i="16"/>
  <c r="K9" i="16"/>
  <c r="K17" i="16"/>
  <c r="N31" i="16"/>
  <c r="K41" i="16"/>
  <c r="L32" i="16"/>
  <c r="K32" i="16"/>
  <c r="K37" i="16"/>
  <c r="N38" i="16"/>
  <c r="M38" i="16"/>
  <c r="J41" i="16"/>
  <c r="J42" i="16"/>
  <c r="L42" i="16"/>
  <c r="K67" i="16"/>
  <c r="K36" i="16"/>
  <c r="K40" i="16"/>
  <c r="M42" i="16"/>
  <c r="K44" i="16"/>
  <c r="K8" i="15"/>
  <c r="K12" i="15"/>
  <c r="L4" i="15"/>
  <c r="M5" i="15"/>
  <c r="J6" i="15"/>
  <c r="K7" i="15"/>
  <c r="L8" i="15"/>
  <c r="M9" i="15"/>
  <c r="J10" i="15"/>
  <c r="K11" i="15"/>
  <c r="L12" i="15"/>
  <c r="M13" i="15"/>
  <c r="K15" i="15"/>
  <c r="L16" i="15"/>
  <c r="M17" i="15"/>
  <c r="O18" i="15"/>
  <c r="J30" i="15"/>
  <c r="L30" i="15"/>
  <c r="L32" i="15"/>
  <c r="O32" i="15"/>
  <c r="N32" i="15"/>
  <c r="N39" i="15"/>
  <c r="M39" i="15"/>
  <c r="K4" i="15"/>
  <c r="K16" i="15"/>
  <c r="N27" i="15"/>
  <c r="M27" i="15"/>
  <c r="J34" i="15"/>
  <c r="L34" i="15"/>
  <c r="K6" i="15"/>
  <c r="M8" i="15"/>
  <c r="J9" i="15"/>
  <c r="K10" i="15"/>
  <c r="M12" i="15"/>
  <c r="J13" i="15"/>
  <c r="O14" i="15"/>
  <c r="M16" i="15"/>
  <c r="J17" i="15"/>
  <c r="K19" i="15"/>
  <c r="L28" i="15"/>
  <c r="O28" i="15"/>
  <c r="N28" i="15"/>
  <c r="K31" i="15"/>
  <c r="N35" i="15"/>
  <c r="M35" i="15"/>
  <c r="J42" i="15"/>
  <c r="L42" i="15"/>
  <c r="L44" i="15"/>
  <c r="O44" i="15"/>
  <c r="N44" i="15"/>
  <c r="L36" i="15"/>
  <c r="O36" i="15"/>
  <c r="N36" i="15"/>
  <c r="N43" i="15"/>
  <c r="M43" i="15"/>
  <c r="N18" i="15"/>
  <c r="N19" i="15"/>
  <c r="M19" i="15"/>
  <c r="L20" i="15"/>
  <c r="K27" i="15"/>
  <c r="N31" i="15"/>
  <c r="M31" i="15"/>
  <c r="K34" i="15"/>
  <c r="J38" i="15"/>
  <c r="L38" i="15"/>
  <c r="L40" i="15"/>
  <c r="O40" i="15"/>
  <c r="N40" i="15"/>
  <c r="K43" i="15"/>
  <c r="K21" i="15"/>
  <c r="K29" i="15"/>
  <c r="K33" i="15"/>
  <c r="K37" i="15"/>
  <c r="K41" i="15"/>
  <c r="J19" i="15"/>
  <c r="K20" i="15"/>
  <c r="J27" i="15"/>
  <c r="M30" i="15"/>
  <c r="J31" i="15"/>
  <c r="M34" i="15"/>
  <c r="J35" i="15"/>
  <c r="M38" i="15"/>
  <c r="J39" i="15"/>
  <c r="M42" i="15"/>
  <c r="J43" i="15"/>
  <c r="M20" i="14"/>
  <c r="N20" i="14"/>
  <c r="L20" i="14"/>
  <c r="K19" i="14"/>
  <c r="L19" i="14"/>
  <c r="N29" i="14"/>
  <c r="N19" i="14"/>
  <c r="M19" i="14"/>
  <c r="N18" i="14"/>
  <c r="K18" i="14"/>
  <c r="L18" i="14"/>
  <c r="K17" i="14"/>
  <c r="N21" i="14"/>
  <c r="K15" i="14"/>
  <c r="L14" i="14"/>
  <c r="K4" i="14"/>
  <c r="N12" i="14"/>
  <c r="K6" i="14"/>
  <c r="N4" i="14"/>
  <c r="K7" i="14"/>
  <c r="L6" i="14"/>
  <c r="K29" i="14"/>
  <c r="K33" i="14"/>
  <c r="N42" i="14"/>
  <c r="N32" i="14"/>
  <c r="K9" i="14"/>
  <c r="J15" i="14"/>
  <c r="K21" i="14"/>
  <c r="L36" i="14"/>
  <c r="N36" i="14"/>
  <c r="L11" i="14"/>
  <c r="L41" i="14"/>
  <c r="M42" i="14"/>
  <c r="L17" i="14"/>
  <c r="L42" i="14"/>
  <c r="L43" i="14"/>
  <c r="N43" i="14"/>
  <c r="K16" i="14"/>
  <c r="J16" i="14"/>
  <c r="L5" i="14"/>
  <c r="N8" i="14"/>
  <c r="M28" i="14"/>
  <c r="N28" i="14"/>
  <c r="L30" i="14"/>
  <c r="M10" i="14"/>
  <c r="N10" i="14"/>
  <c r="K32" i="14"/>
  <c r="J32" i="14"/>
  <c r="L35" i="14"/>
  <c r="J35" i="14"/>
  <c r="K8" i="14"/>
  <c r="J8" i="14"/>
  <c r="L9" i="14"/>
  <c r="N37" i="14"/>
  <c r="K40" i="14"/>
  <c r="L13" i="14"/>
  <c r="N13" i="14"/>
  <c r="N15" i="14"/>
  <c r="M21" i="14"/>
  <c r="N7" i="14"/>
  <c r="L10" i="14"/>
  <c r="L31" i="14"/>
  <c r="N33" i="14"/>
  <c r="K34" i="14"/>
  <c r="L34" i="14"/>
  <c r="K38" i="14"/>
  <c r="L38" i="14"/>
  <c r="N44" i="14"/>
  <c r="M17" i="14"/>
  <c r="N17" i="14"/>
  <c r="J33" i="14"/>
  <c r="L33" i="14"/>
  <c r="J4" i="14"/>
  <c r="L4" i="14"/>
  <c r="N5" i="14"/>
  <c r="O5" i="14"/>
  <c r="M6" i="14"/>
  <c r="N6" i="14"/>
  <c r="J7" i="14"/>
  <c r="L7" i="14"/>
  <c r="M9" i="14"/>
  <c r="N9" i="14"/>
  <c r="L27" i="14"/>
  <c r="J29" i="14"/>
  <c r="L29" i="14"/>
  <c r="O35" i="14"/>
  <c r="N35" i="14"/>
  <c r="M38" i="14"/>
  <c r="N38" i="14"/>
  <c r="N41" i="14"/>
  <c r="M41" i="14"/>
  <c r="N11" i="14"/>
  <c r="M11" i="14"/>
  <c r="J12" i="14"/>
  <c r="L12" i="14"/>
  <c r="N14" i="14"/>
  <c r="M14" i="14"/>
  <c r="L16" i="14"/>
  <c r="O16" i="14"/>
  <c r="N16" i="14"/>
  <c r="O27" i="14"/>
  <c r="N27" i="14"/>
  <c r="N30" i="14"/>
  <c r="M30" i="14"/>
  <c r="J37" i="14"/>
  <c r="L37" i="14"/>
  <c r="K11" i="14"/>
  <c r="K12" i="14"/>
  <c r="K14" i="14"/>
  <c r="K30" i="14"/>
  <c r="N31" i="14"/>
  <c r="O31" i="14"/>
  <c r="M34" i="14"/>
  <c r="N34" i="14"/>
  <c r="K37" i="14"/>
  <c r="N39" i="14"/>
  <c r="K10" i="14"/>
  <c r="K13" i="14"/>
  <c r="K28" i="14"/>
  <c r="K36" i="14"/>
  <c r="M4" i="14"/>
  <c r="K5" i="14"/>
  <c r="J6" i="14"/>
  <c r="M7" i="14"/>
  <c r="L8" i="14"/>
  <c r="J9" i="14"/>
  <c r="J11" i="14"/>
  <c r="M12" i="14"/>
  <c r="J14" i="14"/>
  <c r="L15" i="14"/>
  <c r="J17" i="14"/>
  <c r="L21" i="14"/>
  <c r="K27" i="14"/>
  <c r="L28" i="14"/>
  <c r="M29" i="14"/>
  <c r="K31" i="14"/>
  <c r="L32" i="14"/>
  <c r="M33" i="14"/>
  <c r="K35" i="14"/>
  <c r="M37" i="14"/>
  <c r="L39" i="14"/>
  <c r="K39" i="14"/>
  <c r="J40" i="14"/>
  <c r="L40" i="14"/>
  <c r="J44" i="14"/>
  <c r="L44" i="14"/>
  <c r="N40" i="14"/>
  <c r="M40" i="14"/>
  <c r="K41" i="14"/>
  <c r="J42" i="14"/>
  <c r="K43" i="14"/>
  <c r="J41" i="14"/>
  <c r="K42" i="14"/>
  <c r="M44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103" i="13"/>
  <c r="M103" i="13"/>
  <c r="K102" i="13"/>
  <c r="L65" i="13"/>
  <c r="K26" i="13"/>
  <c r="K65" i="13"/>
  <c r="N27" i="13"/>
  <c r="O65" i="13"/>
  <c r="J26" i="13"/>
  <c r="M27" i="13"/>
  <c r="N26" i="13"/>
  <c r="K27" i="13"/>
  <c r="L27" i="13"/>
  <c r="M26" i="13"/>
  <c r="K106" i="13"/>
  <c r="K63" i="13"/>
  <c r="K64" i="13"/>
  <c r="N47" i="13"/>
  <c r="N69" i="13"/>
  <c r="K35" i="13"/>
  <c r="K43" i="13"/>
  <c r="L70" i="13"/>
  <c r="N5" i="13"/>
  <c r="N9" i="13"/>
  <c r="N20" i="13"/>
  <c r="N31" i="13"/>
  <c r="L61" i="13"/>
  <c r="K69" i="13"/>
  <c r="K23" i="13"/>
  <c r="K24" i="13"/>
  <c r="K25" i="13"/>
  <c r="K51" i="13"/>
  <c r="K55" i="13"/>
  <c r="K60" i="13"/>
  <c r="K68" i="13"/>
  <c r="L28" i="13"/>
  <c r="K6" i="13"/>
  <c r="N7" i="13"/>
  <c r="L11" i="13"/>
  <c r="L12" i="13"/>
  <c r="L13" i="13"/>
  <c r="L15" i="13"/>
  <c r="K16" i="13"/>
  <c r="K21" i="13"/>
  <c r="N24" i="13"/>
  <c r="N29" i="13"/>
  <c r="N35" i="13"/>
  <c r="K42" i="13"/>
  <c r="N43" i="13"/>
  <c r="J70" i="13"/>
  <c r="K104" i="13"/>
  <c r="K4" i="13"/>
  <c r="N6" i="13"/>
  <c r="K10" i="13"/>
  <c r="N11" i="13"/>
  <c r="N12" i="13"/>
  <c r="K32" i="13"/>
  <c r="N62" i="13"/>
  <c r="J68" i="13"/>
  <c r="K100" i="13"/>
  <c r="K107" i="13"/>
  <c r="N73" i="13"/>
  <c r="M7" i="13"/>
  <c r="L36" i="13"/>
  <c r="M47" i="13"/>
  <c r="L66" i="13"/>
  <c r="K73" i="13"/>
  <c r="K93" i="13"/>
  <c r="M95" i="13"/>
  <c r="M112" i="13"/>
  <c r="N18" i="13"/>
  <c r="L7" i="13"/>
  <c r="K8" i="13"/>
  <c r="N10" i="13"/>
  <c r="L19" i="13"/>
  <c r="M31" i="13"/>
  <c r="J42" i="13"/>
  <c r="M43" i="13"/>
  <c r="N51" i="13"/>
  <c r="N54" i="13"/>
  <c r="L56" i="13"/>
  <c r="J60" i="13"/>
  <c r="K84" i="13"/>
  <c r="K85" i="13"/>
  <c r="K86" i="13"/>
  <c r="K96" i="13"/>
  <c r="J107" i="13"/>
  <c r="L10" i="13"/>
  <c r="L17" i="13"/>
  <c r="N30" i="13"/>
  <c r="N45" i="13"/>
  <c r="M45" i="13"/>
  <c r="L4" i="13"/>
  <c r="L8" i="13"/>
  <c r="L23" i="13"/>
  <c r="N50" i="13"/>
  <c r="L57" i="13"/>
  <c r="O69" i="13"/>
  <c r="M81" i="13"/>
  <c r="K92" i="13"/>
  <c r="J92" i="13"/>
  <c r="N4" i="13"/>
  <c r="M5" i="13"/>
  <c r="N8" i="13"/>
  <c r="M9" i="13"/>
  <c r="M20" i="13"/>
  <c r="N23" i="13"/>
  <c r="M29" i="13"/>
  <c r="L32" i="13"/>
  <c r="N63" i="13"/>
  <c r="K98" i="13"/>
  <c r="J98" i="13"/>
  <c r="L6" i="13"/>
  <c r="L21" i="13"/>
  <c r="N34" i="13"/>
  <c r="K54" i="13"/>
  <c r="J54" i="13"/>
  <c r="M97" i="13"/>
  <c r="M101" i="13"/>
  <c r="L25" i="13"/>
  <c r="N46" i="13"/>
  <c r="L68" i="13"/>
  <c r="N72" i="13"/>
  <c r="M85" i="13"/>
  <c r="J6" i="13"/>
  <c r="J10" i="13"/>
  <c r="N15" i="13"/>
  <c r="K20" i="13"/>
  <c r="J21" i="13"/>
  <c r="M24" i="13"/>
  <c r="L29" i="13"/>
  <c r="K30" i="13"/>
  <c r="L30" i="13"/>
  <c r="L33" i="13"/>
  <c r="K34" i="13"/>
  <c r="L34" i="13"/>
  <c r="L44" i="13"/>
  <c r="L52" i="13"/>
  <c r="L54" i="13"/>
  <c r="O63" i="13"/>
  <c r="L74" i="13"/>
  <c r="K80" i="13"/>
  <c r="J80" i="13"/>
  <c r="K82" i="13"/>
  <c r="J82" i="13"/>
  <c r="J86" i="13"/>
  <c r="K101" i="13"/>
  <c r="M110" i="13"/>
  <c r="L42" i="13"/>
  <c r="K48" i="13"/>
  <c r="L48" i="13"/>
  <c r="J52" i="13"/>
  <c r="L60" i="13"/>
  <c r="J66" i="13"/>
  <c r="N68" i="13"/>
  <c r="O73" i="13"/>
  <c r="J90" i="13"/>
  <c r="M107" i="13"/>
  <c r="N42" i="13"/>
  <c r="L45" i="13"/>
  <c r="K46" i="13"/>
  <c r="L46" i="13"/>
  <c r="L49" i="13"/>
  <c r="K50" i="13"/>
  <c r="L50" i="13"/>
  <c r="N55" i="13"/>
  <c r="N58" i="13"/>
  <c r="N64" i="13"/>
  <c r="K72" i="13"/>
  <c r="L72" i="13"/>
  <c r="K81" i="13"/>
  <c r="K89" i="13"/>
  <c r="K110" i="13"/>
  <c r="K111" i="13"/>
  <c r="L18" i="13"/>
  <c r="J18" i="13"/>
  <c r="N19" i="13"/>
  <c r="N28" i="13"/>
  <c r="M28" i="13"/>
  <c r="J31" i="13"/>
  <c r="L31" i="13"/>
  <c r="L5" i="13"/>
  <c r="M6" i="13"/>
  <c r="J7" i="13"/>
  <c r="L9" i="13"/>
  <c r="M10" i="13"/>
  <c r="J11" i="13"/>
  <c r="K12" i="13"/>
  <c r="K13" i="13"/>
  <c r="N14" i="13"/>
  <c r="K17" i="13"/>
  <c r="O18" i="13"/>
  <c r="N21" i="13"/>
  <c r="M21" i="13"/>
  <c r="N25" i="13"/>
  <c r="M25" i="13"/>
  <c r="N33" i="13"/>
  <c r="K36" i="13"/>
  <c r="J43" i="13"/>
  <c r="L43" i="13"/>
  <c r="N49" i="13"/>
  <c r="K52" i="13"/>
  <c r="J55" i="13"/>
  <c r="L55" i="13"/>
  <c r="J57" i="13"/>
  <c r="K57" i="13"/>
  <c r="M60" i="13"/>
  <c r="N60" i="13"/>
  <c r="N66" i="13"/>
  <c r="M66" i="13"/>
  <c r="N74" i="13"/>
  <c r="M74" i="13"/>
  <c r="N44" i="13"/>
  <c r="M44" i="13"/>
  <c r="K7" i="13"/>
  <c r="K11" i="13"/>
  <c r="M12" i="13"/>
  <c r="N13" i="13"/>
  <c r="J16" i="13"/>
  <c r="L16" i="13"/>
  <c r="N17" i="13"/>
  <c r="J20" i="13"/>
  <c r="L20" i="13"/>
  <c r="L22" i="13"/>
  <c r="J24" i="13"/>
  <c r="L24" i="13"/>
  <c r="N36" i="13"/>
  <c r="M36" i="13"/>
  <c r="N52" i="13"/>
  <c r="M52" i="13"/>
  <c r="L53" i="13"/>
  <c r="J61" i="13"/>
  <c r="K61" i="13"/>
  <c r="K5" i="13"/>
  <c r="K9" i="13"/>
  <c r="L14" i="13"/>
  <c r="J14" i="13"/>
  <c r="O22" i="13"/>
  <c r="N22" i="13"/>
  <c r="J47" i="13"/>
  <c r="L47" i="13"/>
  <c r="M56" i="13"/>
  <c r="N56" i="13"/>
  <c r="J108" i="13"/>
  <c r="K108" i="13"/>
  <c r="K14" i="13"/>
  <c r="K15" i="13"/>
  <c r="N16" i="13"/>
  <c r="K18" i="13"/>
  <c r="K19" i="13"/>
  <c r="K28" i="13"/>
  <c r="K31" i="13"/>
  <c r="N32" i="13"/>
  <c r="M32" i="13"/>
  <c r="J35" i="13"/>
  <c r="L35" i="13"/>
  <c r="K44" i="13"/>
  <c r="K47" i="13"/>
  <c r="N48" i="13"/>
  <c r="M48" i="13"/>
  <c r="J51" i="13"/>
  <c r="L51" i="13"/>
  <c r="N53" i="13"/>
  <c r="K56" i="13"/>
  <c r="N59" i="13"/>
  <c r="N70" i="13"/>
  <c r="M70" i="13"/>
  <c r="J22" i="13"/>
  <c r="J29" i="13"/>
  <c r="J33" i="13"/>
  <c r="J45" i="13"/>
  <c r="J49" i="13"/>
  <c r="J53" i="13"/>
  <c r="N57" i="13"/>
  <c r="M57" i="13"/>
  <c r="K58" i="13"/>
  <c r="L58" i="13"/>
  <c r="N61" i="13"/>
  <c r="M61" i="13"/>
  <c r="K62" i="13"/>
  <c r="L62" i="13"/>
  <c r="J63" i="13"/>
  <c r="L63" i="13"/>
  <c r="J64" i="13"/>
  <c r="L64" i="13"/>
  <c r="J69" i="13"/>
  <c r="L69" i="13"/>
  <c r="J73" i="13"/>
  <c r="L73" i="13"/>
  <c r="M82" i="13"/>
  <c r="M86" i="13"/>
  <c r="J87" i="13"/>
  <c r="K87" i="13"/>
  <c r="J97" i="13"/>
  <c r="K97" i="13"/>
  <c r="M105" i="13"/>
  <c r="K22" i="13"/>
  <c r="K29" i="13"/>
  <c r="K33" i="13"/>
  <c r="K45" i="13"/>
  <c r="K49" i="13"/>
  <c r="K53" i="13"/>
  <c r="M58" i="13"/>
  <c r="L59" i="13"/>
  <c r="K59" i="13"/>
  <c r="M62" i="13"/>
  <c r="L67" i="13"/>
  <c r="L71" i="13"/>
  <c r="J81" i="13"/>
  <c r="J85" i="13"/>
  <c r="M94" i="13"/>
  <c r="J112" i="13"/>
  <c r="K112" i="13"/>
  <c r="K66" i="13"/>
  <c r="N67" i="13"/>
  <c r="K70" i="13"/>
  <c r="N71" i="13"/>
  <c r="K74" i="13"/>
  <c r="M109" i="13"/>
  <c r="J67" i="13"/>
  <c r="J71" i="13"/>
  <c r="J83" i="13"/>
  <c r="K90" i="13"/>
  <c r="J93" i="13"/>
  <c r="J104" i="13"/>
  <c r="K67" i="13"/>
  <c r="K71" i="13"/>
  <c r="J74" i="13"/>
  <c r="K83" i="13"/>
  <c r="J89" i="13"/>
  <c r="M90" i="13"/>
  <c r="K88" i="13"/>
  <c r="K94" i="13"/>
  <c r="M98" i="13"/>
  <c r="J101" i="13"/>
  <c r="K105" i="13"/>
  <c r="K109" i="13"/>
  <c r="J91" i="13"/>
  <c r="J95" i="13"/>
  <c r="J99" i="13"/>
  <c r="J106" i="13"/>
  <c r="J110" i="13"/>
  <c r="K91" i="13"/>
  <c r="K95" i="13"/>
  <c r="K99" i="13"/>
  <c r="J105" i="13"/>
  <c r="J109" i="13"/>
  <c r="M109" i="12"/>
  <c r="N50" i="12"/>
  <c r="K76" i="12"/>
  <c r="L7" i="12"/>
  <c r="L49" i="12"/>
  <c r="L52" i="12"/>
  <c r="K82" i="12"/>
  <c r="N11" i="12"/>
  <c r="N24" i="12"/>
  <c r="N52" i="12"/>
  <c r="N66" i="12"/>
  <c r="N70" i="12"/>
  <c r="K80" i="12"/>
  <c r="L8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10" i="12"/>
  <c r="K111" i="12"/>
  <c r="K112" i="12"/>
  <c r="K113" i="12"/>
  <c r="K114" i="12"/>
  <c r="K115" i="12"/>
  <c r="K116" i="12"/>
  <c r="K117" i="12"/>
  <c r="K118" i="12"/>
  <c r="K119" i="12"/>
  <c r="K121" i="12"/>
  <c r="K122" i="12"/>
  <c r="K123" i="12"/>
  <c r="K124" i="12"/>
  <c r="K125" i="12"/>
  <c r="K126" i="12"/>
  <c r="K127" i="12"/>
  <c r="K128" i="12"/>
  <c r="K129" i="12"/>
  <c r="K130" i="12"/>
  <c r="L65" i="12"/>
  <c r="L76" i="12"/>
  <c r="N76" i="12"/>
  <c r="M76" i="12"/>
  <c r="K27" i="12"/>
  <c r="L72" i="12"/>
  <c r="N65" i="12"/>
  <c r="L26" i="12"/>
  <c r="N54" i="12"/>
  <c r="L59" i="12"/>
  <c r="N61" i="12"/>
  <c r="M64" i="12"/>
  <c r="M70" i="12"/>
  <c r="L74" i="12"/>
  <c r="K75" i="12"/>
  <c r="L17" i="12"/>
  <c r="K41" i="12"/>
  <c r="K54" i="12"/>
  <c r="L55" i="12"/>
  <c r="K64" i="12"/>
  <c r="L66" i="12"/>
  <c r="L70" i="12"/>
  <c r="K71" i="12"/>
  <c r="N73" i="12"/>
  <c r="N74" i="12"/>
  <c r="J82" i="12"/>
  <c r="N57" i="12"/>
  <c r="M66" i="12"/>
  <c r="L77" i="12"/>
  <c r="J78" i="12"/>
  <c r="N83" i="12"/>
  <c r="N84" i="12"/>
  <c r="N79" i="12"/>
  <c r="L84" i="12"/>
  <c r="L38" i="12"/>
  <c r="L40" i="12"/>
  <c r="L42" i="12"/>
  <c r="L50" i="12"/>
  <c r="N51" i="12"/>
  <c r="N62" i="12"/>
  <c r="M85" i="12"/>
  <c r="K21" i="12"/>
  <c r="L32" i="12"/>
  <c r="N5" i="12"/>
  <c r="N17" i="12"/>
  <c r="J24" i="12"/>
  <c r="N26" i="12"/>
  <c r="K30" i="12"/>
  <c r="N33" i="12"/>
  <c r="K37" i="12"/>
  <c r="N38" i="12"/>
  <c r="N42" i="12"/>
  <c r="L48" i="12"/>
  <c r="K49" i="12"/>
  <c r="K51" i="12"/>
  <c r="K53" i="12"/>
  <c r="M53" i="12"/>
  <c r="K56" i="12"/>
  <c r="L57" i="12"/>
  <c r="K60" i="12"/>
  <c r="M60" i="12"/>
  <c r="J61" i="12"/>
  <c r="J64" i="12"/>
  <c r="K67" i="12"/>
  <c r="K68" i="12"/>
  <c r="K69" i="12"/>
  <c r="J70" i="12"/>
  <c r="N71" i="12"/>
  <c r="K73" i="12"/>
  <c r="M73" i="12"/>
  <c r="J74" i="12"/>
  <c r="N75" i="12"/>
  <c r="L79" i="12"/>
  <c r="N82" i="12"/>
  <c r="O83" i="12"/>
  <c r="J84" i="12"/>
  <c r="K86" i="12"/>
  <c r="L86" i="12"/>
  <c r="K32" i="12"/>
  <c r="O5" i="12"/>
  <c r="L13" i="12"/>
  <c r="N35" i="12"/>
  <c r="N15" i="12"/>
  <c r="N28" i="12"/>
  <c r="N30" i="12"/>
  <c r="L36" i="12"/>
  <c r="L21" i="12"/>
  <c r="N21" i="12"/>
  <c r="N4" i="12"/>
  <c r="L24" i="12"/>
  <c r="L31" i="12"/>
  <c r="L6" i="12"/>
  <c r="K7" i="12"/>
  <c r="N9" i="12"/>
  <c r="L25" i="12"/>
  <c r="M25" i="12"/>
  <c r="M28" i="12"/>
  <c r="K31" i="12"/>
  <c r="M33" i="12"/>
  <c r="N39" i="12"/>
  <c r="N29" i="12"/>
  <c r="N34" i="12"/>
  <c r="L4" i="12"/>
  <c r="J5" i="12"/>
  <c r="N6" i="12"/>
  <c r="L9" i="12"/>
  <c r="N13" i="12"/>
  <c r="L22" i="12"/>
  <c r="N22" i="12"/>
  <c r="J26" i="12"/>
  <c r="K28" i="12"/>
  <c r="L29" i="12"/>
  <c r="K33" i="12"/>
  <c r="L34" i="12"/>
  <c r="K36" i="12"/>
  <c r="J38" i="12"/>
  <c r="K4" i="12"/>
  <c r="O4" i="12"/>
  <c r="L5" i="12"/>
  <c r="M6" i="12"/>
  <c r="N7" i="12"/>
  <c r="L8" i="12"/>
  <c r="K8" i="12"/>
  <c r="L11" i="12"/>
  <c r="L12" i="12"/>
  <c r="L15" i="12"/>
  <c r="L16" i="12"/>
  <c r="K22" i="12"/>
  <c r="N23" i="12"/>
  <c r="M23" i="12"/>
  <c r="L27" i="12"/>
  <c r="L33" i="12"/>
  <c r="O33" i="12"/>
  <c r="N36" i="12"/>
  <c r="M36" i="12"/>
  <c r="J39" i="12"/>
  <c r="L39" i="12"/>
  <c r="J6" i="12"/>
  <c r="O7" i="12"/>
  <c r="N8" i="12"/>
  <c r="K10" i="12"/>
  <c r="K11" i="12"/>
  <c r="M11" i="12"/>
  <c r="N12" i="12"/>
  <c r="K14" i="12"/>
  <c r="K15" i="12"/>
  <c r="M15" i="12"/>
  <c r="N16" i="12"/>
  <c r="K18" i="12"/>
  <c r="K19" i="12"/>
  <c r="L19" i="12"/>
  <c r="L20" i="12"/>
  <c r="K26" i="12"/>
  <c r="N27" i="12"/>
  <c r="M27" i="12"/>
  <c r="L28" i="12"/>
  <c r="O28" i="12"/>
  <c r="N31" i="12"/>
  <c r="M31" i="12"/>
  <c r="J35" i="12"/>
  <c r="L35" i="12"/>
  <c r="N41" i="12"/>
  <c r="K6" i="12"/>
  <c r="J9" i="12"/>
  <c r="L10" i="12"/>
  <c r="J13" i="12"/>
  <c r="L14" i="12"/>
  <c r="J17" i="12"/>
  <c r="L18" i="12"/>
  <c r="N19" i="12"/>
  <c r="M19" i="12"/>
  <c r="N20" i="12"/>
  <c r="K23" i="12"/>
  <c r="J30" i="12"/>
  <c r="L30" i="12"/>
  <c r="N37" i="12"/>
  <c r="K40" i="12"/>
  <c r="L41" i="12"/>
  <c r="O41" i="12"/>
  <c r="K9" i="12"/>
  <c r="N10" i="12"/>
  <c r="M10" i="12"/>
  <c r="K13" i="12"/>
  <c r="N14" i="12"/>
  <c r="M14" i="12"/>
  <c r="K17" i="12"/>
  <c r="N18" i="12"/>
  <c r="M18" i="12"/>
  <c r="L23" i="12"/>
  <c r="M24" i="12"/>
  <c r="L37" i="12"/>
  <c r="O37" i="12"/>
  <c r="N40" i="12"/>
  <c r="M40" i="12"/>
  <c r="J11" i="12"/>
  <c r="K12" i="12"/>
  <c r="J15" i="12"/>
  <c r="K16" i="12"/>
  <c r="K20" i="12"/>
  <c r="K25" i="12"/>
  <c r="J28" i="12"/>
  <c r="K29" i="12"/>
  <c r="J33" i="12"/>
  <c r="K34" i="12"/>
  <c r="J37" i="12"/>
  <c r="K38" i="12"/>
  <c r="J41" i="12"/>
  <c r="K42" i="12"/>
  <c r="M48" i="12"/>
  <c r="J49" i="12"/>
  <c r="N49" i="12"/>
  <c r="K50" i="12"/>
  <c r="O50" i="12"/>
  <c r="L51" i="12"/>
  <c r="M52" i="12"/>
  <c r="L64" i="12"/>
  <c r="O64" i="12"/>
  <c r="N68" i="12"/>
  <c r="M68" i="12"/>
  <c r="J71" i="12"/>
  <c r="L71" i="12"/>
  <c r="L73" i="12"/>
  <c r="O73" i="12"/>
  <c r="N77" i="12"/>
  <c r="M77" i="12"/>
  <c r="J80" i="12"/>
  <c r="L80" i="12"/>
  <c r="L82" i="12"/>
  <c r="O82" i="12"/>
  <c r="J31" i="12"/>
  <c r="J36" i="12"/>
  <c r="J40" i="12"/>
  <c r="J48" i="12"/>
  <c r="O49" i="12"/>
  <c r="J52" i="12"/>
  <c r="N56" i="12"/>
  <c r="K59" i="12"/>
  <c r="L60" i="12"/>
  <c r="O60" i="12"/>
  <c r="K63" i="12"/>
  <c r="N69" i="12"/>
  <c r="K72" i="12"/>
  <c r="N78" i="12"/>
  <c r="K81" i="12"/>
  <c r="K48" i="12"/>
  <c r="J51" i="12"/>
  <c r="K52" i="12"/>
  <c r="L53" i="12"/>
  <c r="O53" i="12"/>
  <c r="K55" i="12"/>
  <c r="L56" i="12"/>
  <c r="O56" i="12"/>
  <c r="N59" i="12"/>
  <c r="M59" i="12"/>
  <c r="N63" i="12"/>
  <c r="M63" i="12"/>
  <c r="J67" i="12"/>
  <c r="L67" i="12"/>
  <c r="L69" i="12"/>
  <c r="O69" i="12"/>
  <c r="N72" i="12"/>
  <c r="M72" i="12"/>
  <c r="J75" i="12"/>
  <c r="L75" i="12"/>
  <c r="L78" i="12"/>
  <c r="O78" i="12"/>
  <c r="N81" i="12"/>
  <c r="M81" i="12"/>
  <c r="J54" i="12"/>
  <c r="L54" i="12"/>
  <c r="N55" i="12"/>
  <c r="M55" i="12"/>
  <c r="J58" i="12"/>
  <c r="L58" i="12"/>
  <c r="J62" i="12"/>
  <c r="L62" i="12"/>
  <c r="J56" i="12"/>
  <c r="K57" i="12"/>
  <c r="K61" i="12"/>
  <c r="K66" i="12"/>
  <c r="K70" i="12"/>
  <c r="K74" i="12"/>
  <c r="K79" i="12"/>
  <c r="L83" i="12"/>
  <c r="K83" i="12"/>
  <c r="M86" i="12"/>
  <c r="J55" i="12"/>
  <c r="J59" i="12"/>
  <c r="J63" i="12"/>
  <c r="M67" i="12"/>
  <c r="J68" i="12"/>
  <c r="M71" i="12"/>
  <c r="J72" i="12"/>
  <c r="M75" i="12"/>
  <c r="J77" i="12"/>
  <c r="M80" i="12"/>
  <c r="J81" i="12"/>
  <c r="K85" i="12"/>
  <c r="L85" i="12"/>
  <c r="N53" i="11"/>
  <c r="N75" i="11"/>
  <c r="K76" i="11"/>
  <c r="N81" i="11"/>
  <c r="K102" i="11"/>
  <c r="N65" i="11"/>
  <c r="N71" i="11"/>
  <c r="N77" i="11"/>
  <c r="M79" i="11"/>
  <c r="K98" i="11"/>
  <c r="K114" i="11"/>
  <c r="K101" i="11"/>
  <c r="K117" i="11"/>
  <c r="K88" i="11"/>
  <c r="M90" i="11"/>
  <c r="K92" i="11"/>
  <c r="M94" i="11"/>
  <c r="K96" i="11"/>
  <c r="M98" i="11"/>
  <c r="K100" i="11"/>
  <c r="M102" i="11"/>
  <c r="K104" i="11"/>
  <c r="M106" i="11"/>
  <c r="K108" i="11"/>
  <c r="M110" i="11"/>
  <c r="K112" i="11"/>
  <c r="M114" i="11"/>
  <c r="K116" i="11"/>
  <c r="M118" i="11"/>
  <c r="K120" i="11"/>
  <c r="M122" i="11"/>
  <c r="K124" i="11"/>
  <c r="K97" i="11"/>
  <c r="K105" i="11"/>
  <c r="K113" i="11"/>
  <c r="K121" i="11"/>
  <c r="M89" i="11"/>
  <c r="J90" i="11"/>
  <c r="K91" i="11"/>
  <c r="M93" i="11"/>
  <c r="J94" i="11"/>
  <c r="K95" i="11"/>
  <c r="M97" i="11"/>
  <c r="J98" i="11"/>
  <c r="K99" i="11"/>
  <c r="M101" i="11"/>
  <c r="J102" i="11"/>
  <c r="K103" i="11"/>
  <c r="M105" i="11"/>
  <c r="J106" i="11"/>
  <c r="K107" i="11"/>
  <c r="M109" i="11"/>
  <c r="J110" i="11"/>
  <c r="K111" i="11"/>
  <c r="M113" i="11"/>
  <c r="J114" i="11"/>
  <c r="K115" i="11"/>
  <c r="M117" i="11"/>
  <c r="J118" i="11"/>
  <c r="K119" i="11"/>
  <c r="M121" i="11"/>
  <c r="J122" i="11"/>
  <c r="K123" i="11"/>
  <c r="K89" i="11"/>
  <c r="K93" i="11"/>
  <c r="K109" i="11"/>
  <c r="N50" i="11"/>
  <c r="N54" i="11"/>
  <c r="N62" i="11"/>
  <c r="N74" i="11"/>
  <c r="N78" i="11"/>
  <c r="N46" i="11"/>
  <c r="N58" i="11"/>
  <c r="N66" i="11"/>
  <c r="N70" i="11"/>
  <c r="N47" i="11"/>
  <c r="K48" i="11"/>
  <c r="L48" i="11"/>
  <c r="M49" i="11"/>
  <c r="N51" i="11"/>
  <c r="K52" i="11"/>
  <c r="L52" i="11"/>
  <c r="M53" i="11"/>
  <c r="N55" i="11"/>
  <c r="K56" i="11"/>
  <c r="L56" i="11"/>
  <c r="M57" i="11"/>
  <c r="N59" i="11"/>
  <c r="K60" i="11"/>
  <c r="L60" i="11"/>
  <c r="M61" i="11"/>
  <c r="N63" i="11"/>
  <c r="K64" i="11"/>
  <c r="L64" i="11"/>
  <c r="M65" i="11"/>
  <c r="N67" i="11"/>
  <c r="K68" i="11"/>
  <c r="L68" i="11"/>
  <c r="M69" i="11"/>
  <c r="K72" i="11"/>
  <c r="L72" i="11"/>
  <c r="M73" i="11"/>
  <c r="L76" i="11"/>
  <c r="M77" i="11"/>
  <c r="L80" i="11"/>
  <c r="M81" i="11"/>
  <c r="K46" i="11"/>
  <c r="L46" i="11"/>
  <c r="N48" i="11"/>
  <c r="K50" i="11"/>
  <c r="L50" i="11"/>
  <c r="N52" i="11"/>
  <c r="K54" i="11"/>
  <c r="L54" i="11"/>
  <c r="N56" i="11"/>
  <c r="K58" i="11"/>
  <c r="L58" i="11"/>
  <c r="N60" i="11"/>
  <c r="K62" i="11"/>
  <c r="L62" i="11"/>
  <c r="N64" i="11"/>
  <c r="K66" i="11"/>
  <c r="L66" i="11"/>
  <c r="N68" i="11"/>
  <c r="K70" i="11"/>
  <c r="L70" i="11"/>
  <c r="K74" i="11"/>
  <c r="L74" i="11"/>
  <c r="N76" i="11"/>
  <c r="K78" i="11"/>
  <c r="L78" i="11"/>
  <c r="N80" i="11"/>
  <c r="N82" i="11"/>
  <c r="K59" i="11"/>
  <c r="K67" i="11"/>
  <c r="K71" i="11"/>
  <c r="L47" i="11"/>
  <c r="M48" i="11"/>
  <c r="J49" i="11"/>
  <c r="L51" i="11"/>
  <c r="M52" i="11"/>
  <c r="J53" i="11"/>
  <c r="L55" i="11"/>
  <c r="M56" i="11"/>
  <c r="J57" i="11"/>
  <c r="L59" i="11"/>
  <c r="M60" i="11"/>
  <c r="J61" i="11"/>
  <c r="L63" i="11"/>
  <c r="M64" i="11"/>
  <c r="J65" i="11"/>
  <c r="L67" i="11"/>
  <c r="M68" i="11"/>
  <c r="J69" i="11"/>
  <c r="L71" i="11"/>
  <c r="M72" i="11"/>
  <c r="J73" i="11"/>
  <c r="L75" i="11"/>
  <c r="M76" i="11"/>
  <c r="J77" i="11"/>
  <c r="L79" i="11"/>
  <c r="M80" i="11"/>
  <c r="J81" i="11"/>
  <c r="K82" i="11"/>
  <c r="K63" i="11"/>
  <c r="K75" i="11"/>
  <c r="K49" i="11"/>
  <c r="K53" i="11"/>
  <c r="K57" i="11"/>
  <c r="K61" i="11"/>
  <c r="K65" i="11"/>
  <c r="K69" i="11"/>
  <c r="N72" i="11"/>
  <c r="K73" i="11"/>
  <c r="K77" i="11"/>
  <c r="K81" i="11"/>
  <c r="L82" i="11"/>
  <c r="K47" i="11"/>
  <c r="K51" i="11"/>
  <c r="K55" i="11"/>
  <c r="K79" i="11"/>
  <c r="L49" i="11"/>
  <c r="L53" i="11"/>
  <c r="L57" i="11"/>
  <c r="L61" i="11"/>
  <c r="L65" i="11"/>
  <c r="L69" i="11"/>
  <c r="L73" i="11"/>
  <c r="L77" i="11"/>
  <c r="L81" i="11"/>
  <c r="N23" i="11"/>
  <c r="N27" i="11"/>
  <c r="K34" i="11"/>
  <c r="L29" i="11"/>
  <c r="L8" i="11"/>
  <c r="L12" i="11"/>
  <c r="K24" i="11"/>
  <c r="K28" i="11"/>
  <c r="L36" i="11"/>
  <c r="N4" i="11"/>
  <c r="N37" i="11"/>
  <c r="N5" i="11"/>
  <c r="N11" i="11"/>
  <c r="L21" i="11"/>
  <c r="L40" i="11"/>
  <c r="L26" i="11"/>
  <c r="L31" i="11"/>
  <c r="N33" i="11"/>
  <c r="K38" i="11"/>
  <c r="L32" i="11"/>
  <c r="N30" i="11"/>
  <c r="L25" i="11"/>
  <c r="N20" i="11"/>
  <c r="N6" i="11"/>
  <c r="N14" i="11"/>
  <c r="N18" i="11"/>
  <c r="N7" i="11"/>
  <c r="N8" i="11"/>
  <c r="L16" i="11"/>
  <c r="L5" i="11"/>
  <c r="N10" i="11"/>
  <c r="N15" i="11"/>
  <c r="N17" i="11"/>
  <c r="J26" i="11"/>
  <c r="J29" i="11"/>
  <c r="J32" i="11"/>
  <c r="J36" i="11"/>
  <c r="J40" i="11"/>
  <c r="O5" i="11"/>
  <c r="O8" i="11"/>
  <c r="L9" i="11"/>
  <c r="N9" i="11"/>
  <c r="N12" i="11"/>
  <c r="L13" i="11"/>
  <c r="N13" i="11"/>
  <c r="N16" i="11"/>
  <c r="L19" i="11"/>
  <c r="N19" i="11"/>
  <c r="K4" i="11"/>
  <c r="L4" i="11"/>
  <c r="J5" i="11"/>
  <c r="K7" i="11"/>
  <c r="L7" i="11"/>
  <c r="J8" i="11"/>
  <c r="K11" i="11"/>
  <c r="L11" i="11"/>
  <c r="J12" i="11"/>
  <c r="K15" i="11"/>
  <c r="L15" i="11"/>
  <c r="J16" i="11"/>
  <c r="K18" i="11"/>
  <c r="L18" i="11"/>
  <c r="N21" i="11"/>
  <c r="L22" i="11"/>
  <c r="N22" i="11"/>
  <c r="J24" i="11"/>
  <c r="N25" i="11"/>
  <c r="N26" i="11"/>
  <c r="J28" i="11"/>
  <c r="N29" i="11"/>
  <c r="N31" i="11"/>
  <c r="N32" i="11"/>
  <c r="J34" i="11"/>
  <c r="N35" i="11"/>
  <c r="N36" i="11"/>
  <c r="J38" i="11"/>
  <c r="N39" i="11"/>
  <c r="N40" i="11"/>
  <c r="L24" i="11"/>
  <c r="L28" i="11"/>
  <c r="L34" i="11"/>
  <c r="L38" i="11"/>
  <c r="N24" i="11"/>
  <c r="N28" i="11"/>
  <c r="N34" i="11"/>
  <c r="L35" i="11"/>
  <c r="N38" i="11"/>
  <c r="L39" i="11"/>
  <c r="M6" i="11"/>
  <c r="M10" i="11"/>
  <c r="M14" i="11"/>
  <c r="M17" i="11"/>
  <c r="M20" i="11"/>
  <c r="M23" i="11"/>
  <c r="M27" i="11"/>
  <c r="M30" i="11"/>
  <c r="M33" i="11"/>
  <c r="M37" i="11"/>
  <c r="M4" i="11"/>
  <c r="K5" i="11"/>
  <c r="M7" i="11"/>
  <c r="K8" i="11"/>
  <c r="M11" i="11"/>
  <c r="K12" i="11"/>
  <c r="M15" i="11"/>
  <c r="K16" i="11"/>
  <c r="M18" i="11"/>
  <c r="K21" i="11"/>
  <c r="M24" i="11"/>
  <c r="K25" i="11"/>
  <c r="M28" i="11"/>
  <c r="K31" i="11"/>
  <c r="M34" i="11"/>
  <c r="K35" i="11"/>
  <c r="M38" i="11"/>
  <c r="K39" i="11"/>
  <c r="K6" i="11"/>
  <c r="K9" i="11"/>
  <c r="K10" i="11"/>
  <c r="K13" i="11"/>
  <c r="K14" i="11"/>
  <c r="K17" i="11"/>
  <c r="K19" i="11"/>
  <c r="K20" i="11"/>
  <c r="K22" i="11"/>
  <c r="K23" i="11"/>
  <c r="K26" i="11"/>
  <c r="K27" i="11"/>
  <c r="K29" i="11"/>
  <c r="K30" i="11"/>
  <c r="K32" i="11"/>
  <c r="K33" i="11"/>
  <c r="K36" i="11"/>
  <c r="K37" i="11"/>
  <c r="K40" i="11"/>
  <c r="L6" i="11"/>
  <c r="L10" i="11"/>
  <c r="L14" i="11"/>
  <c r="L17" i="11"/>
  <c r="L20" i="11"/>
  <c r="L23" i="11"/>
  <c r="L27" i="11"/>
  <c r="L30" i="11"/>
  <c r="L33" i="11"/>
  <c r="L37" i="11"/>
  <c r="L160" i="8"/>
  <c r="N161" i="8"/>
  <c r="M161" i="8"/>
  <c r="L116" i="8"/>
  <c r="M117" i="8"/>
  <c r="L133" i="8"/>
  <c r="L137" i="8"/>
  <c r="L153" i="8"/>
  <c r="M154" i="8"/>
  <c r="L115" i="8"/>
  <c r="M116" i="8"/>
  <c r="N117" i="8"/>
  <c r="K118" i="8"/>
  <c r="O118" i="8"/>
  <c r="L119" i="8"/>
  <c r="M120" i="8"/>
  <c r="N121" i="8"/>
  <c r="K122" i="8"/>
  <c r="L124" i="8"/>
  <c r="K124" i="8"/>
  <c r="N125" i="8"/>
  <c r="M125" i="8"/>
  <c r="L128" i="8"/>
  <c r="K128" i="8"/>
  <c r="N129" i="8"/>
  <c r="M129" i="8"/>
  <c r="L132" i="8"/>
  <c r="K132" i="8"/>
  <c r="N133" i="8"/>
  <c r="M133" i="8"/>
  <c r="L136" i="8"/>
  <c r="K136" i="8"/>
  <c r="N137" i="8"/>
  <c r="M137" i="8"/>
  <c r="L140" i="8"/>
  <c r="K140" i="8"/>
  <c r="N141" i="8"/>
  <c r="M141" i="8"/>
  <c r="L144" i="8"/>
  <c r="K144" i="8"/>
  <c r="N145" i="8"/>
  <c r="M145" i="8"/>
  <c r="L148" i="8"/>
  <c r="K148" i="8"/>
  <c r="N149" i="8"/>
  <c r="M149" i="8"/>
  <c r="L152" i="8"/>
  <c r="K152" i="8"/>
  <c r="N153" i="8"/>
  <c r="M153" i="8"/>
  <c r="L157" i="8"/>
  <c r="M158" i="8"/>
  <c r="K161" i="8"/>
  <c r="L162" i="8"/>
  <c r="K116" i="8"/>
  <c r="K120" i="8"/>
  <c r="K160" i="8"/>
  <c r="L120" i="8"/>
  <c r="L129" i="8"/>
  <c r="L141" i="8"/>
  <c r="L145" i="8"/>
  <c r="L149" i="8"/>
  <c r="L164" i="8"/>
  <c r="L118" i="8"/>
  <c r="N122" i="8"/>
  <c r="L126" i="8"/>
  <c r="L130" i="8"/>
  <c r="L134" i="8"/>
  <c r="L138" i="8"/>
  <c r="L142" i="8"/>
  <c r="L146" i="8"/>
  <c r="L150" i="8"/>
  <c r="L156" i="8"/>
  <c r="K156" i="8"/>
  <c r="N157" i="8"/>
  <c r="M157" i="8"/>
  <c r="J160" i="8"/>
  <c r="L161" i="8"/>
  <c r="N162" i="8"/>
  <c r="M162" i="8"/>
  <c r="N163" i="8"/>
  <c r="K123" i="8"/>
  <c r="J126" i="8"/>
  <c r="K127" i="8"/>
  <c r="J130" i="8"/>
  <c r="K131" i="8"/>
  <c r="J134" i="8"/>
  <c r="K135" i="8"/>
  <c r="J138" i="8"/>
  <c r="K139" i="8"/>
  <c r="J142" i="8"/>
  <c r="K143" i="8"/>
  <c r="J146" i="8"/>
  <c r="K147" i="8"/>
  <c r="J150" i="8"/>
  <c r="K151" i="8"/>
  <c r="K155" i="8"/>
  <c r="K159" i="8"/>
  <c r="K163" i="8"/>
  <c r="L123" i="8"/>
  <c r="L127" i="8"/>
  <c r="L131" i="8"/>
  <c r="L135" i="8"/>
  <c r="L139" i="8"/>
  <c r="L143" i="8"/>
  <c r="L147" i="8"/>
  <c r="L151" i="8"/>
  <c r="L155" i="8"/>
  <c r="L159" i="8"/>
  <c r="L163" i="8"/>
  <c r="L60" i="8"/>
  <c r="O60" i="8"/>
  <c r="O69" i="8"/>
  <c r="L69" i="8"/>
  <c r="J86" i="8"/>
  <c r="L86" i="8"/>
  <c r="K86" i="8"/>
  <c r="M93" i="8"/>
  <c r="N93" i="8"/>
  <c r="M103" i="8"/>
  <c r="N103" i="8"/>
  <c r="L62" i="8"/>
  <c r="L71" i="8"/>
  <c r="L59" i="8"/>
  <c r="N62" i="8"/>
  <c r="M62" i="8"/>
  <c r="L65" i="8"/>
  <c r="K65" i="8"/>
  <c r="L66" i="8"/>
  <c r="N69" i="8"/>
  <c r="M71" i="8"/>
  <c r="N71" i="8"/>
  <c r="J75" i="8"/>
  <c r="L75" i="8"/>
  <c r="J79" i="8"/>
  <c r="L79" i="8"/>
  <c r="M87" i="8"/>
  <c r="N87" i="8"/>
  <c r="L92" i="8"/>
  <c r="J92" i="8"/>
  <c r="K92" i="8"/>
  <c r="J102" i="8"/>
  <c r="L102" i="8"/>
  <c r="K102" i="8"/>
  <c r="L108" i="8"/>
  <c r="J108" i="8"/>
  <c r="K108" i="8"/>
  <c r="L61" i="8"/>
  <c r="L64" i="8"/>
  <c r="O64" i="8"/>
  <c r="K59" i="8"/>
  <c r="M59" i="8"/>
  <c r="N60" i="8"/>
  <c r="N66" i="8"/>
  <c r="M66" i="8"/>
  <c r="L68" i="8"/>
  <c r="O73" i="8"/>
  <c r="L73" i="8"/>
  <c r="O77" i="8"/>
  <c r="L77" i="8"/>
  <c r="N94" i="8"/>
  <c r="O94" i="8"/>
  <c r="N81" i="8"/>
  <c r="J106" i="8"/>
  <c r="L106" i="8"/>
  <c r="L72" i="8"/>
  <c r="N74" i="8"/>
  <c r="L76" i="8"/>
  <c r="N78" i="8"/>
  <c r="L80" i="8"/>
  <c r="J80" i="8"/>
  <c r="J90" i="8"/>
  <c r="L90" i="8"/>
  <c r="N91" i="8"/>
  <c r="L96" i="8"/>
  <c r="J96" i="8"/>
  <c r="N97" i="8"/>
  <c r="J59" i="8"/>
  <c r="J63" i="8"/>
  <c r="J67" i="8"/>
  <c r="N68" i="8"/>
  <c r="M68" i="8"/>
  <c r="K69" i="8"/>
  <c r="N72" i="8"/>
  <c r="M72" i="8"/>
  <c r="K73" i="8"/>
  <c r="N75" i="8"/>
  <c r="N76" i="8"/>
  <c r="M76" i="8"/>
  <c r="K77" i="8"/>
  <c r="N79" i="8"/>
  <c r="N80" i="8"/>
  <c r="K83" i="8"/>
  <c r="L84" i="8"/>
  <c r="J84" i="8"/>
  <c r="N85" i="8"/>
  <c r="K89" i="8"/>
  <c r="O90" i="8"/>
  <c r="J94" i="8"/>
  <c r="L94" i="8"/>
  <c r="N95" i="8"/>
  <c r="N96" i="8"/>
  <c r="K99" i="8"/>
  <c r="L100" i="8"/>
  <c r="J100" i="8"/>
  <c r="N101" i="8"/>
  <c r="L70" i="8"/>
  <c r="K70" i="8"/>
  <c r="L74" i="8"/>
  <c r="K74" i="8"/>
  <c r="L78" i="8"/>
  <c r="K78" i="8"/>
  <c r="J82" i="8"/>
  <c r="L82" i="8"/>
  <c r="N83" i="8"/>
  <c r="N84" i="8"/>
  <c r="K87" i="8"/>
  <c r="L88" i="8"/>
  <c r="J88" i="8"/>
  <c r="N89" i="8"/>
  <c r="K93" i="8"/>
  <c r="J98" i="8"/>
  <c r="L98" i="8"/>
  <c r="N99" i="8"/>
  <c r="N100" i="8"/>
  <c r="K103" i="8"/>
  <c r="L104" i="8"/>
  <c r="J104" i="8"/>
  <c r="N105" i="8"/>
  <c r="K109" i="8"/>
  <c r="L109" i="8"/>
  <c r="I22" i="54" l="1"/>
  <c r="G2" i="15" a="1"/>
  <c r="L2" i="15" s="1"/>
  <c r="G6" i="19" s="1"/>
  <c r="E43" i="53"/>
  <c r="E28" i="53" s="1"/>
  <c r="B31" i="53" s="1"/>
  <c r="G25" i="16" a="1"/>
  <c r="M25" i="16" s="1"/>
  <c r="H29" i="19" s="1"/>
  <c r="G2" i="16" a="1"/>
  <c r="P2" i="16" s="1"/>
  <c r="K5" i="19" s="1"/>
  <c r="G2" i="18" a="1"/>
  <c r="H2" i="18" s="1"/>
  <c r="C2" i="19" s="1"/>
  <c r="G19" i="18" a="1"/>
  <c r="N19" i="18" s="1"/>
  <c r="I26" i="19" s="1"/>
  <c r="G20" i="17" a="1"/>
  <c r="O20" i="17" s="1"/>
  <c r="J27" i="19" s="1"/>
  <c r="G2" i="17" a="1"/>
  <c r="O2" i="17" s="1"/>
  <c r="J3" i="19" s="1"/>
  <c r="G25" i="15" a="1"/>
  <c r="G2" i="14" a="1"/>
  <c r="N2" i="14" s="1"/>
  <c r="I4" i="19" s="1"/>
  <c r="G25" i="14" a="1"/>
  <c r="N25" i="14" s="1"/>
  <c r="I28" i="19" s="1"/>
  <c r="G2" i="13" a="1"/>
  <c r="J2" i="13" s="1"/>
  <c r="E10" i="19" s="1"/>
  <c r="G40" i="13" a="1"/>
  <c r="N40" i="13" s="1"/>
  <c r="I34" i="19" s="1"/>
  <c r="G46" i="12" a="1"/>
  <c r="I46" i="12" s="1"/>
  <c r="D33" i="19" s="1"/>
  <c r="G2" i="12" a="1"/>
  <c r="O2" i="12" s="1"/>
  <c r="J9" i="19" s="1"/>
  <c r="G2" i="11" a="1"/>
  <c r="L2" i="11" s="1"/>
  <c r="G8" i="19" s="1"/>
  <c r="G44" i="11" a="1"/>
  <c r="K44" i="11" s="1"/>
  <c r="F32" i="19" s="1"/>
  <c r="G113" i="8" a="1"/>
  <c r="G57" i="8" a="1"/>
  <c r="P2" i="15" l="1"/>
  <c r="K6" i="19" s="1"/>
  <c r="J2" i="15"/>
  <c r="E6" i="19" s="1"/>
  <c r="G2" i="15"/>
  <c r="B6" i="19" s="1"/>
  <c r="O2" i="15"/>
  <c r="J6" i="19" s="1"/>
  <c r="H2" i="15"/>
  <c r="C6" i="19" s="1"/>
  <c r="N2" i="15"/>
  <c r="I6" i="19" s="1"/>
  <c r="M2" i="15"/>
  <c r="H6" i="19" s="1"/>
  <c r="K2" i="15"/>
  <c r="F6" i="19" s="1"/>
  <c r="I2" i="15"/>
  <c r="D6" i="19" s="1"/>
  <c r="B42" i="53"/>
  <c r="B41" i="53"/>
  <c r="B34" i="53"/>
  <c r="B32" i="53"/>
  <c r="B37" i="53"/>
  <c r="B38" i="53"/>
  <c r="B35" i="53"/>
  <c r="B36" i="53"/>
  <c r="B40" i="53"/>
  <c r="B39" i="53"/>
  <c r="B33" i="53"/>
  <c r="K25" i="16"/>
  <c r="F29" i="19" s="1"/>
  <c r="G25" i="16"/>
  <c r="B29" i="19" s="1"/>
  <c r="H25" i="16"/>
  <c r="C29" i="19" s="1"/>
  <c r="I25" i="16"/>
  <c r="D29" i="19" s="1"/>
  <c r="N25" i="16"/>
  <c r="I29" i="19" s="1"/>
  <c r="P25" i="16"/>
  <c r="K29" i="19" s="1"/>
  <c r="O25" i="16"/>
  <c r="J29" i="19" s="1"/>
  <c r="J25" i="16"/>
  <c r="E29" i="19" s="1"/>
  <c r="L25" i="16"/>
  <c r="G29" i="19" s="1"/>
  <c r="N2" i="16"/>
  <c r="I5" i="19" s="1"/>
  <c r="G2" i="16"/>
  <c r="B5" i="19" s="1"/>
  <c r="I2" i="16"/>
  <c r="D5" i="19" s="1"/>
  <c r="H2" i="16"/>
  <c r="C5" i="19" s="1"/>
  <c r="K2" i="16"/>
  <c r="F5" i="19" s="1"/>
  <c r="M2" i="16"/>
  <c r="H5" i="19" s="1"/>
  <c r="L2" i="16"/>
  <c r="G5" i="19" s="1"/>
  <c r="O2" i="16"/>
  <c r="J5" i="19" s="1"/>
  <c r="J2" i="16"/>
  <c r="E5" i="19" s="1"/>
  <c r="P2" i="18"/>
  <c r="K2" i="19" s="1"/>
  <c r="G2" i="18"/>
  <c r="B2" i="19" s="1"/>
  <c r="I2" i="18"/>
  <c r="D2" i="19" s="1"/>
  <c r="J2" i="18"/>
  <c r="E2" i="19" s="1"/>
  <c r="K2" i="18"/>
  <c r="F2" i="19" s="1"/>
  <c r="M2" i="18"/>
  <c r="H2" i="19" s="1"/>
  <c r="N2" i="18"/>
  <c r="I2" i="19" s="1"/>
  <c r="O2" i="18"/>
  <c r="J2" i="19" s="1"/>
  <c r="L2" i="18"/>
  <c r="G2" i="19" s="1"/>
  <c r="K19" i="18"/>
  <c r="F26" i="19" s="1"/>
  <c r="I19" i="18"/>
  <c r="D26" i="19" s="1"/>
  <c r="H19" i="18"/>
  <c r="C26" i="19" s="1"/>
  <c r="M19" i="18"/>
  <c r="H26" i="19" s="1"/>
  <c r="O19" i="18"/>
  <c r="J26" i="19" s="1"/>
  <c r="L19" i="18"/>
  <c r="G26" i="19" s="1"/>
  <c r="J19" i="18"/>
  <c r="E26" i="19" s="1"/>
  <c r="G19" i="18"/>
  <c r="B26" i="19" s="1"/>
  <c r="P19" i="18"/>
  <c r="K26" i="19" s="1"/>
  <c r="N20" i="17"/>
  <c r="I27" i="19" s="1"/>
  <c r="H20" i="17"/>
  <c r="C27" i="19" s="1"/>
  <c r="M20" i="17"/>
  <c r="H27" i="19" s="1"/>
  <c r="G20" i="17"/>
  <c r="B27" i="19" s="1"/>
  <c r="L20" i="17"/>
  <c r="G27" i="19" s="1"/>
  <c r="I20" i="17"/>
  <c r="D27" i="19" s="1"/>
  <c r="K20" i="17"/>
  <c r="F27" i="19" s="1"/>
  <c r="P20" i="17"/>
  <c r="K27" i="19" s="1"/>
  <c r="J20" i="17"/>
  <c r="E27" i="19" s="1"/>
  <c r="N2" i="17"/>
  <c r="I3" i="19" s="1"/>
  <c r="M2" i="17"/>
  <c r="H3" i="19" s="1"/>
  <c r="L2" i="17"/>
  <c r="G3" i="19" s="1"/>
  <c r="P2" i="17"/>
  <c r="K3" i="19" s="1"/>
  <c r="G2" i="17"/>
  <c r="B3" i="19" s="1"/>
  <c r="I2" i="17"/>
  <c r="D3" i="19" s="1"/>
  <c r="K2" i="17"/>
  <c r="F3" i="19" s="1"/>
  <c r="H2" i="17"/>
  <c r="C3" i="19" s="1"/>
  <c r="J2" i="17"/>
  <c r="E3" i="19" s="1"/>
  <c r="M25" i="15"/>
  <c r="H30" i="19" s="1"/>
  <c r="I25" i="15"/>
  <c r="D30" i="19" s="1"/>
  <c r="P25" i="15"/>
  <c r="K30" i="19" s="1"/>
  <c r="L25" i="15"/>
  <c r="G30" i="19" s="1"/>
  <c r="H25" i="15"/>
  <c r="C30" i="19" s="1"/>
  <c r="O25" i="15"/>
  <c r="J30" i="19" s="1"/>
  <c r="K25" i="15"/>
  <c r="F30" i="19" s="1"/>
  <c r="G25" i="15"/>
  <c r="B30" i="19" s="1"/>
  <c r="N25" i="15"/>
  <c r="I30" i="19" s="1"/>
  <c r="J25" i="15"/>
  <c r="E30" i="19" s="1"/>
  <c r="Q6" i="15"/>
  <c r="R6" i="15" s="1"/>
  <c r="Q8" i="15"/>
  <c r="R8" i="15" s="1"/>
  <c r="G2" i="14"/>
  <c r="B4" i="19" s="1"/>
  <c r="H2" i="14"/>
  <c r="C4" i="19" s="1"/>
  <c r="I2" i="14"/>
  <c r="D4" i="19" s="1"/>
  <c r="K2" i="14"/>
  <c r="F4" i="19" s="1"/>
  <c r="L2" i="14"/>
  <c r="G4" i="19" s="1"/>
  <c r="M2" i="14"/>
  <c r="H4" i="19" s="1"/>
  <c r="O2" i="14"/>
  <c r="J4" i="19" s="1"/>
  <c r="P2" i="14"/>
  <c r="K4" i="19" s="1"/>
  <c r="J2" i="14"/>
  <c r="E4" i="19" s="1"/>
  <c r="G25" i="14"/>
  <c r="B28" i="19" s="1"/>
  <c r="I25" i="14"/>
  <c r="D28" i="19" s="1"/>
  <c r="H25" i="14"/>
  <c r="C28" i="19" s="1"/>
  <c r="M25" i="14"/>
  <c r="H28" i="19" s="1"/>
  <c r="K25" i="14"/>
  <c r="F28" i="19" s="1"/>
  <c r="L25" i="14"/>
  <c r="G28" i="19" s="1"/>
  <c r="J25" i="14"/>
  <c r="E28" i="19" s="1"/>
  <c r="O25" i="14"/>
  <c r="J28" i="19" s="1"/>
  <c r="P25" i="14"/>
  <c r="K28" i="19" s="1"/>
  <c r="H2" i="13"/>
  <c r="C10" i="19" s="1"/>
  <c r="M2" i="13"/>
  <c r="H10" i="19" s="1"/>
  <c r="N2" i="13"/>
  <c r="I10" i="19" s="1"/>
  <c r="L2" i="13"/>
  <c r="G10" i="19" s="1"/>
  <c r="K2" i="13"/>
  <c r="F10" i="19" s="1"/>
  <c r="P2" i="13"/>
  <c r="K10" i="19" s="1"/>
  <c r="O2" i="13"/>
  <c r="J10" i="19" s="1"/>
  <c r="G2" i="13"/>
  <c r="B10" i="19" s="1"/>
  <c r="I2" i="13"/>
  <c r="D10" i="19" s="1"/>
  <c r="G40" i="13"/>
  <c r="B34" i="19" s="1"/>
  <c r="I40" i="13"/>
  <c r="D34" i="19" s="1"/>
  <c r="H40" i="13"/>
  <c r="C34" i="19" s="1"/>
  <c r="M40" i="13"/>
  <c r="H34" i="19" s="1"/>
  <c r="K40" i="13"/>
  <c r="F34" i="19" s="1"/>
  <c r="L40" i="13"/>
  <c r="G34" i="19" s="1"/>
  <c r="J40" i="13"/>
  <c r="E34" i="19" s="1"/>
  <c r="O40" i="13"/>
  <c r="J34" i="19" s="1"/>
  <c r="P40" i="13"/>
  <c r="K34" i="19" s="1"/>
  <c r="H46" i="12"/>
  <c r="C33" i="19" s="1"/>
  <c r="M46" i="12"/>
  <c r="H33" i="19" s="1"/>
  <c r="G46" i="12"/>
  <c r="B33" i="19" s="1"/>
  <c r="L46" i="12"/>
  <c r="G33" i="19" s="1"/>
  <c r="J46" i="12"/>
  <c r="E33" i="19" s="1"/>
  <c r="K46" i="12"/>
  <c r="F33" i="19" s="1"/>
  <c r="P46" i="12"/>
  <c r="K33" i="19" s="1"/>
  <c r="N46" i="12"/>
  <c r="I33" i="19" s="1"/>
  <c r="O46" i="12"/>
  <c r="J33" i="19" s="1"/>
  <c r="N2" i="12"/>
  <c r="I9" i="19" s="1"/>
  <c r="H2" i="12"/>
  <c r="C9" i="19" s="1"/>
  <c r="I2" i="12"/>
  <c r="D9" i="19" s="1"/>
  <c r="G2" i="12"/>
  <c r="B9" i="19" s="1"/>
  <c r="L2" i="12"/>
  <c r="G9" i="19" s="1"/>
  <c r="M2" i="12"/>
  <c r="H9" i="19" s="1"/>
  <c r="K2" i="12"/>
  <c r="F9" i="19" s="1"/>
  <c r="P2" i="12"/>
  <c r="K9" i="19" s="1"/>
  <c r="J2" i="12"/>
  <c r="E9" i="19" s="1"/>
  <c r="M2" i="11"/>
  <c r="H8" i="19" s="1"/>
  <c r="O2" i="11"/>
  <c r="J8" i="19" s="1"/>
  <c r="P2" i="11"/>
  <c r="K8" i="19" s="1"/>
  <c r="I2" i="11"/>
  <c r="D8" i="19" s="1"/>
  <c r="K2" i="11"/>
  <c r="F8" i="19" s="1"/>
  <c r="N2" i="11"/>
  <c r="I8" i="19" s="1"/>
  <c r="H2" i="11"/>
  <c r="C8" i="19" s="1"/>
  <c r="G2" i="11"/>
  <c r="B8" i="19" s="1"/>
  <c r="J2" i="11"/>
  <c r="E8" i="19" s="1"/>
  <c r="P44" i="11"/>
  <c r="K32" i="19" s="1"/>
  <c r="I44" i="11"/>
  <c r="D32" i="19" s="1"/>
  <c r="O44" i="11"/>
  <c r="J32" i="19" s="1"/>
  <c r="L44" i="11"/>
  <c r="G32" i="19" s="1"/>
  <c r="N44" i="11"/>
  <c r="I32" i="19" s="1"/>
  <c r="H44" i="11"/>
  <c r="C32" i="19" s="1"/>
  <c r="G44" i="11"/>
  <c r="B32" i="19" s="1"/>
  <c r="J44" i="11"/>
  <c r="E32" i="19" s="1"/>
  <c r="M44" i="11"/>
  <c r="H32" i="19" s="1"/>
  <c r="O113" i="8"/>
  <c r="J59" i="19" s="1"/>
  <c r="K113" i="8"/>
  <c r="F59" i="19" s="1"/>
  <c r="G113" i="8"/>
  <c r="B59" i="19" s="1"/>
  <c r="M113" i="8"/>
  <c r="H59" i="19" s="1"/>
  <c r="P113" i="8"/>
  <c r="H113" i="8"/>
  <c r="C59" i="19" s="1"/>
  <c r="N113" i="8"/>
  <c r="I59" i="19" s="1"/>
  <c r="J113" i="8"/>
  <c r="E59" i="19" s="1"/>
  <c r="I113" i="8"/>
  <c r="D59" i="19" s="1"/>
  <c r="L113" i="8"/>
  <c r="G59" i="19" s="1"/>
  <c r="M57" i="8"/>
  <c r="H35" i="19" s="1"/>
  <c r="P57" i="8"/>
  <c r="L57" i="8"/>
  <c r="G35" i="19" s="1"/>
  <c r="H57" i="8"/>
  <c r="C35" i="19" s="1"/>
  <c r="J57" i="8"/>
  <c r="E35" i="19" s="1"/>
  <c r="O57" i="8"/>
  <c r="J35" i="19" s="1"/>
  <c r="I57" i="8"/>
  <c r="D35" i="19" s="1"/>
  <c r="N57" i="8"/>
  <c r="I35" i="19" s="1"/>
  <c r="G57" i="8"/>
  <c r="B35" i="19" s="1"/>
  <c r="K57" i="8"/>
  <c r="F35" i="19" s="1"/>
  <c r="Q12" i="16" l="1"/>
  <c r="R12" i="16" s="1"/>
  <c r="Q12" i="15"/>
  <c r="R12" i="15" s="1"/>
  <c r="Q18" i="15"/>
  <c r="R18" i="15" s="1"/>
  <c r="Q9" i="15"/>
  <c r="R9" i="15" s="1"/>
  <c r="Q7" i="15"/>
  <c r="R7" i="15" s="1"/>
  <c r="Q21" i="15"/>
  <c r="R21" i="15" s="1"/>
  <c r="Q13" i="15"/>
  <c r="R13" i="15" s="1"/>
  <c r="Q11" i="15"/>
  <c r="R11" i="15" s="1"/>
  <c r="Q20" i="15"/>
  <c r="R20" i="15" s="1"/>
  <c r="Q10" i="15"/>
  <c r="R10" i="15" s="1"/>
  <c r="Q5" i="15"/>
  <c r="R5" i="15" s="1"/>
  <c r="Q17" i="15"/>
  <c r="R17" i="15" s="1"/>
  <c r="Q15" i="15"/>
  <c r="R15" i="15" s="1"/>
  <c r="Q4" i="15"/>
  <c r="R4" i="15" s="1"/>
  <c r="Q19" i="15"/>
  <c r="R19" i="15" s="1"/>
  <c r="Q16" i="15"/>
  <c r="R16" i="15" s="1"/>
  <c r="Q14" i="15"/>
  <c r="R14" i="15" s="1"/>
  <c r="Q28" i="16"/>
  <c r="R28" i="16" s="1"/>
  <c r="Q34" i="16"/>
  <c r="Q11" i="16"/>
  <c r="R11" i="16" s="1"/>
  <c r="Q37" i="16"/>
  <c r="Q29" i="16"/>
  <c r="Q40" i="16"/>
  <c r="Q5" i="16"/>
  <c r="R5" i="16" s="1"/>
  <c r="Q21" i="16"/>
  <c r="R21" i="16" s="1"/>
  <c r="C16" i="53"/>
  <c r="C19" i="53"/>
  <c r="C20" i="53"/>
  <c r="C23" i="53"/>
  <c r="C24" i="53"/>
  <c r="C15" i="53"/>
  <c r="C22" i="53"/>
  <c r="C14" i="53"/>
  <c r="C17" i="53"/>
  <c r="C21" i="53"/>
  <c r="C18" i="53"/>
  <c r="B43" i="53"/>
  <c r="B46" i="53" s="1"/>
  <c r="K35" i="19"/>
  <c r="Q62" i="8"/>
  <c r="R62" i="8" s="1"/>
  <c r="Q66" i="8"/>
  <c r="R66" i="8" s="1"/>
  <c r="Q70" i="8"/>
  <c r="R70" i="8" s="1"/>
  <c r="Q74" i="8"/>
  <c r="R74" i="8" s="1"/>
  <c r="Q78" i="8"/>
  <c r="R78" i="8" s="1"/>
  <c r="Q64" i="8"/>
  <c r="R64" i="8" s="1"/>
  <c r="Q69" i="8"/>
  <c r="R69" i="8" s="1"/>
  <c r="Q75" i="8"/>
  <c r="R75" i="8" s="1"/>
  <c r="Q80" i="8"/>
  <c r="R80" i="8" s="1"/>
  <c r="Q84" i="8"/>
  <c r="R84" i="8" s="1"/>
  <c r="Q88" i="8"/>
  <c r="R88" i="8" s="1"/>
  <c r="Q92" i="8"/>
  <c r="R92" i="8" s="1"/>
  <c r="Q96" i="8"/>
  <c r="R96" i="8" s="1"/>
  <c r="Q100" i="8"/>
  <c r="R100" i="8" s="1"/>
  <c r="Q104" i="8"/>
  <c r="R104" i="8" s="1"/>
  <c r="Q108" i="8"/>
  <c r="R108" i="8" s="1"/>
  <c r="Q60" i="8"/>
  <c r="R60" i="8" s="1"/>
  <c r="Q65" i="8"/>
  <c r="R65" i="8" s="1"/>
  <c r="Q71" i="8"/>
  <c r="R71" i="8" s="1"/>
  <c r="Q76" i="8"/>
  <c r="R76" i="8" s="1"/>
  <c r="Q81" i="8"/>
  <c r="R81" i="8" s="1"/>
  <c r="Q85" i="8"/>
  <c r="R85" i="8" s="1"/>
  <c r="Q89" i="8"/>
  <c r="R89" i="8" s="1"/>
  <c r="Q93" i="8"/>
  <c r="R93" i="8" s="1"/>
  <c r="Q97" i="8"/>
  <c r="R97" i="8" s="1"/>
  <c r="Q101" i="8"/>
  <c r="R101" i="8" s="1"/>
  <c r="Q105" i="8"/>
  <c r="R105" i="8" s="1"/>
  <c r="Q109" i="8"/>
  <c r="R109" i="8" s="1"/>
  <c r="Q68" i="8"/>
  <c r="R68" i="8" s="1"/>
  <c r="Q79" i="8"/>
  <c r="R79" i="8" s="1"/>
  <c r="Q87" i="8"/>
  <c r="R87" i="8" s="1"/>
  <c r="Q95" i="8"/>
  <c r="R95" i="8" s="1"/>
  <c r="Q103" i="8"/>
  <c r="R103" i="8" s="1"/>
  <c r="Q73" i="8"/>
  <c r="R73" i="8" s="1"/>
  <c r="Q91" i="8"/>
  <c r="R91" i="8" s="1"/>
  <c r="Q107" i="8"/>
  <c r="R107" i="8" s="1"/>
  <c r="Q77" i="8"/>
  <c r="R77" i="8" s="1"/>
  <c r="Q86" i="8"/>
  <c r="R86" i="8" s="1"/>
  <c r="Q102" i="8"/>
  <c r="R102" i="8" s="1"/>
  <c r="Q59" i="8"/>
  <c r="R59" i="8" s="1"/>
  <c r="Q61" i="8"/>
  <c r="R61" i="8" s="1"/>
  <c r="Q72" i="8"/>
  <c r="R72" i="8" s="1"/>
  <c r="Q82" i="8"/>
  <c r="R82" i="8" s="1"/>
  <c r="Q90" i="8"/>
  <c r="R90" i="8" s="1"/>
  <c r="Q98" i="8"/>
  <c r="R98" i="8" s="1"/>
  <c r="Q106" i="8"/>
  <c r="R106" i="8" s="1"/>
  <c r="Q63" i="8"/>
  <c r="R63" i="8" s="1"/>
  <c r="Q83" i="8"/>
  <c r="R83" i="8" s="1"/>
  <c r="Q99" i="8"/>
  <c r="R99" i="8" s="1"/>
  <c r="Q67" i="8"/>
  <c r="R67" i="8" s="1"/>
  <c r="Q94" i="8"/>
  <c r="R94" i="8" s="1"/>
  <c r="K59" i="19"/>
  <c r="Q118" i="8"/>
  <c r="R118" i="8" s="1"/>
  <c r="Q122" i="8"/>
  <c r="R122" i="8" s="1"/>
  <c r="Q126" i="8"/>
  <c r="R126" i="8" s="1"/>
  <c r="Q130" i="8"/>
  <c r="R130" i="8" s="1"/>
  <c r="Q134" i="8"/>
  <c r="R134" i="8" s="1"/>
  <c r="Q138" i="8"/>
  <c r="R138" i="8" s="1"/>
  <c r="Q142" i="8"/>
  <c r="R142" i="8" s="1"/>
  <c r="Q146" i="8"/>
  <c r="R146" i="8" s="1"/>
  <c r="Q150" i="8"/>
  <c r="R150" i="8" s="1"/>
  <c r="Q154" i="8"/>
  <c r="R154" i="8" s="1"/>
  <c r="Q158" i="8"/>
  <c r="R158" i="8" s="1"/>
  <c r="Q162" i="8"/>
  <c r="R162" i="8" s="1"/>
  <c r="Q120" i="8"/>
  <c r="R120" i="8" s="1"/>
  <c r="Q124" i="8"/>
  <c r="R124" i="8" s="1"/>
  <c r="Q132" i="8"/>
  <c r="R132" i="8" s="1"/>
  <c r="Q140" i="8"/>
  <c r="R140" i="8" s="1"/>
  <c r="Q148" i="8"/>
  <c r="R148" i="8" s="1"/>
  <c r="Q156" i="8"/>
  <c r="R156" i="8" s="1"/>
  <c r="Q164" i="8"/>
  <c r="R164" i="8" s="1"/>
  <c r="Q121" i="8"/>
  <c r="R121" i="8" s="1"/>
  <c r="Q129" i="8"/>
  <c r="R129" i="8" s="1"/>
  <c r="Q137" i="8"/>
  <c r="R137" i="8" s="1"/>
  <c r="Q145" i="8"/>
  <c r="R145" i="8" s="1"/>
  <c r="Q153" i="8"/>
  <c r="R153" i="8" s="1"/>
  <c r="Q161" i="8"/>
  <c r="R161" i="8" s="1"/>
  <c r="Q119" i="8"/>
  <c r="R119" i="8" s="1"/>
  <c r="Q123" i="8"/>
  <c r="R123" i="8" s="1"/>
  <c r="Q127" i="8"/>
  <c r="R127" i="8" s="1"/>
  <c r="Q131" i="8"/>
  <c r="R131" i="8" s="1"/>
  <c r="Q135" i="8"/>
  <c r="R135" i="8" s="1"/>
  <c r="Q139" i="8"/>
  <c r="R139" i="8" s="1"/>
  <c r="Q143" i="8"/>
  <c r="R143" i="8" s="1"/>
  <c r="Q147" i="8"/>
  <c r="R147" i="8" s="1"/>
  <c r="Q151" i="8"/>
  <c r="R151" i="8" s="1"/>
  <c r="Q155" i="8"/>
  <c r="R155" i="8" s="1"/>
  <c r="Q159" i="8"/>
  <c r="R159" i="8" s="1"/>
  <c r="Q163" i="8"/>
  <c r="R163" i="8" s="1"/>
  <c r="Q116" i="8"/>
  <c r="R116" i="8" s="1"/>
  <c r="Q128" i="8"/>
  <c r="R128" i="8" s="1"/>
  <c r="Q136" i="8"/>
  <c r="R136" i="8" s="1"/>
  <c r="Q144" i="8"/>
  <c r="R144" i="8" s="1"/>
  <c r="Q152" i="8"/>
  <c r="R152" i="8" s="1"/>
  <c r="Q160" i="8"/>
  <c r="R160" i="8" s="1"/>
  <c r="Q117" i="8"/>
  <c r="R117" i="8" s="1"/>
  <c r="Q125" i="8"/>
  <c r="R125" i="8" s="1"/>
  <c r="Q133" i="8"/>
  <c r="R133" i="8" s="1"/>
  <c r="Q141" i="8"/>
  <c r="R141" i="8" s="1"/>
  <c r="Q149" i="8"/>
  <c r="R149" i="8" s="1"/>
  <c r="Q157" i="8"/>
  <c r="R157" i="8" s="1"/>
  <c r="Q115" i="8"/>
  <c r="R115" i="8" s="1"/>
  <c r="Q31" i="16"/>
  <c r="R31" i="16" s="1"/>
  <c r="Q35" i="16"/>
  <c r="Q39" i="16"/>
  <c r="Q41" i="16"/>
  <c r="I64" i="16" s="1"/>
  <c r="Q44" i="16"/>
  <c r="R44" i="16" s="1"/>
  <c r="Q43" i="16"/>
  <c r="R43" i="16" s="1"/>
  <c r="Q42" i="16"/>
  <c r="Q32" i="16"/>
  <c r="R32" i="16" s="1"/>
  <c r="Q38" i="16"/>
  <c r="R38" i="16" s="1"/>
  <c r="Q30" i="16"/>
  <c r="R30" i="16" s="1"/>
  <c r="Q27" i="16"/>
  <c r="Q33" i="16"/>
  <c r="R33" i="16" s="1"/>
  <c r="Q36" i="16"/>
  <c r="R36" i="16" s="1"/>
  <c r="Q6" i="16"/>
  <c r="R6" i="16" s="1"/>
  <c r="Q9" i="16"/>
  <c r="R9" i="16" s="1"/>
  <c r="Q10" i="16"/>
  <c r="R10" i="16" s="1"/>
  <c r="Q16" i="16"/>
  <c r="R16" i="16" s="1"/>
  <c r="Q15" i="16"/>
  <c r="R15" i="16" s="1"/>
  <c r="Q14" i="16"/>
  <c r="R14" i="16" s="1"/>
  <c r="Q13" i="16"/>
  <c r="R13" i="16" s="1"/>
  <c r="Q4" i="16"/>
  <c r="R4" i="16" s="1"/>
  <c r="Q20" i="16"/>
  <c r="R20" i="16" s="1"/>
  <c r="Q19" i="16"/>
  <c r="R19" i="16" s="1"/>
  <c r="Q18" i="16"/>
  <c r="R18" i="16" s="1"/>
  <c r="Q17" i="16"/>
  <c r="R17" i="16" s="1"/>
  <c r="Q8" i="16"/>
  <c r="R8" i="16" s="1"/>
  <c r="Q7" i="16"/>
  <c r="R7" i="16" s="1"/>
  <c r="Q15" i="18"/>
  <c r="R15" i="18" s="1"/>
  <c r="Q9" i="18"/>
  <c r="R9" i="18" s="1"/>
  <c r="Q10" i="18"/>
  <c r="R10" i="18" s="1"/>
  <c r="Q13" i="18"/>
  <c r="R13" i="18" s="1"/>
  <c r="Q28" i="18"/>
  <c r="R28" i="18" s="1"/>
  <c r="Q4" i="18"/>
  <c r="R4" i="18" s="1"/>
  <c r="Q7" i="18"/>
  <c r="R7" i="18" s="1"/>
  <c r="Q14" i="18"/>
  <c r="R14" i="18" s="1"/>
  <c r="Q5" i="18"/>
  <c r="R5" i="18" s="1"/>
  <c r="Q6" i="18"/>
  <c r="R6" i="18" s="1"/>
  <c r="Q11" i="18"/>
  <c r="R11" i="18" s="1"/>
  <c r="Q8" i="18"/>
  <c r="R8" i="18" s="1"/>
  <c r="Q12" i="18"/>
  <c r="R12" i="18" s="1"/>
  <c r="Q21" i="18"/>
  <c r="I38" i="18" s="1"/>
  <c r="Q25" i="18"/>
  <c r="R25" i="18" s="1"/>
  <c r="Q22" i="18"/>
  <c r="R22" i="18" s="1"/>
  <c r="Q23" i="18"/>
  <c r="R23" i="18" s="1"/>
  <c r="Q26" i="18"/>
  <c r="R26" i="18" s="1"/>
  <c r="Q29" i="18"/>
  <c r="R29" i="18" s="1"/>
  <c r="Q24" i="18"/>
  <c r="R24" i="18" s="1"/>
  <c r="Q27" i="18"/>
  <c r="R27" i="18" s="1"/>
  <c r="Q30" i="18"/>
  <c r="I47" i="18" s="1"/>
  <c r="Q32" i="18"/>
  <c r="R32" i="18" s="1"/>
  <c r="Q31" i="18"/>
  <c r="R31" i="18" s="1"/>
  <c r="I45" i="18"/>
  <c r="I42" i="18"/>
  <c r="Q32" i="17"/>
  <c r="I50" i="17" s="1"/>
  <c r="Q33" i="17"/>
  <c r="I51" i="17" s="1"/>
  <c r="Q34" i="17"/>
  <c r="I52" i="17" s="1"/>
  <c r="Q27" i="17"/>
  <c r="R27" i="17" s="1"/>
  <c r="Q28" i="17"/>
  <c r="R28" i="17" s="1"/>
  <c r="Q26" i="17"/>
  <c r="I44" i="17" s="1"/>
  <c r="Q22" i="17"/>
  <c r="R22" i="17" s="1"/>
  <c r="Q30" i="17"/>
  <c r="R30" i="17" s="1"/>
  <c r="Q29" i="17"/>
  <c r="R29" i="17" s="1"/>
  <c r="Q23" i="17"/>
  <c r="R23" i="17" s="1"/>
  <c r="Q24" i="17"/>
  <c r="I42" i="17" s="1"/>
  <c r="Q25" i="17"/>
  <c r="R25" i="17" s="1"/>
  <c r="Q31" i="17"/>
  <c r="I49" i="17" s="1"/>
  <c r="Q14" i="17"/>
  <c r="R14" i="17" s="1"/>
  <c r="Q13" i="17"/>
  <c r="R13" i="17" s="1"/>
  <c r="Q5" i="17"/>
  <c r="R5" i="17" s="1"/>
  <c r="Q16" i="17"/>
  <c r="R16" i="17" s="1"/>
  <c r="Q15" i="17"/>
  <c r="R15" i="17" s="1"/>
  <c r="Q11" i="17"/>
  <c r="R11" i="17" s="1"/>
  <c r="Q8" i="17"/>
  <c r="R8" i="17" s="1"/>
  <c r="Q6" i="17"/>
  <c r="R6" i="17" s="1"/>
  <c r="Q12" i="17"/>
  <c r="R12" i="17" s="1"/>
  <c r="Q7" i="17"/>
  <c r="R7" i="17" s="1"/>
  <c r="Q9" i="17"/>
  <c r="R9" i="17" s="1"/>
  <c r="Q4" i="17"/>
  <c r="R4" i="17" s="1"/>
  <c r="Q10" i="17"/>
  <c r="R10" i="17" s="1"/>
  <c r="I40" i="17"/>
  <c r="R29" i="16"/>
  <c r="I52" i="16"/>
  <c r="R37" i="16"/>
  <c r="I60" i="16"/>
  <c r="I54" i="16"/>
  <c r="R35" i="16"/>
  <c r="I58" i="16"/>
  <c r="I62" i="16"/>
  <c r="R39" i="16"/>
  <c r="R41" i="16"/>
  <c r="I67" i="16"/>
  <c r="R34" i="16"/>
  <c r="I57" i="16"/>
  <c r="I66" i="16"/>
  <c r="I61" i="16"/>
  <c r="R42" i="16"/>
  <c r="I65" i="16"/>
  <c r="I55" i="16"/>
  <c r="I51" i="16"/>
  <c r="I63" i="16"/>
  <c r="R40" i="16"/>
  <c r="I53" i="16"/>
  <c r="I50" i="16"/>
  <c r="R27" i="16"/>
  <c r="I59" i="16"/>
  <c r="Q44" i="15"/>
  <c r="Q40" i="15"/>
  <c r="Q36" i="15"/>
  <c r="Q32" i="15"/>
  <c r="Q28" i="15"/>
  <c r="Q41" i="15"/>
  <c r="Q37" i="15"/>
  <c r="Q33" i="15"/>
  <c r="Q29" i="15"/>
  <c r="Q42" i="15"/>
  <c r="Q38" i="15"/>
  <c r="Q34" i="15"/>
  <c r="Q30" i="15"/>
  <c r="Q43" i="15"/>
  <c r="Q27" i="15"/>
  <c r="Q39" i="15"/>
  <c r="Q31" i="15"/>
  <c r="Q35" i="15"/>
  <c r="Q19" i="14"/>
  <c r="R19" i="14" s="1"/>
  <c r="Q20" i="14"/>
  <c r="R20" i="14" s="1"/>
  <c r="Q18" i="14"/>
  <c r="R18" i="14" s="1"/>
  <c r="Q6" i="14"/>
  <c r="R6" i="14" s="1"/>
  <c r="Q16" i="14"/>
  <c r="R16" i="14" s="1"/>
  <c r="Q21" i="14"/>
  <c r="R21" i="14" s="1"/>
  <c r="Q28" i="14"/>
  <c r="Q4" i="14"/>
  <c r="R4" i="14" s="1"/>
  <c r="Q33" i="14"/>
  <c r="Q9" i="14"/>
  <c r="R9" i="14" s="1"/>
  <c r="Q7" i="14"/>
  <c r="R7" i="14" s="1"/>
  <c r="Q13" i="14"/>
  <c r="R13" i="14" s="1"/>
  <c r="Q5" i="14"/>
  <c r="R5" i="14" s="1"/>
  <c r="Q35" i="14"/>
  <c r="Q11" i="14"/>
  <c r="R11" i="14" s="1"/>
  <c r="Q8" i="14"/>
  <c r="R8" i="14" s="1"/>
  <c r="Q15" i="14"/>
  <c r="R15" i="14" s="1"/>
  <c r="Q12" i="14"/>
  <c r="R12" i="14" s="1"/>
  <c r="Q38" i="14"/>
  <c r="Q44" i="14"/>
  <c r="Q17" i="14"/>
  <c r="R17" i="14" s="1"/>
  <c r="Q14" i="14"/>
  <c r="R14" i="14" s="1"/>
  <c r="Q10" i="14"/>
  <c r="R10" i="14" s="1"/>
  <c r="Q37" i="14"/>
  <c r="Q30" i="14"/>
  <c r="Q34" i="14"/>
  <c r="Q36" i="14"/>
  <c r="Q27" i="14"/>
  <c r="Q39" i="14"/>
  <c r="Q32" i="14"/>
  <c r="Q41" i="14"/>
  <c r="Q42" i="14"/>
  <c r="Q29" i="14"/>
  <c r="Q31" i="14"/>
  <c r="Q40" i="14"/>
  <c r="Q43" i="14"/>
  <c r="Q65" i="13"/>
  <c r="I103" i="13" s="1"/>
  <c r="Q27" i="13"/>
  <c r="R27" i="13" s="1"/>
  <c r="Q26" i="13"/>
  <c r="R26" i="13" s="1"/>
  <c r="Q20" i="13"/>
  <c r="R20" i="13" s="1"/>
  <c r="Q22" i="13"/>
  <c r="R22" i="13" s="1"/>
  <c r="Q4" i="13"/>
  <c r="R4" i="13" s="1"/>
  <c r="Q29" i="13"/>
  <c r="R29" i="13" s="1"/>
  <c r="Q33" i="13"/>
  <c r="R33" i="13" s="1"/>
  <c r="Q34" i="13"/>
  <c r="R34" i="13" s="1"/>
  <c r="Q9" i="13"/>
  <c r="R9" i="13" s="1"/>
  <c r="Q17" i="13"/>
  <c r="R17" i="13" s="1"/>
  <c r="Q18" i="13"/>
  <c r="R18" i="13" s="1"/>
  <c r="Q7" i="13"/>
  <c r="R7" i="13" s="1"/>
  <c r="Q21" i="13"/>
  <c r="R21" i="13" s="1"/>
  <c r="Q14" i="13"/>
  <c r="R14" i="13" s="1"/>
  <c r="Q15" i="13"/>
  <c r="R15" i="13" s="1"/>
  <c r="Q8" i="13"/>
  <c r="R8" i="13" s="1"/>
  <c r="Q32" i="13"/>
  <c r="R32" i="13" s="1"/>
  <c r="Q24" i="13"/>
  <c r="R24" i="13" s="1"/>
  <c r="Q19" i="13"/>
  <c r="R19" i="13" s="1"/>
  <c r="Q6" i="13"/>
  <c r="R6" i="13" s="1"/>
  <c r="Q36" i="13"/>
  <c r="R36" i="13" s="1"/>
  <c r="Q11" i="13"/>
  <c r="R11" i="13" s="1"/>
  <c r="Q12" i="13"/>
  <c r="R12" i="13" s="1"/>
  <c r="Q31" i="13"/>
  <c r="R31" i="13" s="1"/>
  <c r="Q23" i="13"/>
  <c r="R23" i="13" s="1"/>
  <c r="Q5" i="13"/>
  <c r="R5" i="13" s="1"/>
  <c r="Q25" i="13"/>
  <c r="R25" i="13" s="1"/>
  <c r="Q10" i="13"/>
  <c r="R10" i="13" s="1"/>
  <c r="Q28" i="13"/>
  <c r="R28" i="13" s="1"/>
  <c r="Q13" i="13"/>
  <c r="R13" i="13" s="1"/>
  <c r="Q16" i="13"/>
  <c r="R16" i="13" s="1"/>
  <c r="Q35" i="13"/>
  <c r="R35" i="13" s="1"/>
  <c r="Q30" i="13"/>
  <c r="R30" i="13" s="1"/>
  <c r="Q60" i="13"/>
  <c r="Q64" i="13"/>
  <c r="I102" i="13" s="1"/>
  <c r="Q46" i="13"/>
  <c r="Q47" i="13"/>
  <c r="Q72" i="13"/>
  <c r="Q74" i="13"/>
  <c r="Q48" i="13"/>
  <c r="Q51" i="13"/>
  <c r="Q66" i="13"/>
  <c r="Q50" i="13"/>
  <c r="Q53" i="13"/>
  <c r="Q61" i="13"/>
  <c r="Q69" i="13"/>
  <c r="Q67" i="13"/>
  <c r="Q52" i="13"/>
  <c r="Q62" i="13"/>
  <c r="Q70" i="13"/>
  <c r="Q45" i="13"/>
  <c r="Q56" i="13"/>
  <c r="Q59" i="13"/>
  <c r="Q73" i="13"/>
  <c r="Q71" i="13"/>
  <c r="Q44" i="13"/>
  <c r="Q58" i="13"/>
  <c r="Q43" i="13"/>
  <c r="Q55" i="13"/>
  <c r="Q42" i="13"/>
  <c r="Q54" i="13"/>
  <c r="Q49" i="13"/>
  <c r="Q57" i="13"/>
  <c r="Q63" i="13"/>
  <c r="Q68" i="13"/>
  <c r="Q76" i="12"/>
  <c r="R76" i="12" s="1"/>
  <c r="Q80" i="12"/>
  <c r="R80" i="12" s="1"/>
  <c r="Q82" i="12"/>
  <c r="I126" i="12" s="1"/>
  <c r="Q65" i="12"/>
  <c r="I109" i="12" s="1"/>
  <c r="Q63" i="12"/>
  <c r="R63" i="12" s="1"/>
  <c r="Q52" i="12"/>
  <c r="R52" i="12" s="1"/>
  <c r="Q66" i="12"/>
  <c r="R66" i="12" s="1"/>
  <c r="Q68" i="12"/>
  <c r="R68" i="12" s="1"/>
  <c r="Q84" i="12"/>
  <c r="I128" i="12" s="1"/>
  <c r="Q78" i="12"/>
  <c r="R78" i="12" s="1"/>
  <c r="Q62" i="12"/>
  <c r="I106" i="12" s="1"/>
  <c r="Q64" i="12"/>
  <c r="R64" i="12" s="1"/>
  <c r="I120" i="12"/>
  <c r="Q59" i="12"/>
  <c r="R59" i="12" s="1"/>
  <c r="Q67" i="12"/>
  <c r="I111" i="12" s="1"/>
  <c r="Q70" i="12"/>
  <c r="R70" i="12" s="1"/>
  <c r="Q69" i="12"/>
  <c r="I113" i="12" s="1"/>
  <c r="Q86" i="12"/>
  <c r="R86" i="12" s="1"/>
  <c r="Q51" i="12"/>
  <c r="I95" i="12" s="1"/>
  <c r="Q48" i="12"/>
  <c r="I92" i="12" s="1"/>
  <c r="Q54" i="12"/>
  <c r="I98" i="12" s="1"/>
  <c r="Q57" i="12"/>
  <c r="R57" i="12" s="1"/>
  <c r="Q74" i="12"/>
  <c r="R74" i="12" s="1"/>
  <c r="Q56" i="12"/>
  <c r="I100" i="12" s="1"/>
  <c r="Q73" i="12"/>
  <c r="I117" i="12" s="1"/>
  <c r="Q83" i="12"/>
  <c r="R83" i="12" s="1"/>
  <c r="Q72" i="12"/>
  <c r="I116" i="12" s="1"/>
  <c r="Q77" i="12"/>
  <c r="I121" i="12" s="1"/>
  <c r="Q53" i="12"/>
  <c r="I97" i="12" s="1"/>
  <c r="Q85" i="12"/>
  <c r="R85" i="12" s="1"/>
  <c r="Q81" i="12"/>
  <c r="R81" i="12" s="1"/>
  <c r="Q71" i="12"/>
  <c r="I115" i="12" s="1"/>
  <c r="Q50" i="12"/>
  <c r="I94" i="12" s="1"/>
  <c r="Q49" i="12"/>
  <c r="I93" i="12" s="1"/>
  <c r="Q55" i="12"/>
  <c r="R55" i="12" s="1"/>
  <c r="Q58" i="12"/>
  <c r="I102" i="12" s="1"/>
  <c r="Q75" i="12"/>
  <c r="I119" i="12" s="1"/>
  <c r="Q61" i="12"/>
  <c r="I105" i="12" s="1"/>
  <c r="Q79" i="12"/>
  <c r="I123" i="12" s="1"/>
  <c r="Q60" i="12"/>
  <c r="I104" i="12" s="1"/>
  <c r="Q12" i="12"/>
  <c r="R12" i="12" s="1"/>
  <c r="Q6" i="12"/>
  <c r="R6" i="12" s="1"/>
  <c r="Q29" i="12"/>
  <c r="R29" i="12" s="1"/>
  <c r="Q13" i="12"/>
  <c r="R13" i="12" s="1"/>
  <c r="Q10" i="12"/>
  <c r="R10" i="12" s="1"/>
  <c r="Q28" i="12"/>
  <c r="R28" i="12" s="1"/>
  <c r="Q30" i="12"/>
  <c r="R30" i="12" s="1"/>
  <c r="Q36" i="12"/>
  <c r="R36" i="12" s="1"/>
  <c r="Q7" i="12"/>
  <c r="R7" i="12" s="1"/>
  <c r="Q41" i="12"/>
  <c r="R41" i="12" s="1"/>
  <c r="Q14" i="12"/>
  <c r="R14" i="12" s="1"/>
  <c r="Q4" i="12"/>
  <c r="R4" i="12" s="1"/>
  <c r="Q11" i="12"/>
  <c r="R11" i="12" s="1"/>
  <c r="Q19" i="12"/>
  <c r="R19" i="12" s="1"/>
  <c r="Q17" i="12"/>
  <c r="R17" i="12" s="1"/>
  <c r="Q35" i="12"/>
  <c r="R35" i="12" s="1"/>
  <c r="Q16" i="12"/>
  <c r="R16" i="12" s="1"/>
  <c r="Q34" i="12"/>
  <c r="R34" i="12" s="1"/>
  <c r="Q33" i="12"/>
  <c r="R33" i="12" s="1"/>
  <c r="Q21" i="12"/>
  <c r="R21" i="12" s="1"/>
  <c r="Q18" i="12"/>
  <c r="R18" i="12" s="1"/>
  <c r="Q23" i="12"/>
  <c r="R23" i="12" s="1"/>
  <c r="Q15" i="12"/>
  <c r="R15" i="12" s="1"/>
  <c r="Q40" i="12"/>
  <c r="R40" i="12" s="1"/>
  <c r="Q22" i="12"/>
  <c r="R22" i="12" s="1"/>
  <c r="Q39" i="12"/>
  <c r="R39" i="12" s="1"/>
  <c r="Q20" i="12"/>
  <c r="R20" i="12" s="1"/>
  <c r="Q38" i="12"/>
  <c r="R38" i="12" s="1"/>
  <c r="Q37" i="12"/>
  <c r="R37" i="12" s="1"/>
  <c r="Q32" i="12"/>
  <c r="R32" i="12" s="1"/>
  <c r="Q5" i="12"/>
  <c r="R5" i="12" s="1"/>
  <c r="Q24" i="12"/>
  <c r="R24" i="12" s="1"/>
  <c r="Q31" i="12"/>
  <c r="R31" i="12" s="1"/>
  <c r="Q27" i="12"/>
  <c r="R27" i="12" s="1"/>
  <c r="Q9" i="12"/>
  <c r="R9" i="12" s="1"/>
  <c r="Q26" i="12"/>
  <c r="R26" i="12" s="1"/>
  <c r="Q8" i="12"/>
  <c r="R8" i="12" s="1"/>
  <c r="Q25" i="12"/>
  <c r="R25" i="12" s="1"/>
  <c r="Q42" i="12"/>
  <c r="R42" i="12" s="1"/>
  <c r="I122" i="12"/>
  <c r="R62" i="12"/>
  <c r="Q50" i="11"/>
  <c r="Q54" i="11"/>
  <c r="Q58" i="11"/>
  <c r="Q62" i="11"/>
  <c r="Q66" i="11"/>
  <c r="Q70" i="11"/>
  <c r="Q74" i="11"/>
  <c r="Q78" i="11"/>
  <c r="Q82" i="11"/>
  <c r="Q53" i="11"/>
  <c r="Q61" i="11"/>
  <c r="Q69" i="11"/>
  <c r="Q47" i="11"/>
  <c r="Q51" i="11"/>
  <c r="Q55" i="11"/>
  <c r="Q59" i="11"/>
  <c r="Q63" i="11"/>
  <c r="Q67" i="11"/>
  <c r="Q71" i="11"/>
  <c r="Q75" i="11"/>
  <c r="Q79" i="11"/>
  <c r="Q46" i="11"/>
  <c r="Q57" i="11"/>
  <c r="Q77" i="11"/>
  <c r="Q48" i="11"/>
  <c r="Q52" i="11"/>
  <c r="Q56" i="11"/>
  <c r="Q60" i="11"/>
  <c r="Q64" i="11"/>
  <c r="Q68" i="11"/>
  <c r="Q72" i="11"/>
  <c r="Q76" i="11"/>
  <c r="Q80" i="11"/>
  <c r="Q49" i="11"/>
  <c r="Q65" i="11"/>
  <c r="Q73" i="11"/>
  <c r="Q81" i="11"/>
  <c r="Q6" i="11"/>
  <c r="R6" i="11" s="1"/>
  <c r="Q33" i="11"/>
  <c r="R33" i="11" s="1"/>
  <c r="Q4" i="11"/>
  <c r="R4" i="11" s="1"/>
  <c r="Q8" i="11"/>
  <c r="R8" i="11" s="1"/>
  <c r="Q20" i="11"/>
  <c r="R20" i="11" s="1"/>
  <c r="Q14" i="11"/>
  <c r="R14" i="11" s="1"/>
  <c r="Q18" i="11"/>
  <c r="R18" i="11" s="1"/>
  <c r="Q21" i="11"/>
  <c r="R21" i="11" s="1"/>
  <c r="Q27" i="11"/>
  <c r="R27" i="11" s="1"/>
  <c r="Q35" i="11"/>
  <c r="R35" i="11" s="1"/>
  <c r="Q9" i="11"/>
  <c r="R9" i="11" s="1"/>
  <c r="Q29" i="11"/>
  <c r="R29" i="11" s="1"/>
  <c r="Q25" i="11"/>
  <c r="R25" i="11" s="1"/>
  <c r="Q30" i="11"/>
  <c r="R30" i="11" s="1"/>
  <c r="Q11" i="11"/>
  <c r="R11" i="11" s="1"/>
  <c r="Q24" i="11"/>
  <c r="R24" i="11" s="1"/>
  <c r="Q16" i="11"/>
  <c r="R16" i="11" s="1"/>
  <c r="Q22" i="11"/>
  <c r="R22" i="11" s="1"/>
  <c r="Q36" i="11"/>
  <c r="R36" i="11" s="1"/>
  <c r="Q7" i="11"/>
  <c r="R7" i="11" s="1"/>
  <c r="Q34" i="11"/>
  <c r="R34" i="11" s="1"/>
  <c r="Q12" i="11"/>
  <c r="R12" i="11" s="1"/>
  <c r="Q39" i="11"/>
  <c r="R39" i="11" s="1"/>
  <c r="Q10" i="11"/>
  <c r="R10" i="11" s="1"/>
  <c r="Q17" i="11"/>
  <c r="R17" i="11" s="1"/>
  <c r="Q23" i="11"/>
  <c r="R23" i="11" s="1"/>
  <c r="Q37" i="11"/>
  <c r="R37" i="11" s="1"/>
  <c r="Q38" i="11"/>
  <c r="R38" i="11" s="1"/>
  <c r="Q13" i="11"/>
  <c r="R13" i="11" s="1"/>
  <c r="Q19" i="11"/>
  <c r="R19" i="11" s="1"/>
  <c r="Q26" i="11"/>
  <c r="R26" i="11" s="1"/>
  <c r="Q32" i="11"/>
  <c r="R32" i="11" s="1"/>
  <c r="Q40" i="11"/>
  <c r="R40" i="11" s="1"/>
  <c r="Q15" i="11"/>
  <c r="R15" i="11" s="1"/>
  <c r="Q28" i="11"/>
  <c r="R28" i="11" s="1"/>
  <c r="Q5" i="11"/>
  <c r="R5" i="11" s="1"/>
  <c r="Q31" i="11"/>
  <c r="R31" i="11" s="1"/>
  <c r="R65" i="12" l="1"/>
  <c r="C13" i="53"/>
  <c r="C25" i="53" s="1"/>
  <c r="I43" i="53"/>
  <c r="I56" i="16"/>
  <c r="R21" i="18"/>
  <c r="R30" i="18"/>
  <c r="I43" i="18"/>
  <c r="N43" i="18" s="1"/>
  <c r="I48" i="18"/>
  <c r="O48" i="18" s="1"/>
  <c r="I44" i="18"/>
  <c r="L44" i="18" s="1"/>
  <c r="I46" i="18"/>
  <c r="N46" i="18" s="1"/>
  <c r="I39" i="18"/>
  <c r="L39" i="18" s="1"/>
  <c r="I40" i="18"/>
  <c r="L40" i="18" s="1"/>
  <c r="I49" i="18"/>
  <c r="O49" i="18" s="1"/>
  <c r="I41" i="18"/>
  <c r="L41" i="18" s="1"/>
  <c r="O47" i="18"/>
  <c r="N47" i="18"/>
  <c r="L47" i="18"/>
  <c r="O45" i="18"/>
  <c r="N45" i="18"/>
  <c r="L45" i="18"/>
  <c r="O38" i="18"/>
  <c r="N38" i="18"/>
  <c r="L38" i="18"/>
  <c r="O42" i="18"/>
  <c r="N42" i="18"/>
  <c r="L42" i="18"/>
  <c r="R32" i="17"/>
  <c r="I41" i="17"/>
  <c r="L41" i="17" s="1"/>
  <c r="R33" i="17"/>
  <c r="I45" i="17"/>
  <c r="N45" i="17" s="1"/>
  <c r="R34" i="17"/>
  <c r="I43" i="17"/>
  <c r="O43" i="17" s="1"/>
  <c r="I47" i="17"/>
  <c r="O47" i="17" s="1"/>
  <c r="R31" i="17"/>
  <c r="R26" i="17"/>
  <c r="I46" i="17"/>
  <c r="N46" i="17" s="1"/>
  <c r="I48" i="17"/>
  <c r="N48" i="17" s="1"/>
  <c r="R24" i="17"/>
  <c r="O49" i="17"/>
  <c r="L49" i="17"/>
  <c r="N49" i="17"/>
  <c r="O50" i="17"/>
  <c r="L50" i="17"/>
  <c r="N50" i="17"/>
  <c r="O44" i="17"/>
  <c r="L44" i="17"/>
  <c r="N44" i="17"/>
  <c r="O52" i="17"/>
  <c r="N52" i="17"/>
  <c r="L52" i="17"/>
  <c r="O42" i="17"/>
  <c r="N42" i="17"/>
  <c r="L42" i="17"/>
  <c r="O45" i="17"/>
  <c r="O51" i="17"/>
  <c r="L51" i="17"/>
  <c r="N51" i="17"/>
  <c r="O40" i="17"/>
  <c r="N40" i="17"/>
  <c r="L40" i="17"/>
  <c r="L64" i="16"/>
  <c r="O64" i="16"/>
  <c r="N64" i="16"/>
  <c r="L59" i="16"/>
  <c r="O59" i="16"/>
  <c r="N59" i="16"/>
  <c r="L50" i="16"/>
  <c r="O50" i="16"/>
  <c r="N50" i="16"/>
  <c r="L63" i="16"/>
  <c r="O63" i="16"/>
  <c r="N63" i="16"/>
  <c r="L55" i="16"/>
  <c r="O55" i="16"/>
  <c r="N55" i="16"/>
  <c r="L57" i="16"/>
  <c r="O57" i="16"/>
  <c r="N57" i="16"/>
  <c r="L58" i="16"/>
  <c r="O58" i="16"/>
  <c r="N58" i="16"/>
  <c r="L56" i="16"/>
  <c r="O56" i="16"/>
  <c r="N56" i="16"/>
  <c r="L65" i="16"/>
  <c r="O65" i="16"/>
  <c r="N65" i="16"/>
  <c r="L66" i="16"/>
  <c r="O66" i="16"/>
  <c r="N66" i="16"/>
  <c r="L52" i="16"/>
  <c r="O52" i="16"/>
  <c r="N52" i="16"/>
  <c r="L61" i="16"/>
  <c r="O61" i="16"/>
  <c r="N61" i="16"/>
  <c r="L60" i="16"/>
  <c r="O60" i="16"/>
  <c r="N60" i="16"/>
  <c r="L53" i="16"/>
  <c r="O53" i="16"/>
  <c r="N53" i="16"/>
  <c r="L51" i="16"/>
  <c r="O51" i="16"/>
  <c r="N51" i="16"/>
  <c r="O67" i="16"/>
  <c r="N67" i="16"/>
  <c r="L67" i="16"/>
  <c r="L62" i="16"/>
  <c r="O62" i="16"/>
  <c r="N62" i="16"/>
  <c r="L54" i="16"/>
  <c r="O54" i="16"/>
  <c r="N54" i="16"/>
  <c r="R39" i="15"/>
  <c r="I62" i="15"/>
  <c r="R32" i="15"/>
  <c r="I55" i="15"/>
  <c r="R27" i="15"/>
  <c r="I50" i="15"/>
  <c r="R38" i="15"/>
  <c r="I61" i="15"/>
  <c r="R37" i="15"/>
  <c r="I60" i="15"/>
  <c r="R36" i="15"/>
  <c r="I59" i="15"/>
  <c r="R33" i="15"/>
  <c r="I56" i="15"/>
  <c r="R35" i="15"/>
  <c r="I58" i="15"/>
  <c r="R43" i="15"/>
  <c r="I66" i="15"/>
  <c r="R42" i="15"/>
  <c r="I65" i="15"/>
  <c r="R41" i="15"/>
  <c r="I64" i="15"/>
  <c r="I63" i="15"/>
  <c r="R40" i="15"/>
  <c r="R34" i="15"/>
  <c r="I57" i="15"/>
  <c r="R31" i="15"/>
  <c r="I54" i="15"/>
  <c r="R30" i="15"/>
  <c r="I53" i="15"/>
  <c r="R29" i="15"/>
  <c r="I52" i="15"/>
  <c r="I51" i="15"/>
  <c r="R28" i="15"/>
  <c r="I67" i="15"/>
  <c r="R44" i="15"/>
  <c r="I65" i="14"/>
  <c r="I50" i="14"/>
  <c r="R44" i="14"/>
  <c r="I67" i="14"/>
  <c r="O67" i="14" s="1"/>
  <c r="I64" i="14"/>
  <c r="I59" i="14"/>
  <c r="I61" i="14"/>
  <c r="I54" i="14"/>
  <c r="I55" i="14"/>
  <c r="R34" i="14"/>
  <c r="I57" i="14"/>
  <c r="N57" i="14" s="1"/>
  <c r="R35" i="14"/>
  <c r="I58" i="14"/>
  <c r="O58" i="14" s="1"/>
  <c r="R43" i="14"/>
  <c r="I66" i="14"/>
  <c r="O66" i="14" s="1"/>
  <c r="I60" i="14"/>
  <c r="I63" i="14"/>
  <c r="I51" i="14"/>
  <c r="I52" i="14"/>
  <c r="I62" i="14"/>
  <c r="R30" i="14"/>
  <c r="I53" i="14"/>
  <c r="O53" i="14" s="1"/>
  <c r="I56" i="14"/>
  <c r="R28" i="14"/>
  <c r="R40" i="14"/>
  <c r="R36" i="14"/>
  <c r="R32" i="14"/>
  <c r="R29" i="14"/>
  <c r="R33" i="14"/>
  <c r="R42" i="14"/>
  <c r="R37" i="14"/>
  <c r="R39" i="14"/>
  <c r="R31" i="14"/>
  <c r="R27" i="14"/>
  <c r="R41" i="14"/>
  <c r="R38" i="14"/>
  <c r="O102" i="13"/>
  <c r="L102" i="13"/>
  <c r="N102" i="13"/>
  <c r="N103" i="13"/>
  <c r="O103" i="13"/>
  <c r="L103" i="13"/>
  <c r="R63" i="13"/>
  <c r="I101" i="13"/>
  <c r="R42" i="13"/>
  <c r="I80" i="13"/>
  <c r="R67" i="13"/>
  <c r="I107" i="13"/>
  <c r="R48" i="13"/>
  <c r="I86" i="13"/>
  <c r="R72" i="13"/>
  <c r="I112" i="13"/>
  <c r="R57" i="13"/>
  <c r="I95" i="13"/>
  <c r="R70" i="13"/>
  <c r="I110" i="13"/>
  <c r="R64" i="13"/>
  <c r="I104" i="13"/>
  <c r="R44" i="13"/>
  <c r="I82" i="13"/>
  <c r="R45" i="13"/>
  <c r="I83" i="13"/>
  <c r="R55" i="13"/>
  <c r="I93" i="13"/>
  <c r="R73" i="13"/>
  <c r="R69" i="13"/>
  <c r="I109" i="13"/>
  <c r="R50" i="13"/>
  <c r="I88" i="13"/>
  <c r="R74" i="13"/>
  <c r="R47" i="13"/>
  <c r="I85" i="13"/>
  <c r="R60" i="13"/>
  <c r="I98" i="13"/>
  <c r="R49" i="13"/>
  <c r="I87" i="13"/>
  <c r="R43" i="13"/>
  <c r="I81" i="13"/>
  <c r="R59" i="13"/>
  <c r="I97" i="13"/>
  <c r="R62" i="13"/>
  <c r="I100" i="13"/>
  <c r="R61" i="13"/>
  <c r="I99" i="13"/>
  <c r="R66" i="13"/>
  <c r="I106" i="13"/>
  <c r="R68" i="13"/>
  <c r="I108" i="13"/>
  <c r="R54" i="13"/>
  <c r="I92" i="13"/>
  <c r="R58" i="13"/>
  <c r="I96" i="13"/>
  <c r="R71" i="13"/>
  <c r="I111" i="13"/>
  <c r="R56" i="13"/>
  <c r="I94" i="13"/>
  <c r="R52" i="13"/>
  <c r="I90" i="13"/>
  <c r="R53" i="13"/>
  <c r="I91" i="13"/>
  <c r="R51" i="13"/>
  <c r="I89" i="13"/>
  <c r="R46" i="13"/>
  <c r="I84" i="13"/>
  <c r="R65" i="13"/>
  <c r="I105" i="13"/>
  <c r="R77" i="12"/>
  <c r="I130" i="12"/>
  <c r="L130" i="12" s="1"/>
  <c r="I127" i="12"/>
  <c r="O127" i="12" s="1"/>
  <c r="I110" i="12"/>
  <c r="L110" i="12" s="1"/>
  <c r="I124" i="12"/>
  <c r="O124" i="12" s="1"/>
  <c r="R72" i="12"/>
  <c r="I108" i="12"/>
  <c r="L108" i="12" s="1"/>
  <c r="I107" i="12"/>
  <c r="O107" i="12" s="1"/>
  <c r="I101" i="12"/>
  <c r="O101" i="12" s="1"/>
  <c r="R53" i="12"/>
  <c r="R82" i="12"/>
  <c r="I96" i="12"/>
  <c r="N96" i="12" s="1"/>
  <c r="R48" i="12"/>
  <c r="I112" i="12"/>
  <c r="O112" i="12" s="1"/>
  <c r="R75" i="12"/>
  <c r="I125" i="12"/>
  <c r="L125" i="12" s="1"/>
  <c r="R69" i="12"/>
  <c r="I99" i="12"/>
  <c r="O99" i="12" s="1"/>
  <c r="R73" i="12"/>
  <c r="R54" i="12"/>
  <c r="R79" i="12"/>
  <c r="I129" i="12"/>
  <c r="L129" i="12" s="1"/>
  <c r="R61" i="12"/>
  <c r="R49" i="12"/>
  <c r="R56" i="12"/>
  <c r="I114" i="12"/>
  <c r="L114" i="12" s="1"/>
  <c r="R84" i="12"/>
  <c r="R50" i="12"/>
  <c r="I118" i="12"/>
  <c r="N118" i="12" s="1"/>
  <c r="R71" i="12"/>
  <c r="R51" i="12"/>
  <c r="R67" i="12"/>
  <c r="I103" i="12"/>
  <c r="O103" i="12" s="1"/>
  <c r="R60" i="12"/>
  <c r="R58" i="12"/>
  <c r="L120" i="12"/>
  <c r="N120" i="12"/>
  <c r="O120" i="12"/>
  <c r="O109" i="12"/>
  <c r="N109" i="12"/>
  <c r="L109" i="12"/>
  <c r="N114" i="12"/>
  <c r="L128" i="12"/>
  <c r="O128" i="12"/>
  <c r="N128" i="12"/>
  <c r="L105" i="12"/>
  <c r="O105" i="12"/>
  <c r="N105" i="12"/>
  <c r="L117" i="12"/>
  <c r="O117" i="12"/>
  <c r="N117" i="12"/>
  <c r="L115" i="12"/>
  <c r="O115" i="12"/>
  <c r="N115" i="12"/>
  <c r="L92" i="12"/>
  <c r="O92" i="12"/>
  <c r="N92" i="12"/>
  <c r="L95" i="12"/>
  <c r="O95" i="12"/>
  <c r="N95" i="12"/>
  <c r="L113" i="12"/>
  <c r="O113" i="12"/>
  <c r="N113" i="12"/>
  <c r="L111" i="12"/>
  <c r="O111" i="12"/>
  <c r="N111" i="12"/>
  <c r="L126" i="12"/>
  <c r="O126" i="12"/>
  <c r="N126" i="12"/>
  <c r="L104" i="12"/>
  <c r="O104" i="12"/>
  <c r="N104" i="12"/>
  <c r="L102" i="12"/>
  <c r="O102" i="12"/>
  <c r="N102" i="12"/>
  <c r="L93" i="12"/>
  <c r="O93" i="12"/>
  <c r="N93" i="12"/>
  <c r="L121" i="12"/>
  <c r="O121" i="12"/>
  <c r="N121" i="12"/>
  <c r="L116" i="12"/>
  <c r="O116" i="12"/>
  <c r="N116" i="12"/>
  <c r="L123" i="12"/>
  <c r="O123" i="12"/>
  <c r="N123" i="12"/>
  <c r="L100" i="12"/>
  <c r="O100" i="12"/>
  <c r="N100" i="12"/>
  <c r="L98" i="12"/>
  <c r="O98" i="12"/>
  <c r="N98" i="12"/>
  <c r="L97" i="12"/>
  <c r="O97" i="12"/>
  <c r="N97" i="12"/>
  <c r="L106" i="12"/>
  <c r="O106" i="12"/>
  <c r="N106" i="12"/>
  <c r="L122" i="12"/>
  <c r="O122" i="12"/>
  <c r="N122" i="12"/>
  <c r="L119" i="12"/>
  <c r="O119" i="12"/>
  <c r="N119" i="12"/>
  <c r="L94" i="12"/>
  <c r="O94" i="12"/>
  <c r="N94" i="12"/>
  <c r="R81" i="11"/>
  <c r="I123" i="11"/>
  <c r="R49" i="11"/>
  <c r="I91" i="11"/>
  <c r="R54" i="11"/>
  <c r="I96" i="11"/>
  <c r="R75" i="11"/>
  <c r="I117" i="11"/>
  <c r="R60" i="11"/>
  <c r="I102" i="11"/>
  <c r="R69" i="11"/>
  <c r="I111" i="11"/>
  <c r="R77" i="11"/>
  <c r="I119" i="11"/>
  <c r="R62" i="11"/>
  <c r="I104" i="11"/>
  <c r="R71" i="11"/>
  <c r="I113" i="11"/>
  <c r="R78" i="11"/>
  <c r="I120" i="11"/>
  <c r="R61" i="11"/>
  <c r="I103" i="11"/>
  <c r="R48" i="11"/>
  <c r="I90" i="11"/>
  <c r="R65" i="11"/>
  <c r="I107" i="11"/>
  <c r="R73" i="11"/>
  <c r="I115" i="11"/>
  <c r="R56" i="11"/>
  <c r="I98" i="11"/>
  <c r="R66" i="11"/>
  <c r="I108" i="11"/>
  <c r="R52" i="11"/>
  <c r="I94" i="11"/>
  <c r="R67" i="11"/>
  <c r="I109" i="11"/>
  <c r="R70" i="11"/>
  <c r="I112" i="11"/>
  <c r="R72" i="11"/>
  <c r="I114" i="11"/>
  <c r="R53" i="11"/>
  <c r="I95" i="11"/>
  <c r="R47" i="11"/>
  <c r="I89" i="11"/>
  <c r="R50" i="11"/>
  <c r="I92" i="11"/>
  <c r="R59" i="11"/>
  <c r="I101" i="11"/>
  <c r="R55" i="11"/>
  <c r="I97" i="11"/>
  <c r="R74" i="11"/>
  <c r="I116" i="11"/>
  <c r="R64" i="11"/>
  <c r="I106" i="11"/>
  <c r="R82" i="11"/>
  <c r="I124" i="11"/>
  <c r="R57" i="11"/>
  <c r="I99" i="11"/>
  <c r="R68" i="11"/>
  <c r="I110" i="11"/>
  <c r="R76" i="11"/>
  <c r="I118" i="11"/>
  <c r="R80" i="11"/>
  <c r="I122" i="11"/>
  <c r="R51" i="11"/>
  <c r="I93" i="11"/>
  <c r="R58" i="11"/>
  <c r="I100" i="11"/>
  <c r="R79" i="11"/>
  <c r="I121" i="11"/>
  <c r="R63" i="11"/>
  <c r="I105" i="11"/>
  <c r="R46" i="11"/>
  <c r="I88" i="11"/>
  <c r="I53" i="8"/>
  <c r="O53" i="8" s="1"/>
  <c r="H53" i="8"/>
  <c r="M53" i="8" s="1"/>
  <c r="G53" i="8"/>
  <c r="K53" i="8" s="1"/>
  <c r="I52" i="8"/>
  <c r="O52" i="8" s="1"/>
  <c r="H52" i="8"/>
  <c r="G52" i="8"/>
  <c r="I51" i="8"/>
  <c r="O51" i="8" s="1"/>
  <c r="H51" i="8"/>
  <c r="M51" i="8" s="1"/>
  <c r="G51" i="8"/>
  <c r="I50" i="8"/>
  <c r="O50" i="8" s="1"/>
  <c r="H50" i="8"/>
  <c r="G50" i="8"/>
  <c r="J50" i="8" s="1"/>
  <c r="I49" i="8"/>
  <c r="O49" i="8" s="1"/>
  <c r="H49" i="8"/>
  <c r="G49" i="8"/>
  <c r="K49" i="8" s="1"/>
  <c r="I48" i="8"/>
  <c r="O48" i="8" s="1"/>
  <c r="H48" i="8"/>
  <c r="G48" i="8"/>
  <c r="I47" i="8"/>
  <c r="O47" i="8" s="1"/>
  <c r="H47" i="8"/>
  <c r="G47" i="8"/>
  <c r="J47" i="8" s="1"/>
  <c r="I46" i="8"/>
  <c r="O46" i="8" s="1"/>
  <c r="H46" i="8"/>
  <c r="G46" i="8"/>
  <c r="J46" i="8" s="1"/>
  <c r="I45" i="8"/>
  <c r="O45" i="8" s="1"/>
  <c r="H45" i="8"/>
  <c r="M45" i="8" s="1"/>
  <c r="G45" i="8"/>
  <c r="I44" i="8"/>
  <c r="O44" i="8" s="1"/>
  <c r="H44" i="8"/>
  <c r="G44" i="8"/>
  <c r="J44" i="8" s="1"/>
  <c r="I43" i="8"/>
  <c r="O43" i="8" s="1"/>
  <c r="H43" i="8"/>
  <c r="M43" i="8" s="1"/>
  <c r="G43" i="8"/>
  <c r="I42" i="8"/>
  <c r="O42" i="8" s="1"/>
  <c r="H42" i="8"/>
  <c r="M42" i="8" s="1"/>
  <c r="G42" i="8"/>
  <c r="J42" i="8" s="1"/>
  <c r="I41" i="8"/>
  <c r="O41" i="8" s="1"/>
  <c r="H41" i="8"/>
  <c r="G41" i="8"/>
  <c r="J41" i="8" s="1"/>
  <c r="I40" i="8"/>
  <c r="O40" i="8" s="1"/>
  <c r="H40" i="8"/>
  <c r="G40" i="8"/>
  <c r="I39" i="8"/>
  <c r="O39" i="8" s="1"/>
  <c r="H39" i="8"/>
  <c r="M39" i="8" s="1"/>
  <c r="G39" i="8"/>
  <c r="J39" i="8" s="1"/>
  <c r="I38" i="8"/>
  <c r="O38" i="8" s="1"/>
  <c r="H38" i="8"/>
  <c r="G38" i="8"/>
  <c r="J38" i="8" s="1"/>
  <c r="I37" i="8"/>
  <c r="O37" i="8" s="1"/>
  <c r="H37" i="8"/>
  <c r="M37" i="8" s="1"/>
  <c r="G37" i="8"/>
  <c r="I36" i="8"/>
  <c r="O36" i="8" s="1"/>
  <c r="H36" i="8"/>
  <c r="G36" i="8"/>
  <c r="I35" i="8"/>
  <c r="O35" i="8" s="1"/>
  <c r="H35" i="8"/>
  <c r="M35" i="8" s="1"/>
  <c r="G35" i="8"/>
  <c r="I34" i="8"/>
  <c r="O34" i="8" s="1"/>
  <c r="H34" i="8"/>
  <c r="G34" i="8"/>
  <c r="J34" i="8" s="1"/>
  <c r="I33" i="8"/>
  <c r="O33" i="8" s="1"/>
  <c r="H33" i="8"/>
  <c r="G33" i="8"/>
  <c r="I32" i="8"/>
  <c r="O32" i="8" s="1"/>
  <c r="H32" i="8"/>
  <c r="M32" i="8" s="1"/>
  <c r="G32" i="8"/>
  <c r="J32" i="8" s="1"/>
  <c r="I31" i="8"/>
  <c r="O31" i="8" s="1"/>
  <c r="H31" i="8"/>
  <c r="G31" i="8"/>
  <c r="J31" i="8" s="1"/>
  <c r="I30" i="8"/>
  <c r="O30" i="8" s="1"/>
  <c r="H30" i="8"/>
  <c r="N30" i="8" s="1"/>
  <c r="G30" i="8"/>
  <c r="I29" i="8"/>
  <c r="O29" i="8" s="1"/>
  <c r="H29" i="8"/>
  <c r="G29" i="8"/>
  <c r="J29" i="8" s="1"/>
  <c r="I28" i="8"/>
  <c r="O28" i="8" s="1"/>
  <c r="H28" i="8"/>
  <c r="M28" i="8" s="1"/>
  <c r="G28" i="8"/>
  <c r="I27" i="8"/>
  <c r="O27" i="8" s="1"/>
  <c r="H27" i="8"/>
  <c r="M27" i="8" s="1"/>
  <c r="G27" i="8"/>
  <c r="J27" i="8" s="1"/>
  <c r="I26" i="8"/>
  <c r="O26" i="8" s="1"/>
  <c r="H26" i="8"/>
  <c r="G26" i="8"/>
  <c r="I25" i="8"/>
  <c r="O25" i="8" s="1"/>
  <c r="H25" i="8"/>
  <c r="G25" i="8"/>
  <c r="I24" i="8"/>
  <c r="O24" i="8" s="1"/>
  <c r="H24" i="8"/>
  <c r="M24" i="8" s="1"/>
  <c r="G24" i="8"/>
  <c r="J24" i="8" s="1"/>
  <c r="I23" i="8"/>
  <c r="O23" i="8" s="1"/>
  <c r="H23" i="8"/>
  <c r="G23" i="8"/>
  <c r="J23" i="8" s="1"/>
  <c r="I22" i="8"/>
  <c r="H22" i="8"/>
  <c r="M22" i="8" s="1"/>
  <c r="G22" i="8"/>
  <c r="I21" i="8"/>
  <c r="O21" i="8" s="1"/>
  <c r="H21" i="8"/>
  <c r="G21" i="8"/>
  <c r="J21" i="8" s="1"/>
  <c r="I20" i="8"/>
  <c r="O20" i="8" s="1"/>
  <c r="H20" i="8"/>
  <c r="M20" i="8" s="1"/>
  <c r="G20" i="8"/>
  <c r="I19" i="8"/>
  <c r="O19" i="8" s="1"/>
  <c r="H19" i="8"/>
  <c r="M19" i="8" s="1"/>
  <c r="G19" i="8"/>
  <c r="I18" i="8"/>
  <c r="O18" i="8" s="1"/>
  <c r="H18" i="8"/>
  <c r="G18" i="8"/>
  <c r="I17" i="8"/>
  <c r="O17" i="8" s="1"/>
  <c r="H17" i="8"/>
  <c r="G17" i="8"/>
  <c r="I16" i="8"/>
  <c r="O16" i="8" s="1"/>
  <c r="H16" i="8"/>
  <c r="M16" i="8" s="1"/>
  <c r="G16" i="8"/>
  <c r="J16" i="8" s="1"/>
  <c r="J15" i="8"/>
  <c r="I15" i="8"/>
  <c r="O15" i="8" s="1"/>
  <c r="H15" i="8"/>
  <c r="G15" i="8"/>
  <c r="I14" i="8"/>
  <c r="O14" i="8" s="1"/>
  <c r="H14" i="8"/>
  <c r="M14" i="8" s="1"/>
  <c r="G14" i="8"/>
  <c r="K14" i="8" s="1"/>
  <c r="I13" i="8"/>
  <c r="O13" i="8" s="1"/>
  <c r="H13" i="8"/>
  <c r="G13" i="8"/>
  <c r="J13" i="8" s="1"/>
  <c r="I12" i="8"/>
  <c r="O12" i="8" s="1"/>
  <c r="H12" i="8"/>
  <c r="M12" i="8" s="1"/>
  <c r="G12" i="8"/>
  <c r="I11" i="8"/>
  <c r="O11" i="8" s="1"/>
  <c r="H11" i="8"/>
  <c r="M11" i="8" s="1"/>
  <c r="G11" i="8"/>
  <c r="J11" i="8" s="1"/>
  <c r="I10" i="8"/>
  <c r="O10" i="8" s="1"/>
  <c r="H10" i="8"/>
  <c r="G10" i="8"/>
  <c r="J10" i="8" s="1"/>
  <c r="I9" i="8"/>
  <c r="O9" i="8" s="1"/>
  <c r="H9" i="8"/>
  <c r="N9" i="8" s="1"/>
  <c r="G9" i="8"/>
  <c r="I8" i="8"/>
  <c r="O8" i="8" s="1"/>
  <c r="H8" i="8"/>
  <c r="M8" i="8" s="1"/>
  <c r="G8" i="8"/>
  <c r="K8" i="8" s="1"/>
  <c r="I7" i="8"/>
  <c r="O7" i="8" s="1"/>
  <c r="H7" i="8"/>
  <c r="G7" i="8"/>
  <c r="J7" i="8" s="1"/>
  <c r="I6" i="8"/>
  <c r="O6" i="8" s="1"/>
  <c r="H6" i="8"/>
  <c r="M6" i="8" s="1"/>
  <c r="G6" i="8"/>
  <c r="I5" i="8"/>
  <c r="O5" i="8" s="1"/>
  <c r="H5" i="8"/>
  <c r="G5" i="8"/>
  <c r="I4" i="8"/>
  <c r="O4" i="8" s="1"/>
  <c r="H4" i="8"/>
  <c r="M4" i="8" s="1"/>
  <c r="G4" i="8"/>
  <c r="L112" i="12" l="1"/>
  <c r="N14" i="8"/>
  <c r="O46" i="18"/>
  <c r="N25" i="8"/>
  <c r="N33" i="8"/>
  <c r="K6" i="8"/>
  <c r="L18" i="8"/>
  <c r="N23" i="8"/>
  <c r="L9" i="8"/>
  <c r="K26" i="8"/>
  <c r="N31" i="8"/>
  <c r="L52" i="8"/>
  <c r="L19" i="8"/>
  <c r="N44" i="8"/>
  <c r="K5" i="8"/>
  <c r="L13" i="8"/>
  <c r="N17" i="8"/>
  <c r="L20" i="8"/>
  <c r="H43" i="53"/>
  <c r="N37" i="8"/>
  <c r="J49" i="8"/>
  <c r="K11" i="8"/>
  <c r="L16" i="8"/>
  <c r="J18" i="8"/>
  <c r="J19" i="8"/>
  <c r="K22" i="8"/>
  <c r="K24" i="8"/>
  <c r="K29" i="8"/>
  <c r="K32" i="8"/>
  <c r="L33" i="8"/>
  <c r="N34" i="8"/>
  <c r="K37" i="8"/>
  <c r="L38" i="8"/>
  <c r="K39" i="8"/>
  <c r="N41" i="8"/>
  <c r="J5" i="8"/>
  <c r="J8" i="8"/>
  <c r="K36" i="8"/>
  <c r="N38" i="8"/>
  <c r="N40" i="8"/>
  <c r="K44" i="8"/>
  <c r="K45" i="8"/>
  <c r="K47" i="8"/>
  <c r="N50" i="8"/>
  <c r="J52" i="8"/>
  <c r="O43" i="18"/>
  <c r="L43" i="18"/>
  <c r="L48" i="18"/>
  <c r="N48" i="18"/>
  <c r="L49" i="18"/>
  <c r="N44" i="18"/>
  <c r="O44" i="18"/>
  <c r="N39" i="18"/>
  <c r="L46" i="18"/>
  <c r="O39" i="18"/>
  <c r="N40" i="18"/>
  <c r="O40" i="18"/>
  <c r="O41" i="18"/>
  <c r="N49" i="18"/>
  <c r="N41" i="18"/>
  <c r="N43" i="17"/>
  <c r="N47" i="17"/>
  <c r="N41" i="17"/>
  <c r="O41" i="17"/>
  <c r="O46" i="17"/>
  <c r="L45" i="17"/>
  <c r="L47" i="17"/>
  <c r="L46" i="17"/>
  <c r="L43" i="17"/>
  <c r="O48" i="17"/>
  <c r="L48" i="17"/>
  <c r="G48" i="16" a="1"/>
  <c r="P48" i="16" s="1"/>
  <c r="K53" i="19" s="1"/>
  <c r="L52" i="15"/>
  <c r="O52" i="15"/>
  <c r="N52" i="15"/>
  <c r="L54" i="15"/>
  <c r="O54" i="15"/>
  <c r="N54" i="15"/>
  <c r="L65" i="15"/>
  <c r="O65" i="15"/>
  <c r="N65" i="15"/>
  <c r="L58" i="15"/>
  <c r="O58" i="15"/>
  <c r="N58" i="15"/>
  <c r="L59" i="15"/>
  <c r="O59" i="15"/>
  <c r="N59" i="15"/>
  <c r="L61" i="15"/>
  <c r="O61" i="15"/>
  <c r="N61" i="15"/>
  <c r="L55" i="15"/>
  <c r="O55" i="15"/>
  <c r="N55" i="15"/>
  <c r="L67" i="15"/>
  <c r="O67" i="15"/>
  <c r="N67" i="15"/>
  <c r="L63" i="15"/>
  <c r="O63" i="15"/>
  <c r="N63" i="15"/>
  <c r="L53" i="15"/>
  <c r="O53" i="15"/>
  <c r="N53" i="15"/>
  <c r="L57" i="15"/>
  <c r="O57" i="15"/>
  <c r="N57" i="15"/>
  <c r="L64" i="15"/>
  <c r="O64" i="15"/>
  <c r="N64" i="15"/>
  <c r="L66" i="15"/>
  <c r="O66" i="15"/>
  <c r="N66" i="15"/>
  <c r="L56" i="15"/>
  <c r="O56" i="15"/>
  <c r="N56" i="15"/>
  <c r="L60" i="15"/>
  <c r="O60" i="15"/>
  <c r="N60" i="15"/>
  <c r="L50" i="15"/>
  <c r="O50" i="15"/>
  <c r="N50" i="15"/>
  <c r="L62" i="15"/>
  <c r="O62" i="15"/>
  <c r="N62" i="15"/>
  <c r="L51" i="15"/>
  <c r="O51" i="15"/>
  <c r="N51" i="15"/>
  <c r="O62" i="14"/>
  <c r="L62" i="14"/>
  <c r="N62" i="14"/>
  <c r="L60" i="14"/>
  <c r="O60" i="14"/>
  <c r="N60" i="14"/>
  <c r="N56" i="14"/>
  <c r="O56" i="14"/>
  <c r="L56" i="14"/>
  <c r="N52" i="14"/>
  <c r="O52" i="14"/>
  <c r="L52" i="14"/>
  <c r="L51" i="14"/>
  <c r="O51" i="14"/>
  <c r="N51" i="14"/>
  <c r="N59" i="14"/>
  <c r="O59" i="14"/>
  <c r="L59" i="14"/>
  <c r="O50" i="14"/>
  <c r="N50" i="14"/>
  <c r="L50" i="14"/>
  <c r="L54" i="14"/>
  <c r="O54" i="14"/>
  <c r="N54" i="14"/>
  <c r="L61" i="14"/>
  <c r="O61" i="14"/>
  <c r="N61" i="14"/>
  <c r="O63" i="14"/>
  <c r="N63" i="14"/>
  <c r="L63" i="14"/>
  <c r="N55" i="14"/>
  <c r="O55" i="14"/>
  <c r="L55" i="14"/>
  <c r="O64" i="14"/>
  <c r="L64" i="14"/>
  <c r="N64" i="14"/>
  <c r="O65" i="14"/>
  <c r="N65" i="14"/>
  <c r="L65" i="14"/>
  <c r="L58" i="14"/>
  <c r="N58" i="14"/>
  <c r="L66" i="14"/>
  <c r="N66" i="14"/>
  <c r="L67" i="14"/>
  <c r="N67" i="14"/>
  <c r="L53" i="14"/>
  <c r="O57" i="14"/>
  <c r="N53" i="14"/>
  <c r="L57" i="14"/>
  <c r="O95" i="13"/>
  <c r="N95" i="13"/>
  <c r="L95" i="13"/>
  <c r="O107" i="13"/>
  <c r="N107" i="13"/>
  <c r="L107" i="13"/>
  <c r="O89" i="13"/>
  <c r="L89" i="13"/>
  <c r="N89" i="13"/>
  <c r="O90" i="13"/>
  <c r="N90" i="13"/>
  <c r="L90" i="13"/>
  <c r="L111" i="13"/>
  <c r="O111" i="13"/>
  <c r="N111" i="13"/>
  <c r="O92" i="13"/>
  <c r="L92" i="13"/>
  <c r="N92" i="13"/>
  <c r="O99" i="13"/>
  <c r="N99" i="13"/>
  <c r="L99" i="13"/>
  <c r="O97" i="13"/>
  <c r="N97" i="13"/>
  <c r="L97" i="13"/>
  <c r="O87" i="13"/>
  <c r="L87" i="13"/>
  <c r="N87" i="13"/>
  <c r="O109" i="13"/>
  <c r="N109" i="13"/>
  <c r="L109" i="13"/>
  <c r="O93" i="13"/>
  <c r="N93" i="13"/>
  <c r="L93" i="13"/>
  <c r="O82" i="13"/>
  <c r="L82" i="13"/>
  <c r="N82" i="13"/>
  <c r="L110" i="13"/>
  <c r="O110" i="13"/>
  <c r="N110" i="13"/>
  <c r="O112" i="13"/>
  <c r="L112" i="13"/>
  <c r="N112" i="13"/>
  <c r="O101" i="13"/>
  <c r="L101" i="13"/>
  <c r="N101" i="13"/>
  <c r="O105" i="13"/>
  <c r="N105" i="13"/>
  <c r="L105" i="13"/>
  <c r="O84" i="13"/>
  <c r="N84" i="13"/>
  <c r="L84" i="13"/>
  <c r="O91" i="13"/>
  <c r="L91" i="13"/>
  <c r="N91" i="13"/>
  <c r="O94" i="13"/>
  <c r="L94" i="13"/>
  <c r="N94" i="13"/>
  <c r="O96" i="13"/>
  <c r="L96" i="13"/>
  <c r="N96" i="13"/>
  <c r="O108" i="13"/>
  <c r="N108" i="13"/>
  <c r="L108" i="13"/>
  <c r="N106" i="13"/>
  <c r="L106" i="13"/>
  <c r="O106" i="13"/>
  <c r="O100" i="13"/>
  <c r="L100" i="13"/>
  <c r="N100" i="13"/>
  <c r="O81" i="13"/>
  <c r="L81" i="13"/>
  <c r="N81" i="13"/>
  <c r="O98" i="13"/>
  <c r="N98" i="13"/>
  <c r="L98" i="13"/>
  <c r="O85" i="13"/>
  <c r="L85" i="13"/>
  <c r="N85" i="13"/>
  <c r="O88" i="13"/>
  <c r="L88" i="13"/>
  <c r="N88" i="13"/>
  <c r="O83" i="13"/>
  <c r="L83" i="13"/>
  <c r="N83" i="13"/>
  <c r="N104" i="13"/>
  <c r="O104" i="13"/>
  <c r="L104" i="13"/>
  <c r="O86" i="13"/>
  <c r="N86" i="13"/>
  <c r="L86" i="13"/>
  <c r="O80" i="13"/>
  <c r="N80" i="13"/>
  <c r="L80" i="13"/>
  <c r="N130" i="12"/>
  <c r="L127" i="12"/>
  <c r="O130" i="12"/>
  <c r="O108" i="12"/>
  <c r="O110" i="12"/>
  <c r="N108" i="12"/>
  <c r="N127" i="12"/>
  <c r="L124" i="12"/>
  <c r="N110" i="12"/>
  <c r="N112" i="12"/>
  <c r="L99" i="12"/>
  <c r="N129" i="12"/>
  <c r="N124" i="12"/>
  <c r="L103" i="12"/>
  <c r="N101" i="12"/>
  <c r="L107" i="12"/>
  <c r="L101" i="12"/>
  <c r="N107" i="12"/>
  <c r="O118" i="12"/>
  <c r="O96" i="12"/>
  <c r="N103" i="12"/>
  <c r="L118" i="12"/>
  <c r="N125" i="12"/>
  <c r="L96" i="12"/>
  <c r="O125" i="12"/>
  <c r="N99" i="12"/>
  <c r="O129" i="12"/>
  <c r="O114" i="12"/>
  <c r="N100" i="11"/>
  <c r="O100" i="11"/>
  <c r="L100" i="11"/>
  <c r="O110" i="11"/>
  <c r="N110" i="11"/>
  <c r="L110" i="11"/>
  <c r="O116" i="11"/>
  <c r="N116" i="11"/>
  <c r="L116" i="11"/>
  <c r="O89" i="11"/>
  <c r="N89" i="11"/>
  <c r="L89" i="11"/>
  <c r="O109" i="11"/>
  <c r="N109" i="11"/>
  <c r="L109" i="11"/>
  <c r="O115" i="11"/>
  <c r="N115" i="11"/>
  <c r="L115" i="11"/>
  <c r="O120" i="11"/>
  <c r="L120" i="11"/>
  <c r="N120" i="11"/>
  <c r="O104" i="11"/>
  <c r="N104" i="11"/>
  <c r="L104" i="11"/>
  <c r="O91" i="11"/>
  <c r="L91" i="11"/>
  <c r="N91" i="11"/>
  <c r="O88" i="11"/>
  <c r="N88" i="11"/>
  <c r="L88" i="11"/>
  <c r="O121" i="11"/>
  <c r="N121" i="11"/>
  <c r="L121" i="11"/>
  <c r="O93" i="11"/>
  <c r="N93" i="11"/>
  <c r="L93" i="11"/>
  <c r="O118" i="11"/>
  <c r="L118" i="11"/>
  <c r="N118" i="11"/>
  <c r="O99" i="11"/>
  <c r="N99" i="11"/>
  <c r="L99" i="11"/>
  <c r="O106" i="11"/>
  <c r="L106" i="11"/>
  <c r="N106" i="11"/>
  <c r="O97" i="11"/>
  <c r="N97" i="11"/>
  <c r="L97" i="11"/>
  <c r="O92" i="11"/>
  <c r="N92" i="11"/>
  <c r="L92" i="11"/>
  <c r="O95" i="11"/>
  <c r="N95" i="11"/>
  <c r="L95" i="11"/>
  <c r="O112" i="11"/>
  <c r="L112" i="11"/>
  <c r="N112" i="11"/>
  <c r="O94" i="11"/>
  <c r="L94" i="11"/>
  <c r="N94" i="11"/>
  <c r="O98" i="11"/>
  <c r="L98" i="11"/>
  <c r="N98" i="11"/>
  <c r="O107" i="11"/>
  <c r="L107" i="11"/>
  <c r="N107" i="11"/>
  <c r="O103" i="11"/>
  <c r="N103" i="11"/>
  <c r="L103" i="11"/>
  <c r="O113" i="11"/>
  <c r="N113" i="11"/>
  <c r="L113" i="11"/>
  <c r="O119" i="11"/>
  <c r="N119" i="11"/>
  <c r="L119" i="11"/>
  <c r="O102" i="11"/>
  <c r="N102" i="11"/>
  <c r="L102" i="11"/>
  <c r="O96" i="11"/>
  <c r="N96" i="11"/>
  <c r="L96" i="11"/>
  <c r="O123" i="11"/>
  <c r="L123" i="11"/>
  <c r="N123" i="11"/>
  <c r="O105" i="11"/>
  <c r="N105" i="11"/>
  <c r="L105" i="11"/>
  <c r="O122" i="11"/>
  <c r="N122" i="11"/>
  <c r="L122" i="11"/>
  <c r="O124" i="11"/>
  <c r="L124" i="11"/>
  <c r="N124" i="11"/>
  <c r="O101" i="11"/>
  <c r="N101" i="11"/>
  <c r="L101" i="11"/>
  <c r="O114" i="11"/>
  <c r="N114" i="11"/>
  <c r="L114" i="11"/>
  <c r="O108" i="11"/>
  <c r="N108" i="11"/>
  <c r="L108" i="11"/>
  <c r="O90" i="11"/>
  <c r="N90" i="11"/>
  <c r="L90" i="11"/>
  <c r="O111" i="11"/>
  <c r="N111" i="11"/>
  <c r="L111" i="11"/>
  <c r="O117" i="11"/>
  <c r="N117" i="11"/>
  <c r="L117" i="11"/>
  <c r="K10" i="8"/>
  <c r="K34" i="8"/>
  <c r="K50" i="8"/>
  <c r="M50" i="8"/>
  <c r="K13" i="8"/>
  <c r="L15" i="8"/>
  <c r="K16" i="8"/>
  <c r="K19" i="8"/>
  <c r="J26" i="8"/>
  <c r="L28" i="8"/>
  <c r="L29" i="8"/>
  <c r="M30" i="8"/>
  <c r="L32" i="8"/>
  <c r="M34" i="8"/>
  <c r="J36" i="8"/>
  <c r="K52" i="8"/>
  <c r="K21" i="8"/>
  <c r="K27" i="8"/>
  <c r="K42" i="8"/>
  <c r="K18" i="8"/>
  <c r="L34" i="8"/>
  <c r="L4" i="8"/>
  <c r="L12" i="8"/>
  <c r="N15" i="8"/>
  <c r="N22" i="8"/>
  <c r="K30" i="8"/>
  <c r="L41" i="8"/>
  <c r="K41" i="8"/>
  <c r="N46" i="8"/>
  <c r="N47" i="8"/>
  <c r="M47" i="8"/>
  <c r="L51" i="8"/>
  <c r="L48" i="8"/>
  <c r="N11" i="8"/>
  <c r="N18" i="8"/>
  <c r="N21" i="8"/>
  <c r="N24" i="8"/>
  <c r="N48" i="8"/>
  <c r="N5" i="8"/>
  <c r="N8" i="8"/>
  <c r="O22" i="8"/>
  <c r="L26" i="8"/>
  <c r="L35" i="8"/>
  <c r="L36" i="8"/>
  <c r="L39" i="8"/>
  <c r="L42" i="8"/>
  <c r="N45" i="8"/>
  <c r="L17" i="8"/>
  <c r="N19" i="8"/>
  <c r="L23" i="8"/>
  <c r="N26" i="8"/>
  <c r="N29" i="8"/>
  <c r="N32" i="8"/>
  <c r="L49" i="8"/>
  <c r="N6" i="8"/>
  <c r="L10" i="8"/>
  <c r="L21" i="8"/>
  <c r="L24" i="8"/>
  <c r="L27" i="8"/>
  <c r="L40" i="8"/>
  <c r="N42" i="8"/>
  <c r="L46" i="8"/>
  <c r="N49" i="8"/>
  <c r="N52" i="8"/>
  <c r="L7" i="8"/>
  <c r="N10" i="8"/>
  <c r="N13" i="8"/>
  <c r="N16" i="8"/>
  <c r="L43" i="8"/>
  <c r="L44" i="8"/>
  <c r="L47" i="8"/>
  <c r="L50" i="8"/>
  <c r="N53" i="8"/>
  <c r="L5" i="8"/>
  <c r="N7" i="8"/>
  <c r="L8" i="8"/>
  <c r="L11" i="8"/>
  <c r="L25" i="8"/>
  <c r="N27" i="8"/>
  <c r="L31" i="8"/>
  <c r="N36" i="8"/>
  <c r="N39" i="8"/>
  <c r="N4" i="8"/>
  <c r="L6" i="8"/>
  <c r="M9" i="8"/>
  <c r="N12" i="8"/>
  <c r="L14" i="8"/>
  <c r="M17" i="8"/>
  <c r="N20" i="8"/>
  <c r="L22" i="8"/>
  <c r="M25" i="8"/>
  <c r="N28" i="8"/>
  <c r="L30" i="8"/>
  <c r="M33" i="8"/>
  <c r="N35" i="8"/>
  <c r="L37" i="8"/>
  <c r="M40" i="8"/>
  <c r="N43" i="8"/>
  <c r="L45" i="8"/>
  <c r="M48" i="8"/>
  <c r="N51" i="8"/>
  <c r="L53" i="8"/>
  <c r="J4" i="8"/>
  <c r="M5" i="8"/>
  <c r="K7" i="8"/>
  <c r="J12" i="8"/>
  <c r="M13" i="8"/>
  <c r="K15" i="8"/>
  <c r="J20" i="8"/>
  <c r="M21" i="8"/>
  <c r="K23" i="8"/>
  <c r="J28" i="8"/>
  <c r="M29" i="8"/>
  <c r="K31" i="8"/>
  <c r="J35" i="8"/>
  <c r="M36" i="8"/>
  <c r="K38" i="8"/>
  <c r="J43" i="8"/>
  <c r="M44" i="8"/>
  <c r="K46" i="8"/>
  <c r="J51" i="8"/>
  <c r="M52" i="8"/>
  <c r="K4" i="8"/>
  <c r="J9" i="8"/>
  <c r="M10" i="8"/>
  <c r="K12" i="8"/>
  <c r="J17" i="8"/>
  <c r="M18" i="8"/>
  <c r="K20" i="8"/>
  <c r="J25" i="8"/>
  <c r="M26" i="8"/>
  <c r="K28" i="8"/>
  <c r="J33" i="8"/>
  <c r="K35" i="8"/>
  <c r="J40" i="8"/>
  <c r="M41" i="8"/>
  <c r="K43" i="8"/>
  <c r="J48" i="8"/>
  <c r="M49" i="8"/>
  <c r="K51" i="8"/>
  <c r="J6" i="8"/>
  <c r="M7" i="8"/>
  <c r="K9" i="8"/>
  <c r="J14" i="8"/>
  <c r="M15" i="8"/>
  <c r="K17" i="8"/>
  <c r="J22" i="8"/>
  <c r="M23" i="8"/>
  <c r="K25" i="8"/>
  <c r="J30" i="8"/>
  <c r="M31" i="8"/>
  <c r="K33" i="8"/>
  <c r="J37" i="8"/>
  <c r="M38" i="8"/>
  <c r="K40" i="8"/>
  <c r="J45" i="8"/>
  <c r="M46" i="8"/>
  <c r="K48" i="8"/>
  <c r="J53" i="8"/>
  <c r="G36" i="18" l="1" a="1"/>
  <c r="P36" i="18" s="1"/>
  <c r="K50" i="19" s="1"/>
  <c r="G38" i="17" a="1"/>
  <c r="P38" i="17" s="1"/>
  <c r="K51" i="19" s="1"/>
  <c r="J48" i="16"/>
  <c r="E53" i="19" s="1"/>
  <c r="O48" i="16"/>
  <c r="J53" i="19" s="1"/>
  <c r="N48" i="16"/>
  <c r="I53" i="19" s="1"/>
  <c r="H48" i="16"/>
  <c r="C53" i="19" s="1"/>
  <c r="M48" i="16"/>
  <c r="H53" i="19" s="1"/>
  <c r="G48" i="16"/>
  <c r="B53" i="19" s="1"/>
  <c r="L48" i="16"/>
  <c r="G53" i="19" s="1"/>
  <c r="I48" i="16"/>
  <c r="K48" i="16"/>
  <c r="F53" i="19" s="1"/>
  <c r="G48" i="15" a="1"/>
  <c r="P48" i="15" s="1"/>
  <c r="K54" i="19" s="1"/>
  <c r="G48" i="14" a="1"/>
  <c r="G48" i="14" s="1"/>
  <c r="B52" i="19" s="1"/>
  <c r="G78" i="13" a="1"/>
  <c r="M78" i="13" s="1"/>
  <c r="H58" i="19" s="1"/>
  <c r="G90" i="12" a="1"/>
  <c r="O90" i="12" s="1"/>
  <c r="J57" i="19" s="1"/>
  <c r="G86" i="11" a="1"/>
  <c r="O86" i="11" s="1"/>
  <c r="J56" i="19" s="1"/>
  <c r="G2" i="8" a="1"/>
  <c r="M2" i="8" s="1"/>
  <c r="H11" i="19" s="1"/>
  <c r="Q66" i="16" l="1"/>
  <c r="R66" i="16" s="1"/>
  <c r="D53" i="19"/>
  <c r="M36" i="18"/>
  <c r="H50" i="19" s="1"/>
  <c r="H36" i="18"/>
  <c r="C50" i="19" s="1"/>
  <c r="L36" i="18"/>
  <c r="G50" i="19" s="1"/>
  <c r="N36" i="18"/>
  <c r="I50" i="19" s="1"/>
  <c r="G36" i="18"/>
  <c r="B50" i="19" s="1"/>
  <c r="O36" i="18"/>
  <c r="J50" i="19" s="1"/>
  <c r="K36" i="18"/>
  <c r="F50" i="19" s="1"/>
  <c r="I36" i="18"/>
  <c r="D50" i="19" s="1"/>
  <c r="J36" i="18"/>
  <c r="E50" i="19" s="1"/>
  <c r="I38" i="17"/>
  <c r="D51" i="19" s="1"/>
  <c r="H38" i="17"/>
  <c r="C51" i="19" s="1"/>
  <c r="L38" i="17"/>
  <c r="G51" i="19" s="1"/>
  <c r="O38" i="17"/>
  <c r="J51" i="19" s="1"/>
  <c r="K38" i="17"/>
  <c r="F51" i="19" s="1"/>
  <c r="M38" i="17"/>
  <c r="H51" i="19" s="1"/>
  <c r="G38" i="17"/>
  <c r="B51" i="19" s="1"/>
  <c r="N38" i="17"/>
  <c r="I51" i="19" s="1"/>
  <c r="J38" i="17"/>
  <c r="E51" i="19" s="1"/>
  <c r="Q57" i="16"/>
  <c r="R57" i="16" s="1"/>
  <c r="Q53" i="16"/>
  <c r="R53" i="16" s="1"/>
  <c r="Q61" i="16"/>
  <c r="R61" i="16" s="1"/>
  <c r="Q64" i="16"/>
  <c r="R64" i="16" s="1"/>
  <c r="Q65" i="16"/>
  <c r="R65" i="16" s="1"/>
  <c r="Q54" i="16"/>
  <c r="R54" i="16" s="1"/>
  <c r="Q50" i="16"/>
  <c r="R50" i="16" s="1"/>
  <c r="Q58" i="16"/>
  <c r="R58" i="16" s="1"/>
  <c r="Q62" i="16"/>
  <c r="R62" i="16" s="1"/>
  <c r="Q51" i="16"/>
  <c r="R51" i="16" s="1"/>
  <c r="Q55" i="16"/>
  <c r="R55" i="16" s="1"/>
  <c r="Q63" i="16"/>
  <c r="R63" i="16" s="1"/>
  <c r="Q67" i="16"/>
  <c r="R67" i="16" s="1"/>
  <c r="Q59" i="16"/>
  <c r="R59" i="16" s="1"/>
  <c r="Q52" i="16"/>
  <c r="R52" i="16" s="1"/>
  <c r="Q56" i="16"/>
  <c r="R56" i="16" s="1"/>
  <c r="Q60" i="16"/>
  <c r="R60" i="16" s="1"/>
  <c r="J48" i="15"/>
  <c r="E54" i="19" s="1"/>
  <c r="O48" i="15"/>
  <c r="J54" i="19" s="1"/>
  <c r="N48" i="15"/>
  <c r="I54" i="19" s="1"/>
  <c r="H48" i="15"/>
  <c r="C54" i="19" s="1"/>
  <c r="I48" i="15"/>
  <c r="D54" i="19" s="1"/>
  <c r="G48" i="15"/>
  <c r="B54" i="19" s="1"/>
  <c r="L48" i="15"/>
  <c r="G54" i="19" s="1"/>
  <c r="M48" i="15"/>
  <c r="H54" i="19" s="1"/>
  <c r="K48" i="15"/>
  <c r="F54" i="19" s="1"/>
  <c r="N48" i="14"/>
  <c r="I52" i="19" s="1"/>
  <c r="H48" i="14"/>
  <c r="C52" i="19" s="1"/>
  <c r="I48" i="14"/>
  <c r="D52" i="19" s="1"/>
  <c r="K48" i="14"/>
  <c r="F52" i="19" s="1"/>
  <c r="O48" i="14"/>
  <c r="J52" i="19" s="1"/>
  <c r="M48" i="14"/>
  <c r="H52" i="19" s="1"/>
  <c r="L48" i="14"/>
  <c r="G52" i="19" s="1"/>
  <c r="J48" i="14"/>
  <c r="E52" i="19" s="1"/>
  <c r="P48" i="14"/>
  <c r="K52" i="19" s="1"/>
  <c r="P78" i="13"/>
  <c r="K58" i="19" s="1"/>
  <c r="G78" i="13"/>
  <c r="B58" i="19" s="1"/>
  <c r="J78" i="13"/>
  <c r="E58" i="19" s="1"/>
  <c r="O78" i="13"/>
  <c r="J58" i="19" s="1"/>
  <c r="H78" i="13"/>
  <c r="C58" i="19" s="1"/>
  <c r="I78" i="13"/>
  <c r="D58" i="19" s="1"/>
  <c r="L78" i="13"/>
  <c r="G58" i="19" s="1"/>
  <c r="N78" i="13"/>
  <c r="I58" i="19" s="1"/>
  <c r="K78" i="13"/>
  <c r="F58" i="19" s="1"/>
  <c r="H90" i="12"/>
  <c r="C57" i="19" s="1"/>
  <c r="G90" i="12"/>
  <c r="B57" i="19" s="1"/>
  <c r="K90" i="12"/>
  <c r="F57" i="19" s="1"/>
  <c r="I90" i="12"/>
  <c r="D57" i="19" s="1"/>
  <c r="L90" i="12"/>
  <c r="G57" i="19" s="1"/>
  <c r="N90" i="12"/>
  <c r="I57" i="19" s="1"/>
  <c r="J90" i="12"/>
  <c r="E57" i="19" s="1"/>
  <c r="M90" i="12"/>
  <c r="H57" i="19" s="1"/>
  <c r="P90" i="12"/>
  <c r="K57" i="19" s="1"/>
  <c r="P86" i="11"/>
  <c r="K56" i="19" s="1"/>
  <c r="K86" i="11"/>
  <c r="F56" i="19" s="1"/>
  <c r="G86" i="11"/>
  <c r="B56" i="19" s="1"/>
  <c r="J86" i="11"/>
  <c r="E56" i="19" s="1"/>
  <c r="L86" i="11"/>
  <c r="G56" i="19" s="1"/>
  <c r="N86" i="11"/>
  <c r="I56" i="19" s="1"/>
  <c r="H86" i="11"/>
  <c r="C56" i="19" s="1"/>
  <c r="M86" i="11"/>
  <c r="H56" i="19" s="1"/>
  <c r="I86" i="11"/>
  <c r="D56" i="19" s="1"/>
  <c r="P2" i="8"/>
  <c r="L2" i="8"/>
  <c r="G11" i="19" s="1"/>
  <c r="G2" i="8"/>
  <c r="B11" i="19" s="1"/>
  <c r="N2" i="8"/>
  <c r="I11" i="19" s="1"/>
  <c r="K2" i="8"/>
  <c r="F11" i="19" s="1"/>
  <c r="I2" i="8"/>
  <c r="D11" i="19" s="1"/>
  <c r="J2" i="8"/>
  <c r="E11" i="19" s="1"/>
  <c r="O2" i="8"/>
  <c r="H2" i="8"/>
  <c r="C11" i="19" s="1"/>
  <c r="K11" i="19" l="1"/>
  <c r="Q4" i="8"/>
  <c r="Q21" i="8"/>
  <c r="R21" i="8" s="1"/>
  <c r="J11" i="19"/>
  <c r="Q38" i="18"/>
  <c r="R38" i="18" s="1"/>
  <c r="Q44" i="18"/>
  <c r="R44" i="18" s="1"/>
  <c r="Q39" i="18"/>
  <c r="R39" i="18" s="1"/>
  <c r="Q49" i="18"/>
  <c r="R49" i="18" s="1"/>
  <c r="Q40" i="18"/>
  <c r="R40" i="18" s="1"/>
  <c r="Q46" i="18"/>
  <c r="R46" i="18" s="1"/>
  <c r="Q48" i="18"/>
  <c r="R48" i="18" s="1"/>
  <c r="Q47" i="18"/>
  <c r="R47" i="18" s="1"/>
  <c r="Q42" i="18"/>
  <c r="R42" i="18" s="1"/>
  <c r="Q41" i="18"/>
  <c r="R41" i="18" s="1"/>
  <c r="Q43" i="18"/>
  <c r="R43" i="18" s="1"/>
  <c r="Q45" i="18"/>
  <c r="R45" i="18" s="1"/>
  <c r="Q41" i="17"/>
  <c r="R41" i="17" s="1"/>
  <c r="Q47" i="17"/>
  <c r="R47" i="17" s="1"/>
  <c r="Q49" i="17"/>
  <c r="R49" i="17" s="1"/>
  <c r="Q51" i="17"/>
  <c r="R51" i="17" s="1"/>
  <c r="Q43" i="17"/>
  <c r="R43" i="17" s="1"/>
  <c r="Q45" i="17"/>
  <c r="R45" i="17" s="1"/>
  <c r="Q46" i="17"/>
  <c r="R46" i="17" s="1"/>
  <c r="Q48" i="17"/>
  <c r="R48" i="17" s="1"/>
  <c r="Q44" i="17"/>
  <c r="R44" i="17" s="1"/>
  <c r="Q50" i="17"/>
  <c r="R50" i="17" s="1"/>
  <c r="Q52" i="17"/>
  <c r="R52" i="17" s="1"/>
  <c r="Q42" i="17"/>
  <c r="R42" i="17" s="1"/>
  <c r="Q40" i="17"/>
  <c r="R40" i="17" s="1"/>
  <c r="Q62" i="15"/>
  <c r="R62" i="15" s="1"/>
  <c r="Q65" i="15"/>
  <c r="R65" i="15" s="1"/>
  <c r="Q57" i="15"/>
  <c r="R57" i="15" s="1"/>
  <c r="Q61" i="15"/>
  <c r="R61" i="15" s="1"/>
  <c r="Q64" i="15"/>
  <c r="R64" i="15" s="1"/>
  <c r="Q53" i="15"/>
  <c r="R53" i="15" s="1"/>
  <c r="Q54" i="15"/>
  <c r="R54" i="15" s="1"/>
  <c r="Q66" i="15"/>
  <c r="R66" i="15" s="1"/>
  <c r="Q51" i="15"/>
  <c r="R51" i="15" s="1"/>
  <c r="Q55" i="15"/>
  <c r="R55" i="15" s="1"/>
  <c r="Q59" i="15"/>
  <c r="R59" i="15" s="1"/>
  <c r="Q63" i="15"/>
  <c r="R63" i="15" s="1"/>
  <c r="Q67" i="15"/>
  <c r="R67" i="15" s="1"/>
  <c r="Q50" i="15"/>
  <c r="R50" i="15" s="1"/>
  <c r="Q58" i="15"/>
  <c r="R58" i="15" s="1"/>
  <c r="Q52" i="15"/>
  <c r="R52" i="15" s="1"/>
  <c r="Q56" i="15"/>
  <c r="R56" i="15" s="1"/>
  <c r="Q60" i="15"/>
  <c r="R60" i="15" s="1"/>
  <c r="Q54" i="14"/>
  <c r="R54" i="14" s="1"/>
  <c r="Q61" i="14"/>
  <c r="R61" i="14" s="1"/>
  <c r="Q67" i="14"/>
  <c r="R67" i="14" s="1"/>
  <c r="Q66" i="14"/>
  <c r="R66" i="14" s="1"/>
  <c r="Q50" i="14"/>
  <c r="R50" i="14" s="1"/>
  <c r="Q64" i="14"/>
  <c r="R64" i="14" s="1"/>
  <c r="Q59" i="14"/>
  <c r="R59" i="14" s="1"/>
  <c r="Q55" i="14"/>
  <c r="R55" i="14" s="1"/>
  <c r="Q62" i="14"/>
  <c r="R62" i="14" s="1"/>
  <c r="Q65" i="14"/>
  <c r="R65" i="14" s="1"/>
  <c r="Q57" i="14"/>
  <c r="R57" i="14" s="1"/>
  <c r="Q52" i="14"/>
  <c r="R52" i="14" s="1"/>
  <c r="Q58" i="14"/>
  <c r="R58" i="14" s="1"/>
  <c r="Q60" i="14"/>
  <c r="R60" i="14" s="1"/>
  <c r="Q51" i="14"/>
  <c r="R51" i="14" s="1"/>
  <c r="Q53" i="14"/>
  <c r="R53" i="14" s="1"/>
  <c r="Q63" i="14"/>
  <c r="R63" i="14" s="1"/>
  <c r="Q56" i="14"/>
  <c r="R56" i="14" s="1"/>
  <c r="Q107" i="13"/>
  <c r="R107" i="13" s="1"/>
  <c r="Q96" i="13"/>
  <c r="R96" i="13" s="1"/>
  <c r="Q99" i="13"/>
  <c r="R99" i="13" s="1"/>
  <c r="Q105" i="13"/>
  <c r="R105" i="13" s="1"/>
  <c r="Q95" i="13"/>
  <c r="R95" i="13" s="1"/>
  <c r="Q80" i="13"/>
  <c r="R80" i="13" s="1"/>
  <c r="Q90" i="13"/>
  <c r="R90" i="13" s="1"/>
  <c r="Q110" i="13"/>
  <c r="R110" i="13" s="1"/>
  <c r="Q81" i="13"/>
  <c r="R81" i="13" s="1"/>
  <c r="Q86" i="13"/>
  <c r="R86" i="13" s="1"/>
  <c r="Q94" i="13"/>
  <c r="R94" i="13" s="1"/>
  <c r="Q101" i="13"/>
  <c r="R101" i="13" s="1"/>
  <c r="Q103" i="13"/>
  <c r="R103" i="13" s="1"/>
  <c r="Q104" i="13"/>
  <c r="R104" i="13" s="1"/>
  <c r="Q85" i="13"/>
  <c r="R85" i="13" s="1"/>
  <c r="Q91" i="13"/>
  <c r="R91" i="13" s="1"/>
  <c r="Q93" i="13"/>
  <c r="R93" i="13" s="1"/>
  <c r="Q87" i="13"/>
  <c r="R87" i="13" s="1"/>
  <c r="Q92" i="13"/>
  <c r="R92" i="13" s="1"/>
  <c r="Q102" i="13"/>
  <c r="R102" i="13" s="1"/>
  <c r="Q88" i="13"/>
  <c r="R88" i="13" s="1"/>
  <c r="Q100" i="13"/>
  <c r="R100" i="13" s="1"/>
  <c r="Q82" i="13"/>
  <c r="R82" i="13" s="1"/>
  <c r="Q89" i="13"/>
  <c r="R89" i="13" s="1"/>
  <c r="Q106" i="13"/>
  <c r="R106" i="13" s="1"/>
  <c r="Q83" i="13"/>
  <c r="R83" i="13" s="1"/>
  <c r="Q98" i="13"/>
  <c r="R98" i="13" s="1"/>
  <c r="Q108" i="13"/>
  <c r="R108" i="13" s="1"/>
  <c r="Q84" i="13"/>
  <c r="R84" i="13" s="1"/>
  <c r="Q112" i="13"/>
  <c r="R112" i="13" s="1"/>
  <c r="Q109" i="13"/>
  <c r="R109" i="13" s="1"/>
  <c r="Q97" i="13"/>
  <c r="R97" i="13" s="1"/>
  <c r="Q111" i="13"/>
  <c r="R111" i="13" s="1"/>
  <c r="Q103" i="12"/>
  <c r="R103" i="12" s="1"/>
  <c r="Q117" i="12"/>
  <c r="R117" i="12" s="1"/>
  <c r="Q128" i="12"/>
  <c r="R128" i="12" s="1"/>
  <c r="Q123" i="12"/>
  <c r="R123" i="12" s="1"/>
  <c r="Q111" i="12"/>
  <c r="R111" i="12" s="1"/>
  <c r="Q121" i="12"/>
  <c r="R121" i="12" s="1"/>
  <c r="Q119" i="12"/>
  <c r="R119" i="12" s="1"/>
  <c r="Q100" i="12"/>
  <c r="R100" i="12" s="1"/>
  <c r="Q101" i="12"/>
  <c r="R101" i="12" s="1"/>
  <c r="Q109" i="12"/>
  <c r="R109" i="12" s="1"/>
  <c r="Q99" i="12"/>
  <c r="R99" i="12" s="1"/>
  <c r="Q95" i="12"/>
  <c r="R95" i="12" s="1"/>
  <c r="Q114" i="12"/>
  <c r="R114" i="12" s="1"/>
  <c r="Q97" i="12"/>
  <c r="R97" i="12" s="1"/>
  <c r="Q113" i="12"/>
  <c r="R113" i="12" s="1"/>
  <c r="Q96" i="12"/>
  <c r="R96" i="12" s="1"/>
  <c r="Q115" i="12"/>
  <c r="R115" i="12" s="1"/>
  <c r="Q94" i="12"/>
  <c r="R94" i="12" s="1"/>
  <c r="Q125" i="12"/>
  <c r="R125" i="12" s="1"/>
  <c r="Q93" i="12"/>
  <c r="R93" i="12" s="1"/>
  <c r="Q126" i="12"/>
  <c r="R126" i="12" s="1"/>
  <c r="Q108" i="12"/>
  <c r="R108" i="12" s="1"/>
  <c r="Q92" i="12"/>
  <c r="R92" i="12" s="1"/>
  <c r="Q107" i="12"/>
  <c r="R107" i="12" s="1"/>
  <c r="Q98" i="12"/>
  <c r="R98" i="12" s="1"/>
  <c r="Q118" i="12"/>
  <c r="R118" i="12" s="1"/>
  <c r="Q102" i="12"/>
  <c r="R102" i="12" s="1"/>
  <c r="Q120" i="12"/>
  <c r="R120" i="12" s="1"/>
  <c r="Q130" i="12"/>
  <c r="R130" i="12" s="1"/>
  <c r="Q116" i="12"/>
  <c r="R116" i="12" s="1"/>
  <c r="Q106" i="12"/>
  <c r="R106" i="12" s="1"/>
  <c r="Q110" i="12"/>
  <c r="R110" i="12" s="1"/>
  <c r="Q105" i="12"/>
  <c r="R105" i="12" s="1"/>
  <c r="Q112" i="12"/>
  <c r="R112" i="12" s="1"/>
  <c r="Q122" i="12"/>
  <c r="R122" i="12" s="1"/>
  <c r="Q104" i="12"/>
  <c r="R104" i="12" s="1"/>
  <c r="Q129" i="12"/>
  <c r="R129" i="12" s="1"/>
  <c r="Q127" i="12"/>
  <c r="R127" i="12" s="1"/>
  <c r="Q124" i="12"/>
  <c r="R124" i="12" s="1"/>
  <c r="Q89" i="11"/>
  <c r="R89" i="11" s="1"/>
  <c r="Q93" i="11"/>
  <c r="R93" i="11" s="1"/>
  <c r="Q97" i="11"/>
  <c r="R97" i="11" s="1"/>
  <c r="Q101" i="11"/>
  <c r="R101" i="11" s="1"/>
  <c r="Q105" i="11"/>
  <c r="R105" i="11" s="1"/>
  <c r="Q109" i="11"/>
  <c r="R109" i="11" s="1"/>
  <c r="Q113" i="11"/>
  <c r="R113" i="11" s="1"/>
  <c r="Q117" i="11"/>
  <c r="R117" i="11" s="1"/>
  <c r="Q121" i="11"/>
  <c r="R121" i="11" s="1"/>
  <c r="Q88" i="11"/>
  <c r="R88" i="11" s="1"/>
  <c r="Q96" i="11"/>
  <c r="R96" i="11" s="1"/>
  <c r="Q108" i="11"/>
  <c r="R108" i="11" s="1"/>
  <c r="Q116" i="11"/>
  <c r="R116" i="11" s="1"/>
  <c r="Q124" i="11"/>
  <c r="R124" i="11" s="1"/>
  <c r="Q90" i="11"/>
  <c r="R90" i="11" s="1"/>
  <c r="Q94" i="11"/>
  <c r="R94" i="11" s="1"/>
  <c r="Q98" i="11"/>
  <c r="R98" i="11" s="1"/>
  <c r="Q102" i="11"/>
  <c r="R102" i="11" s="1"/>
  <c r="Q106" i="11"/>
  <c r="R106" i="11" s="1"/>
  <c r="Q110" i="11"/>
  <c r="R110" i="11" s="1"/>
  <c r="Q114" i="11"/>
  <c r="R114" i="11" s="1"/>
  <c r="Q118" i="11"/>
  <c r="R118" i="11" s="1"/>
  <c r="Q122" i="11"/>
  <c r="R122" i="11" s="1"/>
  <c r="Q100" i="11"/>
  <c r="R100" i="11" s="1"/>
  <c r="Q91" i="11"/>
  <c r="R91" i="11" s="1"/>
  <c r="Q95" i="11"/>
  <c r="R95" i="11" s="1"/>
  <c r="Q99" i="11"/>
  <c r="R99" i="11" s="1"/>
  <c r="Q103" i="11"/>
  <c r="R103" i="11" s="1"/>
  <c r="Q107" i="11"/>
  <c r="R107" i="11" s="1"/>
  <c r="Q111" i="11"/>
  <c r="R111" i="11" s="1"/>
  <c r="Q115" i="11"/>
  <c r="R115" i="11" s="1"/>
  <c r="Q119" i="11"/>
  <c r="R119" i="11" s="1"/>
  <c r="Q123" i="11"/>
  <c r="R123" i="11" s="1"/>
  <c r="Q92" i="11"/>
  <c r="R92" i="11" s="1"/>
  <c r="Q104" i="11"/>
  <c r="R104" i="11" s="1"/>
  <c r="Q112" i="11"/>
  <c r="R112" i="11" s="1"/>
  <c r="Q120" i="11"/>
  <c r="R120" i="11" s="1"/>
  <c r="Q28" i="8"/>
  <c r="R28" i="8" s="1"/>
  <c r="Q50" i="8"/>
  <c r="R50" i="8" s="1"/>
  <c r="Q25" i="8"/>
  <c r="R25" i="8" s="1"/>
  <c r="Q49" i="8"/>
  <c r="R49" i="8" s="1"/>
  <c r="Q14" i="8"/>
  <c r="R14" i="8" s="1"/>
  <c r="Q29" i="8"/>
  <c r="R29" i="8" s="1"/>
  <c r="Q39" i="8"/>
  <c r="R39" i="8" s="1"/>
  <c r="Q38" i="8"/>
  <c r="Q53" i="8"/>
  <c r="R53" i="8" s="1"/>
  <c r="Q18" i="8"/>
  <c r="R18" i="8" s="1"/>
  <c r="Q7" i="8"/>
  <c r="R7" i="8" s="1"/>
  <c r="Q46" i="8"/>
  <c r="Q43" i="8"/>
  <c r="R43" i="8" s="1"/>
  <c r="Q33" i="8"/>
  <c r="Q22" i="8"/>
  <c r="R22" i="8" s="1"/>
  <c r="Q19" i="8"/>
  <c r="R19" i="8" s="1"/>
  <c r="Q8" i="8"/>
  <c r="R8" i="8" s="1"/>
  <c r="Q47" i="8"/>
  <c r="R47" i="8" s="1"/>
  <c r="Q44" i="8"/>
  <c r="R44" i="8" s="1"/>
  <c r="Q26" i="8"/>
  <c r="R26" i="8" s="1"/>
  <c r="Q15" i="8"/>
  <c r="R15" i="8" s="1"/>
  <c r="Q12" i="8"/>
  <c r="R12" i="8" s="1"/>
  <c r="Q51" i="8"/>
  <c r="R51" i="8" s="1"/>
  <c r="Q40" i="8"/>
  <c r="R40" i="8" s="1"/>
  <c r="Q37" i="8"/>
  <c r="R37" i="8" s="1"/>
  <c r="Q27" i="8"/>
  <c r="R27" i="8" s="1"/>
  <c r="Q16" i="8"/>
  <c r="R16" i="8" s="1"/>
  <c r="Q13" i="8"/>
  <c r="R13" i="8" s="1"/>
  <c r="Q52" i="8"/>
  <c r="R52" i="8" s="1"/>
  <c r="Q31" i="8"/>
  <c r="R31" i="8" s="1"/>
  <c r="Q20" i="8"/>
  <c r="R20" i="8" s="1"/>
  <c r="Q9" i="8"/>
  <c r="R9" i="8" s="1"/>
  <c r="Q6" i="8"/>
  <c r="R6" i="8" s="1"/>
  <c r="Q45" i="8"/>
  <c r="R45" i="8" s="1"/>
  <c r="Q34" i="8"/>
  <c r="R34" i="8" s="1"/>
  <c r="Q32" i="8"/>
  <c r="R32" i="8" s="1"/>
  <c r="Q36" i="8"/>
  <c r="R36" i="8" s="1"/>
  <c r="Q10" i="8"/>
  <c r="R10" i="8" s="1"/>
  <c r="Q41" i="8"/>
  <c r="R41" i="8" s="1"/>
  <c r="Q23" i="8"/>
  <c r="R23" i="8" s="1"/>
  <c r="R4" i="8"/>
  <c r="Q35" i="8"/>
  <c r="R35" i="8" s="1"/>
  <c r="Q17" i="8"/>
  <c r="R17" i="8" s="1"/>
  <c r="Q48" i="8"/>
  <c r="R48" i="8" s="1"/>
  <c r="Q30" i="8"/>
  <c r="R30" i="8" s="1"/>
  <c r="Q11" i="8"/>
  <c r="R11" i="8" s="1"/>
  <c r="Q42" i="8"/>
  <c r="R42" i="8" s="1"/>
  <c r="Q24" i="8"/>
  <c r="R24" i="8" s="1"/>
  <c r="Q5" i="8"/>
  <c r="R5" i="8" s="1"/>
  <c r="R46" i="8"/>
  <c r="R33" i="8"/>
  <c r="R38" i="8"/>
  <c r="AF9" i="20"/>
  <c r="AI9" i="20"/>
  <c r="AH9" i="20"/>
  <c r="AK13" i="20" l="1"/>
  <c r="AK11" i="20"/>
  <c r="AK9" i="20"/>
  <c r="R9" i="20" s="1"/>
  <c r="R11" i="20" l="1"/>
  <c r="R13" i="20"/>
  <c r="W9" i="20"/>
  <c r="AN9" i="20"/>
  <c r="X9" i="20"/>
  <c r="U9" i="20"/>
  <c r="AI20" i="20"/>
  <c r="AF40" i="20"/>
  <c r="AF32" i="20"/>
  <c r="AI21" i="20"/>
  <c r="AF12" i="20"/>
  <c r="AK12" i="20" s="1"/>
  <c r="R12" i="20" s="1"/>
  <c r="AH10" i="20"/>
  <c r="AK10" i="20" s="1"/>
  <c r="R10" i="20" s="1"/>
  <c r="AI24" i="20"/>
  <c r="AQ9" i="20" l="1"/>
  <c r="U13" i="20"/>
  <c r="W11" i="20"/>
  <c r="X11" i="20"/>
  <c r="AN11" i="20"/>
  <c r="W13" i="20"/>
  <c r="AN13" i="20"/>
  <c r="X13" i="20"/>
  <c r="U11" i="20"/>
  <c r="Z9" i="20"/>
  <c r="AS9" i="20"/>
  <c r="AT9" i="20"/>
  <c r="W10" i="20"/>
  <c r="AN10" i="20"/>
  <c r="U10" i="20"/>
  <c r="X10" i="20"/>
  <c r="AV9" i="20" l="1"/>
  <c r="AS10" i="20"/>
  <c r="AQ11" i="20"/>
  <c r="E9" i="20"/>
  <c r="F9" i="20" s="1"/>
  <c r="Z13" i="20"/>
  <c r="Z11" i="20"/>
  <c r="AT11" i="20"/>
  <c r="AS11" i="20"/>
  <c r="AT13" i="20"/>
  <c r="AS13" i="20"/>
  <c r="AQ13" i="20"/>
  <c r="AQ10" i="20"/>
  <c r="AT10" i="20"/>
  <c r="X12" i="20"/>
  <c r="AN12" i="20"/>
  <c r="Z10" i="20"/>
  <c r="W12" i="20"/>
  <c r="U12" i="20"/>
  <c r="AV10" i="20" l="1"/>
  <c r="AV13" i="20"/>
  <c r="AV11" i="20"/>
  <c r="E10" i="20"/>
  <c r="F10" i="20" s="1"/>
  <c r="E11" i="20"/>
  <c r="F11" i="20" s="1"/>
  <c r="I11" i="20" s="1"/>
  <c r="O11" i="20" s="1"/>
  <c r="E13" i="20"/>
  <c r="F13" i="20" s="1"/>
  <c r="G13" i="20" s="1"/>
  <c r="I9" i="20"/>
  <c r="O9" i="20" s="1"/>
  <c r="H9" i="20"/>
  <c r="AT12" i="20"/>
  <c r="AS12" i="20"/>
  <c r="AQ12" i="20"/>
  <c r="Z12" i="20"/>
  <c r="AV12" i="20" l="1"/>
  <c r="H11" i="20"/>
  <c r="J11" i="20" s="1"/>
  <c r="H13" i="20"/>
  <c r="G11" i="20"/>
  <c r="E12" i="20"/>
  <c r="F12" i="20" s="1"/>
  <c r="I13" i="20"/>
  <c r="O13" i="20" s="1"/>
  <c r="T16" i="20"/>
  <c r="AB16" i="20"/>
  <c r="V16" i="20"/>
  <c r="J9" i="20"/>
  <c r="G9" i="20"/>
  <c r="I10" i="20"/>
  <c r="O10" i="20" s="1"/>
  <c r="H10" i="20"/>
  <c r="J13" i="20" l="1"/>
  <c r="K13" i="20" s="1"/>
  <c r="M13" i="20" s="1"/>
  <c r="K11" i="20"/>
  <c r="M11" i="20" s="1"/>
  <c r="AG16" i="20"/>
  <c r="AM16" i="20"/>
  <c r="AE16" i="20"/>
  <c r="AH16" i="20"/>
  <c r="AB18" i="20"/>
  <c r="V18" i="20"/>
  <c r="T18" i="20"/>
  <c r="K9" i="20"/>
  <c r="J10" i="20"/>
  <c r="G10" i="20"/>
  <c r="I12" i="20"/>
  <c r="O12" i="20" s="1"/>
  <c r="H12" i="20"/>
  <c r="AK16" i="20" l="1"/>
  <c r="M9" i="20"/>
  <c r="AP16" i="20"/>
  <c r="AR16" i="20"/>
  <c r="AE18" i="20"/>
  <c r="AG18" i="20"/>
  <c r="AM18" i="20"/>
  <c r="AH18" i="20"/>
  <c r="K10" i="20"/>
  <c r="J12" i="20"/>
  <c r="G12" i="20"/>
  <c r="R16" i="20" l="1"/>
  <c r="AK18" i="20"/>
  <c r="AB14" i="20"/>
  <c r="T14" i="20"/>
  <c r="V14" i="20"/>
  <c r="M10" i="20"/>
  <c r="AR18" i="20"/>
  <c r="AP18" i="20"/>
  <c r="K12" i="20"/>
  <c r="W16" i="20" l="1"/>
  <c r="AN16" i="20"/>
  <c r="X16" i="20"/>
  <c r="R18" i="20"/>
  <c r="U16" i="20"/>
  <c r="AE14" i="20"/>
  <c r="AM14" i="20"/>
  <c r="AG14" i="20"/>
  <c r="AH14" i="20"/>
  <c r="AB15" i="20"/>
  <c r="T15" i="20"/>
  <c r="V15" i="20"/>
  <c r="M12" i="20"/>
  <c r="AS16" i="20" l="1"/>
  <c r="AQ16" i="20"/>
  <c r="Z16" i="20"/>
  <c r="E16" i="20" s="1"/>
  <c r="U18" i="20"/>
  <c r="AT16" i="20"/>
  <c r="AN18" i="20"/>
  <c r="W18" i="20"/>
  <c r="X18" i="20"/>
  <c r="AR14" i="20"/>
  <c r="AP14" i="20"/>
  <c r="AK14" i="20"/>
  <c r="R14" i="20" s="1"/>
  <c r="T17" i="20"/>
  <c r="V17" i="20"/>
  <c r="AB17" i="20"/>
  <c r="AE15" i="20"/>
  <c r="AH15" i="20"/>
  <c r="AM15" i="20"/>
  <c r="AG15" i="20"/>
  <c r="AV16" i="20" l="1"/>
  <c r="H16" i="20" s="1"/>
  <c r="AS18" i="20"/>
  <c r="F16" i="20"/>
  <c r="G16" i="20" s="1"/>
  <c r="AT18" i="20"/>
  <c r="AQ18" i="20"/>
  <c r="Z18" i="20"/>
  <c r="AK15" i="20"/>
  <c r="X14" i="20"/>
  <c r="U14" i="20"/>
  <c r="AN14" i="20"/>
  <c r="W14" i="20"/>
  <c r="AR15" i="20"/>
  <c r="AP15" i="20"/>
  <c r="AB21" i="20"/>
  <c r="T21" i="20"/>
  <c r="V21" i="20"/>
  <c r="AH17" i="20"/>
  <c r="AE17" i="20"/>
  <c r="AM17" i="20"/>
  <c r="AG17" i="20"/>
  <c r="AV18" i="20" l="1"/>
  <c r="I16" i="20"/>
  <c r="E18" i="20"/>
  <c r="F18" i="20" s="1"/>
  <c r="I18" i="20" s="1"/>
  <c r="O18" i="20" s="1"/>
  <c r="R15" i="20"/>
  <c r="AK17" i="20"/>
  <c r="Z14" i="20"/>
  <c r="AT14" i="20"/>
  <c r="AQ14" i="20"/>
  <c r="AS14" i="20"/>
  <c r="AR17" i="20"/>
  <c r="AP17" i="20"/>
  <c r="T23" i="20"/>
  <c r="AB23" i="20"/>
  <c r="V23" i="20"/>
  <c r="AG21" i="20"/>
  <c r="AE21" i="20"/>
  <c r="AM21" i="20"/>
  <c r="AH21" i="20"/>
  <c r="AV14" i="20" l="1"/>
  <c r="J16" i="20"/>
  <c r="K16" i="20" s="1"/>
  <c r="M16" i="20" s="1"/>
  <c r="O16" i="20"/>
  <c r="H18" i="20"/>
  <c r="J18" i="20" s="1"/>
  <c r="X15" i="20"/>
  <c r="U15" i="20"/>
  <c r="E14" i="20"/>
  <c r="F14" i="20" s="1"/>
  <c r="I14" i="20" s="1"/>
  <c r="O14" i="20" s="1"/>
  <c r="G18" i="20"/>
  <c r="W15" i="20"/>
  <c r="AN15" i="20"/>
  <c r="R17" i="20"/>
  <c r="AK21" i="20"/>
  <c r="AR21" i="20"/>
  <c r="AP21" i="20"/>
  <c r="AH23" i="20"/>
  <c r="AG23" i="20"/>
  <c r="AM23" i="20"/>
  <c r="AE23" i="20"/>
  <c r="AS15" i="20" l="1"/>
  <c r="K18" i="20"/>
  <c r="M18" i="20" s="1"/>
  <c r="Z15" i="20"/>
  <c r="H14" i="20"/>
  <c r="J14" i="20" s="1"/>
  <c r="X17" i="20"/>
  <c r="AQ15" i="20"/>
  <c r="AT15" i="20"/>
  <c r="U17" i="20"/>
  <c r="AN17" i="20"/>
  <c r="R21" i="20"/>
  <c r="W17" i="20"/>
  <c r="G14" i="20"/>
  <c r="AK23" i="20"/>
  <c r="AP23" i="20"/>
  <c r="AR23" i="20"/>
  <c r="AV15" i="20" l="1"/>
  <c r="AS17" i="20"/>
  <c r="E15" i="20"/>
  <c r="F15" i="20" s="1"/>
  <c r="AN21" i="20"/>
  <c r="AT17" i="20"/>
  <c r="Z17" i="20"/>
  <c r="W21" i="20"/>
  <c r="U21" i="20"/>
  <c r="AQ17" i="20"/>
  <c r="X21" i="20"/>
  <c r="R23" i="20"/>
  <c r="K14" i="20"/>
  <c r="M14" i="20" s="1"/>
  <c r="V19" i="20"/>
  <c r="T19" i="20"/>
  <c r="AB19" i="20"/>
  <c r="AV17" i="20" l="1"/>
  <c r="AS21" i="20"/>
  <c r="AT21" i="20"/>
  <c r="I15" i="20"/>
  <c r="O15" i="20" s="1"/>
  <c r="G15" i="20"/>
  <c r="H15" i="20"/>
  <c r="AQ21" i="20"/>
  <c r="E17" i="20"/>
  <c r="F17" i="20" s="1"/>
  <c r="G17" i="20" s="1"/>
  <c r="AN23" i="20"/>
  <c r="Z21" i="20"/>
  <c r="X23" i="20"/>
  <c r="W23" i="20"/>
  <c r="U23" i="20"/>
  <c r="AG19" i="20"/>
  <c r="AE19" i="20"/>
  <c r="AM19" i="20"/>
  <c r="AH19" i="20"/>
  <c r="T22" i="20"/>
  <c r="AB22" i="20"/>
  <c r="V22" i="20"/>
  <c r="V20" i="20"/>
  <c r="T20" i="20"/>
  <c r="AB20" i="20"/>
  <c r="AV21" i="20" l="1"/>
  <c r="AT23" i="20"/>
  <c r="J15" i="20"/>
  <c r="K15" i="20" s="1"/>
  <c r="M15" i="20" s="1"/>
  <c r="AQ23" i="20"/>
  <c r="AS23" i="20"/>
  <c r="H17" i="20"/>
  <c r="I17" i="20"/>
  <c r="O17" i="20" s="1"/>
  <c r="E21" i="20"/>
  <c r="Z23" i="20"/>
  <c r="AK19" i="20"/>
  <c r="AR19" i="20"/>
  <c r="AP19" i="20"/>
  <c r="AE20" i="20"/>
  <c r="AH20" i="20"/>
  <c r="AG20" i="20"/>
  <c r="AM20" i="20"/>
  <c r="AB26" i="20"/>
  <c r="T26" i="20"/>
  <c r="V26" i="20"/>
  <c r="AG22" i="20"/>
  <c r="AM22" i="20"/>
  <c r="AE22" i="20"/>
  <c r="AH22" i="20"/>
  <c r="H21" i="20" l="1"/>
  <c r="AV23" i="20"/>
  <c r="F21" i="20"/>
  <c r="G21" i="20" s="1"/>
  <c r="J17" i="20"/>
  <c r="K17" i="20" s="1"/>
  <c r="M17" i="20" s="1"/>
  <c r="E23" i="20"/>
  <c r="F23" i="20" s="1"/>
  <c r="I23" i="20" s="1"/>
  <c r="O23" i="20" s="1"/>
  <c r="R19" i="20"/>
  <c r="AK20" i="20"/>
  <c r="AR22" i="20"/>
  <c r="AP22" i="20"/>
  <c r="T28" i="20"/>
  <c r="AB28" i="20"/>
  <c r="V28" i="20"/>
  <c r="AR20" i="20"/>
  <c r="AP20" i="20"/>
  <c r="AK22" i="20"/>
  <c r="R22" i="20" s="1"/>
  <c r="AG26" i="20"/>
  <c r="AM26" i="20"/>
  <c r="AH26" i="20"/>
  <c r="AE26" i="20"/>
  <c r="I21" i="20" l="1"/>
  <c r="H23" i="20"/>
  <c r="J23" i="20" s="1"/>
  <c r="X19" i="20"/>
  <c r="G23" i="20"/>
  <c r="W19" i="20"/>
  <c r="AN19" i="20"/>
  <c r="U19" i="20"/>
  <c r="R20" i="20"/>
  <c r="AK26" i="20"/>
  <c r="AH28" i="20"/>
  <c r="AG28" i="20"/>
  <c r="AE28" i="20"/>
  <c r="AM28" i="20"/>
  <c r="X22" i="20"/>
  <c r="AN22" i="20"/>
  <c r="U22" i="20"/>
  <c r="W22" i="20"/>
  <c r="AP26" i="20"/>
  <c r="AR26" i="20"/>
  <c r="AT19" i="20" l="1"/>
  <c r="J21" i="20"/>
  <c r="K21" i="20" s="1"/>
  <c r="M21" i="20" s="1"/>
  <c r="O21" i="20"/>
  <c r="AQ19" i="20"/>
  <c r="K23" i="20"/>
  <c r="M23" i="20" s="1"/>
  <c r="AS19" i="20"/>
  <c r="X20" i="20"/>
  <c r="Z19" i="20"/>
  <c r="U20" i="20"/>
  <c r="W20" i="20"/>
  <c r="AN20" i="20"/>
  <c r="R26" i="20"/>
  <c r="Z22" i="20"/>
  <c r="AK28" i="20"/>
  <c r="AT22" i="20"/>
  <c r="AQ22" i="20"/>
  <c r="AS22" i="20"/>
  <c r="AR28" i="20"/>
  <c r="AP28" i="20"/>
  <c r="AV19" i="20" l="1"/>
  <c r="AV22" i="20"/>
  <c r="AQ20" i="20"/>
  <c r="E19" i="20"/>
  <c r="F19" i="20" s="1"/>
  <c r="G19" i="20" s="1"/>
  <c r="X26" i="20"/>
  <c r="Z20" i="20"/>
  <c r="U26" i="20"/>
  <c r="AS20" i="20"/>
  <c r="AN26" i="20"/>
  <c r="W26" i="20"/>
  <c r="R28" i="20"/>
  <c r="AT20" i="20"/>
  <c r="E22" i="20"/>
  <c r="AB24" i="20"/>
  <c r="V24" i="20"/>
  <c r="T24" i="20"/>
  <c r="AV20" i="20" l="1"/>
  <c r="AS26" i="20"/>
  <c r="H19" i="20"/>
  <c r="F22" i="20"/>
  <c r="I22" i="20" s="1"/>
  <c r="O22" i="20" s="1"/>
  <c r="E20" i="20"/>
  <c r="Z26" i="20"/>
  <c r="W28" i="20"/>
  <c r="I19" i="20"/>
  <c r="O19" i="20" s="1"/>
  <c r="AQ26" i="20"/>
  <c r="AT26" i="20"/>
  <c r="U28" i="20"/>
  <c r="AN28" i="20"/>
  <c r="X28" i="20"/>
  <c r="H22" i="20"/>
  <c r="AG24" i="20"/>
  <c r="AH24" i="20"/>
  <c r="AM24" i="20"/>
  <c r="AE24" i="20"/>
  <c r="AB25" i="20"/>
  <c r="T25" i="20"/>
  <c r="V25" i="20"/>
  <c r="AV26" i="20" l="1"/>
  <c r="AS28" i="20"/>
  <c r="H20" i="20"/>
  <c r="G22" i="20"/>
  <c r="J19" i="20"/>
  <c r="K19" i="20" s="1"/>
  <c r="M19" i="20" s="1"/>
  <c r="J22" i="20"/>
  <c r="F20" i="20"/>
  <c r="I20" i="20" s="1"/>
  <c r="E26" i="20"/>
  <c r="F26" i="20" s="1"/>
  <c r="I26" i="20" s="1"/>
  <c r="O26" i="20" s="1"/>
  <c r="AQ28" i="20"/>
  <c r="AT28" i="20"/>
  <c r="Z28" i="20"/>
  <c r="AK24" i="20"/>
  <c r="R24" i="20" s="1"/>
  <c r="AP24" i="20"/>
  <c r="AR24" i="20"/>
  <c r="AM25" i="20"/>
  <c r="AH25" i="20"/>
  <c r="AE25" i="20"/>
  <c r="AG25" i="20"/>
  <c r="AB31" i="20"/>
  <c r="V31" i="20"/>
  <c r="T31" i="20"/>
  <c r="T27" i="20"/>
  <c r="AB27" i="20"/>
  <c r="V27" i="20"/>
  <c r="AV28" i="20" l="1"/>
  <c r="J20" i="20"/>
  <c r="O20" i="20"/>
  <c r="K22" i="20"/>
  <c r="M22" i="20" s="1"/>
  <c r="H26" i="20"/>
  <c r="J26" i="20" s="1"/>
  <c r="G26" i="20"/>
  <c r="G20" i="20"/>
  <c r="E28" i="20"/>
  <c r="F28" i="20" s="1"/>
  <c r="I28" i="20" s="1"/>
  <c r="O28" i="20" s="1"/>
  <c r="AK25" i="20"/>
  <c r="AN24" i="20"/>
  <c r="U24" i="20"/>
  <c r="X24" i="20"/>
  <c r="W24" i="20"/>
  <c r="T33" i="20"/>
  <c r="V33" i="20"/>
  <c r="AB33" i="20"/>
  <c r="AP25" i="20"/>
  <c r="AR25" i="20"/>
  <c r="AE27" i="20"/>
  <c r="AM27" i="20"/>
  <c r="AG27" i="20"/>
  <c r="AH27" i="20"/>
  <c r="AE31" i="20"/>
  <c r="AH31" i="20"/>
  <c r="AG31" i="20"/>
  <c r="AM31" i="20"/>
  <c r="K20" i="20" l="1"/>
  <c r="M20" i="20" s="1"/>
  <c r="K26" i="20"/>
  <c r="M26" i="20" s="1"/>
  <c r="H28" i="20"/>
  <c r="J28" i="20" s="1"/>
  <c r="G28" i="20"/>
  <c r="R25" i="20"/>
  <c r="AK27" i="20"/>
  <c r="AK31" i="20"/>
  <c r="Z24" i="20"/>
  <c r="AT24" i="20"/>
  <c r="AQ24" i="20"/>
  <c r="AS24" i="20"/>
  <c r="AR27" i="20"/>
  <c r="AP27" i="20"/>
  <c r="AG33" i="20"/>
  <c r="AH33" i="20"/>
  <c r="AE33" i="20"/>
  <c r="AM33" i="20"/>
  <c r="AP31" i="20"/>
  <c r="AR31" i="20"/>
  <c r="AV24" i="20" l="1"/>
  <c r="K28" i="20"/>
  <c r="M28" i="20" s="1"/>
  <c r="AN25" i="20"/>
  <c r="U25" i="20"/>
  <c r="W25" i="20"/>
  <c r="R27" i="20"/>
  <c r="R31" i="20"/>
  <c r="X25" i="20"/>
  <c r="E24" i="20"/>
  <c r="AK33" i="20"/>
  <c r="AR33" i="20"/>
  <c r="AP33" i="20"/>
  <c r="AS25" i="20" l="1"/>
  <c r="F24" i="20"/>
  <c r="G24" i="20" s="1"/>
  <c r="AT25" i="20"/>
  <c r="AQ25" i="20"/>
  <c r="AN27" i="20"/>
  <c r="AN31" i="20"/>
  <c r="Z25" i="20"/>
  <c r="W31" i="20"/>
  <c r="W27" i="20"/>
  <c r="U27" i="20"/>
  <c r="X27" i="20"/>
  <c r="R33" i="20"/>
  <c r="U31" i="20"/>
  <c r="X31" i="20"/>
  <c r="H24" i="20"/>
  <c r="AV25" i="20" l="1"/>
  <c r="AS31" i="20"/>
  <c r="AS27" i="20"/>
  <c r="AT31" i="20"/>
  <c r="AT27" i="20"/>
  <c r="I24" i="20"/>
  <c r="AQ27" i="20"/>
  <c r="W33" i="20"/>
  <c r="AQ31" i="20"/>
  <c r="E25" i="20"/>
  <c r="F25" i="20" s="1"/>
  <c r="G25" i="20" s="1"/>
  <c r="AN33" i="20"/>
  <c r="Z31" i="20"/>
  <c r="U33" i="20"/>
  <c r="Z27" i="20"/>
  <c r="X33" i="20"/>
  <c r="T30" i="20"/>
  <c r="V30" i="20"/>
  <c r="AB30" i="20"/>
  <c r="AV27" i="20" l="1"/>
  <c r="AV31" i="20"/>
  <c r="AQ33" i="20"/>
  <c r="J24" i="20"/>
  <c r="K24" i="20" s="1"/>
  <c r="M24" i="20" s="1"/>
  <c r="O24" i="20"/>
  <c r="H25" i="20"/>
  <c r="AS33" i="20"/>
  <c r="E31" i="20"/>
  <c r="E27" i="20"/>
  <c r="AT33" i="20"/>
  <c r="Z33" i="20"/>
  <c r="I25" i="20"/>
  <c r="O25" i="20" s="1"/>
  <c r="T29" i="20"/>
  <c r="AB29" i="20"/>
  <c r="V29" i="20"/>
  <c r="AE30" i="20"/>
  <c r="AG30" i="20"/>
  <c r="AM30" i="20"/>
  <c r="AH30" i="20"/>
  <c r="T32" i="20"/>
  <c r="AB32" i="20"/>
  <c r="V32" i="20"/>
  <c r="AV33" i="20" l="1"/>
  <c r="H31" i="20"/>
  <c r="H27" i="20"/>
  <c r="J25" i="20"/>
  <c r="K25" i="20" s="1"/>
  <c r="M25" i="20" s="1"/>
  <c r="F27" i="20"/>
  <c r="I27" i="20" s="1"/>
  <c r="O27" i="20" s="1"/>
  <c r="F31" i="20"/>
  <c r="G31" i="20" s="1"/>
  <c r="E33" i="20"/>
  <c r="F33" i="20" s="1"/>
  <c r="G33" i="20" s="1"/>
  <c r="AK30" i="20"/>
  <c r="AH29" i="20"/>
  <c r="AE29" i="20"/>
  <c r="AM29" i="20"/>
  <c r="AG29" i="20"/>
  <c r="V36" i="20"/>
  <c r="T36" i="20"/>
  <c r="AB36" i="20"/>
  <c r="V38" i="20"/>
  <c r="T38" i="20"/>
  <c r="AB38" i="20"/>
  <c r="AE32" i="20"/>
  <c r="AH32" i="20"/>
  <c r="AG32" i="20"/>
  <c r="AM32" i="20"/>
  <c r="AR30" i="20"/>
  <c r="AP30" i="20"/>
  <c r="J27" i="20" l="1"/>
  <c r="I31" i="20"/>
  <c r="G27" i="20"/>
  <c r="H33" i="20"/>
  <c r="I33" i="20"/>
  <c r="O33" i="20" s="1"/>
  <c r="R30" i="20"/>
  <c r="AK32" i="20"/>
  <c r="AR29" i="20"/>
  <c r="AP29" i="20"/>
  <c r="AK29" i="20"/>
  <c r="R29" i="20" s="1"/>
  <c r="AR32" i="20"/>
  <c r="AP32" i="20"/>
  <c r="AG38" i="20"/>
  <c r="AH38" i="20"/>
  <c r="AM38" i="20"/>
  <c r="AE38" i="20"/>
  <c r="AE36" i="20"/>
  <c r="AM36" i="20"/>
  <c r="AG36" i="20"/>
  <c r="AH36" i="20"/>
  <c r="J31" i="20" l="1"/>
  <c r="K31" i="20" s="1"/>
  <c r="M31" i="20" s="1"/>
  <c r="O31" i="20"/>
  <c r="K27" i="20"/>
  <c r="M27" i="20" s="1"/>
  <c r="J33" i="20"/>
  <c r="K33" i="20" s="1"/>
  <c r="M33" i="20" s="1"/>
  <c r="X30" i="20"/>
  <c r="W30" i="20"/>
  <c r="R32" i="20"/>
  <c r="U30" i="20"/>
  <c r="AN30" i="20"/>
  <c r="AK38" i="20"/>
  <c r="AK36" i="20"/>
  <c r="U29" i="20"/>
  <c r="X29" i="20"/>
  <c r="AN29" i="20"/>
  <c r="W29" i="20"/>
  <c r="AR36" i="20"/>
  <c r="AP36" i="20"/>
  <c r="AP38" i="20"/>
  <c r="AR38" i="20"/>
  <c r="AS30" i="20" l="1"/>
  <c r="Z30" i="20"/>
  <c r="E30" i="20" s="1"/>
  <c r="F30" i="20" s="1"/>
  <c r="I30" i="20" s="1"/>
  <c r="O30" i="20" s="1"/>
  <c r="AN32" i="20"/>
  <c r="X32" i="20"/>
  <c r="U32" i="20"/>
  <c r="R36" i="20"/>
  <c r="R38" i="20"/>
  <c r="AQ30" i="20"/>
  <c r="W32" i="20"/>
  <c r="AT30" i="20"/>
  <c r="Z29" i="20"/>
  <c r="AQ29" i="20"/>
  <c r="AT29" i="20"/>
  <c r="AS29" i="20"/>
  <c r="AV29" i="20" l="1"/>
  <c r="AV30" i="20"/>
  <c r="H30" i="20" s="1"/>
  <c r="J30" i="20" s="1"/>
  <c r="AS32" i="20"/>
  <c r="AQ32" i="20"/>
  <c r="AT32" i="20"/>
  <c r="U38" i="20"/>
  <c r="W36" i="20"/>
  <c r="U36" i="20"/>
  <c r="AN36" i="20"/>
  <c r="Z32" i="20"/>
  <c r="X36" i="20"/>
  <c r="AN38" i="20"/>
  <c r="W38" i="20"/>
  <c r="X38" i="20"/>
  <c r="G30" i="20"/>
  <c r="E29" i="20"/>
  <c r="AB35" i="20"/>
  <c r="T35" i="20"/>
  <c r="V35" i="20"/>
  <c r="AV32" i="20" l="1"/>
  <c r="AS38" i="20"/>
  <c r="AS36" i="20"/>
  <c r="AQ36" i="20"/>
  <c r="F29" i="20"/>
  <c r="G29" i="20" s="1"/>
  <c r="E32" i="20"/>
  <c r="F32" i="20" s="1"/>
  <c r="G32" i="20" s="1"/>
  <c r="AT36" i="20"/>
  <c r="Z36" i="20"/>
  <c r="AT38" i="20"/>
  <c r="AQ38" i="20"/>
  <c r="Z38" i="20"/>
  <c r="K30" i="20"/>
  <c r="M30" i="20" s="1"/>
  <c r="H29" i="20"/>
  <c r="AM35" i="20"/>
  <c r="AG35" i="20"/>
  <c r="AE35" i="20"/>
  <c r="AH35" i="20"/>
  <c r="AB37" i="20"/>
  <c r="T37" i="20"/>
  <c r="V37" i="20"/>
  <c r="AV38" i="20" l="1"/>
  <c r="AV36" i="20"/>
  <c r="H32" i="20"/>
  <c r="I29" i="20"/>
  <c r="E36" i="20"/>
  <c r="E38" i="20"/>
  <c r="F38" i="20" s="1"/>
  <c r="I38" i="20" s="1"/>
  <c r="O38" i="20" s="1"/>
  <c r="I32" i="20"/>
  <c r="O32" i="20" s="1"/>
  <c r="AK35" i="20"/>
  <c r="T34" i="20"/>
  <c r="V34" i="20"/>
  <c r="AB34" i="20"/>
  <c r="AB41" i="20"/>
  <c r="V41" i="20"/>
  <c r="T41" i="20"/>
  <c r="AP35" i="20"/>
  <c r="AR35" i="20"/>
  <c r="AM37" i="20"/>
  <c r="AG37" i="20"/>
  <c r="AH37" i="20"/>
  <c r="AE37" i="20"/>
  <c r="H36" i="20" l="1"/>
  <c r="J29" i="20"/>
  <c r="K29" i="20" s="1"/>
  <c r="M29" i="20" s="1"/>
  <c r="O29" i="20"/>
  <c r="F36" i="20"/>
  <c r="G36" i="20" s="1"/>
  <c r="J32" i="20"/>
  <c r="K32" i="20" s="1"/>
  <c r="M32" i="20" s="1"/>
  <c r="H38" i="20"/>
  <c r="J38" i="20" s="1"/>
  <c r="G38" i="20"/>
  <c r="R35" i="20"/>
  <c r="AK37" i="20"/>
  <c r="AE34" i="20"/>
  <c r="AH34" i="20"/>
  <c r="AG34" i="20"/>
  <c r="AM34" i="20"/>
  <c r="V43" i="20"/>
  <c r="AB43" i="20"/>
  <c r="T43" i="20"/>
  <c r="AP37" i="20"/>
  <c r="AR37" i="20"/>
  <c r="AM41" i="20"/>
  <c r="AG41" i="20"/>
  <c r="AE41" i="20"/>
  <c r="AH41" i="20"/>
  <c r="I36" i="20" l="1"/>
  <c r="W35" i="20"/>
  <c r="K38" i="20"/>
  <c r="M38" i="20" s="1"/>
  <c r="R37" i="20"/>
  <c r="U35" i="20"/>
  <c r="AN35" i="20"/>
  <c r="X35" i="20"/>
  <c r="AK34" i="20"/>
  <c r="AK41" i="20"/>
  <c r="AP34" i="20"/>
  <c r="AR34" i="20"/>
  <c r="AE43" i="20"/>
  <c r="AH43" i="20"/>
  <c r="AM43" i="20"/>
  <c r="AG43" i="20"/>
  <c r="AP41" i="20"/>
  <c r="AR41" i="20"/>
  <c r="AT35" i="20" l="1"/>
  <c r="J36" i="20"/>
  <c r="K36" i="20" s="1"/>
  <c r="M36" i="20" s="1"/>
  <c r="O36" i="20"/>
  <c r="X37" i="20"/>
  <c r="Z35" i="20"/>
  <c r="U37" i="20"/>
  <c r="AN37" i="20"/>
  <c r="R34" i="20"/>
  <c r="AS35" i="20"/>
  <c r="AQ35" i="20"/>
  <c r="R41" i="20"/>
  <c r="W37" i="20"/>
  <c r="AK43" i="20"/>
  <c r="AR43" i="20"/>
  <c r="AP43" i="20"/>
  <c r="AV35" i="20" l="1"/>
  <c r="AS37" i="20"/>
  <c r="E35" i="20"/>
  <c r="F35" i="20" s="1"/>
  <c r="G35" i="20" s="1"/>
  <c r="Z37" i="20"/>
  <c r="U34" i="20"/>
  <c r="AN41" i="20"/>
  <c r="W41" i="20"/>
  <c r="U41" i="20"/>
  <c r="AQ37" i="20"/>
  <c r="AT37" i="20"/>
  <c r="W34" i="20"/>
  <c r="AN34" i="20"/>
  <c r="X34" i="20"/>
  <c r="R43" i="20"/>
  <c r="X41" i="20"/>
  <c r="AB40" i="20"/>
  <c r="V40" i="20"/>
  <c r="T40" i="20"/>
  <c r="AV37" i="20" l="1"/>
  <c r="AS34" i="20"/>
  <c r="AQ41" i="20"/>
  <c r="I35" i="20"/>
  <c r="O35" i="20" s="1"/>
  <c r="H35" i="20"/>
  <c r="E37" i="20"/>
  <c r="F37" i="20" s="1"/>
  <c r="I37" i="20" s="1"/>
  <c r="O37" i="20" s="1"/>
  <c r="AT41" i="20"/>
  <c r="AS41" i="20"/>
  <c r="X43" i="20"/>
  <c r="AQ34" i="20"/>
  <c r="U43" i="20"/>
  <c r="AT34" i="20"/>
  <c r="Z41" i="20"/>
  <c r="W43" i="20"/>
  <c r="AN43" i="20"/>
  <c r="Z34" i="20"/>
  <c r="AM40" i="20"/>
  <c r="AE40" i="20"/>
  <c r="AH40" i="20"/>
  <c r="AG40" i="20"/>
  <c r="AB42" i="20"/>
  <c r="V42" i="20"/>
  <c r="T42" i="20"/>
  <c r="AV34" i="20" l="1"/>
  <c r="AV41" i="20"/>
  <c r="AS43" i="20"/>
  <c r="H37" i="20"/>
  <c r="J37" i="20" s="1"/>
  <c r="J35" i="20"/>
  <c r="K35" i="20" s="1"/>
  <c r="M35" i="20" s="1"/>
  <c r="G37" i="20"/>
  <c r="E34" i="20"/>
  <c r="F34" i="20" s="1"/>
  <c r="G34" i="20" s="1"/>
  <c r="E41" i="20"/>
  <c r="F41" i="20" s="1"/>
  <c r="I41" i="20" s="1"/>
  <c r="O41" i="20" s="1"/>
  <c r="AQ43" i="20"/>
  <c r="AT43" i="20"/>
  <c r="Z43" i="20"/>
  <c r="AK40" i="20"/>
  <c r="V39" i="20"/>
  <c r="AB39" i="20"/>
  <c r="T39" i="20"/>
  <c r="AB46" i="20"/>
  <c r="V46" i="20"/>
  <c r="T46" i="20"/>
  <c r="AH42" i="20"/>
  <c r="AE42" i="20"/>
  <c r="AM42" i="20"/>
  <c r="AG42" i="20"/>
  <c r="AP40" i="20"/>
  <c r="AR40" i="20"/>
  <c r="AV43" i="20" l="1"/>
  <c r="H34" i="20"/>
  <c r="K37" i="20"/>
  <c r="M37" i="20" s="1"/>
  <c r="H41" i="20"/>
  <c r="J41" i="20" s="1"/>
  <c r="I34" i="20"/>
  <c r="O34" i="20" s="1"/>
  <c r="E43" i="20"/>
  <c r="F43" i="20" s="1"/>
  <c r="G43" i="20" s="1"/>
  <c r="G41" i="20"/>
  <c r="R40" i="20"/>
  <c r="AK42" i="20"/>
  <c r="AE39" i="20"/>
  <c r="AH39" i="20"/>
  <c r="AM39" i="20"/>
  <c r="AG39" i="20"/>
  <c r="AH46" i="20"/>
  <c r="AG46" i="20"/>
  <c r="AM46" i="20"/>
  <c r="AE46" i="20"/>
  <c r="AR42" i="20"/>
  <c r="AP42" i="20"/>
  <c r="J34" i="20" l="1"/>
  <c r="K34" i="20" s="1"/>
  <c r="M34" i="20" s="1"/>
  <c r="H43" i="20"/>
  <c r="I43" i="20"/>
  <c r="O43" i="20" s="1"/>
  <c r="AN40" i="20"/>
  <c r="K41" i="20"/>
  <c r="M41" i="20" s="1"/>
  <c r="W40" i="20"/>
  <c r="U40" i="20"/>
  <c r="R42" i="20"/>
  <c r="X40" i="20"/>
  <c r="AK46" i="20"/>
  <c r="AR39" i="20"/>
  <c r="AP39" i="20"/>
  <c r="AK39" i="20"/>
  <c r="R39" i="20" s="1"/>
  <c r="AR46" i="20"/>
  <c r="AP46" i="20"/>
  <c r="AT40" i="20" l="1"/>
  <c r="AS40" i="20"/>
  <c r="AQ40" i="20"/>
  <c r="J43" i="20"/>
  <c r="K43" i="20" s="1"/>
  <c r="M43" i="20" s="1"/>
  <c r="W42" i="20"/>
  <c r="Z40" i="20"/>
  <c r="U42" i="20"/>
  <c r="X42" i="20"/>
  <c r="AN42" i="20"/>
  <c r="R46" i="20"/>
  <c r="AN39" i="20"/>
  <c r="X39" i="20"/>
  <c r="U39" i="20"/>
  <c r="W39" i="20"/>
  <c r="AV40" i="20" l="1"/>
  <c r="AS42" i="20"/>
  <c r="W46" i="20"/>
  <c r="E40" i="20"/>
  <c r="F40" i="20" s="1"/>
  <c r="I40" i="20" s="1"/>
  <c r="O40" i="20" s="1"/>
  <c r="Z42" i="20"/>
  <c r="AQ42" i="20"/>
  <c r="U46" i="20"/>
  <c r="AT42" i="20"/>
  <c r="AN46" i="20"/>
  <c r="X46" i="20"/>
  <c r="Z39" i="20"/>
  <c r="AQ39" i="20"/>
  <c r="AT39" i="20"/>
  <c r="AS39" i="20"/>
  <c r="V45" i="20"/>
  <c r="AB45" i="20"/>
  <c r="T45" i="20"/>
  <c r="AV39" i="20" l="1"/>
  <c r="AV42" i="20"/>
  <c r="H40" i="20"/>
  <c r="J40" i="20" s="1"/>
  <c r="Z46" i="20"/>
  <c r="E42" i="20"/>
  <c r="F42" i="20" s="1"/>
  <c r="G42" i="20" s="1"/>
  <c r="AS46" i="20"/>
  <c r="AT46" i="20"/>
  <c r="AQ46" i="20"/>
  <c r="G40" i="20"/>
  <c r="E39" i="20"/>
  <c r="F39" i="20" s="1"/>
  <c r="AH45" i="20"/>
  <c r="AM45" i="20"/>
  <c r="AE45" i="20"/>
  <c r="AG45" i="20"/>
  <c r="AV46" i="20" l="1"/>
  <c r="H42" i="20"/>
  <c r="G39" i="20"/>
  <c r="E46" i="20"/>
  <c r="F46" i="20" s="1"/>
  <c r="I46" i="20" s="1"/>
  <c r="O46" i="20" s="1"/>
  <c r="K40" i="20"/>
  <c r="M40" i="20" s="1"/>
  <c r="I42" i="20"/>
  <c r="I39" i="20"/>
  <c r="O39" i="20" s="1"/>
  <c r="H39" i="20"/>
  <c r="AK45" i="20"/>
  <c r="R45" i="20" s="1"/>
  <c r="AP45" i="20"/>
  <c r="AR45" i="20"/>
  <c r="J42" i="20" l="1"/>
  <c r="K42" i="20" s="1"/>
  <c r="M42" i="20" s="1"/>
  <c r="O42" i="20"/>
  <c r="H46" i="20"/>
  <c r="J46" i="20" s="1"/>
  <c r="G46" i="20"/>
  <c r="J39" i="20"/>
  <c r="K39" i="20" s="1"/>
  <c r="M39" i="20" s="1"/>
  <c r="W45" i="20"/>
  <c r="U45" i="20"/>
  <c r="AN45" i="20"/>
  <c r="X45" i="20"/>
  <c r="T44" i="20"/>
  <c r="AB44" i="20"/>
  <c r="V44" i="20"/>
  <c r="AS45" i="20" l="1"/>
  <c r="K46" i="20"/>
  <c r="M46" i="20" s="1"/>
  <c r="Z45" i="20"/>
  <c r="AT45" i="20"/>
  <c r="AQ45" i="20"/>
  <c r="AE44" i="20"/>
  <c r="AG44" i="20"/>
  <c r="AM44" i="20"/>
  <c r="AH44" i="20"/>
  <c r="AV45" i="20" l="1"/>
  <c r="E45" i="20"/>
  <c r="F45" i="20" s="1"/>
  <c r="AR44" i="20"/>
  <c r="AP44" i="20"/>
  <c r="AK44" i="20"/>
  <c r="R44" i="20" s="1"/>
  <c r="I45" i="20" l="1"/>
  <c r="O45" i="20" s="1"/>
  <c r="H45" i="20"/>
  <c r="G45" i="20"/>
  <c r="U44" i="20"/>
  <c r="X44" i="20"/>
  <c r="AN44" i="20"/>
  <c r="W44" i="20"/>
  <c r="J45" i="20" l="1"/>
  <c r="K45" i="20" s="1"/>
  <c r="M45" i="20" s="1"/>
  <c r="AT44" i="20"/>
  <c r="AQ44" i="20"/>
  <c r="AS44" i="20"/>
  <c r="Z44" i="20"/>
  <c r="AV44" i="20" l="1"/>
  <c r="E44" i="20"/>
  <c r="F44" i="20" s="1"/>
  <c r="I44" i="20" l="1"/>
  <c r="O44" i="20" s="1"/>
  <c r="O47" i="20" s="1"/>
  <c r="G44" i="20"/>
  <c r="G48" i="20" s="1"/>
  <c r="H44" i="20"/>
  <c r="G49" i="20" l="1"/>
  <c r="M5" i="21" s="1"/>
  <c r="J44" i="20"/>
  <c r="K44" i="20" s="1"/>
  <c r="M44" i="20" s="1"/>
  <c r="M47" i="20" s="1"/>
  <c r="L48" i="20" s="1"/>
  <c r="M4" i="21" s="1"/>
  <c r="B29" i="53" s="1"/>
  <c r="D42" i="53" l="1"/>
  <c r="D35" i="53"/>
  <c r="D31" i="53"/>
  <c r="D33" i="53"/>
  <c r="D32" i="53"/>
  <c r="D40" i="53"/>
  <c r="D36" i="53"/>
  <c r="D39" i="53"/>
  <c r="D38" i="53"/>
  <c r="D37" i="53"/>
  <c r="D34" i="53"/>
  <c r="D41" i="53"/>
  <c r="M3" i="21"/>
  <c r="C13" i="54" l="1"/>
  <c r="I13" i="54" s="1"/>
  <c r="B23" i="53"/>
  <c r="C41" i="53"/>
  <c r="C34" i="53"/>
  <c r="B16" i="53"/>
  <c r="B21" i="53"/>
  <c r="C39" i="53"/>
  <c r="D43" i="53"/>
  <c r="B13" i="53"/>
  <c r="C31" i="53"/>
  <c r="B19" i="53"/>
  <c r="C37" i="53"/>
  <c r="C40" i="53"/>
  <c r="B22" i="53"/>
  <c r="C35" i="53"/>
  <c r="B17" i="53"/>
  <c r="F17" i="53" s="1"/>
  <c r="K17" i="53" s="1"/>
  <c r="B15" i="53"/>
  <c r="I15" i="53" s="1"/>
  <c r="L15" i="53" s="1"/>
  <c r="O15" i="53" s="1"/>
  <c r="C33" i="53"/>
  <c r="C36" i="53"/>
  <c r="B18" i="53"/>
  <c r="I18" i="53" s="1"/>
  <c r="L18" i="53" s="1"/>
  <c r="O18" i="53" s="1"/>
  <c r="B20" i="53"/>
  <c r="C38" i="53"/>
  <c r="B14" i="53"/>
  <c r="I14" i="53" s="1"/>
  <c r="L14" i="53" s="1"/>
  <c r="O14" i="53" s="1"/>
  <c r="C32" i="53"/>
  <c r="B24" i="53"/>
  <c r="I24" i="53" s="1"/>
  <c r="L24" i="53" s="1"/>
  <c r="O24" i="53" s="1"/>
  <c r="C42" i="53"/>
  <c r="A17" i="54" l="1"/>
  <c r="A33" i="54"/>
  <c r="A31" i="54" s="1"/>
  <c r="I21" i="54"/>
  <c r="A34" i="54" s="1"/>
  <c r="I13" i="53"/>
  <c r="L13" i="53" s="1"/>
  <c r="O13" i="53" s="1"/>
  <c r="F13" i="53"/>
  <c r="K13" i="53" s="1"/>
  <c r="F20" i="53"/>
  <c r="I20" i="53"/>
  <c r="F16" i="53"/>
  <c r="K16" i="53" s="1"/>
  <c r="I16" i="53"/>
  <c r="I17" i="53"/>
  <c r="L17" i="53" s="1"/>
  <c r="O17" i="53" s="1"/>
  <c r="F19" i="53"/>
  <c r="I19" i="53"/>
  <c r="F22" i="53"/>
  <c r="K22" i="53" s="1"/>
  <c r="I22" i="53"/>
  <c r="F21" i="53"/>
  <c r="K21" i="53" s="1"/>
  <c r="I21" i="53"/>
  <c r="F23" i="53"/>
  <c r="K23" i="53" s="1"/>
  <c r="I23" i="53"/>
  <c r="H17" i="53"/>
  <c r="G17" i="53"/>
  <c r="F24" i="53"/>
  <c r="K24" i="53" s="1"/>
  <c r="F18" i="53"/>
  <c r="K18" i="53" s="1"/>
  <c r="F14" i="53"/>
  <c r="K14" i="53" s="1"/>
  <c r="F15" i="53"/>
  <c r="K15" i="53" s="1"/>
  <c r="P14" i="53"/>
  <c r="P24" i="53"/>
  <c r="P15" i="53"/>
  <c r="P18" i="53"/>
  <c r="B25" i="53"/>
  <c r="C43" i="53"/>
  <c r="B47" i="53" s="1"/>
  <c r="L21" i="53" l="1"/>
  <c r="O21" i="53" s="1"/>
  <c r="P21" i="53" s="1"/>
  <c r="L19" i="53"/>
  <c r="O19" i="53" s="1"/>
  <c r="P19" i="53" s="1"/>
  <c r="H19" i="53"/>
  <c r="K19" i="53"/>
  <c r="L20" i="53"/>
  <c r="O20" i="53" s="1"/>
  <c r="P20" i="53" s="1"/>
  <c r="L22" i="53"/>
  <c r="O22" i="53" s="1"/>
  <c r="P22" i="53" s="1"/>
  <c r="H20" i="53"/>
  <c r="K20" i="53"/>
  <c r="L23" i="53"/>
  <c r="O23" i="53" s="1"/>
  <c r="P23" i="53" s="1"/>
  <c r="L16" i="53"/>
  <c r="O16" i="53" s="1"/>
  <c r="P16" i="53" s="1"/>
  <c r="G20" i="53"/>
  <c r="G19" i="53"/>
  <c r="H23" i="53"/>
  <c r="H22" i="53"/>
  <c r="G21" i="53"/>
  <c r="G16" i="53"/>
  <c r="G22" i="53"/>
  <c r="G23" i="53"/>
  <c r="H21" i="53"/>
  <c r="H16" i="53"/>
  <c r="G13" i="53"/>
  <c r="P13" i="53"/>
  <c r="H24" i="53"/>
  <c r="G24" i="53"/>
  <c r="H15" i="53"/>
  <c r="G15" i="53"/>
  <c r="H14" i="53"/>
  <c r="G14" i="53"/>
  <c r="H18" i="53"/>
  <c r="G18" i="53"/>
  <c r="F25" i="53"/>
  <c r="B48" i="53" s="1"/>
  <c r="H13" i="53"/>
  <c r="H25" i="53" l="1"/>
  <c r="B49" i="53" s="1"/>
  <c r="B50" i="53" s="1"/>
  <c r="C49" i="53" s="1"/>
  <c r="P17" i="53"/>
  <c r="P25" i="53" s="1"/>
  <c r="G25" i="53"/>
  <c r="C48" i="53" l="1"/>
  <c r="C46" i="53"/>
  <c r="C47" i="53"/>
  <c r="C50" i="5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Bláhová</author>
  </authors>
  <commentList>
    <comment ref="H1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Andrea Bláhová:</t>
        </r>
        <r>
          <rPr>
            <sz val="9"/>
            <color indexed="81"/>
            <rFont val="Tahoma"/>
            <charset val="1"/>
          </rPr>
          <t xml:space="preserve">
původní vzorec: =KDYŽ(B12=1;U30;KDYŽ(B12=3;U32;"")) </t>
        </r>
      </text>
    </comment>
    <comment ref="H17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38"/>
          </rPr>
          <t>Andrea Bláhová:</t>
        </r>
        <r>
          <rPr>
            <sz val="9"/>
            <color indexed="81"/>
            <rFont val="Tahoma"/>
            <family val="2"/>
            <charset val="238"/>
          </rPr>
          <t xml:space="preserve">
u plynového kotle včetně paušálních plateb za plyn</t>
        </r>
      </text>
    </comment>
    <comment ref="L17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Andrea Bláhová:</t>
        </r>
        <r>
          <rPr>
            <sz val="9"/>
            <color indexed="81"/>
            <rFont val="Tahoma"/>
            <family val="2"/>
            <charset val="238"/>
          </rPr>
          <t xml:space="preserve">
při blokaci TČ ve vysokém tarifu</t>
        </r>
      </text>
    </comment>
  </commentList>
</comments>
</file>

<file path=xl/sharedStrings.xml><?xml version="1.0" encoding="utf-8"?>
<sst xmlns="http://schemas.openxmlformats.org/spreadsheetml/2006/main" count="2290" uniqueCount="274">
  <si>
    <t>P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</si>
  <si>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</si>
  <si>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</si>
  <si>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</si>
  <si>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</si>
  <si>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</si>
  <si>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</si>
  <si>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</si>
  <si>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</si>
  <si>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</si>
  <si>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</si>
  <si>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Vstup do výparníku [°C]</t>
  </si>
  <si>
    <t>Výstup z kondenzátoru [°C]</t>
  </si>
  <si>
    <t>Otáčky [1/s]</t>
  </si>
  <si>
    <t>příkon [kW]</t>
  </si>
  <si>
    <t>Přesnost náhrady</t>
  </si>
  <si>
    <t>n [s-1]</t>
  </si>
  <si>
    <t>te</t>
  </si>
  <si>
    <t>tk</t>
  </si>
  <si>
    <t>te^2</t>
  </si>
  <si>
    <t>te.tk</t>
  </si>
  <si>
    <t>te.P</t>
  </si>
  <si>
    <t>tk^2</t>
  </si>
  <si>
    <t>tk.P</t>
  </si>
  <si>
    <t>P^2</t>
  </si>
  <si>
    <t>VÝKON [kW]</t>
  </si>
  <si>
    <t>VÝKON</t>
  </si>
  <si>
    <t>PŘÍKON</t>
  </si>
  <si>
    <t>OTÁČKY</t>
  </si>
  <si>
    <t>EcoAir 408</t>
  </si>
  <si>
    <t>EcoAir 406</t>
  </si>
  <si>
    <t>EcoAir 410</t>
  </si>
  <si>
    <t>EcoAir 415</t>
  </si>
  <si>
    <t>EcoAir 420</t>
  </si>
  <si>
    <t>EcoAir 614M</t>
  </si>
  <si>
    <t>EcoAir 622M</t>
  </si>
  <si>
    <t>EcoAir 510M</t>
  </si>
  <si>
    <t>EcoAir 520M</t>
  </si>
  <si>
    <t>kW</t>
  </si>
  <si>
    <t>Teplotní spád</t>
  </si>
  <si>
    <t>°C</t>
  </si>
  <si>
    <t>/</t>
  </si>
  <si>
    <t>Tepelné čerpadlo</t>
  </si>
  <si>
    <t>τ</t>
  </si>
  <si>
    <t>Elektrický dohřev</t>
  </si>
  <si>
    <t>Celková potřeba tepla</t>
  </si>
  <si>
    <t>Celková spotřeba el.</t>
  </si>
  <si>
    <t>[°C]</t>
  </si>
  <si>
    <t>[h/rok]</t>
  </si>
  <si>
    <t>[kW]</t>
  </si>
  <si>
    <t>[-]</t>
  </si>
  <si>
    <t>[kWh]</t>
  </si>
  <si>
    <t>Celkem</t>
  </si>
  <si>
    <r>
      <t>Výpočtová t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</si>
  <si>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t>Celk el. příkon</t>
  </si>
  <si>
    <r>
      <t>SCOP</t>
    </r>
    <r>
      <rPr>
        <vertAlign val="subscript"/>
        <sz val="11"/>
        <color theme="1"/>
        <rFont val="Calibri"/>
        <family val="2"/>
        <charset val="238"/>
        <scheme val="minor"/>
      </rPr>
      <t>ON</t>
    </r>
  </si>
  <si>
    <r>
      <t>t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</si>
  <si>
    <r>
      <t>Q</t>
    </r>
    <r>
      <rPr>
        <b/>
        <vertAlign val="subscript"/>
        <sz val="11"/>
        <color theme="1"/>
        <rFont val="Calibri"/>
        <family val="2"/>
        <charset val="238"/>
        <scheme val="minor"/>
      </rPr>
      <t>pož</t>
    </r>
  </si>
  <si>
    <t>Výkon</t>
  </si>
  <si>
    <t>Otáčky</t>
  </si>
  <si>
    <t>Příkon</t>
  </si>
  <si>
    <r>
      <t>Q</t>
    </r>
    <r>
      <rPr>
        <b/>
        <vertAlign val="subscript"/>
        <sz val="11"/>
        <color theme="1"/>
        <rFont val="Calibri"/>
        <family val="2"/>
        <charset val="238"/>
        <scheme val="minor"/>
      </rPr>
      <t>kon max</t>
    </r>
  </si>
  <si>
    <t>Výkon [kW]</t>
  </si>
  <si>
    <t>výkon [kW]</t>
  </si>
  <si>
    <r>
      <t>Q</t>
    </r>
    <r>
      <rPr>
        <b/>
        <vertAlign val="subscript"/>
        <sz val="11"/>
        <rFont val="Calibri"/>
        <family val="2"/>
        <charset val="238"/>
        <scheme val="minor"/>
      </rPr>
      <t>kon</t>
    </r>
  </si>
  <si>
    <r>
      <t>COP</t>
    </r>
    <r>
      <rPr>
        <b/>
        <vertAlign val="subscript"/>
        <sz val="11"/>
        <rFont val="Calibri"/>
        <family val="2"/>
        <charset val="238"/>
        <scheme val="minor"/>
      </rPr>
      <t xml:space="preserve"> dc</t>
    </r>
  </si>
  <si>
    <r>
      <t>C</t>
    </r>
    <r>
      <rPr>
        <b/>
        <vertAlign val="subscript"/>
        <sz val="11"/>
        <rFont val="Calibri"/>
        <family val="2"/>
        <charset val="238"/>
        <scheme val="minor"/>
      </rPr>
      <t>R</t>
    </r>
  </si>
  <si>
    <r>
      <t>COP</t>
    </r>
    <r>
      <rPr>
        <b/>
        <vertAlign val="subscript"/>
        <sz val="11"/>
        <rFont val="Calibri"/>
        <family val="2"/>
        <charset val="238"/>
        <scheme val="minor"/>
      </rPr>
      <t xml:space="preserve"> pr</t>
    </r>
  </si>
  <si>
    <r>
      <t>C</t>
    </r>
    <r>
      <rPr>
        <b/>
        <vertAlign val="subscript"/>
        <sz val="11"/>
        <color theme="1"/>
        <rFont val="Calibri"/>
        <family val="2"/>
        <charset val="238"/>
        <scheme val="minor"/>
      </rPr>
      <t>z</t>
    </r>
  </si>
  <si>
    <t>Max teplota otopné vody</t>
  </si>
  <si>
    <t>Data z listu Zadání:</t>
  </si>
  <si>
    <t>Tepelná ztráta budovy</t>
  </si>
  <si>
    <r>
      <t>Venkovní výpočtová teplota t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</si>
  <si>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t>Teplotní spád soustavy</t>
  </si>
  <si>
    <t>SCOP:</t>
  </si>
  <si>
    <t>Celková potřeba tepla:</t>
  </si>
  <si>
    <t>kWh</t>
  </si>
  <si>
    <t>ČSN 73 0331</t>
  </si>
  <si>
    <t>Klimatická data</t>
  </si>
  <si>
    <t>Ecodesign chladné</t>
  </si>
  <si>
    <t>RTC 6i</t>
  </si>
  <si>
    <t>RTC 12i</t>
  </si>
  <si>
    <t>Max</t>
  </si>
  <si>
    <t>Min</t>
  </si>
  <si>
    <t>Otáčky u invertorů</t>
  </si>
  <si>
    <t>ot min</t>
  </si>
  <si>
    <t>ot max</t>
  </si>
  <si>
    <t>EcoAir 610M</t>
  </si>
  <si>
    <t>RTC 20e</t>
  </si>
  <si>
    <t>RTC 13e</t>
  </si>
  <si>
    <t>Min. teplota otopné vody</t>
  </si>
  <si>
    <t>Min teplota otopné vody</t>
  </si>
  <si>
    <t>h/rok</t>
  </si>
  <si>
    <t>Hodiny provozu</t>
  </si>
  <si>
    <t>EcoPart 612M</t>
  </si>
  <si>
    <t>EcoPart 616M</t>
  </si>
  <si>
    <t>typ (1 vzduch,2 země)</t>
  </si>
  <si>
    <t>EcoPart 410</t>
  </si>
  <si>
    <t>EcoPart 406</t>
  </si>
  <si>
    <t>EcoPart 408</t>
  </si>
  <si>
    <t>EcoPart 412</t>
  </si>
  <si>
    <t>EcoPart 414</t>
  </si>
  <si>
    <t>EcoPart 417</t>
  </si>
  <si>
    <t>vrt</t>
  </si>
  <si>
    <t>plošný kolektor</t>
  </si>
  <si>
    <t>země primár</t>
  </si>
  <si>
    <t>Teplá voda</t>
  </si>
  <si>
    <t>l/os</t>
  </si>
  <si>
    <t>osob</t>
  </si>
  <si>
    <t>Požadovaná teplota TV</t>
  </si>
  <si>
    <t>Zadejte hodnoty parametrů a vyberte tepelné čerpadlo:</t>
  </si>
  <si>
    <t>Bod bivalence</t>
  </si>
  <si>
    <t>Bivalence</t>
  </si>
  <si>
    <t>Tepelná ztráta s TV</t>
  </si>
  <si>
    <t>Cirkulace</t>
  </si>
  <si>
    <t>Přírůstek TZ pro TV</t>
  </si>
  <si>
    <t>ano</t>
  </si>
  <si>
    <t>ne</t>
  </si>
  <si>
    <t>Cirkulace TV</t>
  </si>
  <si>
    <t>Výsledky (interní - nepublikovat):</t>
  </si>
  <si>
    <t>Spotřeba tepla</t>
  </si>
  <si>
    <t>VYTÁPĚNÍ</t>
  </si>
  <si>
    <t>MWh/rok</t>
  </si>
  <si>
    <t>TEPLÁ VODA</t>
  </si>
  <si>
    <t>Spotřeba  energie (vaření, svícení, zahrada, pračka, PC, TV apod.)</t>
  </si>
  <si>
    <t>SPOTŘEBIČE</t>
  </si>
  <si>
    <t>CENA</t>
  </si>
  <si>
    <t>Kč/MWh</t>
  </si>
  <si>
    <t>Bilance elektřiny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</si>
  <si>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</si>
  <si>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</si>
  <si>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</si>
  <si>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</si>
  <si>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</si>
  <si>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</si>
  <si>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</si>
  <si>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</si>
  <si>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</si>
  <si>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</si>
  <si>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</si>
  <si>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</si>
  <si>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CELKEM</t>
  </si>
  <si>
    <t>Faktura za elektřinu</t>
  </si>
  <si>
    <t>Kč/rok</t>
  </si>
  <si>
    <t>Bilance vytápění</t>
  </si>
  <si>
    <t>Dřevo</t>
  </si>
  <si>
    <t>PRM</t>
  </si>
  <si>
    <t>Podíl dřeva</t>
  </si>
  <si>
    <t>TČ SCOP</t>
  </si>
  <si>
    <t>Ostatní spotřebiče</t>
  </si>
  <si>
    <t>Elektřina z FVE
- zadat ručně v kWh (kladné hodnoty)</t>
  </si>
  <si>
    <t>Bilance TV</t>
  </si>
  <si>
    <t>fixní hodnota (nepočítá se)</t>
  </si>
  <si>
    <t>NT</t>
  </si>
  <si>
    <t>VT</t>
  </si>
  <si>
    <t>Vstupní údaje z výpočtu (pouze doplň ceny elektřiny)</t>
  </si>
  <si>
    <t>Platba</t>
  </si>
  <si>
    <t>Kč/měsíc</t>
  </si>
  <si>
    <t>DPH</t>
  </si>
  <si>
    <t>Cena elektřiny</t>
  </si>
  <si>
    <t>Doba trvání NT</t>
  </si>
  <si>
    <t>hod</t>
  </si>
  <si>
    <t>%</t>
  </si>
  <si>
    <t>Celkem bez DPH</t>
  </si>
  <si>
    <t>Celkem s DPH</t>
  </si>
  <si>
    <t>Okolní prostředí (vzduch nebo vrt)</t>
  </si>
  <si>
    <t>Elektřina</t>
  </si>
  <si>
    <t>Slunce</t>
  </si>
  <si>
    <t>Energie v domě</t>
  </si>
  <si>
    <t>pokud bude do výpočtu  vstupovat dřevo jako energonositel, přihodil bych 1 MWh na jeho zpracování (cirkulárka, štípačka) - vyplňuje se na listu zadání</t>
  </si>
  <si>
    <t>Platba měsíční</t>
  </si>
  <si>
    <t>NT bez zahrnutí FVE</t>
  </si>
  <si>
    <t>VT bez zahrnutí FVE</t>
  </si>
  <si>
    <t>Pomocná hodnota</t>
  </si>
  <si>
    <t>Vytápění [kWh]</t>
  </si>
  <si>
    <t>Teplá voda [kWh]</t>
  </si>
  <si>
    <t>Spotřebiče [kWh]</t>
  </si>
  <si>
    <t>Dřevo [kWh]</t>
  </si>
  <si>
    <t>Celkem [kWh]</t>
  </si>
  <si>
    <t>Přebytek z FVE [kWh]</t>
  </si>
  <si>
    <t>Využitelný zisk [kWh]</t>
  </si>
  <si>
    <t>Okolní prostředí 
(vrt, vzduch) [kWh]</t>
  </si>
  <si>
    <t>Elektřina
(pohon TČ a elektrokotel) [kWh]</t>
  </si>
  <si>
    <t>Kurvítko</t>
  </si>
  <si>
    <t>typ</t>
  </si>
  <si>
    <t>invertor</t>
  </si>
  <si>
    <t>Invertor</t>
  </si>
  <si>
    <t>ON/OFF</t>
  </si>
  <si>
    <t>kWh/rok (běžná spotřeba domácnosti - vaření, svícení, PC je cca 2500-3000 kWh/rok)</t>
  </si>
  <si>
    <t>Spotřeba el. (kotelny):</t>
  </si>
  <si>
    <t>EKONOMICKÉ ZHODNOCENÍ PROVOZU TČ REGULUS</t>
  </si>
  <si>
    <t>Porovnávat s:</t>
  </si>
  <si>
    <t>Orientační cena plynu - doplňte do B9 (nebo podle faktury)</t>
  </si>
  <si>
    <t>Kč/kWh</t>
  </si>
  <si>
    <t>plynovým kotlem</t>
  </si>
  <si>
    <t>Orientační ceny el. energie - doplňte do B4 - B8 (nebo podle faktury)</t>
  </si>
  <si>
    <t>Ceny elektrické energie v sazbě pro TČ</t>
  </si>
  <si>
    <t>D 57d</t>
  </si>
  <si>
    <t>elektrokotlem</t>
  </si>
  <si>
    <t>cena 1 MWh v Kč vč. dph</t>
  </si>
  <si>
    <t>celková cena ve VT včetně DPH/kWh</t>
  </si>
  <si>
    <t>kotlem na tuhá paliva</t>
  </si>
  <si>
    <t>celková cena v NT včetně DPH/kWh</t>
  </si>
  <si>
    <t>Uvažujeme s ohřevem vody pomocí tč?</t>
  </si>
  <si>
    <t>Ceny elektrické energie v porovnávané sazbě</t>
  </si>
  <si>
    <t>Roční provozní náklady (bez stálých plateb):</t>
  </si>
  <si>
    <t>Stálé platby:</t>
  </si>
  <si>
    <t>Celkem ročně:</t>
  </si>
  <si>
    <t>systém s tepelným čerpadlem</t>
  </si>
  <si>
    <t>Kč vč. DPH</t>
  </si>
  <si>
    <t>D 02d</t>
  </si>
  <si>
    <t>OSTATNÍ EL. ENERGIE (mimo vytápění a přípravu TV):</t>
  </si>
  <si>
    <t>Roční náklady (ve vztahu k distribuční sazbě):</t>
  </si>
  <si>
    <t>Celkem:</t>
  </si>
  <si>
    <t>Total ročně:</t>
  </si>
  <si>
    <t>systém s tepelným čerpadlem - D 57d</t>
  </si>
  <si>
    <t>INVESTIČNÍ NÁKLADY</t>
  </si>
  <si>
    <t>let</t>
  </si>
  <si>
    <t>Ve výpočtu neuvažujeme budoucí změny cen energií.</t>
  </si>
  <si>
    <t>čez silovka</t>
  </si>
  <si>
    <t>čez ostatní</t>
  </si>
  <si>
    <t>elektrokotle</t>
  </si>
  <si>
    <t>D 45d</t>
  </si>
  <si>
    <t>TČ</t>
  </si>
  <si>
    <t>D 25d</t>
  </si>
  <si>
    <t>plyn</t>
  </si>
  <si>
    <t>uhlí+bojler</t>
  </si>
  <si>
    <t>podíl</t>
  </si>
  <si>
    <t>(silovka:</t>
  </si>
  <si>
    <t>)</t>
  </si>
  <si>
    <t>3x16A</t>
  </si>
  <si>
    <t>3x20A</t>
  </si>
  <si>
    <t>jistič</t>
  </si>
  <si>
    <t>ZP</t>
  </si>
  <si>
    <t>7,5-15MWh</t>
  </si>
  <si>
    <t>15-25MWh</t>
  </si>
  <si>
    <t>KTP i pro ohřev vody?</t>
  </si>
  <si>
    <t>náklady za EE na TV</t>
  </si>
  <si>
    <t>Původní zdroj:</t>
  </si>
  <si>
    <t>plynový kotel</t>
  </si>
  <si>
    <t>elektrokotel</t>
  </si>
  <si>
    <t>kotel na uhlí</t>
  </si>
  <si>
    <t>Sazba EE:</t>
  </si>
  <si>
    <t>ostatní</t>
  </si>
  <si>
    <t>Původní náklady na vytápění a ohřev vody:</t>
  </si>
  <si>
    <t>(silovka)</t>
  </si>
  <si>
    <t>Průměrná cena za kWh včetně distrubice, POZE a dalších plateb:</t>
  </si>
  <si>
    <t>celkem</t>
  </si>
  <si>
    <t>stálé platby</t>
  </si>
  <si>
    <t>3x25A</t>
  </si>
  <si>
    <t>Stálé platby/rok:</t>
  </si>
  <si>
    <t>Uhlí</t>
  </si>
  <si>
    <t>Účinnost:</t>
  </si>
  <si>
    <t>Celkové náklady na ostatní spotřebiče (včetně stálých plateb):</t>
  </si>
  <si>
    <t>Nově s TČ:</t>
  </si>
  <si>
    <t>celkem nově</t>
  </si>
  <si>
    <t>paušál</t>
  </si>
  <si>
    <t>roční odběr</t>
  </si>
  <si>
    <t>cena 1 kWh v Kč vč. dph</t>
  </si>
  <si>
    <t>Kč/q</t>
  </si>
  <si>
    <t>EE</t>
  </si>
  <si>
    <t>Celková úspora při přechodu na tepelné čerpadlo:</t>
  </si>
  <si>
    <t xml:space="preserve"> - všechny ceny jsou včetně DPH</t>
  </si>
  <si>
    <t>Doba NT (hodin):</t>
  </si>
  <si>
    <t>Cena EE (kWh):</t>
  </si>
  <si>
    <t>Ostatní spotřebiče:</t>
  </si>
  <si>
    <t>Jistč (vyber šipkou):</t>
  </si>
  <si>
    <t>čez celkem</t>
  </si>
  <si>
    <t>2024_09</t>
  </si>
  <si>
    <t>Korekce výkonu RTC 13</t>
  </si>
  <si>
    <t>Výkon z TL</t>
  </si>
  <si>
    <t>hodnota 0% znamená výkon z TL</t>
  </si>
  <si>
    <t>Tepelná ztráta</t>
  </si>
  <si>
    <t>kombinovaně i kotlem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</si>
</sst>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Kč&quot;;[Red]\-#,##0\ &quot;Kč&quot;"/>
    <numFmt numFmtId="8" formatCode="#,##0.00\ &quot;Kč&quot;;[Red]\-#,##0.00\ &quot;Kč&quot;"/>
    <numFmt numFmtId="164" formatCode="0.0"/>
    <numFmt numFmtId="165" formatCode="0.000"/>
    <numFmt numFmtId="166" formatCode="#,##0\ &quot;Kč&quot;"/>
    <numFmt numFmtId="167" formatCode="#,##0_ ;[Red]\-#,##0\ "/>
    <numFmt numFmtId="168" formatCode="0.0000"/>
  </numFmts>
  <fonts count="7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Arial Narrow"/>
      <family val="2"/>
      <charset val="238"/>
    </font>
    <font>
      <sz val="12"/>
      <color theme="1"/>
      <name val="Arial Narrow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name val="Calibri"/>
      <family val="2"/>
      <charset val="238"/>
      <scheme val="minor"/>
    </font>
    <font>
      <b/>
      <vertAlign val="subscript"/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5" tint="-0.249977111117893"/>
      <name val="Calibri"/>
      <family val="2"/>
      <charset val="238"/>
      <scheme val="minor"/>
    </font>
    <font>
      <b/>
      <sz val="11"/>
      <color theme="5" tint="-0.249977111117893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1"/>
      <color theme="8" tint="-0.499984740745262"/>
      <name val="Calibri"/>
      <family val="2"/>
      <charset val="238"/>
      <scheme val="minor"/>
    </font>
    <font>
      <sz val="11"/>
      <color rgb="FF002060"/>
      <name val="Calibri"/>
      <family val="2"/>
      <charset val="238"/>
      <scheme val="minor"/>
    </font>
    <font>
      <b/>
      <i/>
      <sz val="11"/>
      <color theme="5" tint="-0.499984740745262"/>
      <name val="Calibri"/>
      <family val="2"/>
      <charset val="238"/>
      <scheme val="minor"/>
    </font>
    <font>
      <sz val="11"/>
      <color theme="5" tint="-0.499984740745262"/>
      <name val="Calibri"/>
      <family val="2"/>
      <charset val="238"/>
      <scheme val="minor"/>
    </font>
    <font>
      <sz val="11"/>
      <color theme="6" tint="-0.499984740745262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color rgb="FFC00000"/>
      <name val="Gotham Bold"/>
      <family val="3"/>
    </font>
    <font>
      <sz val="10"/>
      <color theme="0"/>
      <name val="Gotham Book"/>
      <family val="3"/>
    </font>
    <font>
      <sz val="10"/>
      <name val="Gotham Book"/>
      <family val="3"/>
    </font>
    <font>
      <i/>
      <sz val="11"/>
      <color theme="1"/>
      <name val="Gotham Book"/>
      <family val="3"/>
    </font>
    <font>
      <sz val="10"/>
      <color theme="0" tint="-0.34998626667073579"/>
      <name val="Gotham Book"/>
      <family val="3"/>
    </font>
    <font>
      <b/>
      <sz val="10"/>
      <name val="Gotham Book"/>
      <family val="3"/>
    </font>
    <font>
      <b/>
      <sz val="10"/>
      <color theme="1"/>
      <name val="Gotham Book"/>
      <family val="3"/>
    </font>
    <font>
      <sz val="10"/>
      <color theme="0" tint="-0.14999847407452621"/>
      <name val="Gotham Book"/>
      <family val="3"/>
    </font>
    <font>
      <sz val="10"/>
      <name val="Gotham Bold"/>
      <family val="3"/>
    </font>
    <font>
      <sz val="10"/>
      <color rgb="FFC00000"/>
      <name val="Gotham Book"/>
      <family val="3"/>
    </font>
    <font>
      <sz val="10"/>
      <color theme="1"/>
      <name val="Gotham Book"/>
      <family val="3"/>
    </font>
    <font>
      <sz val="10"/>
      <color rgb="FFFF0000"/>
      <name val="Gotham Book"/>
      <family val="3"/>
    </font>
    <font>
      <b/>
      <sz val="10"/>
      <color theme="0"/>
      <name val="Gotham Book"/>
      <family val="3"/>
    </font>
    <font>
      <sz val="11"/>
      <color theme="1"/>
      <name val="Gotham Book"/>
      <family val="3"/>
    </font>
    <font>
      <b/>
      <i/>
      <sz val="11"/>
      <color theme="4"/>
      <name val="Gotham Book"/>
      <family val="3"/>
    </font>
    <font>
      <b/>
      <sz val="10"/>
      <color theme="4"/>
      <name val="Gotham Book"/>
      <family val="3"/>
    </font>
    <font>
      <b/>
      <i/>
      <sz val="10"/>
      <color theme="4"/>
      <name val="Gotham Book"/>
      <family val="3"/>
    </font>
    <font>
      <i/>
      <sz val="11"/>
      <color rgb="FFFF0000"/>
      <name val="Gotham Book"/>
      <family val="3"/>
    </font>
    <font>
      <b/>
      <sz val="11"/>
      <color rgb="FFC00000"/>
      <name val="Gotham Book"/>
      <family val="3"/>
    </font>
    <font>
      <b/>
      <sz val="11"/>
      <name val="Gotham Book"/>
      <family val="3"/>
    </font>
    <font>
      <i/>
      <sz val="9"/>
      <name val="Gotham Book"/>
      <family val="3"/>
    </font>
    <font>
      <b/>
      <sz val="11"/>
      <color theme="1"/>
      <name val="Gotham Book"/>
      <family val="3"/>
    </font>
    <font>
      <b/>
      <sz val="11"/>
      <color theme="0"/>
      <name val="Gotham Book"/>
      <family val="3"/>
    </font>
    <font>
      <i/>
      <sz val="11"/>
      <color theme="0"/>
      <name val="Gotham Book"/>
      <family val="3"/>
    </font>
    <font>
      <sz val="9"/>
      <name val="Gotham Book"/>
      <family val="3"/>
    </font>
    <font>
      <sz val="10"/>
      <color theme="0" tint="-0.499984740745262"/>
      <name val="Gotham Book"/>
      <family val="3"/>
    </font>
    <font>
      <i/>
      <sz val="11"/>
      <color theme="0"/>
      <name val="Gotham Book"/>
      <family val="3"/>
      <charset val="238"/>
    </font>
    <font>
      <sz val="10"/>
      <color theme="0"/>
      <name val="Gotham Book"/>
      <family val="3"/>
      <charset val="238"/>
    </font>
    <font>
      <b/>
      <sz val="10"/>
      <color theme="0"/>
      <name val="Gotham Book"/>
      <family val="3"/>
      <charset val="238"/>
    </font>
    <font>
      <sz val="11"/>
      <color theme="0"/>
      <name val="Gotham Book"/>
      <family val="3"/>
      <charset val="238"/>
    </font>
    <font>
      <b/>
      <sz val="11"/>
      <color theme="0"/>
      <name val="Gotham Book"/>
      <family val="3"/>
      <charset val="238"/>
    </font>
    <font>
      <sz val="10"/>
      <name val="Gotham Book"/>
      <family val="3"/>
      <charset val="238"/>
    </font>
    <font>
      <b/>
      <sz val="10"/>
      <name val="Gotham Book"/>
      <family val="3"/>
      <charset val="238"/>
    </font>
    <font>
      <sz val="11"/>
      <color theme="0"/>
      <name val="Gotham Book"/>
      <family val="3"/>
    </font>
    <font>
      <b/>
      <sz val="10"/>
      <color theme="0" tint="-0.34998626667073579"/>
      <name val="Gotham Book"/>
      <family val="3"/>
    </font>
    <font>
      <sz val="11"/>
      <color theme="0"/>
      <name val="Calibri"/>
      <family val="2"/>
      <charset val="238"/>
      <scheme val="minor"/>
    </font>
    <font>
      <sz val="1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1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 tint="0.79998168889431442"/>
      </right>
      <top style="thin">
        <color theme="5" tint="0.79998168889431442"/>
      </top>
      <bottom/>
      <diagonal/>
    </border>
    <border>
      <left/>
      <right style="thin">
        <color theme="5" tint="0.79998168889431442"/>
      </right>
      <top/>
      <bottom/>
      <diagonal/>
    </border>
    <border>
      <left/>
      <right style="thin">
        <color theme="5" tint="0.79998168889431442"/>
      </right>
      <top/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/>
      <diagonal/>
    </border>
    <border>
      <left style="thin">
        <color theme="5" tint="0.79998168889431442"/>
      </left>
      <right/>
      <top/>
      <bottom style="thin">
        <color theme="5" tint="0.79998168889431442"/>
      </bottom>
      <diagonal/>
    </border>
    <border>
      <left style="thin">
        <color theme="5" tint="0.79998168889431442"/>
      </left>
      <right/>
      <top/>
      <bottom/>
      <diagonal/>
    </border>
    <border>
      <left/>
      <right/>
      <top style="thin">
        <color theme="5" tint="0.7999816888943144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3" fillId="0" borderId="0"/>
  </cellStyleXfs>
  <cellXfs count="301">
    <xf numFmtId="0" fontId="0" fillId="0" borderId="0" xfId="0"/>
    <xf numFmtId="0" fontId="2" fillId="0" borderId="0" xfId="0" applyFont="1" applyAlignment="1">
      <alignment vertical="top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1" fontId="0" fillId="0" borderId="0" xfId="0" applyNumberFormat="1"/>
    <xf numFmtId="164" fontId="0" fillId="0" borderId="0" xfId="0" applyNumberFormat="1"/>
    <xf numFmtId="9" fontId="0" fillId="0" borderId="0" xfId="1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4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7" xfId="0" applyFont="1" applyBorder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0" fontId="4" fillId="0" borderId="8" xfId="0" applyFont="1" applyBorder="1"/>
    <xf numFmtId="1" fontId="4" fillId="0" borderId="9" xfId="0" applyNumberFormat="1" applyFont="1" applyBorder="1"/>
    <xf numFmtId="0" fontId="0" fillId="0" borderId="9" xfId="0" applyBorder="1"/>
    <xf numFmtId="2" fontId="4" fillId="0" borderId="9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8" fillId="0" borderId="1" xfId="0" applyFont="1" applyBorder="1"/>
    <xf numFmtId="0" fontId="0" fillId="3" borderId="0" xfId="0" applyFill="1"/>
    <xf numFmtId="2" fontId="10" fillId="0" borderId="0" xfId="0" applyNumberFormat="1" applyFont="1"/>
    <xf numFmtId="0" fontId="2" fillId="0" borderId="11" xfId="0" applyFont="1" applyBorder="1"/>
    <xf numFmtId="0" fontId="7" fillId="0" borderId="5" xfId="0" applyFont="1" applyBorder="1"/>
    <xf numFmtId="0" fontId="7" fillId="0" borderId="1" xfId="0" applyFont="1" applyBorder="1"/>
    <xf numFmtId="0" fontId="2" fillId="7" borderId="0" xfId="0" applyFont="1" applyFill="1"/>
    <xf numFmtId="0" fontId="0" fillId="7" borderId="0" xfId="0" applyFill="1"/>
    <xf numFmtId="0" fontId="11" fillId="7" borderId="0" xfId="0" applyFont="1" applyFill="1"/>
    <xf numFmtId="0" fontId="13" fillId="7" borderId="0" xfId="0" applyFont="1" applyFill="1"/>
    <xf numFmtId="3" fontId="14" fillId="7" borderId="0" xfId="0" applyNumberFormat="1" applyFont="1" applyFill="1"/>
    <xf numFmtId="2" fontId="14" fillId="7" borderId="0" xfId="0" applyNumberFormat="1" applyFont="1" applyFill="1"/>
    <xf numFmtId="1" fontId="14" fillId="7" borderId="0" xfId="0" applyNumberFormat="1" applyFont="1" applyFill="1"/>
    <xf numFmtId="0" fontId="10" fillId="7" borderId="12" xfId="0" applyFont="1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2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12" fillId="3" borderId="17" xfId="0" applyFont="1" applyFill="1" applyBorder="1"/>
    <xf numFmtId="0" fontId="0" fillId="7" borderId="22" xfId="0" applyFill="1" applyBorder="1"/>
    <xf numFmtId="0" fontId="15" fillId="0" borderId="0" xfId="0" applyFont="1"/>
    <xf numFmtId="0" fontId="0" fillId="3" borderId="23" xfId="0" applyFill="1" applyBorder="1"/>
    <xf numFmtId="0" fontId="16" fillId="3" borderId="0" xfId="0" applyFont="1" applyFill="1"/>
    <xf numFmtId="0" fontId="0" fillId="8" borderId="23" xfId="0" applyFill="1" applyBorder="1"/>
    <xf numFmtId="0" fontId="0" fillId="8" borderId="0" xfId="0" applyFill="1"/>
    <xf numFmtId="0" fontId="16" fillId="8" borderId="0" xfId="0" applyFont="1" applyFill="1"/>
    <xf numFmtId="3" fontId="16" fillId="8" borderId="0" xfId="0" applyNumberFormat="1" applyFont="1" applyFill="1"/>
    <xf numFmtId="0" fontId="17" fillId="0" borderId="0" xfId="0" applyFont="1"/>
    <xf numFmtId="0" fontId="0" fillId="6" borderId="23" xfId="0" applyFill="1" applyBorder="1"/>
    <xf numFmtId="0" fontId="0" fillId="6" borderId="23" xfId="0" applyFill="1" applyBorder="1" applyAlignment="1">
      <alignment wrapText="1"/>
    </xf>
    <xf numFmtId="0" fontId="18" fillId="6" borderId="23" xfId="0" applyFont="1" applyFill="1" applyBorder="1"/>
    <xf numFmtId="0" fontId="0" fillId="6" borderId="0" xfId="0" applyFill="1"/>
    <xf numFmtId="2" fontId="0" fillId="6" borderId="0" xfId="0" applyNumberFormat="1" applyFill="1"/>
    <xf numFmtId="165" fontId="0" fillId="6" borderId="0" xfId="0" applyNumberFormat="1" applyFill="1"/>
    <xf numFmtId="0" fontId="16" fillId="6" borderId="0" xfId="0" applyFont="1" applyFill="1"/>
    <xf numFmtId="2" fontId="18" fillId="6" borderId="0" xfId="0" applyNumberFormat="1" applyFont="1" applyFill="1"/>
    <xf numFmtId="9" fontId="0" fillId="0" borderId="0" xfId="1" applyFont="1"/>
    <xf numFmtId="2" fontId="0" fillId="6" borderId="23" xfId="0" applyNumberFormat="1" applyFill="1" applyBorder="1"/>
    <xf numFmtId="165" fontId="0" fillId="6" borderId="23" xfId="0" applyNumberFormat="1" applyFill="1" applyBorder="1"/>
    <xf numFmtId="0" fontId="16" fillId="6" borderId="23" xfId="0" applyFont="1" applyFill="1" applyBorder="1"/>
    <xf numFmtId="2" fontId="18" fillId="6" borderId="23" xfId="0" applyNumberFormat="1" applyFont="1" applyFill="1" applyBorder="1"/>
    <xf numFmtId="164" fontId="0" fillId="6" borderId="0" xfId="0" applyNumberFormat="1" applyFill="1"/>
    <xf numFmtId="0" fontId="0" fillId="9" borderId="0" xfId="0" applyFill="1"/>
    <xf numFmtId="3" fontId="15" fillId="9" borderId="0" xfId="0" applyNumberFormat="1" applyFont="1" applyFill="1"/>
    <xf numFmtId="9" fontId="15" fillId="9" borderId="0" xfId="0" applyNumberFormat="1" applyFont="1" applyFill="1"/>
    <xf numFmtId="0" fontId="19" fillId="0" borderId="0" xfId="0" applyFont="1"/>
    <xf numFmtId="0" fontId="0" fillId="3" borderId="23" xfId="0" applyFill="1" applyBorder="1" applyAlignment="1">
      <alignment wrapText="1"/>
    </xf>
    <xf numFmtId="0" fontId="20" fillId="3" borderId="23" xfId="0" applyFont="1" applyFill="1" applyBorder="1"/>
    <xf numFmtId="2" fontId="0" fillId="3" borderId="0" xfId="0" applyNumberFormat="1" applyFill="1"/>
    <xf numFmtId="2" fontId="0" fillId="3" borderId="23" xfId="0" applyNumberFormat="1" applyFill="1" applyBorder="1"/>
    <xf numFmtId="2" fontId="20" fillId="3" borderId="0" xfId="0" applyNumberFormat="1" applyFont="1" applyFill="1"/>
    <xf numFmtId="2" fontId="20" fillId="3" borderId="23" xfId="0" applyNumberFormat="1" applyFont="1" applyFill="1" applyBorder="1"/>
    <xf numFmtId="0" fontId="0" fillId="10" borderId="23" xfId="0" applyFill="1" applyBorder="1"/>
    <xf numFmtId="2" fontId="0" fillId="10" borderId="0" xfId="0" applyNumberFormat="1" applyFill="1"/>
    <xf numFmtId="2" fontId="0" fillId="10" borderId="23" xfId="0" applyNumberFormat="1" applyFill="1" applyBorder="1"/>
    <xf numFmtId="0" fontId="0" fillId="10" borderId="0" xfId="0" applyFill="1"/>
    <xf numFmtId="0" fontId="0" fillId="5" borderId="23" xfId="0" applyFill="1" applyBorder="1"/>
    <xf numFmtId="0" fontId="0" fillId="5" borderId="23" xfId="0" applyFill="1" applyBorder="1" applyAlignment="1">
      <alignment wrapText="1"/>
    </xf>
    <xf numFmtId="2" fontId="0" fillId="5" borderId="0" xfId="0" applyNumberFormat="1" applyFill="1"/>
    <xf numFmtId="2" fontId="0" fillId="5" borderId="23" xfId="0" applyNumberFormat="1" applyFill="1" applyBorder="1"/>
    <xf numFmtId="0" fontId="0" fillId="5" borderId="0" xfId="0" applyFill="1"/>
    <xf numFmtId="2" fontId="16" fillId="5" borderId="0" xfId="0" applyNumberFormat="1" applyFont="1" applyFill="1"/>
    <xf numFmtId="0" fontId="0" fillId="5" borderId="25" xfId="0" applyFill="1" applyBorder="1"/>
    <xf numFmtId="0" fontId="0" fillId="5" borderId="24" xfId="0" applyFill="1" applyBorder="1"/>
    <xf numFmtId="0" fontId="19" fillId="0" borderId="24" xfId="0" applyFont="1" applyBorder="1"/>
    <xf numFmtId="0" fontId="0" fillId="0" borderId="24" xfId="0" applyBorder="1"/>
    <xf numFmtId="0" fontId="21" fillId="5" borderId="23" xfId="0" applyFont="1" applyFill="1" applyBorder="1"/>
    <xf numFmtId="165" fontId="21" fillId="5" borderId="0" xfId="0" applyNumberFormat="1" applyFont="1" applyFill="1"/>
    <xf numFmtId="165" fontId="21" fillId="5" borderId="23" xfId="0" applyNumberFormat="1" applyFont="1" applyFill="1" applyBorder="1"/>
    <xf numFmtId="2" fontId="21" fillId="5" borderId="0" xfId="0" applyNumberFormat="1" applyFont="1" applyFill="1"/>
    <xf numFmtId="0" fontId="11" fillId="8" borderId="0" xfId="0" applyFont="1" applyFill="1"/>
    <xf numFmtId="164" fontId="0" fillId="3" borderId="0" xfId="0" applyNumberFormat="1" applyFill="1"/>
    <xf numFmtId="0" fontId="16" fillId="3" borderId="12" xfId="0" applyFont="1" applyFill="1" applyBorder="1"/>
    <xf numFmtId="0" fontId="16" fillId="3" borderId="16" xfId="0" applyFont="1" applyFill="1" applyBorder="1"/>
    <xf numFmtId="0" fontId="16" fillId="3" borderId="22" xfId="0" applyFont="1" applyFill="1" applyBorder="1"/>
    <xf numFmtId="3" fontId="0" fillId="0" borderId="0" xfId="0" applyNumberFormat="1"/>
    <xf numFmtId="9" fontId="0" fillId="10" borderId="0" xfId="1" applyFont="1" applyFill="1"/>
    <xf numFmtId="9" fontId="0" fillId="10" borderId="23" xfId="1" applyFont="1" applyFill="1" applyBorder="1"/>
    <xf numFmtId="3" fontId="0" fillId="8" borderId="0" xfId="0" applyNumberFormat="1" applyFill="1"/>
    <xf numFmtId="2" fontId="22" fillId="0" borderId="0" xfId="0" applyNumberFormat="1" applyFont="1"/>
    <xf numFmtId="2" fontId="22" fillId="0" borderId="23" xfId="0" applyNumberFormat="1" applyFont="1" applyBorder="1"/>
    <xf numFmtId="0" fontId="22" fillId="0" borderId="25" xfId="0" applyFont="1" applyBorder="1" applyAlignment="1">
      <alignment wrapText="1"/>
    </xf>
    <xf numFmtId="0" fontId="22" fillId="0" borderId="23" xfId="0" applyFont="1" applyBorder="1" applyAlignment="1">
      <alignment wrapText="1"/>
    </xf>
    <xf numFmtId="2" fontId="22" fillId="0" borderId="24" xfId="0" applyNumberFormat="1" applyFont="1" applyBorder="1"/>
    <xf numFmtId="2" fontId="22" fillId="0" borderId="25" xfId="0" applyNumberFormat="1" applyFont="1" applyBorder="1"/>
    <xf numFmtId="0" fontId="0" fillId="9" borderId="23" xfId="0" applyFill="1" applyBorder="1"/>
    <xf numFmtId="2" fontId="0" fillId="9" borderId="0" xfId="0" applyNumberFormat="1" applyFill="1"/>
    <xf numFmtId="0" fontId="0" fillId="9" borderId="0" xfId="1" applyNumberFormat="1" applyFont="1" applyFill="1"/>
    <xf numFmtId="2" fontId="0" fillId="9" borderId="23" xfId="0" applyNumberFormat="1" applyFill="1" applyBorder="1"/>
    <xf numFmtId="0" fontId="0" fillId="9" borderId="23" xfId="1" applyNumberFormat="1" applyFont="1" applyFill="1" applyBorder="1"/>
    <xf numFmtId="0" fontId="16" fillId="0" borderId="12" xfId="0" applyFont="1" applyBorder="1"/>
    <xf numFmtId="0" fontId="25" fillId="0" borderId="0" xfId="2" applyFont="1"/>
    <xf numFmtId="0" fontId="26" fillId="0" borderId="0" xfId="2" applyFont="1"/>
    <xf numFmtId="0" fontId="27" fillId="0" borderId="0" xfId="2" applyFont="1" applyAlignment="1">
      <alignment horizontal="center"/>
    </xf>
    <xf numFmtId="0" fontId="28" fillId="0" borderId="0" xfId="2" applyFont="1"/>
    <xf numFmtId="0" fontId="29" fillId="0" borderId="0" xfId="2" applyFont="1"/>
    <xf numFmtId="14" fontId="26" fillId="0" borderId="0" xfId="2" applyNumberFormat="1" applyFont="1"/>
    <xf numFmtId="8" fontId="27" fillId="0" borderId="0" xfId="2" applyNumberFormat="1" applyFont="1" applyAlignment="1">
      <alignment horizontal="center"/>
    </xf>
    <xf numFmtId="0" fontId="26" fillId="0" borderId="0" xfId="2" applyFont="1" applyAlignment="1">
      <alignment horizontal="center"/>
    </xf>
    <xf numFmtId="2" fontId="26" fillId="0" borderId="0" xfId="2" applyNumberFormat="1" applyFont="1"/>
    <xf numFmtId="1" fontId="26" fillId="0" borderId="0" xfId="2" applyNumberFormat="1" applyFont="1"/>
    <xf numFmtId="0" fontId="29" fillId="0" borderId="0" xfId="2" applyFont="1" applyAlignment="1">
      <alignment horizontal="center"/>
    </xf>
    <xf numFmtId="0" fontId="26" fillId="0" borderId="0" xfId="2" applyFont="1" applyAlignment="1">
      <alignment wrapText="1"/>
    </xf>
    <xf numFmtId="2" fontId="26" fillId="0" borderId="0" xfId="2" applyNumberFormat="1" applyFont="1" applyAlignment="1">
      <alignment wrapText="1"/>
    </xf>
    <xf numFmtId="0" fontId="32" fillId="0" borderId="0" xfId="2" applyFont="1"/>
    <xf numFmtId="0" fontId="33" fillId="0" borderId="0" xfId="2" applyFont="1" applyAlignment="1">
      <alignment horizontal="left"/>
    </xf>
    <xf numFmtId="0" fontId="33" fillId="0" borderId="0" xfId="2" applyFont="1"/>
    <xf numFmtId="3" fontId="33" fillId="0" borderId="0" xfId="2" applyNumberFormat="1" applyFont="1"/>
    <xf numFmtId="3" fontId="26" fillId="0" borderId="0" xfId="2" applyNumberFormat="1" applyFont="1"/>
    <xf numFmtId="166" fontId="26" fillId="0" borderId="0" xfId="2" applyNumberFormat="1" applyFont="1"/>
    <xf numFmtId="2" fontId="34" fillId="0" borderId="0" xfId="0" applyNumberFormat="1" applyFont="1"/>
    <xf numFmtId="0" fontId="35" fillId="0" borderId="0" xfId="2" applyFont="1"/>
    <xf numFmtId="3" fontId="34" fillId="0" borderId="0" xfId="2" applyNumberFormat="1" applyFont="1" applyAlignment="1">
      <alignment horizontal="right"/>
    </xf>
    <xf numFmtId="8" fontId="34" fillId="0" borderId="0" xfId="2" applyNumberFormat="1" applyFont="1" applyAlignment="1">
      <alignment horizontal="left"/>
    </xf>
    <xf numFmtId="8" fontId="37" fillId="0" borderId="0" xfId="2" applyNumberFormat="1" applyFont="1" applyAlignment="1">
      <alignment horizontal="left"/>
    </xf>
    <xf numFmtId="0" fontId="29" fillId="0" borderId="0" xfId="2" applyFont="1" applyAlignment="1">
      <alignment wrapText="1"/>
    </xf>
    <xf numFmtId="3" fontId="33" fillId="0" borderId="0" xfId="2" applyNumberFormat="1" applyFont="1" applyAlignment="1">
      <alignment horizontal="right"/>
    </xf>
    <xf numFmtId="8" fontId="33" fillId="0" borderId="0" xfId="2" applyNumberFormat="1" applyFont="1" applyAlignment="1">
      <alignment horizontal="left"/>
    </xf>
    <xf numFmtId="6" fontId="26" fillId="0" borderId="0" xfId="2" applyNumberFormat="1" applyFont="1"/>
    <xf numFmtId="0" fontId="26" fillId="11" borderId="0" xfId="2" applyFont="1" applyFill="1" applyAlignment="1">
      <alignment horizontal="left"/>
    </xf>
    <xf numFmtId="0" fontId="26" fillId="11" borderId="0" xfId="2" applyFont="1" applyFill="1"/>
    <xf numFmtId="3" fontId="26" fillId="11" borderId="0" xfId="2" applyNumberFormat="1" applyFont="1" applyFill="1" applyAlignment="1">
      <alignment horizontal="right"/>
    </xf>
    <xf numFmtId="8" fontId="26" fillId="11" borderId="0" xfId="2" applyNumberFormat="1" applyFont="1" applyFill="1" applyAlignment="1">
      <alignment horizontal="left"/>
    </xf>
    <xf numFmtId="0" fontId="38" fillId="0" borderId="0" xfId="2" applyFont="1" applyAlignment="1">
      <alignment horizontal="left"/>
    </xf>
    <xf numFmtId="0" fontId="39" fillId="0" borderId="0" xfId="2" applyFont="1"/>
    <xf numFmtId="6" fontId="40" fillId="0" borderId="0" xfId="2" applyNumberFormat="1" applyFont="1"/>
    <xf numFmtId="166" fontId="40" fillId="0" borderId="0" xfId="2" applyNumberFormat="1" applyFont="1" applyAlignment="1">
      <alignment horizontal="right"/>
    </xf>
    <xf numFmtId="167" fontId="26" fillId="0" borderId="0" xfId="2" applyNumberFormat="1" applyFont="1"/>
    <xf numFmtId="0" fontId="41" fillId="0" borderId="0" xfId="2" applyFont="1" applyAlignment="1">
      <alignment horizontal="right"/>
    </xf>
    <xf numFmtId="0" fontId="29" fillId="0" borderId="0" xfId="2" applyFont="1" applyAlignment="1">
      <alignment horizontal="left"/>
    </xf>
    <xf numFmtId="8" fontId="26" fillId="0" borderId="0" xfId="2" applyNumberFormat="1" applyFont="1" applyAlignment="1">
      <alignment horizontal="left"/>
    </xf>
    <xf numFmtId="0" fontId="43" fillId="0" borderId="0" xfId="2" applyFont="1" applyAlignment="1">
      <alignment wrapText="1"/>
    </xf>
    <xf numFmtId="0" fontId="44" fillId="0" borderId="0" xfId="2" applyFont="1"/>
    <xf numFmtId="0" fontId="43" fillId="0" borderId="0" xfId="2" applyFont="1"/>
    <xf numFmtId="0" fontId="45" fillId="0" borderId="0" xfId="2" applyFont="1"/>
    <xf numFmtId="164" fontId="43" fillId="0" borderId="0" xfId="2" applyNumberFormat="1" applyFont="1"/>
    <xf numFmtId="0" fontId="26" fillId="0" borderId="0" xfId="2" applyFont="1" applyAlignment="1">
      <alignment horizontal="left"/>
    </xf>
    <xf numFmtId="0" fontId="43" fillId="0" borderId="0" xfId="2" applyFont="1" applyAlignment="1">
      <alignment horizontal="left" wrapText="1"/>
    </xf>
    <xf numFmtId="0" fontId="26" fillId="14" borderId="0" xfId="2" applyFont="1" applyFill="1"/>
    <xf numFmtId="0" fontId="26" fillId="0" borderId="0" xfId="2" applyFont="1" applyAlignment="1">
      <alignment horizontal="right"/>
    </xf>
    <xf numFmtId="2" fontId="25" fillId="0" borderId="0" xfId="2" applyNumberFormat="1" applyFont="1"/>
    <xf numFmtId="8" fontId="47" fillId="0" borderId="0" xfId="2" applyNumberFormat="1" applyFont="1" applyAlignment="1">
      <alignment horizontal="center"/>
    </xf>
    <xf numFmtId="0" fontId="27" fillId="0" borderId="0" xfId="2" applyFont="1" applyAlignment="1">
      <alignment horizontal="left"/>
    </xf>
    <xf numFmtId="0" fontId="48" fillId="0" borderId="0" xfId="2" applyFont="1"/>
    <xf numFmtId="2" fontId="29" fillId="0" borderId="0" xfId="2" applyNumberFormat="1" applyFont="1"/>
    <xf numFmtId="0" fontId="29" fillId="0" borderId="0" xfId="2" applyFont="1" applyAlignment="1">
      <alignment horizontal="right"/>
    </xf>
    <xf numFmtId="8" fontId="27" fillId="0" borderId="0" xfId="2" applyNumberFormat="1" applyFont="1" applyAlignment="1">
      <alignment horizontal="right"/>
    </xf>
    <xf numFmtId="8" fontId="30" fillId="0" borderId="0" xfId="2" applyNumberFormat="1" applyFont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/>
    <xf numFmtId="3" fontId="34" fillId="0" borderId="0" xfId="2" applyNumberFormat="1" applyFont="1"/>
    <xf numFmtId="0" fontId="49" fillId="0" borderId="0" xfId="2" applyFont="1"/>
    <xf numFmtId="168" fontId="50" fillId="0" borderId="0" xfId="2" applyNumberFormat="1" applyFont="1" applyAlignment="1">
      <alignment horizontal="center"/>
    </xf>
    <xf numFmtId="168" fontId="51" fillId="0" borderId="0" xfId="2" applyNumberFormat="1" applyFont="1"/>
    <xf numFmtId="168" fontId="52" fillId="0" borderId="0" xfId="2" applyNumberFormat="1" applyFont="1"/>
    <xf numFmtId="168" fontId="53" fillId="0" borderId="0" xfId="2" applyNumberFormat="1" applyFont="1" applyAlignment="1">
      <alignment horizontal="left"/>
    </xf>
    <xf numFmtId="168" fontId="52" fillId="0" borderId="0" xfId="2" applyNumberFormat="1" applyFont="1" applyAlignment="1">
      <alignment horizontal="left"/>
    </xf>
    <xf numFmtId="168" fontId="54" fillId="0" borderId="0" xfId="2" applyNumberFormat="1" applyFont="1"/>
    <xf numFmtId="168" fontId="54" fillId="0" borderId="0" xfId="2" applyNumberFormat="1" applyFont="1" applyAlignment="1">
      <alignment horizontal="left" wrapText="1"/>
    </xf>
    <xf numFmtId="168" fontId="55" fillId="0" borderId="0" xfId="2" applyNumberFormat="1" applyFont="1"/>
    <xf numFmtId="0" fontId="29" fillId="14" borderId="0" xfId="2" applyFont="1" applyFill="1"/>
    <xf numFmtId="0" fontId="31" fillId="0" borderId="0" xfId="2" applyFont="1" applyAlignment="1">
      <alignment wrapText="1"/>
    </xf>
    <xf numFmtId="0" fontId="56" fillId="0" borderId="0" xfId="2" applyFont="1"/>
    <xf numFmtId="0" fontId="56" fillId="14" borderId="0" xfId="2" applyFont="1" applyFill="1"/>
    <xf numFmtId="166" fontId="56" fillId="0" borderId="0" xfId="2" applyNumberFormat="1" applyFont="1"/>
    <xf numFmtId="166" fontId="57" fillId="0" borderId="0" xfId="2" applyNumberFormat="1" applyFont="1" applyAlignment="1">
      <alignment horizontal="right"/>
    </xf>
    <xf numFmtId="0" fontId="58" fillId="0" borderId="0" xfId="2" applyFont="1"/>
    <xf numFmtId="0" fontId="59" fillId="0" borderId="0" xfId="0" applyFont="1"/>
    <xf numFmtId="0" fontId="0" fillId="0" borderId="0" xfId="0" applyAlignment="1">
      <alignment horizontal="right"/>
    </xf>
    <xf numFmtId="0" fontId="12" fillId="0" borderId="0" xfId="0" applyFont="1"/>
    <xf numFmtId="0" fontId="8" fillId="0" borderId="0" xfId="0" applyFont="1"/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61" fillId="0" borderId="0" xfId="0" applyFont="1"/>
    <xf numFmtId="0" fontId="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59" fillId="0" borderId="0" xfId="0" applyNumberFormat="1" applyFont="1"/>
    <xf numFmtId="0" fontId="2" fillId="0" borderId="0" xfId="0" applyFont="1"/>
    <xf numFmtId="166" fontId="68" fillId="16" borderId="0" xfId="0" applyNumberFormat="1" applyFont="1" applyFill="1" applyAlignment="1">
      <alignment horizontal="center"/>
    </xf>
    <xf numFmtId="0" fontId="59" fillId="0" borderId="27" xfId="0" applyFont="1" applyBorder="1"/>
    <xf numFmtId="166" fontId="2" fillId="0" borderId="2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0" borderId="27" xfId="0" applyBorder="1"/>
    <xf numFmtId="166" fontId="0" fillId="0" borderId="27" xfId="0" applyNumberFormat="1" applyBorder="1" applyAlignment="1">
      <alignment horizontal="center"/>
    </xf>
    <xf numFmtId="166" fontId="2" fillId="0" borderId="28" xfId="0" applyNumberFormat="1" applyFont="1" applyBorder="1" applyAlignment="1">
      <alignment horizontal="center"/>
    </xf>
    <xf numFmtId="0" fontId="68" fillId="17" borderId="26" xfId="2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7" xfId="0" applyNumberFormat="1" applyBorder="1" applyAlignment="1">
      <alignment horizontal="center"/>
    </xf>
    <xf numFmtId="0" fontId="0" fillId="15" borderId="0" xfId="0" applyFill="1"/>
    <xf numFmtId="0" fontId="69" fillId="0" borderId="0" xfId="0" applyFont="1"/>
    <xf numFmtId="0" fontId="62" fillId="0" borderId="0" xfId="0" applyFont="1"/>
    <xf numFmtId="0" fontId="62" fillId="0" borderId="2" xfId="0" applyFont="1" applyBorder="1"/>
    <xf numFmtId="0" fontId="62" fillId="0" borderId="3" xfId="0" applyFont="1" applyBorder="1"/>
    <xf numFmtId="0" fontId="62" fillId="0" borderId="4" xfId="0" applyFont="1" applyBorder="1"/>
    <xf numFmtId="0" fontId="63" fillId="0" borderId="7" xfId="2" applyFont="1" applyBorder="1"/>
    <xf numFmtId="2" fontId="62" fillId="0" borderId="0" xfId="2" applyNumberFormat="1" applyFont="1"/>
    <xf numFmtId="0" fontId="62" fillId="0" borderId="6" xfId="0" applyFont="1" applyBorder="1"/>
    <xf numFmtId="0" fontId="62" fillId="0" borderId="8" xfId="0" applyFont="1" applyBorder="1"/>
    <xf numFmtId="0" fontId="62" fillId="0" borderId="9" xfId="0" applyFont="1" applyBorder="1"/>
    <xf numFmtId="2" fontId="62" fillId="0" borderId="9" xfId="2" applyNumberFormat="1" applyFont="1" applyBorder="1"/>
    <xf numFmtId="0" fontId="62" fillId="0" borderId="10" xfId="0" applyFont="1" applyBorder="1"/>
    <xf numFmtId="0" fontId="63" fillId="0" borderId="29" xfId="0" applyFont="1" applyBorder="1"/>
    <xf numFmtId="0" fontId="62" fillId="0" borderId="30" xfId="0" applyFont="1" applyBorder="1"/>
    <xf numFmtId="0" fontId="62" fillId="0" borderId="31" xfId="0" applyFont="1" applyBorder="1"/>
    <xf numFmtId="0" fontId="64" fillId="0" borderId="2" xfId="0" applyFont="1" applyBorder="1"/>
    <xf numFmtId="0" fontId="12" fillId="0" borderId="3" xfId="0" applyFont="1" applyBorder="1"/>
    <xf numFmtId="0" fontId="63" fillId="0" borderId="3" xfId="0" applyFont="1" applyBorder="1" applyAlignment="1">
      <alignment horizontal="right"/>
    </xf>
    <xf numFmtId="0" fontId="63" fillId="0" borderId="4" xfId="0" applyFont="1" applyBorder="1" applyAlignment="1">
      <alignment horizontal="right"/>
    </xf>
    <xf numFmtId="0" fontId="60" fillId="0" borderId="7" xfId="2" applyFont="1" applyBorder="1"/>
    <xf numFmtId="3" fontId="62" fillId="0" borderId="0" xfId="0" quotePrefix="1" applyNumberFormat="1" applyFont="1"/>
    <xf numFmtId="3" fontId="62" fillId="0" borderId="6" xfId="0" quotePrefix="1" applyNumberFormat="1" applyFont="1" applyBorder="1"/>
    <xf numFmtId="0" fontId="60" fillId="0" borderId="8" xfId="2" applyFont="1" applyBorder="1"/>
    <xf numFmtId="0" fontId="12" fillId="0" borderId="9" xfId="0" applyFont="1" applyBorder="1"/>
    <xf numFmtId="3" fontId="62" fillId="0" borderId="9" xfId="0" quotePrefix="1" applyNumberFormat="1" applyFont="1" applyBorder="1"/>
    <xf numFmtId="3" fontId="62" fillId="0" borderId="10" xfId="0" quotePrefix="1" applyNumberFormat="1" applyFont="1" applyBorder="1"/>
    <xf numFmtId="49" fontId="64" fillId="0" borderId="2" xfId="2" applyNumberFormat="1" applyFont="1" applyBorder="1" applyAlignment="1">
      <alignment horizontal="left"/>
    </xf>
    <xf numFmtId="0" fontId="60" fillId="0" borderId="3" xfId="2" applyFont="1" applyBorder="1"/>
    <xf numFmtId="0" fontId="60" fillId="0" borderId="0" xfId="2" applyFont="1"/>
    <xf numFmtId="0" fontId="60" fillId="0" borderId="0" xfId="2" applyFont="1" applyAlignment="1">
      <alignment horizontal="center"/>
    </xf>
    <xf numFmtId="0" fontId="60" fillId="0" borderId="6" xfId="2" applyFont="1" applyBorder="1" applyAlignment="1">
      <alignment horizontal="center"/>
    </xf>
    <xf numFmtId="2" fontId="60" fillId="0" borderId="0" xfId="2" applyNumberFormat="1" applyFont="1"/>
    <xf numFmtId="2" fontId="60" fillId="0" borderId="6" xfId="0" applyNumberFormat="1" applyFont="1" applyBorder="1"/>
    <xf numFmtId="2" fontId="60" fillId="0" borderId="0" xfId="2" applyNumberFormat="1" applyFont="1" applyAlignment="1">
      <alignment wrapText="1"/>
    </xf>
    <xf numFmtId="0" fontId="60" fillId="0" borderId="9" xfId="2" applyFont="1" applyBorder="1"/>
    <xf numFmtId="2" fontId="60" fillId="0" borderId="9" xfId="0" applyNumberFormat="1" applyFont="1" applyBorder="1"/>
    <xf numFmtId="2" fontId="60" fillId="0" borderId="9" xfId="2" applyNumberFormat="1" applyFont="1" applyBorder="1"/>
    <xf numFmtId="2" fontId="60" fillId="0" borderId="10" xfId="0" applyNumberFormat="1" applyFont="1" applyBorder="1"/>
    <xf numFmtId="0" fontId="72" fillId="0" borderId="4" xfId="0" applyFont="1" applyBorder="1" applyAlignment="1">
      <alignment horizontal="center"/>
    </xf>
    <xf numFmtId="9" fontId="0" fillId="0" borderId="0" xfId="0" applyNumberFormat="1"/>
    <xf numFmtId="0" fontId="73" fillId="0" borderId="0" xfId="0" applyFont="1"/>
    <xf numFmtId="1" fontId="12" fillId="15" borderId="0" xfId="0" applyNumberFormat="1" applyFont="1" applyFill="1" applyAlignment="1">
      <alignment horizontal="center"/>
    </xf>
    <xf numFmtId="9" fontId="12" fillId="15" borderId="0" xfId="0" applyNumberFormat="1" applyFont="1" applyFill="1" applyAlignment="1">
      <alignment horizontal="center"/>
    </xf>
    <xf numFmtId="0" fontId="12" fillId="15" borderId="0" xfId="0" applyFont="1" applyFill="1" applyAlignment="1">
      <alignment horizontal="center"/>
    </xf>
    <xf numFmtId="164" fontId="12" fillId="0" borderId="0" xfId="0" applyNumberFormat="1" applyFont="1"/>
    <xf numFmtId="0" fontId="0" fillId="18" borderId="27" xfId="0" applyFill="1" applyBorder="1" applyAlignment="1">
      <alignment horizontal="center"/>
    </xf>
    <xf numFmtId="0" fontId="0" fillId="19" borderId="0" xfId="0" applyFill="1"/>
    <xf numFmtId="0" fontId="16" fillId="19" borderId="0" xfId="0" applyFont="1" applyFill="1"/>
    <xf numFmtId="0" fontId="0" fillId="19" borderId="17" xfId="0" applyFill="1" applyBorder="1"/>
    <xf numFmtId="0" fontId="0" fillId="19" borderId="12" xfId="0" applyFill="1" applyBorder="1"/>
    <xf numFmtId="0" fontId="16" fillId="19" borderId="12" xfId="0" applyFont="1" applyFill="1" applyBorder="1"/>
    <xf numFmtId="0" fontId="0" fillId="19" borderId="18" xfId="0" applyFill="1" applyBorder="1"/>
    <xf numFmtId="0" fontId="74" fillId="0" borderId="0" xfId="0" applyFont="1"/>
    <xf numFmtId="166" fontId="74" fillId="0" borderId="0" xfId="0" applyNumberFormat="1" applyFont="1" applyAlignment="1">
      <alignment horizontal="center"/>
    </xf>
    <xf numFmtId="0" fontId="74" fillId="0" borderId="0" xfId="0" applyFont="1" applyAlignment="1">
      <alignment horizontal="center"/>
    </xf>
    <xf numFmtId="0" fontId="42" fillId="13" borderId="0" xfId="2" applyFont="1" applyFill="1" applyAlignment="1">
      <alignment horizontal="left" wrapText="1"/>
    </xf>
    <xf numFmtId="0" fontId="46" fillId="12" borderId="0" xfId="2" applyFont="1" applyFill="1" applyAlignment="1">
      <alignment horizontal="left" wrapText="1"/>
    </xf>
    <xf numFmtId="0" fontId="24" fillId="0" borderId="0" xfId="2" applyFont="1" applyAlignment="1">
      <alignment horizontal="center"/>
    </xf>
    <xf numFmtId="0" fontId="27" fillId="0" borderId="0" xfId="2" applyFont="1" applyAlignment="1">
      <alignment horizontal="center"/>
    </xf>
    <xf numFmtId="0" fontId="36" fillId="12" borderId="0" xfId="2" applyFont="1" applyFill="1" applyAlignment="1">
      <alignment horizontal="left" wrapText="1"/>
    </xf>
    <xf numFmtId="0" fontId="29" fillId="0" borderId="0" xfId="2" applyFont="1" applyAlignment="1">
      <alignment horizontal="left"/>
    </xf>
    <xf numFmtId="0" fontId="67" fillId="16" borderId="0" xfId="0" applyFont="1" applyFill="1" applyAlignment="1">
      <alignment horizontal="center"/>
    </xf>
    <xf numFmtId="0" fontId="16" fillId="20" borderId="22" xfId="0" applyFont="1" applyFill="1" applyBorder="1"/>
    <xf numFmtId="0" fontId="59" fillId="0" borderId="0" xfId="0" applyFont="1" applyBorder="1"/>
    <xf numFmtId="0" fontId="60" fillId="0" borderId="0" xfId="2" applyFont="1" applyBorder="1"/>
    <xf numFmtId="0" fontId="12" fillId="0" borderId="0" xfId="0" applyFont="1" applyBorder="1"/>
    <xf numFmtId="3" fontId="62" fillId="0" borderId="0" xfId="0" quotePrefix="1" applyNumberFormat="1" applyFont="1" applyBorder="1"/>
    <xf numFmtId="0" fontId="0" fillId="0" borderId="0" xfId="0" applyBorder="1"/>
    <xf numFmtId="0" fontId="67" fillId="0" borderId="0" xfId="0" applyFont="1" applyFill="1" applyBorder="1" applyAlignment="1">
      <alignment horizontal="center"/>
    </xf>
    <xf numFmtId="166" fontId="68" fillId="0" borderId="0" xfId="0" applyNumberFormat="1" applyFont="1" applyFill="1" applyBorder="1" applyAlignment="1">
      <alignment horizontal="center"/>
    </xf>
    <xf numFmtId="0" fontId="0" fillId="7" borderId="23" xfId="0" applyFill="1" applyBorder="1"/>
    <xf numFmtId="0" fontId="16" fillId="3" borderId="23" xfId="0" applyFont="1" applyFill="1" applyBorder="1"/>
  </cellXfs>
  <cellStyles count="3">
    <cellStyle name="Normální" xfId="0" builtinId="0"/>
    <cellStyle name="normální 10" xfId="2" xr:uid="{00000000-0005-0000-0000-000001000000}"/>
    <cellStyle name="Procenta" xfId="1" builtinId="5"/>
  </cellStyles>
  <dxfs count="2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4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8" Type="http://schemas.openxmlformats.org/officeDocument/2006/relationships/worksheet" Target="worksheets/sheet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 sz="1100">
                <a:latin typeface="Arial" pitchFamily="34" charset="0"/>
                <a:cs typeface="Arial" pitchFamily="34" charset="0"/>
              </a:rPr>
              <a:t>ROČNÍ NÁKLADY NA VYTÁPĚNÍ a OHŘEV VODY a </a:t>
            </a:r>
          </a:p>
          <a:p>
            <a:pPr>
              <a:defRPr/>
            </a:pPr>
            <a:r>
              <a:rPr lang="cs-CZ" sz="1100">
                <a:latin typeface="Arial" pitchFamily="34" charset="0"/>
                <a:cs typeface="Arial" pitchFamily="34" charset="0"/>
              </a:rPr>
              <a:t>OSTATNÍ</a:t>
            </a:r>
            <a:r>
              <a:rPr lang="cs-CZ" sz="1100" baseline="0">
                <a:latin typeface="Arial" pitchFamily="34" charset="0"/>
                <a:cs typeface="Arial" pitchFamily="34" charset="0"/>
              </a:rPr>
              <a:t> ELEKTRICKOU ENERGII včetně stálých plateb</a:t>
            </a:r>
            <a:endParaRPr lang="cs-CZ" sz="1100">
              <a:latin typeface="Arial" pitchFamily="34" charset="0"/>
              <a:cs typeface="Arial" pitchFamily="34" charset="0"/>
            </a:endParaRPr>
          </a:p>
        </c:rich>
      </c:tx>
      <c:layout>
        <c:manualLayout>
          <c:xMode val="edge"/>
          <c:yMode val="edge"/>
          <c:x val="0.26640398579756924"/>
          <c:y val="5.8394350190762237E-2"/>
        </c:manualLayout>
      </c:layout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115417899763889"/>
          <c:y val="0.2521411892478958"/>
          <c:w val="0.87409537851187935"/>
          <c:h val="0.59955253869128278"/>
        </c:manualLayout>
      </c:layout>
      <c:bar3DChart>
        <c:barDir val="col"/>
        <c:grouping val="stacked"/>
        <c:varyColors val="0"/>
        <c:ser>
          <c:idx val="1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A22-40F8-944C-840CE2F271E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3A22-40F8-944C-840CE2F271E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3A22-40F8-944C-840CE2F271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cs-C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Návratnost!$A$13:$A$14</c:f>
              <c:strCache>
                <c:ptCount val="2"/>
                <c:pt idx="0">
                  <c:v>systém s tepelným čerpadlem</c:v>
                </c:pt>
                <c:pt idx="1">
                  <c:v>systém s kotlem na tuhá paliva</c:v>
                </c:pt>
              </c:strCache>
            </c:strRef>
          </c:cat>
          <c:val>
            <c:numRef>
              <c:f>Návratnost!$I$21:$I$22</c:f>
              <c:numCache>
                <c:formatCode>#,##0</c:formatCode>
                <c:ptCount val="2"/>
                <c:pt idx="0">
                  <c:v>71536.507600931975</c:v>
                </c:pt>
                <c:pt idx="1">
                  <c:v>81212.679999999993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22-40F8-944C-840CE2F271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0"/>
        <c:gapDepth val="0"/>
        <c:shape val="box"/>
        <c:axId val="312868896"/>
        <c:axId val="312869288"/>
        <c:axId val="0"/>
      </c:bar3DChart>
      <c:catAx>
        <c:axId val="312868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12869288"/>
        <c:crosses val="autoZero"/>
        <c:auto val="1"/>
        <c:lblAlgn val="ctr"/>
        <c:lblOffset val="100"/>
        <c:noMultiLvlLbl val="0"/>
      </c:catAx>
      <c:valAx>
        <c:axId val="312869288"/>
        <c:scaling>
          <c:orientation val="minMax"/>
          <c:max val="150000"/>
        </c:scaling>
        <c:delete val="0"/>
        <c:axPos val="l"/>
        <c:majorGridlines/>
        <c:numFmt formatCode="#,##0\ &quot;Kč&quot;" sourceLinked="0"/>
        <c:majorTickMark val="none"/>
        <c:minorTickMark val="none"/>
        <c:tickLblPos val="nextTo"/>
        <c:crossAx val="3128688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80314954" l="0.52" r="0.16" t="0.78740157480314954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 sz="1100">
                <a:latin typeface="Arial" pitchFamily="34" charset="0"/>
                <a:cs typeface="Arial" pitchFamily="34" charset="0"/>
              </a:rPr>
              <a:t>ROČNÍ PROVOZNÍ NÁKLADY</a:t>
            </a:r>
          </a:p>
        </c:rich>
      </c:tx>
      <c:layout>
        <c:manualLayout>
          <c:xMode val="edge"/>
          <c:yMode val="edge"/>
          <c:x val="0.33174575771611425"/>
          <c:y val="5.8394235848220996E-2"/>
        </c:manualLayout>
      </c:layout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8290173621345456E-2"/>
          <c:y val="0.20804145832136151"/>
          <c:w val="0.8860409561104331"/>
          <c:h val="0.65932256643102094"/>
        </c:manualLayout>
      </c:layout>
      <c:bar3DChart>
        <c:barDir val="col"/>
        <c:grouping val="stacked"/>
        <c:varyColors val="0"/>
        <c:ser>
          <c:idx val="1"/>
          <c:order val="0"/>
          <c:spPr>
            <a:solidFill>
              <a:srgbClr val="C00000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AAB2-44CA-915D-F1A9144C147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AB2-44CA-915D-F1A9144C147C}"/>
              </c:ext>
            </c:extLst>
          </c:dPt>
          <c:dLbls>
            <c:dLbl>
              <c:idx val="0"/>
              <c:spPr>
                <a:noFill/>
                <a:ln w="9525" cap="flat" cmpd="sng" algn="ctr">
                  <a:noFill/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cs-CZ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49559"/>
                        <a:gd name="adj2" fmla="val -42086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03-AAB2-44CA-915D-F1A9144C147C}"/>
                </c:ext>
              </c:extLst>
            </c:dLbl>
            <c:dLbl>
              <c:idx val="1"/>
              <c:spPr>
                <a:noFill/>
                <a:ln w="9525" cap="flat" cmpd="sng" algn="ctr">
                  <a:noFill/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cs-CZ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54199"/>
                        <a:gd name="adj2" fmla="val -31349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01-AAB2-44CA-915D-F1A9144C14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cs-C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Návratnost!$A$13:$A$14</c:f>
              <c:strCache>
                <c:ptCount val="2"/>
                <c:pt idx="0">
                  <c:v>systém s tepelným čerpadlem</c:v>
                </c:pt>
                <c:pt idx="1">
                  <c:v>systém s kotlem na tuhá paliva</c:v>
                </c:pt>
              </c:strCache>
            </c:strRef>
          </c:cat>
          <c:val>
            <c:numRef>
              <c:f>Návratnost!$C$13:$C$14</c:f>
              <c:numCache>
                <c:formatCode>#,##0</c:formatCode>
                <c:ptCount val="2"/>
                <c:pt idx="0">
                  <c:v>50312.30760093197</c:v>
                </c:pt>
                <c:pt idx="1">
                  <c:v>58659.199999999997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B2-44CA-915D-F1A9144C1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gapDepth val="0"/>
        <c:shape val="box"/>
        <c:axId val="312868112"/>
        <c:axId val="312868504"/>
        <c:axId val="0"/>
      </c:bar3DChart>
      <c:catAx>
        <c:axId val="3128681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312868504"/>
        <c:crossesAt val="0"/>
        <c:auto val="1"/>
        <c:lblAlgn val="ctr"/>
        <c:lblOffset val="100"/>
        <c:noMultiLvlLbl val="0"/>
      </c:catAx>
      <c:valAx>
        <c:axId val="312868504"/>
        <c:scaling>
          <c:orientation val="minMax"/>
          <c:max val="100000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numFmt formatCode="#,##0\ &quot;Kč&quot;" sourceLinked="0"/>
        <c:majorTickMark val="none"/>
        <c:minorTickMark val="none"/>
        <c:tickLblPos val="nextTo"/>
        <c:crossAx val="3128681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 sz="1400"/>
              <a:t>Výkon tepelného čerpadla</a:t>
            </a:r>
          </a:p>
        </c:rich>
      </c:tx>
      <c:layout>
        <c:manualLayout>
          <c:xMode val="edge"/>
          <c:yMode val="edge"/>
          <c:x val="2.6640783760536239E-2"/>
          <c:y val="9.478104707433794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145706195298284E-2"/>
          <c:y val="8.8594407022653671E-2"/>
          <c:w val="0.90430303314418337"/>
          <c:h val="0.77148886596342947"/>
        </c:manualLayout>
      </c:layout>
      <c:scatterChart>
        <c:scatterStyle val="smoothMarker"/>
        <c:varyColors val="0"/>
        <c:ser>
          <c:idx val="0"/>
          <c:order val="0"/>
          <c:tx>
            <c:v>Tepelná ztráta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Výpočet!$B$9:$B$46</c:f>
              <c:numCache>
                <c:formatCode>General</c:formatCode>
                <c:ptCount val="38"/>
                <c:pt idx="0">
                  <c:v>-22</c:v>
                </c:pt>
                <c:pt idx="1">
                  <c:v>-21</c:v>
                </c:pt>
                <c:pt idx="2">
                  <c:v>-20</c:v>
                </c:pt>
                <c:pt idx="3">
                  <c:v>-19</c:v>
                </c:pt>
                <c:pt idx="4">
                  <c:v>-18</c:v>
                </c:pt>
                <c:pt idx="5">
                  <c:v>-17</c:v>
                </c:pt>
                <c:pt idx="6">
                  <c:v>-16</c:v>
                </c:pt>
                <c:pt idx="7">
                  <c:v>-15</c:v>
                </c:pt>
                <c:pt idx="8">
                  <c:v>-14</c:v>
                </c:pt>
                <c:pt idx="9">
                  <c:v>-13</c:v>
                </c:pt>
                <c:pt idx="10">
                  <c:v>-12</c:v>
                </c:pt>
                <c:pt idx="11">
                  <c:v>-11</c:v>
                </c:pt>
                <c:pt idx="12">
                  <c:v>-10</c:v>
                </c:pt>
                <c:pt idx="13">
                  <c:v>-9</c:v>
                </c:pt>
                <c:pt idx="14">
                  <c:v>-8</c:v>
                </c:pt>
                <c:pt idx="15">
                  <c:v>-7</c:v>
                </c:pt>
                <c:pt idx="16">
                  <c:v>-6</c:v>
                </c:pt>
                <c:pt idx="17">
                  <c:v>-5</c:v>
                </c:pt>
                <c:pt idx="18">
                  <c:v>-4</c:v>
                </c:pt>
                <c:pt idx="19">
                  <c:v>-3</c:v>
                </c:pt>
                <c:pt idx="20">
                  <c:v>-2</c:v>
                </c:pt>
                <c:pt idx="21">
                  <c:v>-1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</c:numCache>
            </c:numRef>
          </c:xVal>
          <c:yVal>
            <c:numRef>
              <c:f>Výpočet!$D$9:$D$46</c:f>
              <c:numCache>
                <c:formatCode>0.00</c:formatCode>
                <c:ptCount val="38"/>
                <c:pt idx="0">
                  <c:v>13.771806217008798</c:v>
                </c:pt>
                <c:pt idx="1">
                  <c:v>13.40939026392962</c:v>
                </c:pt>
                <c:pt idx="2">
                  <c:v>13.046974310850441</c:v>
                </c:pt>
                <c:pt idx="3">
                  <c:v>12.684558357771262</c:v>
                </c:pt>
                <c:pt idx="4">
                  <c:v>12.322142404692084</c:v>
                </c:pt>
                <c:pt idx="5">
                  <c:v>11.959726451612903</c:v>
                </c:pt>
                <c:pt idx="6">
                  <c:v>11.597310498533725</c:v>
                </c:pt>
                <c:pt idx="7">
                  <c:v>11.234894545454546</c:v>
                </c:pt>
                <c:pt idx="8">
                  <c:v>10.872478592375368</c:v>
                </c:pt>
                <c:pt idx="9">
                  <c:v>10.510062639296187</c:v>
                </c:pt>
                <c:pt idx="10">
                  <c:v>10.147646686217008</c:v>
                </c:pt>
                <c:pt idx="11">
                  <c:v>9.7852307331378299</c:v>
                </c:pt>
                <c:pt idx="12">
                  <c:v>9.422814780058653</c:v>
                </c:pt>
                <c:pt idx="13">
                  <c:v>9.0603988269794726</c:v>
                </c:pt>
                <c:pt idx="14">
                  <c:v>8.697982873900294</c:v>
                </c:pt>
                <c:pt idx="15">
                  <c:v>8.3355669208211154</c:v>
                </c:pt>
                <c:pt idx="16">
                  <c:v>7.9731509677419359</c:v>
                </c:pt>
                <c:pt idx="17">
                  <c:v>7.6107350146627573</c:v>
                </c:pt>
                <c:pt idx="18">
                  <c:v>7.2483190615835777</c:v>
                </c:pt>
                <c:pt idx="19">
                  <c:v>6.8859031085043991</c:v>
                </c:pt>
                <c:pt idx="20">
                  <c:v>6.5234871554252205</c:v>
                </c:pt>
                <c:pt idx="21">
                  <c:v>6.1610712023460419</c:v>
                </c:pt>
                <c:pt idx="22">
                  <c:v>5.7986552492668624</c:v>
                </c:pt>
                <c:pt idx="23">
                  <c:v>5.4362392961876838</c:v>
                </c:pt>
                <c:pt idx="24">
                  <c:v>5.0738233431085042</c:v>
                </c:pt>
                <c:pt idx="25">
                  <c:v>4.7114073900293265</c:v>
                </c:pt>
                <c:pt idx="26">
                  <c:v>4.348991436950147</c:v>
                </c:pt>
                <c:pt idx="27">
                  <c:v>3.9865754838709679</c:v>
                </c:pt>
                <c:pt idx="28">
                  <c:v>3.6241595307917889</c:v>
                </c:pt>
                <c:pt idx="29">
                  <c:v>3.2617435777126103</c:v>
                </c:pt>
                <c:pt idx="30">
                  <c:v>2.8993276246334312</c:v>
                </c:pt>
                <c:pt idx="31">
                  <c:v>2.5369116715542521</c:v>
                </c:pt>
                <c:pt idx="32">
                  <c:v>2.1744957184750735</c:v>
                </c:pt>
                <c:pt idx="33">
                  <c:v>1.8120797653958944</c:v>
                </c:pt>
                <c:pt idx="34">
                  <c:v>1.4496638123167156</c:v>
                </c:pt>
                <c:pt idx="35">
                  <c:v>1.0872478592375368</c:v>
                </c:pt>
                <c:pt idx="36">
                  <c:v>0.7248319061583578</c:v>
                </c:pt>
                <c:pt idx="37">
                  <c:v>0.3624159530791789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59-437A-A055-6AA44A40CF4D}"/>
            </c:ext>
          </c:extLst>
        </c:ser>
        <c:ser>
          <c:idx val="1"/>
          <c:order val="1"/>
          <c:tx>
            <c:v>Výkon TČ mod.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Výpočet!$B$9:$B$46</c:f>
              <c:numCache>
                <c:formatCode>General</c:formatCode>
                <c:ptCount val="38"/>
                <c:pt idx="0">
                  <c:v>-22</c:v>
                </c:pt>
                <c:pt idx="1">
                  <c:v>-21</c:v>
                </c:pt>
                <c:pt idx="2">
                  <c:v>-20</c:v>
                </c:pt>
                <c:pt idx="3">
                  <c:v>-19</c:v>
                </c:pt>
                <c:pt idx="4">
                  <c:v>-18</c:v>
                </c:pt>
                <c:pt idx="5">
                  <c:v>-17</c:v>
                </c:pt>
                <c:pt idx="6">
                  <c:v>-16</c:v>
                </c:pt>
                <c:pt idx="7">
                  <c:v>-15</c:v>
                </c:pt>
                <c:pt idx="8">
                  <c:v>-14</c:v>
                </c:pt>
                <c:pt idx="9">
                  <c:v>-13</c:v>
                </c:pt>
                <c:pt idx="10">
                  <c:v>-12</c:v>
                </c:pt>
                <c:pt idx="11">
                  <c:v>-11</c:v>
                </c:pt>
                <c:pt idx="12">
                  <c:v>-10</c:v>
                </c:pt>
                <c:pt idx="13">
                  <c:v>-9</c:v>
                </c:pt>
                <c:pt idx="14">
                  <c:v>-8</c:v>
                </c:pt>
                <c:pt idx="15">
                  <c:v>-7</c:v>
                </c:pt>
                <c:pt idx="16">
                  <c:v>-6</c:v>
                </c:pt>
                <c:pt idx="17">
                  <c:v>-5</c:v>
                </c:pt>
                <c:pt idx="18">
                  <c:v>-4</c:v>
                </c:pt>
                <c:pt idx="19">
                  <c:v>-3</c:v>
                </c:pt>
                <c:pt idx="20">
                  <c:v>-2</c:v>
                </c:pt>
                <c:pt idx="21">
                  <c:v>-1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</c:numCache>
            </c:numRef>
          </c:xVal>
          <c:yVal>
            <c:numRef>
              <c:f>Výpočet!$E$9:$E$46</c:f>
              <c:numCache>
                <c:formatCode>0.00</c:formatCode>
                <c:ptCount val="38"/>
                <c:pt idx="0">
                  <c:v>3.1249555993895823</c:v>
                </c:pt>
                <c:pt idx="1">
                  <c:v>3.122897864770426</c:v>
                </c:pt>
                <c:pt idx="2">
                  <c:v>3.1299912123428246</c:v>
                </c:pt>
                <c:pt idx="3">
                  <c:v>3.146235642106781</c:v>
                </c:pt>
                <c:pt idx="4">
                  <c:v>3.1844150143260466</c:v>
                </c:pt>
                <c:pt idx="5">
                  <c:v>3.2369732296477203</c:v>
                </c:pt>
                <c:pt idx="6">
                  <c:v>3.3005160698644618</c:v>
                </c:pt>
                <c:pt idx="7">
                  <c:v>3.3750435349762773</c:v>
                </c:pt>
                <c:pt idx="8">
                  <c:v>3.4605556249831624</c:v>
                </c:pt>
                <c:pt idx="9">
                  <c:v>3.5570523398851224</c:v>
                </c:pt>
                <c:pt idx="10">
                  <c:v>3.6645336796821506</c:v>
                </c:pt>
                <c:pt idx="11">
                  <c:v>3.7829996443742528</c:v>
                </c:pt>
                <c:pt idx="12">
                  <c:v>3.9124502339614251</c:v>
                </c:pt>
                <c:pt idx="13">
                  <c:v>4.0528854484436696</c:v>
                </c:pt>
                <c:pt idx="14">
                  <c:v>4.2043052878209837</c:v>
                </c:pt>
                <c:pt idx="15">
                  <c:v>4.3667097520933718</c:v>
                </c:pt>
                <c:pt idx="16">
                  <c:v>4.5400988412608321</c:v>
                </c:pt>
                <c:pt idx="17">
                  <c:v>4.7244725553233629</c:v>
                </c:pt>
                <c:pt idx="18">
                  <c:v>4.9198308942809632</c:v>
                </c:pt>
                <c:pt idx="19">
                  <c:v>5.1261738581336376</c:v>
                </c:pt>
                <c:pt idx="20">
                  <c:v>5.3435014468813833</c:v>
                </c:pt>
                <c:pt idx="21">
                  <c:v>5.5718136605241995</c:v>
                </c:pt>
                <c:pt idx="22">
                  <c:v>5.8111104990620888</c:v>
                </c:pt>
                <c:pt idx="23">
                  <c:v>6.0613919624950485</c:v>
                </c:pt>
                <c:pt idx="24">
                  <c:v>6.3226580508230796</c:v>
                </c:pt>
                <c:pt idx="25">
                  <c:v>6.5949087640461821</c:v>
                </c:pt>
                <c:pt idx="26">
                  <c:v>6.8781441021643577</c:v>
                </c:pt>
                <c:pt idx="27">
                  <c:v>7.1723640651776055</c:v>
                </c:pt>
                <c:pt idx="28">
                  <c:v>7.4775686530859211</c:v>
                </c:pt>
                <c:pt idx="29">
                  <c:v>7.7937578658893125</c:v>
                </c:pt>
                <c:pt idx="30">
                  <c:v>8.1209317035877735</c:v>
                </c:pt>
                <c:pt idx="31">
                  <c:v>8.4590901661813049</c:v>
                </c:pt>
                <c:pt idx="32">
                  <c:v>8.7769586463920835</c:v>
                </c:pt>
                <c:pt idx="33">
                  <c:v>9.0965753680329531</c:v>
                </c:pt>
                <c:pt idx="34">
                  <c:v>9.4253431718653768</c:v>
                </c:pt>
                <c:pt idx="35">
                  <c:v>9.7632620578893565</c:v>
                </c:pt>
                <c:pt idx="36">
                  <c:v>10.11033202610489</c:v>
                </c:pt>
                <c:pt idx="37">
                  <c:v>10.466553076511982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59-437A-A055-6AA44A40CF4D}"/>
            </c:ext>
          </c:extLst>
        </c:ser>
        <c:ser>
          <c:idx val="2"/>
          <c:order val="2"/>
          <c:tx>
            <c:v>Výkon TČ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Výpočet!$B$9:$B$46</c:f>
              <c:numCache>
                <c:formatCode>General</c:formatCode>
                <c:ptCount val="38"/>
                <c:pt idx="0">
                  <c:v>-22</c:v>
                </c:pt>
                <c:pt idx="1">
                  <c:v>-21</c:v>
                </c:pt>
                <c:pt idx="2">
                  <c:v>-20</c:v>
                </c:pt>
                <c:pt idx="3">
                  <c:v>-19</c:v>
                </c:pt>
                <c:pt idx="4">
                  <c:v>-18</c:v>
                </c:pt>
                <c:pt idx="5">
                  <c:v>-17</c:v>
                </c:pt>
                <c:pt idx="6">
                  <c:v>-16</c:v>
                </c:pt>
                <c:pt idx="7">
                  <c:v>-15</c:v>
                </c:pt>
                <c:pt idx="8">
                  <c:v>-14</c:v>
                </c:pt>
                <c:pt idx="9">
                  <c:v>-13</c:v>
                </c:pt>
                <c:pt idx="10">
                  <c:v>-12</c:v>
                </c:pt>
                <c:pt idx="11">
                  <c:v>-11</c:v>
                </c:pt>
                <c:pt idx="12">
                  <c:v>-10</c:v>
                </c:pt>
                <c:pt idx="13">
                  <c:v>-9</c:v>
                </c:pt>
                <c:pt idx="14">
                  <c:v>-8</c:v>
                </c:pt>
                <c:pt idx="15">
                  <c:v>-7</c:v>
                </c:pt>
                <c:pt idx="16">
                  <c:v>-6</c:v>
                </c:pt>
                <c:pt idx="17">
                  <c:v>-5</c:v>
                </c:pt>
                <c:pt idx="18">
                  <c:v>-4</c:v>
                </c:pt>
                <c:pt idx="19">
                  <c:v>-3</c:v>
                </c:pt>
                <c:pt idx="20">
                  <c:v>-2</c:v>
                </c:pt>
                <c:pt idx="21">
                  <c:v>-1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</c:numCache>
            </c:numRef>
          </c:xVal>
          <c:yVal>
            <c:numRef>
              <c:f>Výpočet!$F$9:$F$46</c:f>
              <c:numCache>
                <c:formatCode>0.00</c:formatCode>
                <c:ptCount val="38"/>
                <c:pt idx="0">
                  <c:v>3.1249555993895823</c:v>
                </c:pt>
                <c:pt idx="1">
                  <c:v>3.122897864770426</c:v>
                </c:pt>
                <c:pt idx="2">
                  <c:v>3.1299912123428246</c:v>
                </c:pt>
                <c:pt idx="3">
                  <c:v>3.146235642106781</c:v>
                </c:pt>
                <c:pt idx="4">
                  <c:v>3.1844150143260466</c:v>
                </c:pt>
                <c:pt idx="5">
                  <c:v>3.2369732296477203</c:v>
                </c:pt>
                <c:pt idx="6">
                  <c:v>3.3005160698644618</c:v>
                </c:pt>
                <c:pt idx="7">
                  <c:v>3.3750435349762773</c:v>
                </c:pt>
                <c:pt idx="8">
                  <c:v>3.4605556249831624</c:v>
                </c:pt>
                <c:pt idx="9">
                  <c:v>3.5570523398851224</c:v>
                </c:pt>
                <c:pt idx="10">
                  <c:v>3.6645336796821506</c:v>
                </c:pt>
                <c:pt idx="11">
                  <c:v>3.7829996443742528</c:v>
                </c:pt>
                <c:pt idx="12">
                  <c:v>3.9124502339614251</c:v>
                </c:pt>
                <c:pt idx="13">
                  <c:v>4.0528854484436696</c:v>
                </c:pt>
                <c:pt idx="14">
                  <c:v>4.2043052878209837</c:v>
                </c:pt>
                <c:pt idx="15">
                  <c:v>4.3667097520933718</c:v>
                </c:pt>
                <c:pt idx="16">
                  <c:v>4.5400988412608321</c:v>
                </c:pt>
                <c:pt idx="17">
                  <c:v>4.7244725553233629</c:v>
                </c:pt>
                <c:pt idx="18">
                  <c:v>4.9198308942809632</c:v>
                </c:pt>
                <c:pt idx="19">
                  <c:v>5.1261738581336376</c:v>
                </c:pt>
                <c:pt idx="20">
                  <c:v>5.3435014468813833</c:v>
                </c:pt>
                <c:pt idx="21">
                  <c:v>5.5718136605241995</c:v>
                </c:pt>
                <c:pt idx="22">
                  <c:v>5.8111104990620888</c:v>
                </c:pt>
                <c:pt idx="23">
                  <c:v>6.0613919624950485</c:v>
                </c:pt>
                <c:pt idx="24">
                  <c:v>6.3226580508230796</c:v>
                </c:pt>
                <c:pt idx="25">
                  <c:v>6.5949087640461821</c:v>
                </c:pt>
                <c:pt idx="26">
                  <c:v>6.8781441021643577</c:v>
                </c:pt>
                <c:pt idx="27">
                  <c:v>7.1723640651776055</c:v>
                </c:pt>
                <c:pt idx="28">
                  <c:v>7.4775686530859211</c:v>
                </c:pt>
                <c:pt idx="29">
                  <c:v>7.7937578658893125</c:v>
                </c:pt>
                <c:pt idx="30">
                  <c:v>8.1209317035877735</c:v>
                </c:pt>
                <c:pt idx="31">
                  <c:v>8.4590901661813049</c:v>
                </c:pt>
                <c:pt idx="32">
                  <c:v>8.7769586463920835</c:v>
                </c:pt>
                <c:pt idx="33">
                  <c:v>9.0965753680329531</c:v>
                </c:pt>
                <c:pt idx="34">
                  <c:v>9.4253431718653768</c:v>
                </c:pt>
                <c:pt idx="35">
                  <c:v>9.7632620578893565</c:v>
                </c:pt>
                <c:pt idx="36">
                  <c:v>10.11033202610489</c:v>
                </c:pt>
                <c:pt idx="37">
                  <c:v>10.466553076511982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959-437A-A055-6AA44A40C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70464"/>
        <c:axId val="312872032"/>
      </c:scatterChart>
      <c:valAx>
        <c:axId val="3128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°C</a:t>
                </a:r>
              </a:p>
            </c:rich>
          </c:tx>
          <c:layout>
            <c:manualLayout>
              <c:xMode val="edge"/>
              <c:yMode val="edge"/>
              <c:x val="0.94557763612881718"/>
              <c:y val="0.869967710018189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2872032"/>
        <c:crosses val="autoZero"/>
        <c:crossBetween val="midCat"/>
      </c:valAx>
      <c:valAx>
        <c:axId val="3128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cs-CZ"/>
                  <a:t>kW</a:t>
                </a:r>
              </a:p>
            </c:rich>
          </c:tx>
          <c:layout>
            <c:manualLayout>
              <c:xMode val="edge"/>
              <c:yMode val="edge"/>
              <c:x val="0.52247969003874517"/>
              <c:y val="6.1567811924186686E-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1287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Energie v domě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8C6-4306-8F5B-6E55A0DD3B4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8C6-4306-8F5B-6E55A0DD3B45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8C6-4306-8F5B-6E55A0DD3B45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8C6-4306-8F5B-6E55A0DD3B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'Měsíční rozdělení výsledků'!$A$46:$A$49</c:f>
              <c:strCache>
                <c:ptCount val="4"/>
                <c:pt idx="0">
                  <c:v>Dřevo</c:v>
                </c:pt>
                <c:pt idx="1">
                  <c:v>Okolní prostředí (vzduch nebo vrt)</c:v>
                </c:pt>
                <c:pt idx="2">
                  <c:v>Slunce</c:v>
                </c:pt>
                <c:pt idx="3">
                  <c:v>Elektřina</c:v>
                </c:pt>
              </c:strCache>
            </c:strRef>
          </c:cat>
          <c:val>
            <c:numRef>
              <c:f>'Měsíční rozdělení výsledků'!$C$46:$C$49</c:f>
              <c:numCache>
                <c:formatCode>0%</c:formatCode>
                <c:ptCount val="4"/>
                <c:pt idx="0">
                  <c:v>0</c:v>
                </c:pt>
                <c:pt idx="1">
                  <c:v>0.55089704998031241</c:v>
                </c:pt>
                <c:pt idx="2">
                  <c:v>0</c:v>
                </c:pt>
                <c:pt idx="3">
                  <c:v>0.44910295001968764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8C6-4306-8F5B-6E55A0DD3B4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List" dx="16" fmlaLink="H2" fmlaRange="$I$2:$I$4" noThreeD="1" sel="3" val="0"/>
</file>

<file path=xl/ctrlProps/ctrlProp2.xml><?xml version="1.0" encoding="utf-8"?>
<formControlPr xmlns="http://schemas.microsoft.com/office/spreadsheetml/2009/9/main" objectType="List" dx="16" fmlaLink="B13" fmlaRange="$B$14:$B$16" noThreeD="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142874</xdr:colOff>
      <xdr:row>1</xdr:row>
      <xdr:rowOff>76200</xdr:rowOff>
    </xdr:from>
    <xdr:to>
      <xdr:col>5</xdr:col>
      <xdr:colOff>533400</xdr:colOff>
      <xdr:row>2</xdr:row>
      <xdr:rowOff>123825</xdr:rowOff>
    </xdr:to>
    <xdr:sp macro="" textlink="">
      <xdr:nvSpPr>
        <xdr:cNvPr id="2" name="Zaoblený obdélníkový bublinový popisek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00549" y="419100"/>
          <a:ext cx="1971676" cy="238125"/>
        </a:xfrm>
        <a:prstGeom prst="wedgeRoundRectCallout">
          <a:avLst>
            <a:gd name="adj1" fmla="val -57478"/>
            <a:gd name="adj2" fmla="val -2957"/>
            <a:gd name="adj3" fmla="val 16667"/>
          </a:avLst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8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Platnost nízkého tarifu je </a:t>
          </a:r>
          <a:r>
            <a:rPr lang="cs-CZ" sz="8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20 hodin </a:t>
          </a:r>
          <a:r>
            <a:rPr lang="cs-CZ" sz="8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denně.</a:t>
          </a:r>
          <a:endParaRPr lang="cs-CZ">
            <a:effectLst/>
          </a:endParaRPr>
        </a:p>
      </xdr:txBody>
    </xdr:sp>
    <xdr:clientData/>
  </xdr:twoCellAnchor>
  <xdr:twoCellAnchor>
    <xdr:from>
      <xdr:col>0</xdr:col>
      <xdr:colOff>1</xdr:colOff>
      <xdr:row>24</xdr:row>
      <xdr:rowOff>19051</xdr:rowOff>
    </xdr:from>
    <xdr:to>
      <xdr:col>6</xdr:col>
      <xdr:colOff>1257300</xdr:colOff>
      <xdr:row>24</xdr:row>
      <xdr:rowOff>2482851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15</xdr:row>
      <xdr:rowOff>85724</xdr:rowOff>
    </xdr:from>
    <xdr:to>
      <xdr:col>6</xdr:col>
      <xdr:colOff>1228725</xdr:colOff>
      <xdr:row>16</xdr:row>
      <xdr:rowOff>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</xdr:row>
          <xdr:rowOff>19050</xdr:rowOff>
        </xdr:from>
        <xdr:to>
          <xdr:col>8</xdr:col>
          <xdr:colOff>0</xdr:colOff>
          <xdr:row>3</xdr:row>
          <xdr:rowOff>171450</xdr:rowOff>
        </xdr:to>
        <xdr:sp macro="" textlink="">
          <xdr:nvSpPr>
            <xdr:cNvPr id="73729" name="List Box 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0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438150</xdr:colOff>
      <xdr:row>15</xdr:row>
      <xdr:rowOff>171450</xdr:rowOff>
    </xdr:from>
    <xdr:to>
      <xdr:col>16</xdr:col>
      <xdr:colOff>38100</xdr:colOff>
      <xdr:row>15</xdr:row>
      <xdr:rowOff>1657350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5" y="2895600"/>
          <a:ext cx="2533650" cy="148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38100</xdr:rowOff>
    </xdr:from>
    <xdr:to>
      <xdr:col>13</xdr:col>
      <xdr:colOff>295275</xdr:colOff>
      <xdr:row>52</xdr:row>
      <xdr:rowOff>66675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1047750</xdr:colOff>
          <xdr:row>14</xdr:row>
          <xdr:rowOff>0</xdr:rowOff>
        </xdr:to>
        <xdr:sp macro="" textlink="">
          <xdr:nvSpPr>
            <xdr:cNvPr id="74754" name="List Box 1" hidden="1">
              <a:extLst>
                <a:ext uri="{63B3BB69-23CF-44E3-9099-C40C66FF867C}">
                  <a14:compatExt spid="_x0000_s74754"/>
                </a:ext>
                <a:ext uri="{FF2B5EF4-FFF2-40B4-BE49-F238E27FC236}">
                  <a16:creationId xmlns:a16="http://schemas.microsoft.com/office/drawing/2014/main" id="{00000000-0008-0000-0100-0000022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44</xdr:row>
      <xdr:rowOff>14287</xdr:rowOff>
    </xdr:from>
    <xdr:to>
      <xdr:col>8</xdr:col>
      <xdr:colOff>1238249</xdr:colOff>
      <xdr:row>61</xdr:row>
      <xdr:rowOff>9525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9457" name="Object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5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19</xdr:row>
          <xdr:rowOff>38100</xdr:rowOff>
        </xdr:from>
        <xdr:to>
          <xdr:col>14</xdr:col>
          <xdr:colOff>1466850</xdr:colOff>
          <xdr:row>19</xdr:row>
          <xdr:rowOff>647700</xdr:rowOff>
        </xdr:to>
        <xdr:sp macro="" textlink="">
          <xdr:nvSpPr>
            <xdr:cNvPr id="19458" name="Object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5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36</xdr:row>
          <xdr:rowOff>38100</xdr:rowOff>
        </xdr:from>
        <xdr:to>
          <xdr:col>14</xdr:col>
          <xdr:colOff>1466850</xdr:colOff>
          <xdr:row>36</xdr:row>
          <xdr:rowOff>647700</xdr:rowOff>
        </xdr:to>
        <xdr:sp macro="" textlink="">
          <xdr:nvSpPr>
            <xdr:cNvPr id="19459" name="Object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5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6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20</xdr:row>
          <xdr:rowOff>38100</xdr:rowOff>
        </xdr:from>
        <xdr:to>
          <xdr:col>14</xdr:col>
          <xdr:colOff>1466850</xdr:colOff>
          <xdr:row>20</xdr:row>
          <xdr:rowOff>647700</xdr:rowOff>
        </xdr:to>
        <xdr:sp macro="" textlink="">
          <xdr:nvSpPr>
            <xdr:cNvPr id="18434" name="Object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6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38</xdr:row>
          <xdr:rowOff>38100</xdr:rowOff>
        </xdr:from>
        <xdr:to>
          <xdr:col>14</xdr:col>
          <xdr:colOff>1466850</xdr:colOff>
          <xdr:row>38</xdr:row>
          <xdr:rowOff>647700</xdr:rowOff>
        </xdr:to>
        <xdr:sp macro="" textlink="">
          <xdr:nvSpPr>
            <xdr:cNvPr id="18435" name="Object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6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15</xdr:col>
          <xdr:colOff>0</xdr:colOff>
          <xdr:row>3</xdr:row>
          <xdr:rowOff>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7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25</xdr:row>
          <xdr:rowOff>38100</xdr:rowOff>
        </xdr:from>
        <xdr:to>
          <xdr:col>14</xdr:col>
          <xdr:colOff>1466850</xdr:colOff>
          <xdr:row>25</xdr:row>
          <xdr:rowOff>647700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7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48</xdr:row>
          <xdr:rowOff>38100</xdr:rowOff>
        </xdr:from>
        <xdr:to>
          <xdr:col>14</xdr:col>
          <xdr:colOff>1466850</xdr:colOff>
          <xdr:row>48</xdr:row>
          <xdr:rowOff>647700</xdr:rowOff>
        </xdr:to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7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8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25</xdr:row>
          <xdr:rowOff>38100</xdr:rowOff>
        </xdr:from>
        <xdr:to>
          <xdr:col>14</xdr:col>
          <xdr:colOff>1466850</xdr:colOff>
          <xdr:row>25</xdr:row>
          <xdr:rowOff>647700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8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48</xdr:row>
          <xdr:rowOff>38100</xdr:rowOff>
        </xdr:from>
        <xdr:to>
          <xdr:col>14</xdr:col>
          <xdr:colOff>1466850</xdr:colOff>
          <xdr:row>48</xdr:row>
          <xdr:rowOff>647700</xdr:rowOff>
        </xdr:to>
        <xdr:sp macro="" textlink="">
          <xdr:nvSpPr>
            <xdr:cNvPr id="17411" name="Object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8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9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25</xdr:row>
          <xdr:rowOff>38100</xdr:rowOff>
        </xdr:from>
        <xdr:to>
          <xdr:col>14</xdr:col>
          <xdr:colOff>1466850</xdr:colOff>
          <xdr:row>25</xdr:row>
          <xdr:rowOff>647700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9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48</xdr:row>
          <xdr:rowOff>38100</xdr:rowOff>
        </xdr:from>
        <xdr:to>
          <xdr:col>14</xdr:col>
          <xdr:colOff>1466850</xdr:colOff>
          <xdr:row>48</xdr:row>
          <xdr:rowOff>647700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9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47105" name="Object 1" hidden="1">
              <a:extLst>
                <a:ext uri="{63B3BB69-23CF-44E3-9099-C40C66FF867C}">
                  <a14:compatExt spid="_x0000_s47105"/>
                </a:ext>
                <a:ext uri="{FF2B5EF4-FFF2-40B4-BE49-F238E27FC236}">
                  <a16:creationId xmlns:a16="http://schemas.microsoft.com/office/drawing/2014/main" id="{00000000-0008-0000-0A00-000001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44</xdr:row>
          <xdr:rowOff>38100</xdr:rowOff>
        </xdr:from>
        <xdr:to>
          <xdr:col>14</xdr:col>
          <xdr:colOff>1466850</xdr:colOff>
          <xdr:row>44</xdr:row>
          <xdr:rowOff>647700</xdr:rowOff>
        </xdr:to>
        <xdr:sp macro="" textlink="">
          <xdr:nvSpPr>
            <xdr:cNvPr id="47106" name="Object 2" hidden="1">
              <a:extLst>
                <a:ext uri="{63B3BB69-23CF-44E3-9099-C40C66FF867C}">
                  <a14:compatExt spid="_x0000_s47106"/>
                </a:ext>
                <a:ext uri="{FF2B5EF4-FFF2-40B4-BE49-F238E27FC236}">
                  <a16:creationId xmlns:a16="http://schemas.microsoft.com/office/drawing/2014/main" id="{00000000-0008-0000-0A00-000002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86</xdr:row>
          <xdr:rowOff>38100</xdr:rowOff>
        </xdr:from>
        <xdr:to>
          <xdr:col>14</xdr:col>
          <xdr:colOff>1466850</xdr:colOff>
          <xdr:row>86</xdr:row>
          <xdr:rowOff>647700</xdr:rowOff>
        </xdr:to>
        <xdr:sp macro="" textlink="">
          <xdr:nvSpPr>
            <xdr:cNvPr id="47107" name="Object 3" hidden="1">
              <a:extLst>
                <a:ext uri="{63B3BB69-23CF-44E3-9099-C40C66FF867C}">
                  <a14:compatExt spid="_x0000_s47107"/>
                </a:ext>
                <a:ext uri="{FF2B5EF4-FFF2-40B4-BE49-F238E27FC236}">
                  <a16:creationId xmlns:a16="http://schemas.microsoft.com/office/drawing/2014/main" id="{00000000-0008-0000-0A00-000003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B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44</xdr:row>
          <xdr:rowOff>38100</xdr:rowOff>
        </xdr:from>
        <xdr:to>
          <xdr:col>14</xdr:col>
          <xdr:colOff>1466850</xdr:colOff>
          <xdr:row>44</xdr:row>
          <xdr:rowOff>647700</xdr:rowOff>
        </xdr:to>
        <xdr:sp macro="" textlink="">
          <xdr:nvSpPr>
            <xdr:cNvPr id="12290" name="Object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B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86</xdr:row>
          <xdr:rowOff>38100</xdr:rowOff>
        </xdr:from>
        <xdr:to>
          <xdr:col>14</xdr:col>
          <xdr:colOff>1466850</xdr:colOff>
          <xdr:row>86</xdr:row>
          <xdr:rowOff>647700</xdr:rowOff>
        </xdr:to>
        <xdr:sp macro="" textlink="">
          <xdr:nvSpPr>
            <xdr:cNvPr id="12291" name="Object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B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C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46</xdr:row>
          <xdr:rowOff>38100</xdr:rowOff>
        </xdr:from>
        <xdr:to>
          <xdr:col>14</xdr:col>
          <xdr:colOff>1466850</xdr:colOff>
          <xdr:row>46</xdr:row>
          <xdr:rowOff>647700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C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90</xdr:row>
          <xdr:rowOff>38100</xdr:rowOff>
        </xdr:from>
        <xdr:to>
          <xdr:col>14</xdr:col>
          <xdr:colOff>1466850</xdr:colOff>
          <xdr:row>90</xdr:row>
          <xdr:rowOff>647700</xdr:rowOff>
        </xdr:to>
        <xdr:sp macro="" textlink="">
          <xdr:nvSpPr>
            <xdr:cNvPr id="13315" name="Object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C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D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40</xdr:row>
          <xdr:rowOff>38100</xdr:rowOff>
        </xdr:from>
        <xdr:to>
          <xdr:col>14</xdr:col>
          <xdr:colOff>1466850</xdr:colOff>
          <xdr:row>40</xdr:row>
          <xdr:rowOff>647700</xdr:rowOff>
        </xdr:to>
        <xdr:sp macro="" textlink="">
          <xdr:nvSpPr>
            <xdr:cNvPr id="14338" name="Object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D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78</xdr:row>
          <xdr:rowOff>38100</xdr:rowOff>
        </xdr:from>
        <xdr:to>
          <xdr:col>14</xdr:col>
          <xdr:colOff>1466850</xdr:colOff>
          <xdr:row>78</xdr:row>
          <xdr:rowOff>647700</xdr:rowOff>
        </xdr:to>
        <xdr:sp macro="" textlink="">
          <xdr:nvSpPr>
            <xdr:cNvPr id="14339" name="Object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D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E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57</xdr:row>
          <xdr:rowOff>38100</xdr:rowOff>
        </xdr:from>
        <xdr:to>
          <xdr:col>14</xdr:col>
          <xdr:colOff>1466850</xdr:colOff>
          <xdr:row>57</xdr:row>
          <xdr:rowOff>647700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E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113</xdr:row>
          <xdr:rowOff>38100</xdr:rowOff>
        </xdr:from>
        <xdr:to>
          <xdr:col>14</xdr:col>
          <xdr:colOff>1466850</xdr:colOff>
          <xdr:row>113</xdr:row>
          <xdr:rowOff>647700</xdr:rowOff>
        </xdr:to>
        <xdr:sp macro="" textlink="">
          <xdr:nvSpPr>
            <xdr:cNvPr id="8195" name="Object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E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30721" name="Object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0F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38</xdr:row>
          <xdr:rowOff>38100</xdr:rowOff>
        </xdr:from>
        <xdr:to>
          <xdr:col>14</xdr:col>
          <xdr:colOff>1466850</xdr:colOff>
          <xdr:row>38</xdr:row>
          <xdr:rowOff>647700</xdr:rowOff>
        </xdr:to>
        <xdr:sp macro="" textlink="">
          <xdr:nvSpPr>
            <xdr:cNvPr id="30722" name="Object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0F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74</xdr:row>
          <xdr:rowOff>38100</xdr:rowOff>
        </xdr:from>
        <xdr:to>
          <xdr:col>14</xdr:col>
          <xdr:colOff>1466850</xdr:colOff>
          <xdr:row>74</xdr:row>
          <xdr:rowOff>647700</xdr:rowOff>
        </xdr:to>
        <xdr:sp macro="" textlink="">
          <xdr:nvSpPr>
            <xdr:cNvPr id="30723" name="Object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0F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31745" name="Object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0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52</xdr:row>
          <xdr:rowOff>38100</xdr:rowOff>
        </xdr:from>
        <xdr:to>
          <xdr:col>14</xdr:col>
          <xdr:colOff>1466850</xdr:colOff>
          <xdr:row>52</xdr:row>
          <xdr:rowOff>647700</xdr:rowOff>
        </xdr:to>
        <xdr:sp macro="" textlink="">
          <xdr:nvSpPr>
            <xdr:cNvPr id="31746" name="Object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0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102</xdr:row>
          <xdr:rowOff>38100</xdr:rowOff>
        </xdr:from>
        <xdr:to>
          <xdr:col>14</xdr:col>
          <xdr:colOff>1466850</xdr:colOff>
          <xdr:row>102</xdr:row>
          <xdr:rowOff>647700</xdr:rowOff>
        </xdr:to>
        <xdr:sp macro="" textlink="">
          <xdr:nvSpPr>
            <xdr:cNvPr id="31747" name="Object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0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11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41986" name="Object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11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75</xdr:row>
          <xdr:rowOff>38100</xdr:rowOff>
        </xdr:from>
        <xdr:to>
          <xdr:col>14</xdr:col>
          <xdr:colOff>1466850</xdr:colOff>
          <xdr:row>75</xdr:row>
          <xdr:rowOff>647700</xdr:rowOff>
        </xdr:to>
        <xdr:sp macro="" textlink="">
          <xdr:nvSpPr>
            <xdr:cNvPr id="41987" name="Object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11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148</xdr:row>
          <xdr:rowOff>38100</xdr:rowOff>
        </xdr:from>
        <xdr:to>
          <xdr:col>14</xdr:col>
          <xdr:colOff>1466850</xdr:colOff>
          <xdr:row>148</xdr:row>
          <xdr:rowOff>647700</xdr:rowOff>
        </xdr:to>
        <xdr:sp macro="" textlink="">
          <xdr:nvSpPr>
            <xdr:cNvPr id="41988" name="Object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11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58369" name="Object 1" hidden="1">
              <a:extLst>
                <a:ext uri="{63B3BB69-23CF-44E3-9099-C40C66FF867C}">
                  <a14:compatExt spid="_x0000_s58369"/>
                </a:ext>
                <a:ext uri="{FF2B5EF4-FFF2-40B4-BE49-F238E27FC236}">
                  <a16:creationId xmlns:a16="http://schemas.microsoft.com/office/drawing/2014/main" id="{00000000-0008-0000-1200-000001E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58370" name="Object 2" hidden="1">
              <a:extLst>
                <a:ext uri="{63B3BB69-23CF-44E3-9099-C40C66FF867C}">
                  <a14:compatExt spid="_x0000_s58370"/>
                </a:ext>
                <a:ext uri="{FF2B5EF4-FFF2-40B4-BE49-F238E27FC236}">
                  <a16:creationId xmlns:a16="http://schemas.microsoft.com/office/drawing/2014/main" id="{00000000-0008-0000-1200-000002E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31</xdr:row>
          <xdr:rowOff>38100</xdr:rowOff>
        </xdr:from>
        <xdr:to>
          <xdr:col>14</xdr:col>
          <xdr:colOff>1466850</xdr:colOff>
          <xdr:row>31</xdr:row>
          <xdr:rowOff>647700</xdr:rowOff>
        </xdr:to>
        <xdr:sp macro="" textlink="">
          <xdr:nvSpPr>
            <xdr:cNvPr id="58371" name="Object 3" hidden="1">
              <a:extLst>
                <a:ext uri="{63B3BB69-23CF-44E3-9099-C40C66FF867C}">
                  <a14:compatExt spid="_x0000_s58371"/>
                </a:ext>
                <a:ext uri="{FF2B5EF4-FFF2-40B4-BE49-F238E27FC236}">
                  <a16:creationId xmlns:a16="http://schemas.microsoft.com/office/drawing/2014/main" id="{00000000-0008-0000-1200-000003E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60</xdr:row>
          <xdr:rowOff>38100</xdr:rowOff>
        </xdr:from>
        <xdr:to>
          <xdr:col>14</xdr:col>
          <xdr:colOff>1466850</xdr:colOff>
          <xdr:row>60</xdr:row>
          <xdr:rowOff>647700</xdr:rowOff>
        </xdr:to>
        <xdr:sp macro="" textlink="">
          <xdr:nvSpPr>
            <xdr:cNvPr id="58372" name="Object 4" hidden="1">
              <a:extLst>
                <a:ext uri="{63B3BB69-23CF-44E3-9099-C40C66FF867C}">
                  <a14:compatExt spid="_x0000_s58372"/>
                </a:ext>
                <a:ext uri="{FF2B5EF4-FFF2-40B4-BE49-F238E27FC236}">
                  <a16:creationId xmlns:a16="http://schemas.microsoft.com/office/drawing/2014/main" id="{00000000-0008-0000-1200-000004E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33793" name="Object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3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3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83</xdr:row>
          <xdr:rowOff>38100</xdr:rowOff>
        </xdr:from>
        <xdr:to>
          <xdr:col>14</xdr:col>
          <xdr:colOff>1466850</xdr:colOff>
          <xdr:row>83</xdr:row>
          <xdr:rowOff>647700</xdr:rowOff>
        </xdr:to>
        <xdr:sp macro="" textlink="">
          <xdr:nvSpPr>
            <xdr:cNvPr id="33795" name="Object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3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164</xdr:row>
          <xdr:rowOff>38100</xdr:rowOff>
        </xdr:from>
        <xdr:to>
          <xdr:col>14</xdr:col>
          <xdr:colOff>1466850</xdr:colOff>
          <xdr:row>164</xdr:row>
          <xdr:rowOff>647700</xdr:rowOff>
        </xdr:to>
        <xdr:sp macro="" textlink="">
          <xdr:nvSpPr>
            <xdr:cNvPr id="33796" name="Object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3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0417" name="Object 1" hidden="1">
              <a:extLst>
                <a:ext uri="{63B3BB69-23CF-44E3-9099-C40C66FF867C}">
                  <a14:compatExt spid="_x0000_s60417"/>
                </a:ext>
                <a:ext uri="{FF2B5EF4-FFF2-40B4-BE49-F238E27FC236}">
                  <a16:creationId xmlns:a16="http://schemas.microsoft.com/office/drawing/2014/main" id="{00000000-0008-0000-1400-000001E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24</xdr:row>
          <xdr:rowOff>38100</xdr:rowOff>
        </xdr:from>
        <xdr:to>
          <xdr:col>14</xdr:col>
          <xdr:colOff>1466850</xdr:colOff>
          <xdr:row>24</xdr:row>
          <xdr:rowOff>647700</xdr:rowOff>
        </xdr:to>
        <xdr:sp macro="" textlink="">
          <xdr:nvSpPr>
            <xdr:cNvPr id="60418" name="Object 2" hidden="1">
              <a:extLst>
                <a:ext uri="{63B3BB69-23CF-44E3-9099-C40C66FF867C}">
                  <a14:compatExt spid="_x0000_s60418"/>
                </a:ext>
                <a:ext uri="{FF2B5EF4-FFF2-40B4-BE49-F238E27FC236}">
                  <a16:creationId xmlns:a16="http://schemas.microsoft.com/office/drawing/2014/main" id="{00000000-0008-0000-1400-000002E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46</xdr:row>
          <xdr:rowOff>38100</xdr:rowOff>
        </xdr:from>
        <xdr:to>
          <xdr:col>14</xdr:col>
          <xdr:colOff>1466850</xdr:colOff>
          <xdr:row>46</xdr:row>
          <xdr:rowOff>647700</xdr:rowOff>
        </xdr:to>
        <xdr:sp macro="" textlink="">
          <xdr:nvSpPr>
            <xdr:cNvPr id="60419" name="Object 3" hidden="1">
              <a:extLst>
                <a:ext uri="{63B3BB69-23CF-44E3-9099-C40C66FF867C}">
                  <a14:compatExt spid="_x0000_s60419"/>
                </a:ext>
                <a:ext uri="{FF2B5EF4-FFF2-40B4-BE49-F238E27FC236}">
                  <a16:creationId xmlns:a16="http://schemas.microsoft.com/office/drawing/2014/main" id="{00000000-0008-0000-1400-000003E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1441" name="Object 1" hidden="1">
              <a:extLst>
                <a:ext uri="{63B3BB69-23CF-44E3-9099-C40C66FF867C}">
                  <a14:compatExt spid="_x0000_s61441"/>
                </a:ext>
                <a:ext uri="{FF2B5EF4-FFF2-40B4-BE49-F238E27FC236}">
                  <a16:creationId xmlns:a16="http://schemas.microsoft.com/office/drawing/2014/main" id="{00000000-0008-0000-1500-000001F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25</xdr:row>
          <xdr:rowOff>38100</xdr:rowOff>
        </xdr:from>
        <xdr:to>
          <xdr:col>14</xdr:col>
          <xdr:colOff>1466850</xdr:colOff>
          <xdr:row>25</xdr:row>
          <xdr:rowOff>647700</xdr:rowOff>
        </xdr:to>
        <xdr:sp macro="" textlink="">
          <xdr:nvSpPr>
            <xdr:cNvPr id="61442" name="Object 2" hidden="1">
              <a:extLst>
                <a:ext uri="{63B3BB69-23CF-44E3-9099-C40C66FF867C}">
                  <a14:compatExt spid="_x0000_s61442"/>
                </a:ext>
                <a:ext uri="{FF2B5EF4-FFF2-40B4-BE49-F238E27FC236}">
                  <a16:creationId xmlns:a16="http://schemas.microsoft.com/office/drawing/2014/main" id="{00000000-0008-0000-1500-000002F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48</xdr:row>
          <xdr:rowOff>38100</xdr:rowOff>
        </xdr:from>
        <xdr:to>
          <xdr:col>14</xdr:col>
          <xdr:colOff>1466850</xdr:colOff>
          <xdr:row>48</xdr:row>
          <xdr:rowOff>647700</xdr:rowOff>
        </xdr:to>
        <xdr:sp macro="" textlink="">
          <xdr:nvSpPr>
            <xdr:cNvPr id="61443" name="Object 3" hidden="1">
              <a:extLst>
                <a:ext uri="{63B3BB69-23CF-44E3-9099-C40C66FF867C}">
                  <a14:compatExt spid="_x0000_s61443"/>
                </a:ext>
                <a:ext uri="{FF2B5EF4-FFF2-40B4-BE49-F238E27FC236}">
                  <a16:creationId xmlns:a16="http://schemas.microsoft.com/office/drawing/2014/main" id="{00000000-0008-0000-1500-000003F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3489" name="Object 1" hidden="1">
              <a:extLst>
                <a:ext uri="{63B3BB69-23CF-44E3-9099-C40C66FF867C}">
                  <a14:compatExt spid="_x0000_s63489"/>
                </a:ext>
                <a:ext uri="{FF2B5EF4-FFF2-40B4-BE49-F238E27FC236}">
                  <a16:creationId xmlns:a16="http://schemas.microsoft.com/office/drawing/2014/main" id="{00000000-0008-0000-1600-000001F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15</xdr:row>
          <xdr:rowOff>38100</xdr:rowOff>
        </xdr:from>
        <xdr:to>
          <xdr:col>14</xdr:col>
          <xdr:colOff>1466850</xdr:colOff>
          <xdr:row>15</xdr:row>
          <xdr:rowOff>647700</xdr:rowOff>
        </xdr:to>
        <xdr:sp macro="" textlink="">
          <xdr:nvSpPr>
            <xdr:cNvPr id="63490" name="Object 2" hidden="1">
              <a:extLst>
                <a:ext uri="{63B3BB69-23CF-44E3-9099-C40C66FF867C}">
                  <a14:compatExt spid="_x0000_s63490"/>
                </a:ext>
                <a:ext uri="{FF2B5EF4-FFF2-40B4-BE49-F238E27FC236}">
                  <a16:creationId xmlns:a16="http://schemas.microsoft.com/office/drawing/2014/main" id="{00000000-0008-0000-1600-000002F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28</xdr:row>
          <xdr:rowOff>38100</xdr:rowOff>
        </xdr:from>
        <xdr:to>
          <xdr:col>14</xdr:col>
          <xdr:colOff>1466850</xdr:colOff>
          <xdr:row>28</xdr:row>
          <xdr:rowOff>647700</xdr:rowOff>
        </xdr:to>
        <xdr:sp macro="" textlink="">
          <xdr:nvSpPr>
            <xdr:cNvPr id="63491" name="Object 3" hidden="1">
              <a:extLst>
                <a:ext uri="{63B3BB69-23CF-44E3-9099-C40C66FF867C}">
                  <a14:compatExt spid="_x0000_s63491"/>
                </a:ext>
                <a:ext uri="{FF2B5EF4-FFF2-40B4-BE49-F238E27FC236}">
                  <a16:creationId xmlns:a16="http://schemas.microsoft.com/office/drawing/2014/main" id="{00000000-0008-0000-1600-000003F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6561" name="Object 1" hidden="1">
              <a:extLst>
                <a:ext uri="{63B3BB69-23CF-44E3-9099-C40C66FF867C}">
                  <a14:compatExt spid="_x0000_s66561"/>
                </a:ext>
                <a:ext uri="{FF2B5EF4-FFF2-40B4-BE49-F238E27FC236}">
                  <a16:creationId xmlns:a16="http://schemas.microsoft.com/office/drawing/2014/main" id="{00000000-0008-0000-1700-000001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15</xdr:row>
          <xdr:rowOff>38100</xdr:rowOff>
        </xdr:from>
        <xdr:to>
          <xdr:col>14</xdr:col>
          <xdr:colOff>1466850</xdr:colOff>
          <xdr:row>15</xdr:row>
          <xdr:rowOff>647700</xdr:rowOff>
        </xdr:to>
        <xdr:sp macro="" textlink="">
          <xdr:nvSpPr>
            <xdr:cNvPr id="66562" name="Object 2" hidden="1">
              <a:extLst>
                <a:ext uri="{63B3BB69-23CF-44E3-9099-C40C66FF867C}">
                  <a14:compatExt spid="_x0000_s66562"/>
                </a:ext>
                <a:ext uri="{FF2B5EF4-FFF2-40B4-BE49-F238E27FC236}">
                  <a16:creationId xmlns:a16="http://schemas.microsoft.com/office/drawing/2014/main" id="{00000000-0008-0000-1700-000002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28</xdr:row>
          <xdr:rowOff>38100</xdr:rowOff>
        </xdr:from>
        <xdr:to>
          <xdr:col>14</xdr:col>
          <xdr:colOff>1466850</xdr:colOff>
          <xdr:row>28</xdr:row>
          <xdr:rowOff>647700</xdr:rowOff>
        </xdr:to>
        <xdr:sp macro="" textlink="">
          <xdr:nvSpPr>
            <xdr:cNvPr id="66563" name="Object 3" hidden="1">
              <a:extLst>
                <a:ext uri="{63B3BB69-23CF-44E3-9099-C40C66FF867C}">
                  <a14:compatExt spid="_x0000_s66563"/>
                </a:ext>
                <a:ext uri="{FF2B5EF4-FFF2-40B4-BE49-F238E27FC236}">
                  <a16:creationId xmlns:a16="http://schemas.microsoft.com/office/drawing/2014/main" id="{00000000-0008-0000-1700-000003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2465" name="Object 1" hidden="1">
              <a:extLst>
                <a:ext uri="{63B3BB69-23CF-44E3-9099-C40C66FF867C}">
                  <a14:compatExt spid="_x0000_s62465"/>
                </a:ext>
                <a:ext uri="{FF2B5EF4-FFF2-40B4-BE49-F238E27FC236}">
                  <a16:creationId xmlns:a16="http://schemas.microsoft.com/office/drawing/2014/main" id="{00000000-0008-0000-1800-000001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15</xdr:row>
          <xdr:rowOff>38100</xdr:rowOff>
        </xdr:from>
        <xdr:to>
          <xdr:col>14</xdr:col>
          <xdr:colOff>1466850</xdr:colOff>
          <xdr:row>15</xdr:row>
          <xdr:rowOff>647700</xdr:rowOff>
        </xdr:to>
        <xdr:sp macro="" textlink="">
          <xdr:nvSpPr>
            <xdr:cNvPr id="62466" name="Object 2" hidden="1">
              <a:extLst>
                <a:ext uri="{63B3BB69-23CF-44E3-9099-C40C66FF867C}">
                  <a14:compatExt spid="_x0000_s62466"/>
                </a:ext>
                <a:ext uri="{FF2B5EF4-FFF2-40B4-BE49-F238E27FC236}">
                  <a16:creationId xmlns:a16="http://schemas.microsoft.com/office/drawing/2014/main" id="{00000000-0008-0000-1800-000002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28</xdr:row>
          <xdr:rowOff>38100</xdr:rowOff>
        </xdr:from>
        <xdr:to>
          <xdr:col>14</xdr:col>
          <xdr:colOff>1466850</xdr:colOff>
          <xdr:row>28</xdr:row>
          <xdr:rowOff>647700</xdr:rowOff>
        </xdr:to>
        <xdr:sp macro="" textlink="">
          <xdr:nvSpPr>
            <xdr:cNvPr id="62467" name="Object 3" hidden="1">
              <a:extLst>
                <a:ext uri="{63B3BB69-23CF-44E3-9099-C40C66FF867C}">
                  <a14:compatExt spid="_x0000_s62467"/>
                </a:ext>
                <a:ext uri="{FF2B5EF4-FFF2-40B4-BE49-F238E27FC236}">
                  <a16:creationId xmlns:a16="http://schemas.microsoft.com/office/drawing/2014/main" id="{00000000-0008-0000-1800-000003F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7585" name="Object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:a16="http://schemas.microsoft.com/office/drawing/2014/main" id="{00000000-0008-0000-19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15</xdr:row>
          <xdr:rowOff>38100</xdr:rowOff>
        </xdr:from>
        <xdr:to>
          <xdr:col>14</xdr:col>
          <xdr:colOff>1466850</xdr:colOff>
          <xdr:row>15</xdr:row>
          <xdr:rowOff>647700</xdr:rowOff>
        </xdr:to>
        <xdr:sp macro="" textlink="">
          <xdr:nvSpPr>
            <xdr:cNvPr id="67586" name="Object 2" hidden="1">
              <a:extLst>
                <a:ext uri="{63B3BB69-23CF-44E3-9099-C40C66FF867C}">
                  <a14:compatExt spid="_x0000_s67586"/>
                </a:ext>
                <a:ext uri="{FF2B5EF4-FFF2-40B4-BE49-F238E27FC236}">
                  <a16:creationId xmlns:a16="http://schemas.microsoft.com/office/drawing/2014/main" id="{00000000-0008-0000-1900-00000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28</xdr:row>
          <xdr:rowOff>38100</xdr:rowOff>
        </xdr:from>
        <xdr:to>
          <xdr:col>14</xdr:col>
          <xdr:colOff>1466850</xdr:colOff>
          <xdr:row>28</xdr:row>
          <xdr:rowOff>647700</xdr:rowOff>
        </xdr:to>
        <xdr:sp macro="" textlink="">
          <xdr:nvSpPr>
            <xdr:cNvPr id="67587" name="Object 3" hidden="1">
              <a:extLst>
                <a:ext uri="{63B3BB69-23CF-44E3-9099-C40C66FF867C}">
                  <a14:compatExt spid="_x0000_s67587"/>
                </a:ext>
                <a:ext uri="{FF2B5EF4-FFF2-40B4-BE49-F238E27FC236}">
                  <a16:creationId xmlns:a16="http://schemas.microsoft.com/office/drawing/2014/main" id="{00000000-0008-0000-1900-000003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8609" name="Object 1" hidden="1">
              <a:extLst>
                <a:ext uri="{63B3BB69-23CF-44E3-9099-C40C66FF867C}">
                  <a14:compatExt spid="_x0000_s68609"/>
                </a:ext>
                <a:ext uri="{FF2B5EF4-FFF2-40B4-BE49-F238E27FC236}">
                  <a16:creationId xmlns:a16="http://schemas.microsoft.com/office/drawing/2014/main" id="{00000000-0008-0000-1A00-000001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15</xdr:row>
          <xdr:rowOff>38100</xdr:rowOff>
        </xdr:from>
        <xdr:to>
          <xdr:col>14</xdr:col>
          <xdr:colOff>1466850</xdr:colOff>
          <xdr:row>15</xdr:row>
          <xdr:rowOff>647700</xdr:rowOff>
        </xdr:to>
        <xdr:sp macro="" textlink="">
          <xdr:nvSpPr>
            <xdr:cNvPr id="68610" name="Object 2" hidden="1">
              <a:extLst>
                <a:ext uri="{63B3BB69-23CF-44E3-9099-C40C66FF867C}">
                  <a14:compatExt spid="_x0000_s68610"/>
                </a:ext>
                <a:ext uri="{FF2B5EF4-FFF2-40B4-BE49-F238E27FC236}">
                  <a16:creationId xmlns:a16="http://schemas.microsoft.com/office/drawing/2014/main" id="{00000000-0008-0000-1A00-000002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28</xdr:row>
          <xdr:rowOff>38100</xdr:rowOff>
        </xdr:from>
        <xdr:to>
          <xdr:col>14</xdr:col>
          <xdr:colOff>1466850</xdr:colOff>
          <xdr:row>28</xdr:row>
          <xdr:rowOff>647700</xdr:rowOff>
        </xdr:to>
        <xdr:sp macro="" textlink="">
          <xdr:nvSpPr>
            <xdr:cNvPr id="68611" name="Object 3" hidden="1">
              <a:extLst>
                <a:ext uri="{63B3BB69-23CF-44E3-9099-C40C66FF867C}">
                  <a14:compatExt spid="_x0000_s68611"/>
                </a:ext>
                <a:ext uri="{FF2B5EF4-FFF2-40B4-BE49-F238E27FC236}">
                  <a16:creationId xmlns:a16="http://schemas.microsoft.com/office/drawing/2014/main" id="{00000000-0008-0000-1A00-000003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</xdr:row>
          <xdr:rowOff>38100</xdr:rowOff>
        </xdr:from>
        <xdr:to>
          <xdr:col>14</xdr:col>
          <xdr:colOff>1466850</xdr:colOff>
          <xdr:row>2</xdr:row>
          <xdr:rowOff>647700</xdr:rowOff>
        </xdr:to>
        <xdr:sp macro="" textlink="">
          <xdr:nvSpPr>
            <xdr:cNvPr id="69633" name="Object 1" hidden="1">
              <a:extLst>
                <a:ext uri="{63B3BB69-23CF-44E3-9099-C40C66FF867C}">
                  <a14:compatExt spid="_x0000_s69633"/>
                </a:ext>
                <a:ext uri="{FF2B5EF4-FFF2-40B4-BE49-F238E27FC236}">
                  <a16:creationId xmlns:a16="http://schemas.microsoft.com/office/drawing/2014/main" id="{00000000-0008-0000-1B00-000001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14</xdr:row>
          <xdr:rowOff>38100</xdr:rowOff>
        </xdr:from>
        <xdr:to>
          <xdr:col>14</xdr:col>
          <xdr:colOff>1466850</xdr:colOff>
          <xdr:row>14</xdr:row>
          <xdr:rowOff>647700</xdr:rowOff>
        </xdr:to>
        <xdr:sp macro="" textlink="">
          <xdr:nvSpPr>
            <xdr:cNvPr id="69634" name="Object 2" hidden="1">
              <a:extLst>
                <a:ext uri="{63B3BB69-23CF-44E3-9099-C40C66FF867C}">
                  <a14:compatExt spid="_x0000_s69634"/>
                </a:ext>
                <a:ext uri="{FF2B5EF4-FFF2-40B4-BE49-F238E27FC236}">
                  <a16:creationId xmlns:a16="http://schemas.microsoft.com/office/drawing/2014/main" id="{00000000-0008-0000-1B00-000002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26</xdr:row>
          <xdr:rowOff>38100</xdr:rowOff>
        </xdr:from>
        <xdr:to>
          <xdr:col>14</xdr:col>
          <xdr:colOff>1466850</xdr:colOff>
          <xdr:row>26</xdr:row>
          <xdr:rowOff>647700</xdr:rowOff>
        </xdr:to>
        <xdr:sp macro="" textlink="">
          <xdr:nvSpPr>
            <xdr:cNvPr id="69635" name="Object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1B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Osobni/Pavel%20Ka&#269;&#237;rek/Bilance/NZU/DOKUMENTACE_NZU_C31_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6d25c108684190d1/Plocha/bilance_t&#269;_21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ML"/>
      <sheetName val="PODKLADY"/>
      <sheetName val="Zadání"/>
      <sheetName val="Výpočtová část"/>
      <sheetName val="ohlášení"/>
      <sheetName val="průvodní dopis"/>
      <sheetName val="TZ"/>
      <sheetName val="POSUDEK"/>
      <sheetName val="Krycí list - oblast podpory C"/>
      <sheetName val="kolektory"/>
      <sheetName val="Data pro seznamy"/>
      <sheetName val="data"/>
      <sheetName val="data solar"/>
      <sheetName val="teploty"/>
    </sheetNames>
    <sheetDataSet>
      <sheetData sheetId="0"/>
      <sheetData sheetId="1"/>
      <sheetData sheetId="2">
        <row r="19">
          <cell r="D19">
            <v>3</v>
          </cell>
        </row>
        <row r="24">
          <cell r="D24">
            <v>10</v>
          </cell>
        </row>
        <row r="25">
          <cell r="D25">
            <v>55</v>
          </cell>
        </row>
        <row r="26">
          <cell r="D26">
            <v>0</v>
          </cell>
        </row>
        <row r="27">
          <cell r="D27">
            <v>0.23581841400149522</v>
          </cell>
        </row>
        <row r="30">
          <cell r="D30">
            <v>295</v>
          </cell>
        </row>
        <row r="34">
          <cell r="D34">
            <v>0</v>
          </cell>
        </row>
        <row r="35">
          <cell r="D35">
            <v>0</v>
          </cell>
        </row>
        <row r="36">
          <cell r="D36">
            <v>0</v>
          </cell>
        </row>
        <row r="37">
          <cell r="E37">
            <v>0.75</v>
          </cell>
        </row>
        <row r="38">
          <cell r="D38">
            <v>5</v>
          </cell>
        </row>
        <row r="41">
          <cell r="D41">
            <v>0.75900000000000001</v>
          </cell>
        </row>
        <row r="42">
          <cell r="D42">
            <v>3.48</v>
          </cell>
        </row>
        <row r="43">
          <cell r="D43">
            <v>1.61E-2</v>
          </cell>
        </row>
        <row r="44">
          <cell r="D44">
            <v>2</v>
          </cell>
        </row>
        <row r="45">
          <cell r="D45">
            <v>2.3919999999999999</v>
          </cell>
        </row>
        <row r="46">
          <cell r="D46">
            <v>4.7839999999999998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adani"/>
      <sheetName val="shrnutí"/>
      <sheetName val="Návratnost"/>
      <sheetName val="List1"/>
      <sheetName val="Pocet_dnu"/>
      <sheetName val="rok"/>
      <sheetName val="leden"/>
      <sheetName val="únor"/>
      <sheetName val="březen"/>
      <sheetName val="duben"/>
      <sheetName val="květen"/>
      <sheetName val="červen"/>
      <sheetName val="červenec"/>
      <sheetName val="srpen"/>
      <sheetName val="září"/>
      <sheetName val="říjen"/>
      <sheetName val="listopad"/>
      <sheetName val="prosinec"/>
      <sheetName val="DATA"/>
      <sheetName val="Klima"/>
      <sheetName val="Výpočet"/>
    </sheetNames>
    <sheetDataSet>
      <sheetData sheetId="0">
        <row r="48">
          <cell r="S48">
            <v>-17</v>
          </cell>
        </row>
      </sheetData>
      <sheetData sheetId="1" refreshError="1"/>
      <sheetData sheetId="2">
        <row r="13">
          <cell r="A13" t="str">
            <v>systém s tepelným čerpadlem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0">
          <cell r="G30" t="str">
            <v>EcoAir410</v>
          </cell>
        </row>
      </sheetData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oleObject" Target="../embeddings/oleObject9.bin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oleObject" Target="../embeddings/oleObject12.bin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1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0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7" Type="http://schemas.openxmlformats.org/officeDocument/2006/relationships/oleObject" Target="../embeddings/oleObject15.bin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oleObject" Target="../embeddings/oleObject14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oleObject" Target="../embeddings/oleObject18.bin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1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7" Type="http://schemas.openxmlformats.org/officeDocument/2006/relationships/oleObject" Target="../embeddings/oleObject21.bin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20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7" Type="http://schemas.openxmlformats.org/officeDocument/2006/relationships/oleObject" Target="../embeddings/oleObject24.bin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2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7" Type="http://schemas.openxmlformats.org/officeDocument/2006/relationships/oleObject" Target="../embeddings/oleObject27.bin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6" Type="http://schemas.openxmlformats.org/officeDocument/2006/relationships/oleObject" Target="../embeddings/oleObject26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oleObject" Target="../embeddings/oleObject30.bin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oleObject" Target="../embeddings/oleObject2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7" Type="http://schemas.openxmlformats.org/officeDocument/2006/relationships/oleObject" Target="../embeddings/oleObject33.bin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oleObject" Target="../embeddings/oleObject3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7" Type="http://schemas.openxmlformats.org/officeDocument/2006/relationships/oleObject" Target="../embeddings/oleObject36.bin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oleObject" Target="../embeddings/oleObject3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0.bin"/><Relationship Id="rId3" Type="http://schemas.openxmlformats.org/officeDocument/2006/relationships/vmlDrawing" Target="../drawings/vmlDrawing15.vml"/><Relationship Id="rId7" Type="http://schemas.openxmlformats.org/officeDocument/2006/relationships/oleObject" Target="../embeddings/oleObject39.bin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6" Type="http://schemas.openxmlformats.org/officeDocument/2006/relationships/oleObject" Target="../embeddings/oleObject38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37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4.bin"/><Relationship Id="rId3" Type="http://schemas.openxmlformats.org/officeDocument/2006/relationships/vmlDrawing" Target="../drawings/vmlDrawing16.vml"/><Relationship Id="rId7" Type="http://schemas.openxmlformats.org/officeDocument/2006/relationships/oleObject" Target="../embeddings/oleObject43.bin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6" Type="http://schemas.openxmlformats.org/officeDocument/2006/relationships/oleObject" Target="../embeddings/oleObject4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1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8.bin"/><Relationship Id="rId3" Type="http://schemas.openxmlformats.org/officeDocument/2006/relationships/vmlDrawing" Target="../drawings/vmlDrawing17.vml"/><Relationship Id="rId7" Type="http://schemas.openxmlformats.org/officeDocument/2006/relationships/oleObject" Target="../embeddings/oleObject47.bin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6" Type="http://schemas.openxmlformats.org/officeDocument/2006/relationships/oleObject" Target="../embeddings/oleObject46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7" Type="http://schemas.openxmlformats.org/officeDocument/2006/relationships/oleObject" Target="../embeddings/oleObject51.bin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6" Type="http://schemas.openxmlformats.org/officeDocument/2006/relationships/oleObject" Target="../embeddings/oleObject50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7" Type="http://schemas.openxmlformats.org/officeDocument/2006/relationships/oleObject" Target="../embeddings/oleObject54.bin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6" Type="http://schemas.openxmlformats.org/officeDocument/2006/relationships/oleObject" Target="../embeddings/oleObject5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7" Type="http://schemas.openxmlformats.org/officeDocument/2006/relationships/oleObject" Target="../embeddings/oleObject57.bin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6" Type="http://schemas.openxmlformats.org/officeDocument/2006/relationships/oleObject" Target="../embeddings/oleObject56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7" Type="http://schemas.openxmlformats.org/officeDocument/2006/relationships/oleObject" Target="../embeddings/oleObject60.bin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6" Type="http://schemas.openxmlformats.org/officeDocument/2006/relationships/oleObject" Target="../embeddings/oleObject5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8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7" Type="http://schemas.openxmlformats.org/officeDocument/2006/relationships/oleObject" Target="../embeddings/oleObject63.bin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6" Type="http://schemas.openxmlformats.org/officeDocument/2006/relationships/oleObject" Target="../embeddings/oleObject6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6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7" Type="http://schemas.openxmlformats.org/officeDocument/2006/relationships/oleObject" Target="../embeddings/oleObject66.bin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6" Type="http://schemas.openxmlformats.org/officeDocument/2006/relationships/oleObject" Target="../embeddings/oleObject6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6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7" Type="http://schemas.openxmlformats.org/officeDocument/2006/relationships/oleObject" Target="../embeddings/oleObject69.bin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oleObject" Target="../embeddings/oleObject68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6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oleObject" Target="../embeddings/oleObject72.bin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oleObject" Target="../embeddings/oleObject7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7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T35"/>
  <sheetViews>
    <sheetView showGridLines="0" view="pageLayout" zoomScaleNormal="100" zoomScaleSheetLayoutView="100" workbookViewId="0">
      <selection activeCell="I7" sqref="I7"/>
    </sheetView>
  </sheetViews>
  <sheetFormatPr defaultColWidth="9.140625" defaultRowHeight="12.75" x14ac:dyDescent="0.2"/>
  <cols>
    <col min="1" max="1" width="45.42578125" style="128" customWidth="1"/>
    <col min="2" max="2" width="14" style="128" customWidth="1"/>
    <col min="3" max="3" width="10.5703125" style="128" customWidth="1"/>
    <col min="4" max="4" width="6.42578125" style="128" customWidth="1"/>
    <col min="5" max="5" width="1.7109375" style="128" customWidth="1"/>
    <col min="6" max="6" width="9" style="128" customWidth="1"/>
    <col min="7" max="7" width="18.42578125" style="189" customWidth="1"/>
    <col min="8" max="8" width="23" style="128" customWidth="1"/>
    <col min="9" max="9" width="15" style="128" customWidth="1"/>
    <col min="10" max="10" width="13" style="128" customWidth="1"/>
    <col min="11" max="11" width="3" style="128" customWidth="1"/>
    <col min="12" max="12" width="11.42578125" style="128" customWidth="1"/>
    <col min="13" max="13" width="5" style="128" customWidth="1"/>
    <col min="14" max="15" width="9.140625" style="128"/>
    <col min="16" max="16" width="6.140625" style="135" customWidth="1"/>
    <col min="17" max="16384" width="9.140625" style="128"/>
  </cols>
  <sheetData>
    <row r="1" spans="1:20" ht="27" customHeight="1" x14ac:dyDescent="0.3">
      <c r="A1" s="286" t="s">
        <v>190</v>
      </c>
      <c r="B1" s="286"/>
      <c r="C1" s="286"/>
      <c r="D1" s="286"/>
      <c r="E1" s="286"/>
      <c r="F1" s="286"/>
      <c r="G1" s="286"/>
      <c r="H1" s="196" t="s">
        <v>191</v>
      </c>
      <c r="I1" s="127"/>
      <c r="J1" s="187" t="s">
        <v>232</v>
      </c>
      <c r="K1" s="127"/>
      <c r="L1" s="127" t="s">
        <v>192</v>
      </c>
    </row>
    <row r="2" spans="1:20" ht="15" x14ac:dyDescent="0.25">
      <c r="C2" s="287"/>
      <c r="D2" s="287"/>
      <c r="E2" s="129"/>
      <c r="F2" s="129"/>
      <c r="G2" s="188"/>
      <c r="H2" s="128">
        <v>3</v>
      </c>
      <c r="I2" s="127" t="s">
        <v>194</v>
      </c>
      <c r="J2" s="187" t="s">
        <v>230</v>
      </c>
      <c r="K2" s="127"/>
      <c r="L2" s="127" t="s">
        <v>195</v>
      </c>
    </row>
    <row r="3" spans="1:20" ht="15" x14ac:dyDescent="0.25">
      <c r="A3" s="131" t="s">
        <v>196</v>
      </c>
      <c r="B3" s="181" t="s">
        <v>197</v>
      </c>
      <c r="C3" s="129"/>
      <c r="D3" s="129"/>
      <c r="E3" s="129"/>
      <c r="F3" s="129"/>
      <c r="G3" s="188"/>
      <c r="I3" s="127" t="s">
        <v>198</v>
      </c>
      <c r="J3" s="187" t="s">
        <v>231</v>
      </c>
      <c r="K3" s="127"/>
      <c r="L3" s="132">
        <v>45536</v>
      </c>
      <c r="M3" s="128" t="s">
        <v>199</v>
      </c>
      <c r="N3" s="131"/>
      <c r="O3" s="131"/>
      <c r="P3" s="180"/>
    </row>
    <row r="4" spans="1:20" ht="15" x14ac:dyDescent="0.25">
      <c r="A4" s="178" t="s">
        <v>200</v>
      </c>
      <c r="B4" s="182">
        <f>D4+F4</f>
        <v>5.18</v>
      </c>
      <c r="C4" s="175" t="s">
        <v>228</v>
      </c>
      <c r="D4" s="174">
        <v>3.5</v>
      </c>
      <c r="E4" s="135" t="s">
        <v>229</v>
      </c>
      <c r="F4" s="176">
        <f>O5</f>
        <v>1.68</v>
      </c>
      <c r="G4" s="189">
        <f>P5</f>
        <v>0.16666666666666666</v>
      </c>
      <c r="I4" s="127" t="s">
        <v>201</v>
      </c>
      <c r="J4" s="187" t="s">
        <v>230</v>
      </c>
      <c r="K4" s="127"/>
      <c r="L4" s="131" t="s">
        <v>223</v>
      </c>
      <c r="N4" s="134" t="s">
        <v>219</v>
      </c>
      <c r="O4" s="134" t="s">
        <v>220</v>
      </c>
      <c r="P4" s="135" t="s">
        <v>227</v>
      </c>
    </row>
    <row r="5" spans="1:20" ht="15" x14ac:dyDescent="0.25">
      <c r="A5" s="178" t="s">
        <v>202</v>
      </c>
      <c r="B5" s="182">
        <f>D5+F5</f>
        <v>4.92</v>
      </c>
      <c r="C5" s="175" t="s">
        <v>228</v>
      </c>
      <c r="D5" s="174">
        <v>3.5</v>
      </c>
      <c r="E5" s="135" t="s">
        <v>229</v>
      </c>
      <c r="F5" s="176">
        <f>O6</f>
        <v>1.42</v>
      </c>
      <c r="G5" s="189">
        <f>P6</f>
        <v>0.83333333333333337</v>
      </c>
      <c r="H5" s="202" t="s">
        <v>203</v>
      </c>
      <c r="I5" s="130"/>
      <c r="J5" s="130" t="str">
        <f>IF('Zadání+Výsledek'!B8=0,"ne","ano")</f>
        <v>ano</v>
      </c>
      <c r="K5" s="127"/>
      <c r="L5" s="131" t="s">
        <v>197</v>
      </c>
      <c r="M5" s="128" t="s">
        <v>154</v>
      </c>
      <c r="N5" s="135">
        <v>4.57</v>
      </c>
      <c r="O5" s="135">
        <v>1.68</v>
      </c>
      <c r="P5" s="135">
        <f>4/24</f>
        <v>0.16666666666666666</v>
      </c>
      <c r="Q5" s="136"/>
    </row>
    <row r="6" spans="1:20" x14ac:dyDescent="0.2">
      <c r="A6" s="131" t="s">
        <v>204</v>
      </c>
      <c r="B6" s="183" t="str">
        <f>IF(H2=1,"D 02d",IF(H2=2,"D 45d","D 25d"))</f>
        <v>D 25d</v>
      </c>
      <c r="D6" s="137"/>
      <c r="E6" s="135"/>
      <c r="F6" s="137"/>
      <c r="H6" s="198" t="s">
        <v>236</v>
      </c>
      <c r="I6" s="199" t="s">
        <v>116</v>
      </c>
      <c r="K6" s="127"/>
      <c r="L6" s="131" t="s">
        <v>197</v>
      </c>
      <c r="M6" s="128" t="s">
        <v>153</v>
      </c>
      <c r="N6" s="135">
        <v>4.45</v>
      </c>
      <c r="O6" s="135">
        <v>1.42</v>
      </c>
      <c r="P6" s="135">
        <f>20/24</f>
        <v>0.83333333333333337</v>
      </c>
      <c r="Q6" s="136"/>
    </row>
    <row r="7" spans="1:20" ht="15" x14ac:dyDescent="0.25">
      <c r="A7" s="178" t="s">
        <v>200</v>
      </c>
      <c r="B7" s="182">
        <f>D7+F7</f>
        <v>7</v>
      </c>
      <c r="C7" s="175" t="s">
        <v>228</v>
      </c>
      <c r="D7" s="174">
        <v>3.5</v>
      </c>
      <c r="E7" s="135" t="s">
        <v>229</v>
      </c>
      <c r="F7" s="177">
        <f>IF(H2=1,O14,IF(H2=2,O8,O11))</f>
        <v>3.5</v>
      </c>
      <c r="G7" s="189">
        <f>IF(H2=1,P14,IF(H2=2,P8,P11))</f>
        <v>0.66666666666666663</v>
      </c>
      <c r="H7" s="198" t="s">
        <v>237</v>
      </c>
      <c r="I7" s="200">
        <f>IF(I6="ne",'Zadání+Výsledek'!B8*880*Návratnost!B8,'Zadání+Výsledek'!B8*440*Návratnost!B8)</f>
        <v>8659.2000000000007</v>
      </c>
      <c r="J7" s="197"/>
      <c r="K7" s="197"/>
      <c r="L7" s="131" t="s">
        <v>221</v>
      </c>
      <c r="M7" s="131"/>
      <c r="N7" s="135"/>
      <c r="O7" s="135"/>
      <c r="P7" s="139"/>
      <c r="Q7" s="136"/>
    </row>
    <row r="8" spans="1:20" ht="15" customHeight="1" x14ac:dyDescent="0.25">
      <c r="A8" s="178" t="s">
        <v>202</v>
      </c>
      <c r="B8" s="182">
        <f>D8+F8</f>
        <v>4.92</v>
      </c>
      <c r="C8" s="175" t="s">
        <v>228</v>
      </c>
      <c r="D8" s="174">
        <v>3.5</v>
      </c>
      <c r="E8" s="135" t="s">
        <v>229</v>
      </c>
      <c r="F8" s="177">
        <f>IF(H2=1,O14,IF(H2=2,O9,O12))</f>
        <v>1.42</v>
      </c>
      <c r="G8" s="189">
        <f>IF(H2=1,P14,IF(H2=2,P9,P12))</f>
        <v>0.33333333333333331</v>
      </c>
      <c r="H8" s="197"/>
      <c r="I8" s="197"/>
      <c r="J8" s="197"/>
      <c r="K8" s="197"/>
      <c r="L8" s="131" t="s">
        <v>222</v>
      </c>
      <c r="M8" s="128" t="s">
        <v>154</v>
      </c>
      <c r="N8" s="135">
        <v>4.57</v>
      </c>
      <c r="O8" s="135">
        <v>1.68</v>
      </c>
      <c r="P8" s="135">
        <f>4/24</f>
        <v>0.16666666666666666</v>
      </c>
      <c r="Q8" s="136"/>
      <c r="T8" s="135"/>
    </row>
    <row r="9" spans="1:20" ht="15" customHeight="1" x14ac:dyDescent="0.25">
      <c r="A9" s="131" t="str">
        <f>IF(H2=1,"Cena plynu",IF(H2=2," ","Cena spotřebovaného paliva"))</f>
        <v>Cena spotřebovaného paliva</v>
      </c>
      <c r="B9" s="201">
        <v>50000</v>
      </c>
      <c r="C9" s="179"/>
      <c r="D9" s="133"/>
      <c r="E9" s="133"/>
      <c r="F9" s="133"/>
      <c r="G9" s="188"/>
      <c r="H9" s="197"/>
      <c r="I9" s="197"/>
      <c r="J9" s="197"/>
      <c r="K9" s="197"/>
      <c r="L9" s="131" t="s">
        <v>222</v>
      </c>
      <c r="M9" s="128" t="s">
        <v>153</v>
      </c>
      <c r="N9" s="135">
        <v>4.45</v>
      </c>
      <c r="O9" s="135">
        <v>1.42</v>
      </c>
      <c r="P9" s="139">
        <f>20/24</f>
        <v>0.83333333333333337</v>
      </c>
      <c r="Q9" s="136"/>
      <c r="T9" s="135"/>
    </row>
    <row r="10" spans="1:20" x14ac:dyDescent="0.2">
      <c r="H10" s="197"/>
      <c r="I10" s="197"/>
      <c r="J10" s="197"/>
      <c r="K10" s="197"/>
      <c r="L10" s="131" t="s">
        <v>226</v>
      </c>
      <c r="N10" s="135"/>
      <c r="O10" s="135"/>
      <c r="P10" s="139"/>
      <c r="Q10" s="136"/>
      <c r="T10" s="135"/>
    </row>
    <row r="11" spans="1:20" x14ac:dyDescent="0.2">
      <c r="A11" s="131" t="str">
        <f>IF(J5="ano","VYTÁPĚNÍ A OHŘEV VODY","VYTÁPĚNÍ")</f>
        <v>VYTÁPĚNÍ A OHŘEV VODY</v>
      </c>
      <c r="D11" s="131"/>
      <c r="E11" s="131"/>
      <c r="F11" s="131"/>
      <c r="G11" s="190"/>
      <c r="H11" s="138"/>
      <c r="I11" s="138"/>
      <c r="J11" s="138"/>
      <c r="K11" s="138"/>
      <c r="L11" s="131" t="s">
        <v>224</v>
      </c>
      <c r="M11" s="128" t="s">
        <v>154</v>
      </c>
      <c r="N11" s="139">
        <v>4.46</v>
      </c>
      <c r="O11" s="135">
        <v>3.5</v>
      </c>
      <c r="P11" s="135">
        <f>16/24</f>
        <v>0.66666666666666663</v>
      </c>
      <c r="Q11" s="136"/>
      <c r="T11" s="135"/>
    </row>
    <row r="12" spans="1:20" x14ac:dyDescent="0.2">
      <c r="A12" s="140" t="s">
        <v>205</v>
      </c>
      <c r="B12" s="131"/>
      <c r="D12" s="131"/>
      <c r="E12" s="131"/>
      <c r="F12" s="131"/>
      <c r="G12" s="190"/>
      <c r="H12" s="131" t="s">
        <v>206</v>
      </c>
      <c r="I12" s="128" t="s">
        <v>207</v>
      </c>
      <c r="L12" s="131" t="s">
        <v>224</v>
      </c>
      <c r="M12" s="128" t="s">
        <v>153</v>
      </c>
      <c r="N12" s="139">
        <v>4.21</v>
      </c>
      <c r="O12" s="135">
        <v>1.42</v>
      </c>
      <c r="P12" s="135">
        <f>8/24</f>
        <v>0.33333333333333331</v>
      </c>
      <c r="Q12" s="136"/>
    </row>
    <row r="13" spans="1:20" x14ac:dyDescent="0.2">
      <c r="A13" s="141" t="s">
        <v>208</v>
      </c>
      <c r="B13" s="142"/>
      <c r="C13" s="143">
        <f>'Zadání+Výsledek'!M3*B5</f>
        <v>50312.30760093197</v>
      </c>
      <c r="D13" s="143" t="s">
        <v>209</v>
      </c>
      <c r="E13" s="143"/>
      <c r="F13" s="143"/>
      <c r="G13" s="189">
        <f>G4*B4+G5*B5</f>
        <v>4.9633333333333338</v>
      </c>
      <c r="H13" s="145">
        <f>(139.15+377.52+11.18)*12</f>
        <v>6334.1999999999989</v>
      </c>
      <c r="I13" s="145">
        <f>C13+H13</f>
        <v>56646.507600931967</v>
      </c>
      <c r="J13" s="145"/>
      <c r="K13" s="145"/>
      <c r="L13" s="131" t="s">
        <v>225</v>
      </c>
      <c r="N13" s="135"/>
      <c r="O13" s="135"/>
      <c r="Q13" s="136"/>
    </row>
    <row r="14" spans="1:20" x14ac:dyDescent="0.2">
      <c r="A14" s="184" t="str">
        <f>CONCATENATE("systém s ",IF(H2=1,I2,IF(H2=2,I3,I4)))</f>
        <v>systém s kotlem na tuhá paliva</v>
      </c>
      <c r="B14" s="185"/>
      <c r="C14" s="186">
        <f>IF(H2=1,('Zadání+Výsledek'!M2/0.95)*B9,IF(H2=2,'Zadání+Výsledek'!M2/0.99*B8,B9+I7))</f>
        <v>58659.199999999997</v>
      </c>
      <c r="D14" s="186" t="s">
        <v>209</v>
      </c>
      <c r="E14" s="186"/>
      <c r="F14" s="186"/>
      <c r="G14" s="195"/>
      <c r="H14" s="145">
        <f>IF(H2=1,12*353.1,IF(H2=2,(139.15+377.52+11.18)*12,0))</f>
        <v>0</v>
      </c>
      <c r="I14" s="145">
        <f>C14+H14</f>
        <v>58659.199999999997</v>
      </c>
      <c r="J14" s="145"/>
      <c r="K14" s="145"/>
      <c r="L14" s="131" t="s">
        <v>210</v>
      </c>
      <c r="M14" s="128" t="s">
        <v>154</v>
      </c>
      <c r="N14" s="146">
        <v>4.3499999999999996</v>
      </c>
      <c r="O14" s="135">
        <v>3.33</v>
      </c>
      <c r="P14" s="135">
        <v>1</v>
      </c>
    </row>
    <row r="15" spans="1:20" ht="6" customHeight="1" x14ac:dyDescent="0.2">
      <c r="A15" s="147"/>
      <c r="C15" s="144"/>
      <c r="D15" s="144"/>
      <c r="E15" s="144"/>
      <c r="F15" s="144"/>
    </row>
    <row r="16" spans="1:20" ht="174.75" customHeight="1" x14ac:dyDescent="0.2">
      <c r="A16" s="147"/>
      <c r="C16" s="144"/>
      <c r="D16" s="144"/>
      <c r="E16" s="144"/>
      <c r="F16" s="144"/>
      <c r="H16" s="131"/>
    </row>
    <row r="17" spans="1:16" ht="27.75" customHeight="1" x14ac:dyDescent="0.2">
      <c r="A17" s="288" t="str">
        <f>CONCATENATE("Každý rok s tepelným čerpadlem ušetříte na provozních nákladech na ",A11," oproti systému s ",IF(H2=1,I2,IF(H2=2,I3,I4))," ",DOLLAR(ROUNDUP(C14-C13,-2),0),".")</f>
        <v>Každý rok s tepelným čerpadlem ušetříte na provozních nákladech na VYTÁPĚNÍ A OHŘEV VODY oproti systému s kotlem na tuhá paliva 8 400 Kč.</v>
      </c>
      <c r="B17" s="288"/>
      <c r="C17" s="288"/>
      <c r="D17" s="288"/>
      <c r="E17" s="288"/>
      <c r="F17" s="288"/>
      <c r="G17" s="288"/>
      <c r="M17" s="181" t="s">
        <v>233</v>
      </c>
      <c r="N17" s="128">
        <v>2.1800000000000002</v>
      </c>
      <c r="O17" s="128" t="s">
        <v>193</v>
      </c>
      <c r="P17" s="135" t="s">
        <v>234</v>
      </c>
    </row>
    <row r="18" spans="1:16" ht="17.25" customHeight="1" x14ac:dyDescent="0.2">
      <c r="A18" s="131"/>
      <c r="C18" s="144"/>
      <c r="D18" s="144"/>
      <c r="E18" s="144"/>
      <c r="F18" s="144"/>
      <c r="N18" s="128">
        <v>2.15</v>
      </c>
      <c r="O18" s="128" t="s">
        <v>193</v>
      </c>
      <c r="P18" s="135" t="s">
        <v>235</v>
      </c>
    </row>
    <row r="19" spans="1:16" ht="15" x14ac:dyDescent="0.25">
      <c r="A19" s="131" t="s">
        <v>211</v>
      </c>
      <c r="C19" s="148">
        <f>'Zadání+Výsledek'!B9</f>
        <v>3000</v>
      </c>
      <c r="D19" s="149" t="s">
        <v>76</v>
      </c>
      <c r="E19" s="149"/>
      <c r="F19" s="149"/>
      <c r="G19" s="191"/>
    </row>
    <row r="20" spans="1:16" x14ac:dyDescent="0.2">
      <c r="A20" s="140" t="s">
        <v>212</v>
      </c>
      <c r="B20" s="151"/>
      <c r="C20" s="151"/>
      <c r="G20" s="189" t="s">
        <v>213</v>
      </c>
      <c r="H20" s="131" t="s">
        <v>206</v>
      </c>
      <c r="I20" s="128" t="s">
        <v>214</v>
      </c>
    </row>
    <row r="21" spans="1:16" x14ac:dyDescent="0.2">
      <c r="A21" s="141" t="s">
        <v>215</v>
      </c>
      <c r="B21" s="142"/>
      <c r="C21" s="152">
        <f>G21*C19</f>
        <v>14890.000000000002</v>
      </c>
      <c r="D21" s="153" t="s">
        <v>209</v>
      </c>
      <c r="E21" s="153"/>
      <c r="F21" s="153"/>
      <c r="G21" s="189">
        <f>G4*B4+G5*B5</f>
        <v>4.9633333333333338</v>
      </c>
      <c r="H21" s="145"/>
      <c r="I21" s="144">
        <f>C13+C21+H13+H21</f>
        <v>71536.507600931975</v>
      </c>
      <c r="J21" s="144"/>
      <c r="K21" s="144"/>
      <c r="M21" s="154"/>
    </row>
    <row r="22" spans="1:16" x14ac:dyDescent="0.2">
      <c r="A22" s="155" t="str">
        <f>CONCATENATE("systém s ",IF(H2=1,I2,IF(H2=2,I3,I4))," - ",B6)</f>
        <v>systém s kotlem na tuhá paliva - D 25d</v>
      </c>
      <c r="B22" s="156"/>
      <c r="C22" s="157">
        <f>G22*C19</f>
        <v>18919.999999999996</v>
      </c>
      <c r="D22" s="158" t="s">
        <v>209</v>
      </c>
      <c r="E22" s="158"/>
      <c r="F22" s="158"/>
      <c r="G22" s="189">
        <f>G7*B7+G8*B8</f>
        <v>6.3066666666666658</v>
      </c>
      <c r="H22" s="145">
        <f>IF(H2=1,(154.88+158.51+11.18)*12,IF(H2=2,0,(139.15+152.46+11.18)*12))</f>
        <v>3633.4800000000005</v>
      </c>
      <c r="I22" s="144">
        <f>C14+H14+C22+H22</f>
        <v>81212.679999999993</v>
      </c>
      <c r="J22" s="144"/>
      <c r="K22" s="144"/>
    </row>
    <row r="23" spans="1:16" ht="6" customHeight="1" x14ac:dyDescent="0.25">
      <c r="A23" s="147"/>
      <c r="C23" s="144"/>
      <c r="D23" s="150"/>
      <c r="E23" s="150"/>
      <c r="F23" s="150"/>
      <c r="G23" s="189">
        <f>C15+C23</f>
        <v>0</v>
      </c>
      <c r="H23" s="145"/>
      <c r="I23" s="144"/>
      <c r="J23" s="144"/>
      <c r="K23" s="144"/>
    </row>
    <row r="24" spans="1:16" ht="15.75" hidden="1" customHeight="1" x14ac:dyDescent="0.25">
      <c r="A24" s="159" t="str">
        <f>CONCATENATE("ÚSPORA vlivem změny sazby z ",B6," na D57d")</f>
        <v>ÚSPORA vlivem změny sazby z D 25d na D57d</v>
      </c>
      <c r="B24" s="160"/>
      <c r="C24" s="161">
        <f>C22-C21</f>
        <v>4029.9999999999945</v>
      </c>
      <c r="D24" s="160"/>
      <c r="E24" s="160"/>
      <c r="F24" s="160"/>
      <c r="G24" s="190"/>
      <c r="H24" s="162">
        <f>-H13-H21+H14+H22</f>
        <v>-2700.7199999999984</v>
      </c>
      <c r="I24" s="162">
        <f>C24+H24</f>
        <v>1329.2799999999961</v>
      </c>
      <c r="J24" s="162"/>
      <c r="K24" s="162"/>
    </row>
    <row r="25" spans="1:16" ht="195.75" customHeight="1" x14ac:dyDescent="0.2">
      <c r="L25" s="154"/>
    </row>
    <row r="26" spans="1:16" ht="7.5" customHeight="1" x14ac:dyDescent="0.25">
      <c r="A26" s="147"/>
      <c r="C26" s="163"/>
      <c r="D26" s="150"/>
      <c r="E26" s="150"/>
      <c r="F26" s="150"/>
      <c r="G26" s="191"/>
      <c r="L26" s="164"/>
    </row>
    <row r="27" spans="1:16" x14ac:dyDescent="0.2">
      <c r="A27" s="289" t="s">
        <v>216</v>
      </c>
      <c r="B27" s="289"/>
      <c r="C27" s="289"/>
      <c r="D27" s="289"/>
      <c r="E27" s="165"/>
      <c r="F27" s="165"/>
      <c r="G27" s="192"/>
    </row>
    <row r="28" spans="1:16" ht="15" x14ac:dyDescent="0.25">
      <c r="A28" s="142" t="s">
        <v>208</v>
      </c>
      <c r="B28" s="142"/>
      <c r="C28" s="152"/>
      <c r="D28" s="153" t="s">
        <v>209</v>
      </c>
      <c r="E28" s="153"/>
      <c r="F28" s="153"/>
      <c r="G28" s="191"/>
    </row>
    <row r="29" spans="1:16" ht="15" x14ac:dyDescent="0.25">
      <c r="A29" s="128" t="str">
        <f>CONCATENATE("systém s ",IF(H2=1,I2,IF(H2=2,I3,I4)))</f>
        <v>systém s kotlem na tuhá paliva</v>
      </c>
      <c r="C29" s="148"/>
      <c r="D29" s="166" t="s">
        <v>209</v>
      </c>
      <c r="E29" s="166"/>
      <c r="F29" s="166"/>
      <c r="G29" s="191"/>
    </row>
    <row r="30" spans="1:16" ht="6" customHeight="1" x14ac:dyDescent="0.2">
      <c r="A30" s="147"/>
      <c r="C30" s="144"/>
      <c r="D30" s="144"/>
      <c r="E30" s="144"/>
      <c r="F30" s="144"/>
    </row>
    <row r="31" spans="1:16" ht="30" customHeight="1" x14ac:dyDescent="0.25">
      <c r="A31" s="284" t="str">
        <f>CONCATENATE("NÁVRATNOST: 
Investiční náklady na pořízení tepelného čerpadla se v úspoře nákladů na energie vrátí za ",ROUND(A33,1)," let.")</f>
        <v>NÁVRATNOST: 
Investiční náklady na pořízení tepelného čerpadla se v úspoře nákladů na energie vrátí za 0 let.</v>
      </c>
      <c r="B31" s="284"/>
      <c r="C31" s="284"/>
      <c r="D31" s="284"/>
      <c r="E31" s="284"/>
      <c r="F31" s="284"/>
      <c r="G31" s="284"/>
      <c r="H31" s="167"/>
    </row>
    <row r="32" spans="1:16" ht="6" customHeight="1" x14ac:dyDescent="0.25">
      <c r="A32" s="168"/>
      <c r="B32" s="169"/>
      <c r="C32" s="169"/>
      <c r="D32" s="170"/>
      <c r="E32" s="170"/>
      <c r="F32" s="170"/>
      <c r="G32" s="193"/>
    </row>
    <row r="33" spans="1:8" ht="15" hidden="1" x14ac:dyDescent="0.25">
      <c r="A33" s="171">
        <f>(C28-C29)/(C14-C13+C24)</f>
        <v>0</v>
      </c>
      <c r="B33" s="169" t="s">
        <v>217</v>
      </c>
      <c r="C33" s="170" t="str">
        <f>IF(H2=1," - TČ x Kondenzační kotel",IF(H2=2," - TČ x elektokotel"," - TČ x kotel na tuhá paliva"))</f>
        <v xml:space="preserve"> - TČ x kotel na tuhá paliva</v>
      </c>
    </row>
    <row r="34" spans="1:8" ht="32.25" customHeight="1" x14ac:dyDescent="0.25">
      <c r="A34" s="285" t="str">
        <f>CONCATENATE("Každý další rok celkem ušetříte oproti systému s ",IF(H2=1,I2,IF(H2=2,I3,I4))," ",DOLLAR(ROUNDUP(I22-I21,-2),0)," 
(zohledňuje úsporu vlivem změny sazby i změnu stálých plateb).")</f>
        <v>Každý další rok celkem ušetříte oproti systému s kotlem na tuhá paliva 9 700 Kč 
(zohledňuje úsporu vlivem změny sazby i změnu stálých plateb).</v>
      </c>
      <c r="B34" s="285"/>
      <c r="C34" s="285"/>
      <c r="D34" s="285"/>
      <c r="E34" s="285"/>
      <c r="F34" s="285"/>
      <c r="G34" s="285"/>
      <c r="H34" s="167"/>
    </row>
    <row r="35" spans="1:8" ht="15" x14ac:dyDescent="0.25">
      <c r="A35" s="172" t="s">
        <v>218</v>
      </c>
      <c r="B35" s="173"/>
      <c r="C35" s="173"/>
      <c r="D35" s="173"/>
      <c r="E35" s="173"/>
      <c r="F35" s="173"/>
      <c r="G35" s="194"/>
      <c r="H35" s="173"/>
    </row>
  </sheetData>
  <mergeCells count="6">
    <mergeCell ref="A31:G31"/>
    <mergeCell ref="A34:G34"/>
    <mergeCell ref="A1:G1"/>
    <mergeCell ref="C2:D2"/>
    <mergeCell ref="A17:G17"/>
    <mergeCell ref="A27:D27"/>
  </mergeCells>
  <conditionalFormatting sqref="A24:C24 H24:K24">
    <cfRule type="expression" dxfId="19" priority="8">
      <formula>$H$2=2</formula>
    </cfRule>
    <cfRule type="expression" dxfId="18" priority="9">
      <formula>$H$2=1</formula>
    </cfRule>
  </conditionalFormatting>
  <conditionalFormatting sqref="B4:B5">
    <cfRule type="containsBlanks" dxfId="17" priority="7">
      <formula>LEN(TRIM(B4))=0</formula>
    </cfRule>
  </conditionalFormatting>
  <conditionalFormatting sqref="B7:B8">
    <cfRule type="containsBlanks" dxfId="16" priority="6">
      <formula>LEN(TRIM(B7))=0</formula>
    </cfRule>
  </conditionalFormatting>
  <conditionalFormatting sqref="B9">
    <cfRule type="expression" dxfId="15" priority="2">
      <formula>H2&lt;&gt;2</formula>
    </cfRule>
  </conditionalFormatting>
  <conditionalFormatting sqref="C19">
    <cfRule type="containsBlanks" dxfId="14" priority="12">
      <formula>LEN(TRIM(C19))=0</formula>
    </cfRule>
  </conditionalFormatting>
  <conditionalFormatting sqref="C28:C29">
    <cfRule type="containsBlanks" dxfId="13" priority="11">
      <formula>LEN(TRIM(C28))=0</formula>
    </cfRule>
  </conditionalFormatting>
  <conditionalFormatting sqref="H6:H7">
    <cfRule type="expression" dxfId="12" priority="10">
      <formula>$H$2&lt;&gt;3</formula>
    </cfRule>
  </conditionalFormatting>
  <conditionalFormatting sqref="I6:I7">
    <cfRule type="expression" dxfId="11" priority="1">
      <formula>$H$2&lt;&gt;3</formula>
    </cfRule>
  </conditionalFormatting>
  <dataValidations disablePrompts="1" count="1">
    <dataValidation type="list" allowBlank="1" showInputMessage="1" showErrorMessage="1" sqref="I6" xr:uid="{00000000-0002-0000-0000-000000000000}">
      <formula1>"ano,ne"</formula1>
    </dataValidation>
  </dataValidations>
  <printOptions horizontalCentered="1"/>
  <pageMargins left="0.51181102362204722" right="0.15748031496062992" top="0.78740157480314965" bottom="0.78740157480314965" header="0.31496062992125984" footer="0.31496062992125984"/>
  <pageSetup paperSize="9" scale="90" orientation="portrait" r:id="rId1"/>
  <ignoredErrors>
    <ignoredError sqref="B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729" r:id="rId4" name="List Box 1">
              <controlPr defaultSize="0" autoLine="0" autoPict="0">
                <anchor moveWithCells="1">
                  <from>
                    <xdr:col>7</xdr:col>
                    <xdr:colOff>19050</xdr:colOff>
                    <xdr:row>1</xdr:row>
                    <xdr:rowOff>19050</xdr:rowOff>
                  </from>
                  <to>
                    <xdr:col>8</xdr:col>
                    <xdr:colOff>0</xdr:colOff>
                    <xdr:row>3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Z34"/>
  <sheetViews>
    <sheetView tabSelected="1" zoomScale="90" zoomScaleNormal="90" workbookViewId="0">
      <selection activeCell="E4" sqref="E4"/>
    </sheetView>
  </sheetViews>
  <sheetFormatPr defaultColWidth="9.140625" defaultRowHeight="15" x14ac:dyDescent="0.25"/>
  <cols>
    <col min="1" max="1" width="28.28515625" customWidth="1"/>
    <col min="2" max="2" width="15.85546875" customWidth="1"/>
    <col min="3" max="3" width="3.140625" customWidth="1"/>
    <col min="4" max="4" width="1.85546875" bestFit="1" customWidth="1"/>
    <col min="5" max="5" width="4.42578125" customWidth="1"/>
    <col min="6" max="6" width="3.85546875" customWidth="1"/>
    <col min="7" max="7" width="2.85546875" customWidth="1"/>
    <col min="8" max="8" width="23.5703125" bestFit="1" customWidth="1"/>
    <col min="9" max="9" width="6.28515625" customWidth="1"/>
    <col min="10" max="10" width="3.85546875" customWidth="1"/>
    <col min="11" max="11" width="2" customWidth="1"/>
    <col min="12" max="12" width="20.28515625" customWidth="1"/>
    <col min="13" max="13" width="13.85546875" customWidth="1"/>
    <col min="14" max="14" width="9.140625" customWidth="1"/>
    <col min="15" max="18" width="9.140625" style="205"/>
    <col min="19" max="19" width="6.28515625" customWidth="1"/>
    <col min="20" max="20" width="3.42578125" customWidth="1"/>
    <col min="21" max="21" width="9.85546875" customWidth="1"/>
    <col min="22" max="22" width="10.28515625" bestFit="1" customWidth="1"/>
  </cols>
  <sheetData>
    <row r="1" spans="1:26" ht="18.75" x14ac:dyDescent="0.3">
      <c r="A1" s="44" t="s">
        <v>110</v>
      </c>
      <c r="C1" s="45"/>
      <c r="D1" s="46"/>
      <c r="E1" s="46"/>
      <c r="F1" s="46"/>
      <c r="G1" s="46"/>
      <c r="H1" s="46"/>
      <c r="I1" s="46"/>
      <c r="J1" s="47"/>
      <c r="K1" s="38"/>
      <c r="L1" s="40" t="s">
        <v>119</v>
      </c>
      <c r="M1" s="38"/>
      <c r="N1" s="38"/>
    </row>
    <row r="2" spans="1:26" ht="15.75" x14ac:dyDescent="0.25">
      <c r="A2" s="38" t="s">
        <v>71</v>
      </c>
      <c r="B2" s="58">
        <v>10</v>
      </c>
      <c r="C2" s="38" t="s">
        <v>38</v>
      </c>
      <c r="D2" s="38"/>
      <c r="E2" s="38"/>
      <c r="F2" s="38"/>
      <c r="G2" s="38"/>
      <c r="H2" s="38"/>
      <c r="I2" s="38"/>
      <c r="J2" s="48"/>
      <c r="K2" s="38"/>
      <c r="L2" s="37" t="s">
        <v>75</v>
      </c>
      <c r="M2" s="41">
        <f>Výpočet!L47</f>
        <v>27104.36429888563</v>
      </c>
      <c r="N2" s="37" t="s">
        <v>76</v>
      </c>
    </row>
    <row r="3" spans="1:26" ht="18" x14ac:dyDescent="0.35">
      <c r="A3" s="38" t="s">
        <v>72</v>
      </c>
      <c r="B3" s="58">
        <v>-15</v>
      </c>
      <c r="C3" s="38" t="s">
        <v>40</v>
      </c>
      <c r="D3" s="38"/>
      <c r="E3" s="38"/>
      <c r="F3" s="38"/>
      <c r="G3" s="38"/>
      <c r="H3" s="275" t="s">
        <v>69</v>
      </c>
      <c r="I3" s="276">
        <f>B4+5</f>
        <v>62</v>
      </c>
      <c r="J3" s="277" t="s">
        <v>40</v>
      </c>
      <c r="K3" s="38"/>
      <c r="L3" s="37" t="s">
        <v>189</v>
      </c>
      <c r="M3" s="41">
        <f>Výpočet!M47</f>
        <v>10226.07878067723</v>
      </c>
      <c r="N3" s="37" t="s">
        <v>76</v>
      </c>
    </row>
    <row r="4" spans="1:26" ht="15.75" x14ac:dyDescent="0.25">
      <c r="A4" s="49" t="s">
        <v>73</v>
      </c>
      <c r="B4" s="108">
        <v>57</v>
      </c>
      <c r="C4" s="49" t="s">
        <v>40</v>
      </c>
      <c r="D4" s="49" t="s">
        <v>41</v>
      </c>
      <c r="E4" s="126">
        <f>B4-10</f>
        <v>47</v>
      </c>
      <c r="F4" s="49" t="s">
        <v>40</v>
      </c>
      <c r="G4" s="49"/>
      <c r="H4" s="278" t="s">
        <v>90</v>
      </c>
      <c r="I4" s="279">
        <v>25</v>
      </c>
      <c r="J4" s="280" t="s">
        <v>40</v>
      </c>
      <c r="K4" s="38"/>
      <c r="L4" s="37" t="s">
        <v>74</v>
      </c>
      <c r="M4" s="42">
        <f>Výpočet!L48</f>
        <v>2.6505139340507431</v>
      </c>
      <c r="N4" s="37"/>
    </row>
    <row r="5" spans="1:26" ht="15.75" x14ac:dyDescent="0.25">
      <c r="A5" s="51" t="s">
        <v>42</v>
      </c>
      <c r="B5" s="109" t="s">
        <v>29</v>
      </c>
      <c r="C5" s="39"/>
      <c r="D5" s="39"/>
      <c r="E5" s="39"/>
      <c r="F5" s="39"/>
      <c r="G5" s="39"/>
      <c r="H5" s="38"/>
      <c r="J5" s="38"/>
      <c r="L5" s="37" t="s">
        <v>111</v>
      </c>
      <c r="M5" s="43">
        <f>Výpočet!G49</f>
        <v>0</v>
      </c>
      <c r="N5" s="37" t="s">
        <v>40</v>
      </c>
    </row>
    <row r="6" spans="1:26" x14ac:dyDescent="0.25">
      <c r="A6" s="53" t="str">
        <f>IF(Výpočet!N2=1," ","Primární okruh")</f>
        <v xml:space="preserve"> </v>
      </c>
      <c r="B6" s="54" t="s">
        <v>103</v>
      </c>
      <c r="C6" s="38"/>
      <c r="D6" s="38"/>
      <c r="E6" s="38"/>
      <c r="F6" s="38"/>
      <c r="G6" s="38"/>
      <c r="I6" s="38"/>
      <c r="J6" s="38"/>
      <c r="K6" s="38"/>
      <c r="L6" s="38"/>
      <c r="M6" s="38"/>
      <c r="N6" s="38"/>
    </row>
    <row r="7" spans="1:26" ht="15.75" x14ac:dyDescent="0.25">
      <c r="A7" s="51" t="s">
        <v>106</v>
      </c>
      <c r="B7" s="291">
        <v>40</v>
      </c>
      <c r="C7" s="55" t="s">
        <v>107</v>
      </c>
      <c r="D7" s="55"/>
      <c r="E7" s="55"/>
      <c r="F7" s="55"/>
      <c r="G7" s="55"/>
      <c r="H7" s="55" t="s">
        <v>109</v>
      </c>
      <c r="I7" s="110">
        <v>50</v>
      </c>
      <c r="J7" s="48" t="s">
        <v>40</v>
      </c>
      <c r="K7" s="38"/>
      <c r="L7" s="38"/>
      <c r="M7" s="38"/>
      <c r="N7" s="38"/>
    </row>
    <row r="8" spans="1:26" ht="15.75" x14ac:dyDescent="0.25">
      <c r="A8" s="52"/>
      <c r="B8" s="108">
        <v>4</v>
      </c>
      <c r="C8" s="49" t="s">
        <v>108</v>
      </c>
      <c r="D8" s="49"/>
      <c r="E8" s="49"/>
      <c r="F8" s="49"/>
      <c r="G8" s="49"/>
      <c r="H8" s="49" t="s">
        <v>118</v>
      </c>
      <c r="I8" s="108" t="s">
        <v>117</v>
      </c>
      <c r="J8" s="50"/>
      <c r="K8" s="38"/>
      <c r="L8" s="38"/>
      <c r="M8" s="38"/>
      <c r="N8" s="38"/>
    </row>
    <row r="9" spans="1:26" ht="15.75" x14ac:dyDescent="0.25">
      <c r="A9" s="299" t="s">
        <v>149</v>
      </c>
      <c r="B9" s="300">
        <v>3000</v>
      </c>
      <c r="C9" s="299" t="s">
        <v>188</v>
      </c>
      <c r="D9" s="299"/>
      <c r="E9" s="299"/>
      <c r="F9" s="299"/>
      <c r="G9" s="299"/>
      <c r="H9" s="299"/>
      <c r="I9" s="299"/>
      <c r="J9" s="299"/>
      <c r="K9" s="299"/>
      <c r="L9" s="299"/>
      <c r="M9" s="299"/>
      <c r="N9" s="299"/>
    </row>
    <row r="10" spans="1:26" ht="15.75" customHeight="1" x14ac:dyDescent="0.3">
      <c r="A10" s="297"/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8"/>
      <c r="M10" s="205"/>
      <c r="N10" s="203"/>
      <c r="O10" s="203"/>
      <c r="P10" s="203"/>
      <c r="Q10" s="203"/>
      <c r="R10" s="292"/>
      <c r="S10" s="293"/>
      <c r="T10" s="294"/>
      <c r="U10" s="295"/>
      <c r="V10" s="295"/>
      <c r="W10" s="295"/>
      <c r="X10" s="294"/>
      <c r="Y10" s="296"/>
      <c r="Z10" s="296"/>
    </row>
    <row r="12" spans="1:26" ht="15.75" thickBot="1" x14ac:dyDescent="0.3">
      <c r="A12" s="281"/>
      <c r="B12" s="281"/>
      <c r="C12" s="281"/>
      <c r="D12" s="281"/>
      <c r="E12" s="281"/>
      <c r="F12" s="281"/>
      <c r="G12" s="281"/>
      <c r="H12" s="282"/>
      <c r="I12" s="283"/>
      <c r="J12" s="283"/>
      <c r="K12" s="283"/>
      <c r="L12" s="282"/>
    </row>
    <row r="13" spans="1:26" ht="16.5" thickTop="1" x14ac:dyDescent="0.25">
      <c r="A13" s="228" t="s">
        <v>238</v>
      </c>
      <c r="B13">
        <v>3</v>
      </c>
      <c r="G13" s="204" t="str">
        <f>IF(B13=1,"Cena ZP:",IF(B13=3,"Cena uhlí:",""))</f>
        <v>Cena uhlí:</v>
      </c>
      <c r="H13" s="207">
        <f>IF(B13=1,U31,IF(B13=3,U33,""))</f>
        <v>650</v>
      </c>
      <c r="I13" t="str">
        <f>IF(B13=1,"Kč/kWh",IF(B13=3,"Kč/q",""))</f>
        <v>Kč/q</v>
      </c>
      <c r="L13" s="225" t="s">
        <v>254</v>
      </c>
      <c r="M13" s="269"/>
      <c r="N13" s="269"/>
      <c r="O13" s="269"/>
      <c r="P13" s="269"/>
      <c r="Q13" s="269"/>
      <c r="R13" s="269"/>
      <c r="S13" s="255" t="s">
        <v>260</v>
      </c>
      <c r="T13" s="245"/>
      <c r="U13" s="256" t="s">
        <v>258</v>
      </c>
      <c r="V13" s="256"/>
      <c r="W13" s="267" t="s">
        <v>268</v>
      </c>
      <c r="X13" s="229"/>
      <c r="Y13" s="209"/>
    </row>
    <row r="14" spans="1:26" x14ac:dyDescent="0.25">
      <c r="A14" s="203">
        <v>1</v>
      </c>
      <c r="B14" s="203" t="s">
        <v>239</v>
      </c>
      <c r="C14" s="203" t="s">
        <v>210</v>
      </c>
      <c r="D14" s="205"/>
      <c r="E14" s="205"/>
      <c r="F14" s="205"/>
      <c r="G14" s="211" t="str">
        <f>IF(B13=3,"Spotřeba uhlí:","")</f>
        <v>Spotřeba uhlí:</v>
      </c>
      <c r="H14" s="270">
        <v>60</v>
      </c>
      <c r="I14" s="205" t="str">
        <f>IF(B13=3,"q","")</f>
        <v>q</v>
      </c>
      <c r="J14" s="205"/>
      <c r="K14" s="205"/>
      <c r="L14" s="217">
        <f>M2/H15*H13+12*W31</f>
        <v>23494686.259034213</v>
      </c>
      <c r="M14" s="269"/>
      <c r="O14" s="211" t="s">
        <v>272</v>
      </c>
      <c r="P14" s="273">
        <f>((H14*100*18)*H15/3.6*(20-B3))/(24*215*(20-3.5))*1.15-IF(H16="bojlerem",0,Výpočet!V2/2)</f>
        <v>10.01944490486258</v>
      </c>
      <c r="Q14" s="205" t="s">
        <v>38</v>
      </c>
      <c r="R14" s="269"/>
      <c r="S14" s="248" t="s">
        <v>223</v>
      </c>
      <c r="T14" s="257"/>
      <c r="U14" s="258" t="s">
        <v>219</v>
      </c>
      <c r="V14" s="258" t="s">
        <v>220</v>
      </c>
      <c r="W14" s="259" t="s">
        <v>267</v>
      </c>
      <c r="X14" s="229"/>
      <c r="Y14" s="209"/>
    </row>
    <row r="15" spans="1:26" x14ac:dyDescent="0.25">
      <c r="A15" s="203">
        <v>2</v>
      </c>
      <c r="B15" s="203" t="s">
        <v>240</v>
      </c>
      <c r="C15" s="203" t="s">
        <v>222</v>
      </c>
      <c r="D15" s="205"/>
      <c r="E15" s="205"/>
      <c r="F15" s="205"/>
      <c r="G15" s="211" t="s">
        <v>252</v>
      </c>
      <c r="H15" s="271">
        <f>IF(B13=1,0.97,IF(B13=3,0.75,0.99))</f>
        <v>0.75</v>
      </c>
      <c r="I15" s="205"/>
      <c r="J15" s="205"/>
      <c r="K15" s="205"/>
      <c r="L15" s="217">
        <f>M2/H15*O22</f>
        <v>203463.42800363479</v>
      </c>
      <c r="M15" s="269"/>
      <c r="R15" s="269"/>
      <c r="S15" s="248" t="s">
        <v>197</v>
      </c>
      <c r="T15" s="257" t="s">
        <v>154</v>
      </c>
      <c r="U15" s="260">
        <v>4.57</v>
      </c>
      <c r="V15" s="260">
        <v>1.68</v>
      </c>
      <c r="W15" s="261">
        <f>U15+V15</f>
        <v>6.25</v>
      </c>
      <c r="X15" s="229"/>
      <c r="Y15" s="209"/>
    </row>
    <row r="16" spans="1:26" x14ac:dyDescent="0.25">
      <c r="A16" s="203">
        <v>3</v>
      </c>
      <c r="B16" s="203" t="s">
        <v>241</v>
      </c>
      <c r="C16" s="203" t="s">
        <v>224</v>
      </c>
      <c r="D16" s="205"/>
      <c r="E16" s="205"/>
      <c r="F16" s="205"/>
      <c r="G16" s="211" t="str">
        <f>IF(B13=3,"Ohřev vody:","")</f>
        <v>Ohřev vody:</v>
      </c>
      <c r="H16" s="272" t="s">
        <v>273</v>
      </c>
      <c r="I16" s="205"/>
      <c r="J16" s="205"/>
      <c r="K16" s="205"/>
      <c r="L16" s="217">
        <f>H13*H14+IF(H16="bojlerem",B8*880*O22,B8*880*O22/2)</f>
        <v>48908.800000000003</v>
      </c>
      <c r="M16" s="269"/>
      <c r="N16" s="205"/>
      <c r="R16" s="269"/>
      <c r="S16" s="248" t="s">
        <v>197</v>
      </c>
      <c r="T16" s="257" t="s">
        <v>153</v>
      </c>
      <c r="U16" s="260">
        <v>4.45</v>
      </c>
      <c r="V16" s="260">
        <v>1.42</v>
      </c>
      <c r="W16" s="261">
        <f t="shared" ref="W16:W24" si="0">U16+V16</f>
        <v>5.87</v>
      </c>
      <c r="X16" s="229"/>
      <c r="Y16" s="209"/>
    </row>
    <row r="17" spans="1:25" x14ac:dyDescent="0.25">
      <c r="G17" s="210" t="s">
        <v>244</v>
      </c>
      <c r="H17" s="212">
        <f>VLOOKUP(B13,A14:L16,12,FALSE)</f>
        <v>48908.800000000003</v>
      </c>
      <c r="L17" s="218">
        <f>M3*Q22</f>
        <v>47755.787905762663</v>
      </c>
      <c r="M17" s="269"/>
      <c r="N17" s="205"/>
      <c r="R17" s="269"/>
      <c r="S17" s="248" t="s">
        <v>221</v>
      </c>
      <c r="T17" s="257"/>
      <c r="U17" s="260"/>
      <c r="V17" s="260"/>
      <c r="W17" s="261"/>
      <c r="X17" s="229"/>
      <c r="Y17" s="209"/>
    </row>
    <row r="18" spans="1:25" x14ac:dyDescent="0.25">
      <c r="A18" s="205" t="s">
        <v>265</v>
      </c>
      <c r="G18" s="204" t="s">
        <v>242</v>
      </c>
      <c r="H18" s="208" t="str">
        <f>VLOOKUP(B13,A14:C16,3,FALSE)</f>
        <v>D 25d</v>
      </c>
      <c r="L18" s="219" t="s">
        <v>197</v>
      </c>
      <c r="M18" s="269"/>
      <c r="N18" s="203" t="s">
        <v>243</v>
      </c>
      <c r="O18" s="203"/>
      <c r="P18" s="203"/>
      <c r="Q18" s="203"/>
      <c r="R18" s="269"/>
      <c r="S18" s="248" t="s">
        <v>222</v>
      </c>
      <c r="T18" s="257" t="s">
        <v>154</v>
      </c>
      <c r="U18" s="260">
        <v>4.57</v>
      </c>
      <c r="V18" s="260">
        <v>1.68</v>
      </c>
      <c r="W18" s="261">
        <f t="shared" si="0"/>
        <v>6.25</v>
      </c>
      <c r="X18" s="229"/>
      <c r="Y18" s="209"/>
    </row>
    <row r="19" spans="1:25" x14ac:dyDescent="0.25">
      <c r="A19" s="206"/>
      <c r="G19" s="204" t="s">
        <v>263</v>
      </c>
      <c r="H19" s="208">
        <f>IF(B13=1,0,IF(B13=2,20,8))</f>
        <v>8</v>
      </c>
      <c r="L19" s="220">
        <v>20</v>
      </c>
      <c r="M19" s="269"/>
      <c r="N19" s="203"/>
      <c r="O19" s="203"/>
      <c r="P19" s="203"/>
      <c r="Q19" s="203"/>
      <c r="R19" s="269"/>
      <c r="S19" s="248" t="s">
        <v>222</v>
      </c>
      <c r="T19" s="257" t="s">
        <v>153</v>
      </c>
      <c r="U19" s="260">
        <v>4.45</v>
      </c>
      <c r="V19" s="260">
        <v>1.42</v>
      </c>
      <c r="W19" s="261">
        <f t="shared" si="0"/>
        <v>5.87</v>
      </c>
      <c r="X19" s="229"/>
      <c r="Y19" s="209"/>
    </row>
    <row r="20" spans="1:25" x14ac:dyDescent="0.25">
      <c r="F20" s="204"/>
      <c r="G20" s="210" t="s">
        <v>266</v>
      </c>
      <c r="H20" s="207" t="s">
        <v>230</v>
      </c>
      <c r="L20" s="221" t="s">
        <v>231</v>
      </c>
      <c r="M20" s="269"/>
      <c r="N20" s="203" t="s">
        <v>243</v>
      </c>
      <c r="O20" s="203" t="s">
        <v>247</v>
      </c>
      <c r="P20" s="203" t="s">
        <v>227</v>
      </c>
      <c r="Q20" s="203" t="s">
        <v>255</v>
      </c>
      <c r="R20" s="269"/>
      <c r="S20" s="248" t="s">
        <v>226</v>
      </c>
      <c r="T20" s="257"/>
      <c r="U20" s="260"/>
      <c r="V20" s="260"/>
      <c r="W20" s="261"/>
      <c r="X20" s="229"/>
      <c r="Y20" s="209"/>
    </row>
    <row r="21" spans="1:25" x14ac:dyDescent="0.25">
      <c r="C21" s="215"/>
      <c r="D21" s="215"/>
      <c r="E21" s="215"/>
      <c r="F21" s="210" t="s">
        <v>264</v>
      </c>
      <c r="G21" s="215" t="s">
        <v>154</v>
      </c>
      <c r="H21" s="207">
        <v>4.46</v>
      </c>
      <c r="K21" s="204"/>
      <c r="L21" s="274">
        <v>3.25</v>
      </c>
      <c r="M21" s="269"/>
      <c r="N21" s="203">
        <f>IF(B13=1,V24,IF(B13=2,V18,V21))</f>
        <v>3.5</v>
      </c>
      <c r="O21" s="203">
        <f>H21+N21</f>
        <v>7.96</v>
      </c>
      <c r="P21" s="214">
        <f>(24-H19)/24</f>
        <v>0.66666666666666663</v>
      </c>
      <c r="Q21" s="214">
        <f>L21+V15</f>
        <v>4.93</v>
      </c>
      <c r="R21" s="269"/>
      <c r="S21" s="248" t="s">
        <v>224</v>
      </c>
      <c r="T21" s="257" t="s">
        <v>154</v>
      </c>
      <c r="U21" s="262">
        <v>4.46</v>
      </c>
      <c r="V21" s="260">
        <v>3.5</v>
      </c>
      <c r="W21" s="261">
        <f t="shared" si="0"/>
        <v>7.96</v>
      </c>
      <c r="X21" s="229"/>
      <c r="Y21" s="209"/>
    </row>
    <row r="22" spans="1:25" x14ac:dyDescent="0.25">
      <c r="C22" s="215"/>
      <c r="D22" s="215"/>
      <c r="E22" s="215"/>
      <c r="F22" s="210" t="s">
        <v>245</v>
      </c>
      <c r="G22" s="215" t="s">
        <v>153</v>
      </c>
      <c r="H22" s="207">
        <v>4.21</v>
      </c>
      <c r="K22" s="204"/>
      <c r="L22" s="274">
        <v>3.25</v>
      </c>
      <c r="M22" s="269"/>
      <c r="N22" s="203">
        <f>IF(B13=1,V24,IF(B13=2,V19,V22))</f>
        <v>1.42</v>
      </c>
      <c r="O22" s="203">
        <f>H22+N22</f>
        <v>5.63</v>
      </c>
      <c r="P22" s="214">
        <f>H19/24</f>
        <v>0.33333333333333331</v>
      </c>
      <c r="Q22" s="214">
        <f>L22+V16</f>
        <v>4.67</v>
      </c>
      <c r="R22" s="269"/>
      <c r="S22" s="248" t="s">
        <v>224</v>
      </c>
      <c r="T22" s="257" t="s">
        <v>153</v>
      </c>
      <c r="U22" s="262">
        <v>4.21</v>
      </c>
      <c r="V22" s="260">
        <v>1.42</v>
      </c>
      <c r="W22" s="261">
        <f t="shared" si="0"/>
        <v>5.63</v>
      </c>
      <c r="X22" s="229"/>
      <c r="Y22" s="209"/>
    </row>
    <row r="23" spans="1:25" x14ac:dyDescent="0.25">
      <c r="G23" s="204" t="s">
        <v>246</v>
      </c>
      <c r="H23" s="226">
        <f>O21*P21+O22*P22</f>
        <v>7.1833333333333336</v>
      </c>
      <c r="L23" s="227">
        <f>Q21*4/24+Q22*20/24</f>
        <v>4.7133333333333338</v>
      </c>
      <c r="M23" s="269"/>
      <c r="N23" s="269"/>
      <c r="O23" s="269"/>
      <c r="P23" s="269"/>
      <c r="Q23" s="269"/>
      <c r="R23" s="269"/>
      <c r="S23" s="248" t="s">
        <v>225</v>
      </c>
      <c r="T23" s="257"/>
      <c r="U23" s="260"/>
      <c r="V23" s="260"/>
      <c r="W23" s="261"/>
      <c r="X23" s="229"/>
      <c r="Y23" s="209"/>
    </row>
    <row r="24" spans="1:25" ht="15.75" thickBot="1" x14ac:dyDescent="0.3">
      <c r="G24" s="204" t="s">
        <v>250</v>
      </c>
      <c r="H24" s="213">
        <f>IF(H20="3x16A",VLOOKUP(H18,S26:U29,3,FALSE),IF(H20="3x20A",VLOOKUP(H18,S26:V29,4,FALSE),IF(H20="3x25A",VLOOKUP(H18,S26:W29,5,FALSE))))</f>
        <v>3633.4800000000005</v>
      </c>
      <c r="L24" s="223">
        <f>IF(L20="3x16A",U26,IF(L20="3x20A",V26,IF(L20="3x25A",W26)))</f>
        <v>6334.1999999999989</v>
      </c>
      <c r="M24" s="269"/>
      <c r="N24" s="269"/>
      <c r="O24" s="269"/>
      <c r="P24" s="269"/>
      <c r="Q24" s="269"/>
      <c r="R24" s="269"/>
      <c r="S24" s="251" t="s">
        <v>210</v>
      </c>
      <c r="T24" s="263" t="s">
        <v>154</v>
      </c>
      <c r="U24" s="264">
        <v>4.3499999999999996</v>
      </c>
      <c r="V24" s="265">
        <v>3.33</v>
      </c>
      <c r="W24" s="266">
        <f t="shared" si="0"/>
        <v>7.68</v>
      </c>
      <c r="X24" s="229"/>
      <c r="Y24" s="209"/>
    </row>
    <row r="25" spans="1:25" hidden="1" x14ac:dyDescent="0.25">
      <c r="L25" s="222"/>
      <c r="M25" s="269"/>
      <c r="N25" s="269"/>
      <c r="O25" s="269"/>
      <c r="P25" s="269"/>
      <c r="Q25" s="269"/>
      <c r="R25" s="269"/>
      <c r="S25" s="244" t="s">
        <v>248</v>
      </c>
      <c r="T25" s="245"/>
      <c r="U25" s="246" t="s">
        <v>230</v>
      </c>
      <c r="V25" s="246" t="s">
        <v>231</v>
      </c>
      <c r="W25" s="247" t="s">
        <v>249</v>
      </c>
      <c r="X25" s="205"/>
    </row>
    <row r="26" spans="1:25" ht="15.75" thickBot="1" x14ac:dyDescent="0.3">
      <c r="G26" s="210" t="s">
        <v>253</v>
      </c>
      <c r="H26" s="212">
        <f>H23*B9+H24</f>
        <v>25183.48</v>
      </c>
      <c r="L26" s="224">
        <f>B9*L23+L24</f>
        <v>20474.2</v>
      </c>
      <c r="N26" s="203"/>
      <c r="O26" s="203"/>
      <c r="P26" s="203"/>
      <c r="Q26" s="203"/>
      <c r="R26" s="203"/>
      <c r="S26" s="248" t="s">
        <v>197</v>
      </c>
      <c r="T26" s="205"/>
      <c r="U26" s="249">
        <f>12*(139.15+302.5+11.18)</f>
        <v>5433.96</v>
      </c>
      <c r="V26" s="249">
        <f>12*(139.15+377.52+11.18)</f>
        <v>6334.1999999999989</v>
      </c>
      <c r="W26" s="250">
        <f>12*(139.15+473.11+11.18)</f>
        <v>7481.2799999999988</v>
      </c>
      <c r="X26" s="205"/>
    </row>
    <row r="27" spans="1:25" ht="15.75" thickTop="1" x14ac:dyDescent="0.25">
      <c r="L27" s="205"/>
      <c r="M27" s="205"/>
      <c r="N27" s="203"/>
      <c r="O27" s="203"/>
      <c r="P27" s="203"/>
      <c r="Q27" s="203"/>
      <c r="R27" s="203"/>
      <c r="S27" s="248" t="s">
        <v>222</v>
      </c>
      <c r="T27" s="205"/>
      <c r="U27" s="249">
        <f>12*(139.15+302.5+11.18)</f>
        <v>5433.96</v>
      </c>
      <c r="V27" s="249">
        <f>12*(139.15+377.52+11.18)</f>
        <v>6334.1999999999989</v>
      </c>
      <c r="W27" s="250">
        <f>12*(139.15+473.11+11.18)</f>
        <v>7481.2799999999988</v>
      </c>
      <c r="X27" s="205"/>
    </row>
    <row r="28" spans="1:25" ht="15.75" customHeight="1" x14ac:dyDescent="0.3">
      <c r="A28" s="290" t="s">
        <v>261</v>
      </c>
      <c r="B28" s="290"/>
      <c r="C28" s="290"/>
      <c r="D28" s="290"/>
      <c r="E28" s="290"/>
      <c r="F28" s="290"/>
      <c r="G28" s="290"/>
      <c r="H28" s="290"/>
      <c r="I28" s="290"/>
      <c r="J28" s="290"/>
      <c r="K28" s="290"/>
      <c r="L28" s="216">
        <f>H17+H26-L17-L26</f>
        <v>5862.2920942373348</v>
      </c>
      <c r="M28" s="205"/>
      <c r="N28" s="203"/>
      <c r="O28" s="203"/>
      <c r="P28" s="203"/>
      <c r="Q28" s="203"/>
      <c r="R28" s="203"/>
      <c r="S28" s="248" t="s">
        <v>224</v>
      </c>
      <c r="T28" s="205"/>
      <c r="U28" s="249">
        <f>12*(139.15+152.46+11.18)</f>
        <v>3633.4800000000005</v>
      </c>
      <c r="V28" s="249">
        <f>12*(139.15+191.18+11.18)</f>
        <v>4098.1200000000008</v>
      </c>
      <c r="W28" s="250">
        <f>12*(139.15+238.37+11.18)</f>
        <v>4664.3999999999996</v>
      </c>
      <c r="X28" s="205"/>
    </row>
    <row r="29" spans="1:25" ht="15.75" thickBot="1" x14ac:dyDescent="0.3">
      <c r="A29" t="s">
        <v>262</v>
      </c>
      <c r="L29" s="205"/>
      <c r="M29" s="205"/>
      <c r="N29" s="205"/>
      <c r="S29" s="251" t="s">
        <v>210</v>
      </c>
      <c r="T29" s="252"/>
      <c r="U29" s="253">
        <f>12*(154.88+158.51+11.18)</f>
        <v>3894.84</v>
      </c>
      <c r="V29" s="253">
        <f>12*(154.88+198.44+11.18)</f>
        <v>4374</v>
      </c>
      <c r="W29" s="254">
        <f>12*(154.88+248.05+11.18)</f>
        <v>4969.32</v>
      </c>
      <c r="X29" s="205"/>
    </row>
    <row r="30" spans="1:25" x14ac:dyDescent="0.25">
      <c r="L30" s="205"/>
      <c r="M30" s="205"/>
      <c r="N30" s="205"/>
      <c r="S30" s="231"/>
      <c r="T30" s="232"/>
      <c r="U30" s="232" t="s">
        <v>258</v>
      </c>
      <c r="V30" s="232" t="s">
        <v>257</v>
      </c>
      <c r="W30" s="233" t="s">
        <v>256</v>
      </c>
      <c r="X30" s="230"/>
    </row>
    <row r="31" spans="1:25" x14ac:dyDescent="0.25">
      <c r="L31" s="205"/>
      <c r="M31" s="205"/>
      <c r="N31" s="205"/>
      <c r="S31" s="234" t="s">
        <v>233</v>
      </c>
      <c r="T31" s="230"/>
      <c r="U31" s="230">
        <v>2.1800000000000002</v>
      </c>
      <c r="V31" s="235" t="s">
        <v>234</v>
      </c>
      <c r="W31" s="236">
        <v>353.1</v>
      </c>
      <c r="X31" s="230"/>
    </row>
    <row r="32" spans="1:25" ht="15.75" thickBot="1" x14ac:dyDescent="0.3">
      <c r="S32" s="237"/>
      <c r="T32" s="238"/>
      <c r="U32" s="238">
        <v>2.15</v>
      </c>
      <c r="V32" s="239" t="s">
        <v>235</v>
      </c>
      <c r="W32" s="240">
        <v>389.12</v>
      </c>
      <c r="X32" s="230"/>
    </row>
    <row r="33" spans="19:24" ht="15.75" thickBot="1" x14ac:dyDescent="0.3">
      <c r="S33" s="241" t="s">
        <v>251</v>
      </c>
      <c r="T33" s="242"/>
      <c r="U33" s="242">
        <v>650</v>
      </c>
      <c r="V33" s="242" t="s">
        <v>259</v>
      </c>
      <c r="W33" s="243"/>
      <c r="X33" s="230"/>
    </row>
    <row r="34" spans="19:24" x14ac:dyDescent="0.25">
      <c r="S34" s="230"/>
      <c r="T34" s="230"/>
      <c r="U34" s="230"/>
      <c r="V34" s="230"/>
      <c r="W34" s="230"/>
      <c r="X34" s="230"/>
    </row>
  </sheetData>
  <mergeCells count="2">
    <mergeCell ref="A28:K28"/>
    <mergeCell ref="A10:K10"/>
  </mergeCells>
  <conditionalFormatting sqref="G14">
    <cfRule type="expression" dxfId="9" priority="9">
      <formula>$B$13=2</formula>
    </cfRule>
  </conditionalFormatting>
  <conditionalFormatting sqref="G15">
    <cfRule type="expression" dxfId="8" priority="5">
      <formula>B13&lt;&gt;1</formula>
    </cfRule>
  </conditionalFormatting>
  <conditionalFormatting sqref="H13">
    <cfRule type="expression" dxfId="7" priority="10">
      <formula>$B$13=2</formula>
    </cfRule>
  </conditionalFormatting>
  <conditionalFormatting sqref="H14">
    <cfRule type="expression" dxfId="6" priority="6">
      <formula>B13&lt;&gt;3</formula>
    </cfRule>
  </conditionalFormatting>
  <conditionalFormatting sqref="H15">
    <cfRule type="expression" dxfId="5" priority="8">
      <formula>$B$13&lt;&gt;1</formula>
    </cfRule>
  </conditionalFormatting>
  <conditionalFormatting sqref="H16">
    <cfRule type="expression" dxfId="4" priority="7">
      <formula>$B$13&lt;&gt;3</formula>
    </cfRule>
  </conditionalFormatting>
  <conditionalFormatting sqref="H22:I22">
    <cfRule type="expression" dxfId="3" priority="11">
      <formula>$B$13=1</formula>
    </cfRule>
  </conditionalFormatting>
  <conditionalFormatting sqref="O14">
    <cfRule type="expression" dxfId="2" priority="15">
      <formula>B13&lt;&gt;3</formula>
    </cfRule>
  </conditionalFormatting>
  <conditionalFormatting sqref="P14">
    <cfRule type="expression" dxfId="1" priority="3">
      <formula>B13&lt;&gt;3</formula>
    </cfRule>
  </conditionalFormatting>
  <conditionalFormatting sqref="Q14">
    <cfRule type="expression" dxfId="0" priority="1">
      <formula>$B$13&lt;&gt;3</formula>
    </cfRule>
  </conditionalFormatting>
  <dataValidations xWindow="699" yWindow="408" count="4">
    <dataValidation type="list" allowBlank="1" showInputMessage="1" showErrorMessage="1" sqref="H20 L20" xr:uid="{00000000-0002-0000-0100-000000000000}">
      <formula1>$U$25:$W$25</formula1>
    </dataValidation>
    <dataValidation type="list" allowBlank="1" showInputMessage="1" showErrorMessage="1" sqref="H16" xr:uid="{00000000-0002-0000-0100-000001000000}">
      <formula1>"bojlerem,kombinovaně i kotlem"</formula1>
    </dataValidation>
    <dataValidation allowBlank="1" showErrorMessage="1" sqref="H13" xr:uid="{00000000-0002-0000-0100-000002000000}"/>
    <dataValidation type="whole" errorStyle="information" allowBlank="1" showErrorMessage="1" errorTitle="Tepelná ztráta" error="Vypočítanou tepelnou ztrátu v buňce P13 doplň do B2." sqref="H14" xr:uid="{E1C764BF-CAD2-4B04-81F3-8064B6FD7080}">
      <formula1>-2</formula1>
      <formula2>-1</formula2>
    </dataValidation>
  </dataValidations>
  <pageMargins left="0.7" right="0.7" top="0.78740157499999996" bottom="0.78740157499999996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4754" r:id="rId4" name="List Box 1">
              <controlPr defaultSize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1047750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" id="{A8CAAA07-5711-4CCF-BE32-900709DAD400}">
            <xm:f>Výpočet!$N$2=1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A6:B6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699" yWindow="408" count="3">
        <x14:dataValidation type="list" allowBlank="1" showInputMessage="1" showErrorMessage="1" xr:uid="{00000000-0002-0000-0100-000003000000}">
          <x14:formula1>
            <xm:f>Polynomy!$A$2:$A$23</xm:f>
          </x14:formula1>
          <xm:sqref>B5</xm:sqref>
        </x14:dataValidation>
        <x14:dataValidation type="list" allowBlank="1" showInputMessage="1" showErrorMessage="1" xr:uid="{00000000-0002-0000-0100-000004000000}">
          <x14:formula1>
            <xm:f>Výpočet!$M$4:$M$5</xm:f>
          </x14:formula1>
          <xm:sqref>B6</xm:sqref>
        </x14:dataValidation>
        <x14:dataValidation type="list" allowBlank="1" showInputMessage="1" showErrorMessage="1" xr:uid="{00000000-0002-0000-0100-000005000000}">
          <x14:formula1>
            <xm:f>Výpočet!$U$4:$U$5</xm:f>
          </x14:formula1>
          <xm:sqref>I8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3"/>
  <dimension ref="A1:Q50"/>
  <sheetViews>
    <sheetView workbookViewId="0"/>
  </sheetViews>
  <sheetFormatPr defaultRowHeight="15" x14ac:dyDescent="0.25"/>
  <cols>
    <col min="1" max="18" width="18.7109375" customWidth="1"/>
  </cols>
  <sheetData>
    <row r="1" spans="1:16" x14ac:dyDescent="0.25">
      <c r="A1" s="56" t="s">
        <v>155</v>
      </c>
    </row>
    <row r="2" spans="1:16" x14ac:dyDescent="0.25">
      <c r="A2" s="57" t="s">
        <v>120</v>
      </c>
      <c r="B2" s="57"/>
      <c r="C2" s="57"/>
    </row>
    <row r="3" spans="1:16" x14ac:dyDescent="0.25">
      <c r="A3" s="32" t="s">
        <v>121</v>
      </c>
      <c r="B3" s="84">
        <f>Výpočet!L47-B4</f>
        <v>24387.59629888563</v>
      </c>
      <c r="C3" s="32" t="s">
        <v>122</v>
      </c>
    </row>
    <row r="4" spans="1:16" x14ac:dyDescent="0.25">
      <c r="A4" s="32" t="s">
        <v>123</v>
      </c>
      <c r="B4" s="107">
        <f>'Zadání+Výsledek'!B8*'Zadání+Výsledek'!B7*('Zadání+Výsledek'!I7-10)*1.163/1000*365*(IF(D4=2,1,1.3))</f>
        <v>2716.768</v>
      </c>
      <c r="C4" s="32" t="s">
        <v>122</v>
      </c>
      <c r="D4">
        <f>Výpočet!U3</f>
        <v>2</v>
      </c>
    </row>
    <row r="5" spans="1:16" x14ac:dyDescent="0.25">
      <c r="A5" s="59" t="s">
        <v>124</v>
      </c>
      <c r="B5" s="59"/>
      <c r="C5" s="59"/>
    </row>
    <row r="6" spans="1:16" x14ac:dyDescent="0.25">
      <c r="A6" s="60" t="s">
        <v>125</v>
      </c>
      <c r="B6" s="114">
        <f>'Zadání+Výsledek'!B9</f>
        <v>3000</v>
      </c>
      <c r="C6" s="60" t="s">
        <v>122</v>
      </c>
      <c r="D6" t="s">
        <v>169</v>
      </c>
    </row>
    <row r="7" spans="1:16" x14ac:dyDescent="0.25">
      <c r="A7" s="60" t="s">
        <v>126</v>
      </c>
      <c r="B7" s="111"/>
    </row>
    <row r="8" spans="1:16" ht="15.75" x14ac:dyDescent="0.25">
      <c r="A8" s="106" t="s">
        <v>153</v>
      </c>
      <c r="B8" s="62">
        <v>4800</v>
      </c>
      <c r="C8" s="60" t="s">
        <v>127</v>
      </c>
      <c r="D8" s="60" t="s">
        <v>160</v>
      </c>
      <c r="E8" s="61">
        <v>20</v>
      </c>
      <c r="F8" s="60" t="s">
        <v>161</v>
      </c>
      <c r="G8" s="60"/>
      <c r="H8" s="2">
        <f>E8/24</f>
        <v>0.83333333333333337</v>
      </c>
    </row>
    <row r="9" spans="1:16" ht="15.75" x14ac:dyDescent="0.25">
      <c r="A9" s="106" t="s">
        <v>154</v>
      </c>
      <c r="B9" s="62">
        <v>5600</v>
      </c>
      <c r="C9" s="60" t="s">
        <v>127</v>
      </c>
      <c r="D9" s="60" t="s">
        <v>158</v>
      </c>
      <c r="E9" s="61">
        <v>21</v>
      </c>
      <c r="F9" s="60" t="s">
        <v>162</v>
      </c>
      <c r="G9" s="60"/>
    </row>
    <row r="10" spans="1:16" ht="15.75" x14ac:dyDescent="0.25">
      <c r="A10" s="106" t="s">
        <v>156</v>
      </c>
      <c r="B10" s="62">
        <v>432</v>
      </c>
      <c r="C10" s="60" t="s">
        <v>157</v>
      </c>
    </row>
    <row r="11" spans="1:16" x14ac:dyDescent="0.25">
      <c r="A11" s="63" t="s">
        <v>128</v>
      </c>
      <c r="L11" s="63" t="s">
        <v>159</v>
      </c>
    </row>
    <row r="12" spans="1:16" ht="45" x14ac:dyDescent="0.25">
      <c r="A12" s="64"/>
      <c r="B12" s="64" t="s">
        <v>174</v>
      </c>
      <c r="C12" s="64" t="s">
        <v>175</v>
      </c>
      <c r="D12" s="64" t="s">
        <v>176</v>
      </c>
      <c r="E12" s="65" t="s">
        <v>150</v>
      </c>
      <c r="F12" s="65" t="s">
        <v>180</v>
      </c>
      <c r="G12" s="65" t="s">
        <v>179</v>
      </c>
      <c r="H12" s="66" t="s">
        <v>178</v>
      </c>
      <c r="I12" s="117" t="s">
        <v>171</v>
      </c>
      <c r="J12" s="118" t="s">
        <v>172</v>
      </c>
      <c r="K12" s="118" t="s">
        <v>173</v>
      </c>
      <c r="L12" s="121" t="s">
        <v>153</v>
      </c>
      <c r="M12" s="121" t="s">
        <v>154</v>
      </c>
      <c r="N12" s="121" t="s">
        <v>170</v>
      </c>
      <c r="O12" s="121" t="s">
        <v>163</v>
      </c>
      <c r="P12" s="121" t="s">
        <v>164</v>
      </c>
    </row>
    <row r="13" spans="1:16" ht="15.75" x14ac:dyDescent="0.25">
      <c r="A13" s="67" t="s">
        <v>129</v>
      </c>
      <c r="B13" s="68">
        <f>D31</f>
        <v>1748.2055978882324</v>
      </c>
      <c r="C13" s="69">
        <f t="shared" ref="C13:C24" si="0">I31</f>
        <v>82.406857142857149</v>
      </c>
      <c r="D13" s="67">
        <f>B6*0.12</f>
        <v>360</v>
      </c>
      <c r="E13" s="70">
        <v>0</v>
      </c>
      <c r="F13" s="68">
        <f t="shared" ref="F13:F24" si="1">IF(E13&gt;(B13+C13+D13),(B13+C13+D13),E13)</f>
        <v>0</v>
      </c>
      <c r="G13" s="68">
        <f>E13-F13</f>
        <v>0</v>
      </c>
      <c r="H13" s="71">
        <f t="shared" ref="H13:H24" si="2">(B13+C13+D13-F13)</f>
        <v>2190.6124550310897</v>
      </c>
      <c r="I13" s="119">
        <f t="shared" ref="I13:I24" si="3">(B13+C13+($H$8*D13))</f>
        <v>2130.6124550310897</v>
      </c>
      <c r="J13" s="115">
        <f t="shared" ref="J13:J24" si="4">D13*(1-$H$8)</f>
        <v>59.999999999999986</v>
      </c>
      <c r="K13" s="115">
        <f>J13-F13</f>
        <v>59.999999999999986</v>
      </c>
      <c r="L13" s="122">
        <f>I13*$B$8/1000</f>
        <v>10226.93978414923</v>
      </c>
      <c r="M13" s="122">
        <f>J13*$B$9/1000</f>
        <v>335.99999999999994</v>
      </c>
      <c r="N13" s="123">
        <f>$B$10</f>
        <v>432</v>
      </c>
      <c r="O13" s="122">
        <f>L13+M13+N13</f>
        <v>10994.93978414923</v>
      </c>
      <c r="P13" s="122">
        <f>O13*(1+$E$9/100)</f>
        <v>13303.877138820568</v>
      </c>
    </row>
    <row r="14" spans="1:16" ht="15.75" x14ac:dyDescent="0.25">
      <c r="A14" s="67" t="s">
        <v>130</v>
      </c>
      <c r="B14" s="68">
        <f t="shared" ref="B14:B24" si="5">D32</f>
        <v>1380.1623141222885</v>
      </c>
      <c r="C14" s="69">
        <f t="shared" si="0"/>
        <v>74.432000000000002</v>
      </c>
      <c r="D14" s="67">
        <f>B6*0.11</f>
        <v>330</v>
      </c>
      <c r="E14" s="70">
        <v>0</v>
      </c>
      <c r="F14" s="68">
        <f t="shared" si="1"/>
        <v>0</v>
      </c>
      <c r="G14" s="68">
        <f t="shared" ref="G14:G24" si="6">E14-F14</f>
        <v>0</v>
      </c>
      <c r="H14" s="71">
        <f t="shared" si="2"/>
        <v>1784.5943141222886</v>
      </c>
      <c r="I14" s="119">
        <f t="shared" si="3"/>
        <v>1729.5943141222886</v>
      </c>
      <c r="J14" s="115">
        <f t="shared" si="4"/>
        <v>54.999999999999986</v>
      </c>
      <c r="K14" s="115">
        <f t="shared" ref="K14:K24" si="7">J14-F14</f>
        <v>54.999999999999986</v>
      </c>
      <c r="L14" s="122">
        <f t="shared" ref="L14:L24" si="8">I14*$B$8/1000</f>
        <v>8302.0527077869847</v>
      </c>
      <c r="M14" s="122">
        <f t="shared" ref="M14:M24" si="9">J14*$B$9/1000</f>
        <v>307.99999999999994</v>
      </c>
      <c r="N14" s="123">
        <f t="shared" ref="N14:N24" si="10">$B$10</f>
        <v>432</v>
      </c>
      <c r="O14" s="122">
        <f t="shared" ref="O14:O24" si="11">L14+M14+N14</f>
        <v>9042.0527077869847</v>
      </c>
      <c r="P14" s="122">
        <f t="shared" ref="P14:P24" si="12">O14*(1+$E$9/100)</f>
        <v>10940.883776422252</v>
      </c>
    </row>
    <row r="15" spans="1:16" ht="15.75" x14ac:dyDescent="0.25">
      <c r="A15" s="67" t="s">
        <v>131</v>
      </c>
      <c r="B15" s="68">
        <f t="shared" si="5"/>
        <v>1104.1298512978308</v>
      </c>
      <c r="C15" s="69">
        <f t="shared" si="0"/>
        <v>82.406857142857149</v>
      </c>
      <c r="D15" s="67">
        <f>B6*0.09</f>
        <v>270</v>
      </c>
      <c r="E15" s="70">
        <v>0</v>
      </c>
      <c r="F15" s="68">
        <f t="shared" si="1"/>
        <v>0</v>
      </c>
      <c r="G15" s="68">
        <f t="shared" si="6"/>
        <v>0</v>
      </c>
      <c r="H15" s="71">
        <f t="shared" si="2"/>
        <v>1456.536708440688</v>
      </c>
      <c r="I15" s="119">
        <f t="shared" si="3"/>
        <v>1411.536708440688</v>
      </c>
      <c r="J15" s="115">
        <f t="shared" si="4"/>
        <v>44.999999999999993</v>
      </c>
      <c r="K15" s="115">
        <f t="shared" si="7"/>
        <v>44.999999999999993</v>
      </c>
      <c r="L15" s="122">
        <f t="shared" si="8"/>
        <v>6775.376200515303</v>
      </c>
      <c r="M15" s="122">
        <f t="shared" si="9"/>
        <v>251.99999999999997</v>
      </c>
      <c r="N15" s="123">
        <f t="shared" si="10"/>
        <v>432</v>
      </c>
      <c r="O15" s="122">
        <f t="shared" si="11"/>
        <v>7459.376200515303</v>
      </c>
      <c r="P15" s="122">
        <f t="shared" si="12"/>
        <v>9025.8452026235173</v>
      </c>
    </row>
    <row r="16" spans="1:16" ht="15.75" x14ac:dyDescent="0.25">
      <c r="A16" s="67" t="s">
        <v>132</v>
      </c>
      <c r="B16" s="68">
        <f t="shared" si="5"/>
        <v>828.09738847337303</v>
      </c>
      <c r="C16" s="69">
        <f t="shared" si="0"/>
        <v>79.748571428571438</v>
      </c>
      <c r="D16" s="67">
        <f>B6*0.07</f>
        <v>210.00000000000003</v>
      </c>
      <c r="E16" s="70">
        <v>0</v>
      </c>
      <c r="F16" s="68">
        <f t="shared" si="1"/>
        <v>0</v>
      </c>
      <c r="G16" s="68">
        <f t="shared" si="6"/>
        <v>0</v>
      </c>
      <c r="H16" s="71">
        <f t="shared" si="2"/>
        <v>1117.8459599019445</v>
      </c>
      <c r="I16" s="119">
        <f t="shared" si="3"/>
        <v>1082.8459599019445</v>
      </c>
      <c r="J16" s="115">
        <f t="shared" si="4"/>
        <v>35</v>
      </c>
      <c r="K16" s="115">
        <f t="shared" si="7"/>
        <v>35</v>
      </c>
      <c r="L16" s="122">
        <f t="shared" si="8"/>
        <v>5197.6606075293339</v>
      </c>
      <c r="M16" s="122">
        <f t="shared" si="9"/>
        <v>196</v>
      </c>
      <c r="N16" s="123">
        <f t="shared" si="10"/>
        <v>432</v>
      </c>
      <c r="O16" s="122">
        <f t="shared" si="11"/>
        <v>5825.6606075293339</v>
      </c>
      <c r="P16" s="122">
        <f t="shared" si="12"/>
        <v>7049.0493351104942</v>
      </c>
    </row>
    <row r="17" spans="1:17" ht="15.75" x14ac:dyDescent="0.25">
      <c r="A17" s="67" t="s">
        <v>133</v>
      </c>
      <c r="B17" s="68">
        <f t="shared" si="5"/>
        <v>460.05410470742959</v>
      </c>
      <c r="C17" s="69">
        <f t="shared" si="0"/>
        <v>82.406857142857149</v>
      </c>
      <c r="D17" s="67">
        <f>B6*0.06</f>
        <v>180</v>
      </c>
      <c r="E17" s="70">
        <v>0</v>
      </c>
      <c r="F17" s="68">
        <f>IF(E17&gt;(B17+C17+D17),(B17+C17+D17),E17)</f>
        <v>0</v>
      </c>
      <c r="G17" s="68">
        <f t="shared" si="6"/>
        <v>0</v>
      </c>
      <c r="H17" s="71">
        <f t="shared" si="2"/>
        <v>722.46096185028671</v>
      </c>
      <c r="I17" s="119">
        <f t="shared" si="3"/>
        <v>692.46096185028671</v>
      </c>
      <c r="J17" s="115">
        <f t="shared" si="4"/>
        <v>29.999999999999993</v>
      </c>
      <c r="K17" s="115">
        <f t="shared" si="7"/>
        <v>29.999999999999993</v>
      </c>
      <c r="L17" s="122">
        <f t="shared" si="8"/>
        <v>3323.812616881376</v>
      </c>
      <c r="M17" s="122">
        <f t="shared" si="9"/>
        <v>167.99999999999997</v>
      </c>
      <c r="N17" s="123">
        <f t="shared" si="10"/>
        <v>432</v>
      </c>
      <c r="O17" s="122">
        <f t="shared" si="11"/>
        <v>3923.812616881376</v>
      </c>
      <c r="P17" s="122">
        <f t="shared" si="12"/>
        <v>4747.8132664264649</v>
      </c>
    </row>
    <row r="18" spans="1:17" ht="15.75" x14ac:dyDescent="0.25">
      <c r="A18" s="67" t="s">
        <v>134</v>
      </c>
      <c r="B18" s="68">
        <f t="shared" si="5"/>
        <v>0</v>
      </c>
      <c r="C18" s="69">
        <f t="shared" si="0"/>
        <v>79.748571428571438</v>
      </c>
      <c r="D18" s="67">
        <f>B6*0.06</f>
        <v>180</v>
      </c>
      <c r="E18" s="70">
        <v>0</v>
      </c>
      <c r="F18" s="68">
        <f t="shared" si="1"/>
        <v>0</v>
      </c>
      <c r="G18" s="68">
        <f t="shared" si="6"/>
        <v>0</v>
      </c>
      <c r="H18" s="71">
        <f t="shared" si="2"/>
        <v>259.74857142857144</v>
      </c>
      <c r="I18" s="119">
        <f t="shared" si="3"/>
        <v>229.74857142857144</v>
      </c>
      <c r="J18" s="115">
        <f t="shared" si="4"/>
        <v>29.999999999999993</v>
      </c>
      <c r="K18" s="115">
        <f t="shared" si="7"/>
        <v>29.999999999999993</v>
      </c>
      <c r="L18" s="122">
        <f t="shared" si="8"/>
        <v>1102.793142857143</v>
      </c>
      <c r="M18" s="122">
        <f t="shared" si="9"/>
        <v>167.99999999999997</v>
      </c>
      <c r="N18" s="123">
        <f t="shared" si="10"/>
        <v>432</v>
      </c>
      <c r="O18" s="122">
        <f t="shared" si="11"/>
        <v>1702.793142857143</v>
      </c>
      <c r="P18" s="122">
        <f t="shared" si="12"/>
        <v>2060.379702857143</v>
      </c>
    </row>
    <row r="19" spans="1:17" ht="15.75" x14ac:dyDescent="0.25">
      <c r="A19" s="67" t="s">
        <v>135</v>
      </c>
      <c r="B19" s="68">
        <f t="shared" si="5"/>
        <v>0</v>
      </c>
      <c r="C19" s="69">
        <f t="shared" si="0"/>
        <v>82.406857142857149</v>
      </c>
      <c r="D19" s="67">
        <f>B6*0.06</f>
        <v>180</v>
      </c>
      <c r="E19" s="70">
        <v>0</v>
      </c>
      <c r="F19" s="68">
        <f t="shared" si="1"/>
        <v>0</v>
      </c>
      <c r="G19" s="68">
        <f t="shared" si="6"/>
        <v>0</v>
      </c>
      <c r="H19" s="71">
        <f t="shared" si="2"/>
        <v>262.40685714285712</v>
      </c>
      <c r="I19" s="119">
        <f t="shared" si="3"/>
        <v>232.40685714285715</v>
      </c>
      <c r="J19" s="115">
        <f t="shared" si="4"/>
        <v>29.999999999999993</v>
      </c>
      <c r="K19" s="115">
        <f t="shared" si="7"/>
        <v>29.999999999999993</v>
      </c>
      <c r="L19" s="122">
        <f t="shared" si="8"/>
        <v>1115.5529142857142</v>
      </c>
      <c r="M19" s="122">
        <f t="shared" si="9"/>
        <v>167.99999999999997</v>
      </c>
      <c r="N19" s="123">
        <f t="shared" si="10"/>
        <v>432</v>
      </c>
      <c r="O19" s="122">
        <f t="shared" si="11"/>
        <v>1715.5529142857142</v>
      </c>
      <c r="P19" s="122">
        <f t="shared" si="12"/>
        <v>2075.8190262857142</v>
      </c>
    </row>
    <row r="20" spans="1:17" ht="15.75" x14ac:dyDescent="0.25">
      <c r="A20" s="67" t="s">
        <v>136</v>
      </c>
      <c r="B20" s="68">
        <f t="shared" si="5"/>
        <v>0</v>
      </c>
      <c r="C20" s="69">
        <f t="shared" si="0"/>
        <v>82.406857142857149</v>
      </c>
      <c r="D20" s="67">
        <f>B6*0.06</f>
        <v>180</v>
      </c>
      <c r="E20" s="70">
        <v>0</v>
      </c>
      <c r="F20" s="68">
        <f t="shared" si="1"/>
        <v>0</v>
      </c>
      <c r="G20" s="68">
        <f t="shared" si="6"/>
        <v>0</v>
      </c>
      <c r="H20" s="71">
        <f t="shared" si="2"/>
        <v>262.40685714285712</v>
      </c>
      <c r="I20" s="119">
        <f t="shared" si="3"/>
        <v>232.40685714285715</v>
      </c>
      <c r="J20" s="115">
        <f t="shared" si="4"/>
        <v>29.999999999999993</v>
      </c>
      <c r="K20" s="115">
        <f t="shared" si="7"/>
        <v>29.999999999999993</v>
      </c>
      <c r="L20" s="122">
        <f t="shared" si="8"/>
        <v>1115.5529142857142</v>
      </c>
      <c r="M20" s="122">
        <f t="shared" si="9"/>
        <v>167.99999999999997</v>
      </c>
      <c r="N20" s="123">
        <f t="shared" si="10"/>
        <v>432</v>
      </c>
      <c r="O20" s="122">
        <f t="shared" si="11"/>
        <v>1715.5529142857142</v>
      </c>
      <c r="P20" s="122">
        <f t="shared" si="12"/>
        <v>2075.8190262857142</v>
      </c>
    </row>
    <row r="21" spans="1:17" ht="15.75" x14ac:dyDescent="0.25">
      <c r="A21" s="67" t="s">
        <v>137</v>
      </c>
      <c r="B21" s="68">
        <f t="shared" si="5"/>
        <v>460.05410470742959</v>
      </c>
      <c r="C21" s="69">
        <f t="shared" si="0"/>
        <v>79.748571428571438</v>
      </c>
      <c r="D21" s="67">
        <f>0.07*B6</f>
        <v>210.00000000000003</v>
      </c>
      <c r="E21" s="70">
        <v>0</v>
      </c>
      <c r="F21" s="68">
        <f t="shared" si="1"/>
        <v>0</v>
      </c>
      <c r="G21" s="68">
        <f t="shared" si="6"/>
        <v>0</v>
      </c>
      <c r="H21" s="71">
        <f t="shared" si="2"/>
        <v>749.80267613600108</v>
      </c>
      <c r="I21" s="119">
        <f t="shared" si="3"/>
        <v>714.80267613600108</v>
      </c>
      <c r="J21" s="115">
        <f t="shared" si="4"/>
        <v>35</v>
      </c>
      <c r="K21" s="115">
        <f t="shared" si="7"/>
        <v>35</v>
      </c>
      <c r="L21" s="122">
        <f t="shared" si="8"/>
        <v>3431.0528454528048</v>
      </c>
      <c r="M21" s="122">
        <f t="shared" si="9"/>
        <v>196</v>
      </c>
      <c r="N21" s="123">
        <f t="shared" si="10"/>
        <v>432</v>
      </c>
      <c r="O21" s="122">
        <f t="shared" si="11"/>
        <v>4059.0528454528048</v>
      </c>
      <c r="P21" s="122">
        <f t="shared" si="12"/>
        <v>4911.453942997894</v>
      </c>
    </row>
    <row r="22" spans="1:17" ht="15.75" x14ac:dyDescent="0.25">
      <c r="A22" s="67" t="s">
        <v>138</v>
      </c>
      <c r="B22" s="68">
        <f t="shared" si="5"/>
        <v>736.08656753188723</v>
      </c>
      <c r="C22" s="69">
        <f t="shared" si="0"/>
        <v>82.406857142857149</v>
      </c>
      <c r="D22" s="67">
        <f>0.09*B6</f>
        <v>270</v>
      </c>
      <c r="E22" s="70">
        <v>0</v>
      </c>
      <c r="F22" s="68">
        <f t="shared" si="1"/>
        <v>0</v>
      </c>
      <c r="G22" s="68">
        <f t="shared" si="6"/>
        <v>0</v>
      </c>
      <c r="H22" s="71">
        <f t="shared" si="2"/>
        <v>1088.4934246747443</v>
      </c>
      <c r="I22" s="119">
        <f t="shared" si="3"/>
        <v>1043.4934246747443</v>
      </c>
      <c r="J22" s="115">
        <f t="shared" si="4"/>
        <v>44.999999999999993</v>
      </c>
      <c r="K22" s="115">
        <f t="shared" si="7"/>
        <v>44.999999999999993</v>
      </c>
      <c r="L22" s="122">
        <f t="shared" si="8"/>
        <v>5008.768438438773</v>
      </c>
      <c r="M22" s="122">
        <f t="shared" si="9"/>
        <v>251.99999999999997</v>
      </c>
      <c r="N22" s="123">
        <f t="shared" si="10"/>
        <v>432</v>
      </c>
      <c r="O22" s="122">
        <f t="shared" si="11"/>
        <v>5692.768438438773</v>
      </c>
      <c r="P22" s="122">
        <f t="shared" si="12"/>
        <v>6888.2498105109153</v>
      </c>
    </row>
    <row r="23" spans="1:17" ht="15.75" x14ac:dyDescent="0.25">
      <c r="A23" s="67" t="s">
        <v>139</v>
      </c>
      <c r="B23" s="68">
        <f t="shared" si="5"/>
        <v>920.10820941485918</v>
      </c>
      <c r="C23" s="69">
        <f t="shared" si="0"/>
        <v>79.748571428571438</v>
      </c>
      <c r="D23" s="67">
        <f>B6*0.1</f>
        <v>300</v>
      </c>
      <c r="E23" s="70">
        <v>0</v>
      </c>
      <c r="F23" s="68">
        <f t="shared" si="1"/>
        <v>0</v>
      </c>
      <c r="G23" s="68">
        <f t="shared" si="6"/>
        <v>0</v>
      </c>
      <c r="H23" s="71">
        <f t="shared" si="2"/>
        <v>1299.8567808434307</v>
      </c>
      <c r="I23" s="119">
        <f t="shared" si="3"/>
        <v>1249.8567808434307</v>
      </c>
      <c r="J23" s="115">
        <f t="shared" si="4"/>
        <v>49.999999999999986</v>
      </c>
      <c r="K23" s="115">
        <f t="shared" si="7"/>
        <v>49.999999999999986</v>
      </c>
      <c r="L23" s="122">
        <f t="shared" si="8"/>
        <v>5999.3125480484678</v>
      </c>
      <c r="M23" s="122">
        <f t="shared" si="9"/>
        <v>279.99999999999994</v>
      </c>
      <c r="N23" s="123">
        <f t="shared" si="10"/>
        <v>432</v>
      </c>
      <c r="O23" s="122">
        <f t="shared" si="11"/>
        <v>6711.3125480484678</v>
      </c>
      <c r="P23" s="122">
        <f t="shared" si="12"/>
        <v>8120.6881831386454</v>
      </c>
    </row>
    <row r="24" spans="1:17" ht="15.75" x14ac:dyDescent="0.25">
      <c r="A24" s="64" t="s">
        <v>140</v>
      </c>
      <c r="B24" s="73">
        <f t="shared" si="5"/>
        <v>1564.1839560052604</v>
      </c>
      <c r="C24" s="74">
        <f t="shared" si="0"/>
        <v>82.406857142857149</v>
      </c>
      <c r="D24" s="64">
        <f>B6*0.11</f>
        <v>330</v>
      </c>
      <c r="E24" s="75">
        <v>0</v>
      </c>
      <c r="F24" s="73">
        <f t="shared" si="1"/>
        <v>0</v>
      </c>
      <c r="G24" s="73">
        <f t="shared" si="6"/>
        <v>0</v>
      </c>
      <c r="H24" s="76">
        <f t="shared" si="2"/>
        <v>1976.5908131481176</v>
      </c>
      <c r="I24" s="120">
        <f t="shared" si="3"/>
        <v>1921.5908131481176</v>
      </c>
      <c r="J24" s="116">
        <f t="shared" si="4"/>
        <v>54.999999999999986</v>
      </c>
      <c r="K24" s="116">
        <f t="shared" si="7"/>
        <v>54.999999999999986</v>
      </c>
      <c r="L24" s="124">
        <f t="shared" si="8"/>
        <v>9223.6359031109641</v>
      </c>
      <c r="M24" s="124">
        <f t="shared" si="9"/>
        <v>307.99999999999994</v>
      </c>
      <c r="N24" s="125">
        <f t="shared" si="10"/>
        <v>432</v>
      </c>
      <c r="O24" s="124">
        <f t="shared" si="11"/>
        <v>9963.6359031109641</v>
      </c>
      <c r="P24" s="124">
        <f t="shared" si="12"/>
        <v>12055.999442764267</v>
      </c>
    </row>
    <row r="25" spans="1:17" x14ac:dyDescent="0.25">
      <c r="A25" s="67" t="s">
        <v>141</v>
      </c>
      <c r="B25" s="68">
        <f>SUM(B13:B24)</f>
        <v>9201.0820941485908</v>
      </c>
      <c r="C25" s="77">
        <f>SUM(C13:C24)</f>
        <v>970.27428571428561</v>
      </c>
      <c r="D25" s="77">
        <f t="shared" ref="D25:G25" si="13">SUM(D13:D24)</f>
        <v>3000</v>
      </c>
      <c r="E25" s="68">
        <f t="shared" si="13"/>
        <v>0</v>
      </c>
      <c r="F25" s="68">
        <f t="shared" si="13"/>
        <v>0</v>
      </c>
      <c r="G25" s="68">
        <f t="shared" si="13"/>
        <v>0</v>
      </c>
      <c r="H25" s="71">
        <f>SUM(H13:H24)</f>
        <v>13171.356379862877</v>
      </c>
      <c r="I25" s="101"/>
      <c r="O25" s="78" t="s">
        <v>142</v>
      </c>
      <c r="P25" s="79">
        <f>SUM(P13:P24)</f>
        <v>83255.87785424359</v>
      </c>
      <c r="Q25" s="80" t="s">
        <v>143</v>
      </c>
    </row>
    <row r="27" spans="1:17" x14ac:dyDescent="0.25">
      <c r="A27" s="81" t="s">
        <v>144</v>
      </c>
      <c r="F27" s="100" t="s">
        <v>151</v>
      </c>
      <c r="G27" s="81"/>
    </row>
    <row r="28" spans="1:17" ht="15.75" x14ac:dyDescent="0.25">
      <c r="A28" t="s">
        <v>145</v>
      </c>
      <c r="B28" s="58">
        <v>0</v>
      </c>
      <c r="C28" t="s">
        <v>146</v>
      </c>
      <c r="D28" t="s">
        <v>147</v>
      </c>
      <c r="E28" s="72">
        <f>IF(B28/(E43*0.0012)&gt;1,1,B28/(E43*0.0012))</f>
        <v>0</v>
      </c>
      <c r="F28" s="101"/>
    </row>
    <row r="29" spans="1:17" ht="15.75" x14ac:dyDescent="0.25">
      <c r="A29" t="s">
        <v>148</v>
      </c>
      <c r="B29" s="84">
        <f>'Zadání+Výsledek'!M4</f>
        <v>2.6505139340507431</v>
      </c>
      <c r="F29" s="101" t="s">
        <v>148</v>
      </c>
      <c r="H29" s="97">
        <v>2.8</v>
      </c>
      <c r="I29" t="s">
        <v>152</v>
      </c>
      <c r="K29" s="101"/>
    </row>
    <row r="30" spans="1:17" ht="60" x14ac:dyDescent="0.25">
      <c r="A30" s="57"/>
      <c r="B30" s="57" t="s">
        <v>177</v>
      </c>
      <c r="C30" s="82" t="s">
        <v>181</v>
      </c>
      <c r="D30" s="82" t="s">
        <v>182</v>
      </c>
      <c r="E30" s="83" t="s">
        <v>178</v>
      </c>
      <c r="F30" s="98"/>
      <c r="G30" s="92"/>
      <c r="H30" s="93" t="s">
        <v>181</v>
      </c>
      <c r="I30" s="93" t="s">
        <v>182</v>
      </c>
      <c r="J30" s="102" t="s">
        <v>178</v>
      </c>
      <c r="K30" s="101"/>
    </row>
    <row r="31" spans="1:17" x14ac:dyDescent="0.25">
      <c r="A31" s="32" t="s">
        <v>129</v>
      </c>
      <c r="B31" s="84">
        <f>E31*$E$28</f>
        <v>0</v>
      </c>
      <c r="C31" s="84">
        <f>IF((E31-D31-B31)&lt;0,0,(E31-D31-B31))</f>
        <v>2885.4376989000375</v>
      </c>
      <c r="D31" s="84">
        <f>(E31-B31)/$B$29</f>
        <v>1748.2055978882324</v>
      </c>
      <c r="E31" s="86">
        <f>$B$3*0.19</f>
        <v>4633.6432967882702</v>
      </c>
      <c r="F31" s="99" t="s">
        <v>129</v>
      </c>
      <c r="G31" s="96"/>
      <c r="H31" s="94">
        <f>J31-I31</f>
        <v>148.33234285714286</v>
      </c>
      <c r="I31" s="94">
        <f t="shared" ref="I31:I42" si="14">J31/$H$29</f>
        <v>82.406857142857149</v>
      </c>
      <c r="J31" s="103">
        <f>$B$4*31/365</f>
        <v>230.73920000000001</v>
      </c>
      <c r="K31" s="101"/>
    </row>
    <row r="32" spans="1:17" x14ac:dyDescent="0.25">
      <c r="A32" s="32" t="s">
        <v>130</v>
      </c>
      <c r="B32" s="84">
        <f t="shared" ref="B32:B42" si="15">E32*$E$28</f>
        <v>0</v>
      </c>
      <c r="C32" s="84">
        <f t="shared" ref="C32:C42" si="16">IF((E32-D32-B32)&lt;0,0,(E32-D32-B32))</f>
        <v>2277.9771307105557</v>
      </c>
      <c r="D32" s="84">
        <f t="shared" ref="D32:D42" si="17">(E32-B32)/$B$29</f>
        <v>1380.1623141222885</v>
      </c>
      <c r="E32" s="86">
        <f>$B$3*0.15</f>
        <v>3658.1394448328442</v>
      </c>
      <c r="F32" s="99" t="s">
        <v>130</v>
      </c>
      <c r="G32" s="96"/>
      <c r="H32" s="94">
        <f>J32-I32</f>
        <v>133.9776</v>
      </c>
      <c r="I32" s="94">
        <f t="shared" si="14"/>
        <v>74.432000000000002</v>
      </c>
      <c r="J32" s="103">
        <f>$B$4*28/365</f>
        <v>208.40960000000001</v>
      </c>
      <c r="K32" s="101"/>
    </row>
    <row r="33" spans="1:11" x14ac:dyDescent="0.25">
      <c r="A33" s="32" t="s">
        <v>131</v>
      </c>
      <c r="B33" s="84">
        <f t="shared" si="15"/>
        <v>0</v>
      </c>
      <c r="C33" s="84">
        <f t="shared" si="16"/>
        <v>1822.3817045684448</v>
      </c>
      <c r="D33" s="84">
        <f t="shared" si="17"/>
        <v>1104.1298512978308</v>
      </c>
      <c r="E33" s="86">
        <f>$B$3*0.12</f>
        <v>2926.5115558662756</v>
      </c>
      <c r="F33" s="99" t="s">
        <v>131</v>
      </c>
      <c r="G33" s="96"/>
      <c r="H33" s="94">
        <f t="shared" ref="H33:H42" si="18">J33-I33</f>
        <v>148.33234285714286</v>
      </c>
      <c r="I33" s="94">
        <f t="shared" si="14"/>
        <v>82.406857142857149</v>
      </c>
      <c r="J33" s="103">
        <f>$B$4*31/365</f>
        <v>230.73920000000001</v>
      </c>
      <c r="K33" s="101"/>
    </row>
    <row r="34" spans="1:11" x14ac:dyDescent="0.25">
      <c r="A34" s="32" t="s">
        <v>132</v>
      </c>
      <c r="B34" s="84">
        <f t="shared" si="15"/>
        <v>0</v>
      </c>
      <c r="C34" s="84">
        <f t="shared" si="16"/>
        <v>1366.7862784263334</v>
      </c>
      <c r="D34" s="84">
        <f t="shared" si="17"/>
        <v>828.09738847337303</v>
      </c>
      <c r="E34" s="86">
        <f>$B$3*0.09</f>
        <v>2194.8836668997064</v>
      </c>
      <c r="F34" s="99" t="s">
        <v>132</v>
      </c>
      <c r="G34" s="96"/>
      <c r="H34" s="94">
        <f t="shared" si="18"/>
        <v>143.54742857142858</v>
      </c>
      <c r="I34" s="94">
        <f t="shared" si="14"/>
        <v>79.748571428571438</v>
      </c>
      <c r="J34" s="103">
        <f>$B$4*30/365</f>
        <v>223.29600000000002</v>
      </c>
      <c r="K34" s="101"/>
    </row>
    <row r="35" spans="1:11" x14ac:dyDescent="0.25">
      <c r="A35" s="32" t="s">
        <v>133</v>
      </c>
      <c r="B35" s="84">
        <f t="shared" si="15"/>
        <v>0</v>
      </c>
      <c r="C35" s="84">
        <f t="shared" si="16"/>
        <v>759.32571023685205</v>
      </c>
      <c r="D35" s="84">
        <f t="shared" si="17"/>
        <v>460.05410470742959</v>
      </c>
      <c r="E35" s="86">
        <f>$B$3*0.05</f>
        <v>1219.3798149442816</v>
      </c>
      <c r="F35" s="99" t="s">
        <v>133</v>
      </c>
      <c r="G35" s="96"/>
      <c r="H35" s="94">
        <f t="shared" si="18"/>
        <v>148.33234285714286</v>
      </c>
      <c r="I35" s="94">
        <f t="shared" si="14"/>
        <v>82.406857142857149</v>
      </c>
      <c r="J35" s="103">
        <f>$B$4*31/365</f>
        <v>230.73920000000001</v>
      </c>
      <c r="K35" s="101"/>
    </row>
    <row r="36" spans="1:11" x14ac:dyDescent="0.25">
      <c r="A36" s="32" t="s">
        <v>134</v>
      </c>
      <c r="B36" s="84">
        <f t="shared" si="15"/>
        <v>0</v>
      </c>
      <c r="C36" s="84">
        <f t="shared" si="16"/>
        <v>0</v>
      </c>
      <c r="D36" s="84">
        <f t="shared" si="17"/>
        <v>0</v>
      </c>
      <c r="E36" s="86">
        <f>$B$3*0</f>
        <v>0</v>
      </c>
      <c r="F36" s="99" t="s">
        <v>134</v>
      </c>
      <c r="G36" s="96"/>
      <c r="H36" s="94">
        <f t="shared" si="18"/>
        <v>143.54742857142858</v>
      </c>
      <c r="I36" s="94">
        <f t="shared" si="14"/>
        <v>79.748571428571438</v>
      </c>
      <c r="J36" s="103">
        <f>$B$4*30/365</f>
        <v>223.29600000000002</v>
      </c>
      <c r="K36" s="101"/>
    </row>
    <row r="37" spans="1:11" x14ac:dyDescent="0.25">
      <c r="A37" s="32" t="s">
        <v>135</v>
      </c>
      <c r="B37" s="84">
        <f t="shared" si="15"/>
        <v>0</v>
      </c>
      <c r="C37" s="84">
        <f t="shared" si="16"/>
        <v>0</v>
      </c>
      <c r="D37" s="84">
        <f t="shared" si="17"/>
        <v>0</v>
      </c>
      <c r="E37" s="86">
        <f>$B$3*0</f>
        <v>0</v>
      </c>
      <c r="F37" s="99" t="s">
        <v>135</v>
      </c>
      <c r="G37" s="96"/>
      <c r="H37" s="94">
        <f t="shared" si="18"/>
        <v>148.33234285714286</v>
      </c>
      <c r="I37" s="94">
        <f t="shared" si="14"/>
        <v>82.406857142857149</v>
      </c>
      <c r="J37" s="103">
        <f>$B$4*31/365</f>
        <v>230.73920000000001</v>
      </c>
      <c r="K37" s="101"/>
    </row>
    <row r="38" spans="1:11" x14ac:dyDescent="0.25">
      <c r="A38" s="32" t="s">
        <v>136</v>
      </c>
      <c r="B38" s="84">
        <f t="shared" si="15"/>
        <v>0</v>
      </c>
      <c r="C38" s="84">
        <f t="shared" si="16"/>
        <v>0</v>
      </c>
      <c r="D38" s="84">
        <f t="shared" si="17"/>
        <v>0</v>
      </c>
      <c r="E38" s="86">
        <f>$B$3*0</f>
        <v>0</v>
      </c>
      <c r="F38" s="99" t="s">
        <v>136</v>
      </c>
      <c r="G38" s="96"/>
      <c r="H38" s="94">
        <f t="shared" si="18"/>
        <v>148.33234285714286</v>
      </c>
      <c r="I38" s="94">
        <f t="shared" si="14"/>
        <v>82.406857142857149</v>
      </c>
      <c r="J38" s="103">
        <f>$B$4*31/365</f>
        <v>230.73920000000001</v>
      </c>
      <c r="K38" s="101"/>
    </row>
    <row r="39" spans="1:11" x14ac:dyDescent="0.25">
      <c r="A39" s="32" t="s">
        <v>137</v>
      </c>
      <c r="B39" s="84">
        <f t="shared" si="15"/>
        <v>0</v>
      </c>
      <c r="C39" s="84">
        <f t="shared" si="16"/>
        <v>759.32571023685205</v>
      </c>
      <c r="D39" s="84">
        <f t="shared" si="17"/>
        <v>460.05410470742959</v>
      </c>
      <c r="E39" s="86">
        <f>$B$3*0.05</f>
        <v>1219.3798149442816</v>
      </c>
      <c r="F39" s="99" t="s">
        <v>137</v>
      </c>
      <c r="G39" s="96"/>
      <c r="H39" s="94">
        <f t="shared" si="18"/>
        <v>143.54742857142858</v>
      </c>
      <c r="I39" s="94">
        <f t="shared" si="14"/>
        <v>79.748571428571438</v>
      </c>
      <c r="J39" s="103">
        <f>$B$4*30/365</f>
        <v>223.29600000000002</v>
      </c>
      <c r="K39" s="101"/>
    </row>
    <row r="40" spans="1:11" x14ac:dyDescent="0.25">
      <c r="A40" s="32" t="s">
        <v>138</v>
      </c>
      <c r="B40" s="84">
        <f t="shared" si="15"/>
        <v>0</v>
      </c>
      <c r="C40" s="84">
        <f t="shared" si="16"/>
        <v>1214.9211363789632</v>
      </c>
      <c r="D40" s="84">
        <f t="shared" si="17"/>
        <v>736.08656753188723</v>
      </c>
      <c r="E40" s="86">
        <f>$B$3*0.08</f>
        <v>1951.0077039108505</v>
      </c>
      <c r="F40" s="99" t="s">
        <v>138</v>
      </c>
      <c r="G40" s="96"/>
      <c r="H40" s="94">
        <f t="shared" si="18"/>
        <v>148.33234285714286</v>
      </c>
      <c r="I40" s="94">
        <f t="shared" si="14"/>
        <v>82.406857142857149</v>
      </c>
      <c r="J40" s="103">
        <f>$B$4*31/365</f>
        <v>230.73920000000001</v>
      </c>
      <c r="K40" s="101"/>
    </row>
    <row r="41" spans="1:11" x14ac:dyDescent="0.25">
      <c r="A41" s="32" t="s">
        <v>139</v>
      </c>
      <c r="B41" s="84">
        <f t="shared" si="15"/>
        <v>0</v>
      </c>
      <c r="C41" s="84">
        <f t="shared" si="16"/>
        <v>1518.6514204737041</v>
      </c>
      <c r="D41" s="84">
        <f t="shared" si="17"/>
        <v>920.10820941485918</v>
      </c>
      <c r="E41" s="86">
        <f>$B$3*0.1</f>
        <v>2438.7596298885633</v>
      </c>
      <c r="F41" s="99" t="s">
        <v>139</v>
      </c>
      <c r="G41" s="96"/>
      <c r="H41" s="94">
        <f t="shared" si="18"/>
        <v>143.54742857142858</v>
      </c>
      <c r="I41" s="94">
        <f t="shared" si="14"/>
        <v>79.748571428571438</v>
      </c>
      <c r="J41" s="103">
        <f>$B$4*30/365</f>
        <v>223.29600000000002</v>
      </c>
      <c r="K41" s="101"/>
    </row>
    <row r="42" spans="1:11" x14ac:dyDescent="0.25">
      <c r="A42" s="57" t="s">
        <v>140</v>
      </c>
      <c r="B42" s="85">
        <f t="shared" si="15"/>
        <v>0</v>
      </c>
      <c r="C42" s="85">
        <f t="shared" si="16"/>
        <v>2581.707414805297</v>
      </c>
      <c r="D42" s="85">
        <f t="shared" si="17"/>
        <v>1564.1839560052604</v>
      </c>
      <c r="E42" s="87">
        <f>$B$3*0.17</f>
        <v>4145.8913708105574</v>
      </c>
      <c r="F42" s="98" t="s">
        <v>140</v>
      </c>
      <c r="G42" s="92"/>
      <c r="H42" s="95">
        <f t="shared" si="18"/>
        <v>148.33234285714286</v>
      </c>
      <c r="I42" s="95">
        <f t="shared" si="14"/>
        <v>82.406857142857149</v>
      </c>
      <c r="J42" s="104">
        <f>$B$4*31/365</f>
        <v>230.73920000000001</v>
      </c>
      <c r="K42" s="101"/>
    </row>
    <row r="43" spans="1:11" x14ac:dyDescent="0.25">
      <c r="A43" s="32" t="s">
        <v>141</v>
      </c>
      <c r="B43" s="84">
        <f>SUM(B31:B42)</f>
        <v>0</v>
      </c>
      <c r="C43" s="84">
        <f t="shared" ref="C43:E43" si="19">SUM(C31:C42)</f>
        <v>15186.514204737039</v>
      </c>
      <c r="D43" s="84">
        <f t="shared" si="19"/>
        <v>9201.0820941485908</v>
      </c>
      <c r="E43" s="86">
        <f t="shared" si="19"/>
        <v>24387.59629888563</v>
      </c>
      <c r="F43" s="99" t="s">
        <v>141</v>
      </c>
      <c r="G43" s="96"/>
      <c r="H43" s="94">
        <f t="shared" ref="H43:J43" si="20">SUM(H31:H42)</f>
        <v>1746.4937142857143</v>
      </c>
      <c r="I43" s="94">
        <f t="shared" si="20"/>
        <v>970.27428571428561</v>
      </c>
      <c r="J43" s="105">
        <f t="shared" si="20"/>
        <v>2716.768</v>
      </c>
      <c r="K43" s="101"/>
    </row>
    <row r="45" spans="1:11" x14ac:dyDescent="0.25">
      <c r="A45" s="91" t="s">
        <v>168</v>
      </c>
    </row>
    <row r="46" spans="1:11" x14ac:dyDescent="0.25">
      <c r="A46" s="91" t="s">
        <v>145</v>
      </c>
      <c r="B46" s="89">
        <f>B43</f>
        <v>0</v>
      </c>
      <c r="C46" s="112">
        <f>B46/$B$50</f>
        <v>0</v>
      </c>
    </row>
    <row r="47" spans="1:11" x14ac:dyDescent="0.25">
      <c r="A47" s="91" t="s">
        <v>165</v>
      </c>
      <c r="B47" s="89">
        <f>C43+I43</f>
        <v>16156.788490451325</v>
      </c>
      <c r="C47" s="112">
        <f t="shared" ref="C47:C49" si="21">B47/$B$50</f>
        <v>0.55089704998031241</v>
      </c>
    </row>
    <row r="48" spans="1:11" x14ac:dyDescent="0.25">
      <c r="A48" s="91" t="s">
        <v>167</v>
      </c>
      <c r="B48" s="89">
        <f>F25</f>
        <v>0</v>
      </c>
      <c r="C48" s="112">
        <f t="shared" si="21"/>
        <v>0</v>
      </c>
    </row>
    <row r="49" spans="1:3" x14ac:dyDescent="0.25">
      <c r="A49" s="88" t="s">
        <v>166</v>
      </c>
      <c r="B49" s="90">
        <f>H25</f>
        <v>13171.356379862877</v>
      </c>
      <c r="C49" s="113">
        <f t="shared" si="21"/>
        <v>0.44910295001968764</v>
      </c>
    </row>
    <row r="50" spans="1:3" x14ac:dyDescent="0.25">
      <c r="A50" s="91" t="s">
        <v>52</v>
      </c>
      <c r="B50" s="89">
        <f>SUM(B46:B49)</f>
        <v>29328.144870314201</v>
      </c>
      <c r="C50" s="112">
        <f>SUM(C46:C49)</f>
        <v>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4"/>
  <dimension ref="A1:AY49"/>
  <sheetViews>
    <sheetView topLeftCell="P1" zoomScale="85" zoomScaleNormal="85" workbookViewId="0">
      <selection activeCell="Z1" sqref="Z1"/>
    </sheetView>
  </sheetViews>
  <sheetFormatPr defaultRowHeight="15" x14ac:dyDescent="0.25"/>
  <cols>
    <col min="3" max="3" width="14.5703125" customWidth="1"/>
    <col min="4" max="4" width="18.5703125" bestFit="1" customWidth="1"/>
    <col min="5" max="5" width="12.140625" customWidth="1"/>
    <col min="6" max="6" width="12.5703125" bestFit="1" customWidth="1"/>
    <col min="7" max="7" width="18.140625" customWidth="1"/>
    <col min="8" max="8" width="9.5703125" bestFit="1" customWidth="1"/>
    <col min="9" max="9" width="9.28515625" bestFit="1" customWidth="1"/>
    <col min="10" max="10" width="9.5703125" bestFit="1" customWidth="1"/>
    <col min="11" max="11" width="14.28515625" customWidth="1"/>
    <col min="12" max="12" width="14.42578125" customWidth="1"/>
    <col min="13" max="13" width="20.140625" customWidth="1"/>
    <col min="14" max="14" width="10.7109375" customWidth="1"/>
    <col min="15" max="15" width="17" customWidth="1"/>
    <col min="16" max="16" width="18.5703125" bestFit="1" customWidth="1"/>
    <col min="18" max="18" width="12.28515625" bestFit="1" customWidth="1"/>
    <col min="19" max="19" width="18.5703125" bestFit="1" customWidth="1"/>
    <col min="21" max="21" width="18.5703125" bestFit="1" customWidth="1"/>
    <col min="38" max="38" width="12.28515625" bestFit="1" customWidth="1"/>
    <col min="40" max="40" width="12" bestFit="1" customWidth="1"/>
    <col min="41" max="41" width="12.7109375" bestFit="1" customWidth="1"/>
    <col min="43" max="43" width="12.7109375" bestFit="1" customWidth="1"/>
    <col min="50" max="50" width="12.7109375" customWidth="1"/>
    <col min="51" max="51" width="15.42578125" customWidth="1"/>
  </cols>
  <sheetData>
    <row r="1" spans="1:51" x14ac:dyDescent="0.25">
      <c r="A1" t="s">
        <v>70</v>
      </c>
      <c r="M1" t="s">
        <v>185</v>
      </c>
      <c r="N1">
        <f>VLOOKUP(C5,Polynomy!A1:O24,15,FALSE)</f>
        <v>2</v>
      </c>
      <c r="Y1" s="204" t="s">
        <v>269</v>
      </c>
      <c r="Z1" s="72">
        <v>0.08</v>
      </c>
      <c r="AA1" t="s">
        <v>271</v>
      </c>
    </row>
    <row r="2" spans="1:51" x14ac:dyDescent="0.25">
      <c r="A2" t="s">
        <v>113</v>
      </c>
      <c r="C2" s="2">
        <f>'Zadání+Výsledek'!B2+V2</f>
        <v>11.234894545454546</v>
      </c>
      <c r="D2" t="s">
        <v>38</v>
      </c>
      <c r="M2" t="s">
        <v>96</v>
      </c>
      <c r="N2">
        <f>VLOOKUP(C5,Polynomy!A1:O23,12,FALSE)</f>
        <v>1</v>
      </c>
      <c r="Q2" t="s">
        <v>84</v>
      </c>
      <c r="T2" t="s">
        <v>115</v>
      </c>
      <c r="V2">
        <f>'Zadání+Výsledek'!B8*'Zadání+Výsledek'!B7*('Zadání+Výsledek'!I7-10)*1.163/1000*365/2200*(IF(U3=2,1,1.3))</f>
        <v>1.2348945454545455</v>
      </c>
      <c r="W2" t="s">
        <v>38</v>
      </c>
      <c r="AU2" t="s">
        <v>183</v>
      </c>
    </row>
    <row r="3" spans="1:51" ht="18" x14ac:dyDescent="0.35">
      <c r="A3" t="s">
        <v>53</v>
      </c>
      <c r="C3">
        <v>-15</v>
      </c>
      <c r="D3" t="s">
        <v>40</v>
      </c>
      <c r="M3" t="s">
        <v>105</v>
      </c>
      <c r="N3" t="str">
        <f>'Zadání+Výsledek'!B6</f>
        <v>vrt</v>
      </c>
      <c r="O3" t="str">
        <f>VLOOKUP(Výpočet!N3,M4:N5,1,FALSE)</f>
        <v>vrt</v>
      </c>
      <c r="Q3" t="s">
        <v>83</v>
      </c>
      <c r="R3">
        <f>VLOOKUP(C5,Polynomy!A1:N23,13,FALSE)</f>
        <v>50</v>
      </c>
      <c r="T3" t="s">
        <v>114</v>
      </c>
      <c r="U3">
        <f>VLOOKUP('Zadání+Výsledek'!I8,Výpočet!U4:V5,2,FALSE)</f>
        <v>2</v>
      </c>
      <c r="AU3" t="s">
        <v>187</v>
      </c>
      <c r="AV3">
        <v>1.05</v>
      </c>
    </row>
    <row r="4" spans="1:51" x14ac:dyDescent="0.25">
      <c r="A4" t="s">
        <v>39</v>
      </c>
      <c r="C4">
        <f>'Zadání+Výsledek'!B4</f>
        <v>57</v>
      </c>
      <c r="D4" t="s">
        <v>40</v>
      </c>
      <c r="E4" t="s">
        <v>41</v>
      </c>
      <c r="F4">
        <f>'Zadání+Výsledek'!E4</f>
        <v>47</v>
      </c>
      <c r="G4" t="s">
        <v>40</v>
      </c>
      <c r="H4" t="s">
        <v>69</v>
      </c>
      <c r="K4">
        <f>'Zadání+Výsledek'!I3</f>
        <v>62</v>
      </c>
      <c r="L4" t="s">
        <v>40</v>
      </c>
      <c r="M4" t="s">
        <v>103</v>
      </c>
      <c r="O4">
        <v>4</v>
      </c>
      <c r="P4" t="s">
        <v>40</v>
      </c>
      <c r="Q4" t="s">
        <v>82</v>
      </c>
      <c r="R4">
        <f>VLOOKUP(C5,Polynomy!A1:N23,14,FALSE)</f>
        <v>50</v>
      </c>
      <c r="U4" t="s">
        <v>116</v>
      </c>
      <c r="V4">
        <v>1</v>
      </c>
      <c r="AU4" t="s">
        <v>186</v>
      </c>
      <c r="AV4">
        <v>1.1000000000000001</v>
      </c>
    </row>
    <row r="5" spans="1:51" ht="15.75" thickBot="1" x14ac:dyDescent="0.3">
      <c r="A5" t="s">
        <v>42</v>
      </c>
      <c r="C5" t="str">
        <f>'Zadání+Výsledek'!B5</f>
        <v>EcoAir 408</v>
      </c>
      <c r="H5" t="s">
        <v>91</v>
      </c>
      <c r="K5">
        <f>'Zadání+Výsledek'!I4</f>
        <v>25</v>
      </c>
      <c r="L5" t="s">
        <v>40</v>
      </c>
      <c r="M5" t="s">
        <v>104</v>
      </c>
      <c r="O5">
        <v>2.5</v>
      </c>
      <c r="P5" t="s">
        <v>40</v>
      </c>
      <c r="U5" t="s">
        <v>117</v>
      </c>
      <c r="V5">
        <v>2</v>
      </c>
      <c r="AV5">
        <f>IF(N1=1,AV4,AV3)</f>
        <v>1.05</v>
      </c>
      <c r="AX5" t="s">
        <v>77</v>
      </c>
      <c r="AY5" t="s">
        <v>79</v>
      </c>
    </row>
    <row r="6" spans="1:51" ht="15.75" x14ac:dyDescent="0.25">
      <c r="A6" t="s">
        <v>78</v>
      </c>
      <c r="C6" s="13" t="s">
        <v>77</v>
      </c>
      <c r="E6">
        <f>HLOOKUP(C6,AX5:AY6,2,FALSE)</f>
        <v>1</v>
      </c>
      <c r="P6" s="17" t="s">
        <v>58</v>
      </c>
      <c r="Q6" s="18"/>
      <c r="R6" s="18"/>
      <c r="S6" s="18"/>
      <c r="T6" s="18"/>
      <c r="U6" s="18"/>
      <c r="V6" s="18"/>
      <c r="W6" s="18"/>
      <c r="X6" s="18"/>
      <c r="Y6" s="18"/>
      <c r="Z6" s="19"/>
      <c r="AA6" s="17" t="s">
        <v>59</v>
      </c>
      <c r="AB6" s="18"/>
      <c r="AC6" s="18"/>
      <c r="AD6" s="18"/>
      <c r="AE6" s="18"/>
      <c r="AF6" s="18"/>
      <c r="AG6" s="18"/>
      <c r="AH6" s="18"/>
      <c r="AI6" s="18"/>
      <c r="AJ6" s="18"/>
      <c r="AK6" s="19"/>
      <c r="AL6" s="17" t="s">
        <v>60</v>
      </c>
      <c r="AM6" s="18"/>
      <c r="AN6" s="18"/>
      <c r="AO6" s="18"/>
      <c r="AP6" s="18"/>
      <c r="AQ6" s="18"/>
      <c r="AR6" s="18"/>
      <c r="AS6" s="18"/>
      <c r="AT6" s="18"/>
      <c r="AU6" s="18"/>
      <c r="AV6" s="19"/>
      <c r="AX6">
        <v>1</v>
      </c>
      <c r="AY6">
        <v>2</v>
      </c>
    </row>
    <row r="7" spans="1:51" ht="18" x14ac:dyDescent="0.35">
      <c r="B7" s="15" t="s">
        <v>56</v>
      </c>
      <c r="C7" s="15" t="s">
        <v>43</v>
      </c>
      <c r="D7" s="15" t="s">
        <v>57</v>
      </c>
      <c r="E7" s="15" t="s">
        <v>61</v>
      </c>
      <c r="F7" s="31" t="s">
        <v>64</v>
      </c>
      <c r="G7" s="15" t="s">
        <v>44</v>
      </c>
      <c r="H7" s="31" t="s">
        <v>65</v>
      </c>
      <c r="I7" s="31" t="s">
        <v>66</v>
      </c>
      <c r="J7" s="31" t="s">
        <v>67</v>
      </c>
      <c r="K7" s="31" t="s">
        <v>54</v>
      </c>
      <c r="L7" s="15" t="s">
        <v>45</v>
      </c>
      <c r="M7" s="15" t="s">
        <v>46</v>
      </c>
      <c r="N7" s="15" t="s">
        <v>68</v>
      </c>
      <c r="O7" s="34" t="s">
        <v>93</v>
      </c>
      <c r="P7" s="35" t="s">
        <v>1</v>
      </c>
      <c r="Q7" s="36" t="s">
        <v>2</v>
      </c>
      <c r="R7" s="36" t="s">
        <v>3</v>
      </c>
      <c r="S7" s="36" t="s">
        <v>4</v>
      </c>
      <c r="T7" s="36" t="s">
        <v>5</v>
      </c>
      <c r="U7" s="36" t="s">
        <v>6</v>
      </c>
      <c r="V7" s="36" t="s">
        <v>7</v>
      </c>
      <c r="W7" s="36" t="s">
        <v>8</v>
      </c>
      <c r="X7" s="36" t="s">
        <v>9</v>
      </c>
      <c r="Y7" s="36" t="s">
        <v>10</v>
      </c>
      <c r="Z7" s="20"/>
      <c r="AA7" s="35" t="s">
        <v>1</v>
      </c>
      <c r="AB7" s="36" t="s">
        <v>2</v>
      </c>
      <c r="AC7" s="36" t="s">
        <v>3</v>
      </c>
      <c r="AD7" s="36" t="s">
        <v>4</v>
      </c>
      <c r="AE7" s="36" t="s">
        <v>5</v>
      </c>
      <c r="AF7" s="36" t="s">
        <v>6</v>
      </c>
      <c r="AG7" s="36" t="s">
        <v>7</v>
      </c>
      <c r="AH7" s="36" t="s">
        <v>8</v>
      </c>
      <c r="AI7" s="36" t="s">
        <v>9</v>
      </c>
      <c r="AJ7" s="36" t="s">
        <v>10</v>
      </c>
      <c r="AK7" s="20"/>
      <c r="AL7" s="35" t="s">
        <v>1</v>
      </c>
      <c r="AM7" s="36" t="s">
        <v>2</v>
      </c>
      <c r="AN7" s="36" t="s">
        <v>3</v>
      </c>
      <c r="AO7" s="36" t="s">
        <v>4</v>
      </c>
      <c r="AP7" s="36" t="s">
        <v>5</v>
      </c>
      <c r="AQ7" s="36" t="s">
        <v>6</v>
      </c>
      <c r="AR7" s="36" t="s">
        <v>7</v>
      </c>
      <c r="AS7" s="36" t="s">
        <v>8</v>
      </c>
      <c r="AT7" s="36" t="s">
        <v>9</v>
      </c>
      <c r="AU7" s="36" t="s">
        <v>10</v>
      </c>
      <c r="AV7" s="20"/>
      <c r="AX7" s="15" t="s">
        <v>43</v>
      </c>
      <c r="AY7" s="15" t="s">
        <v>43</v>
      </c>
    </row>
    <row r="8" spans="1:51" ht="15.75" x14ac:dyDescent="0.25">
      <c r="B8" s="15" t="s">
        <v>47</v>
      </c>
      <c r="C8" s="15" t="s">
        <v>48</v>
      </c>
      <c r="D8" s="15" t="s">
        <v>49</v>
      </c>
      <c r="E8" s="15" t="s">
        <v>49</v>
      </c>
      <c r="F8" s="15" t="s">
        <v>49</v>
      </c>
      <c r="G8" s="15" t="s">
        <v>49</v>
      </c>
      <c r="H8" s="15" t="s">
        <v>50</v>
      </c>
      <c r="I8" s="15" t="s">
        <v>50</v>
      </c>
      <c r="J8" s="15" t="s">
        <v>50</v>
      </c>
      <c r="K8" s="15" t="s">
        <v>49</v>
      </c>
      <c r="L8" s="15" t="s">
        <v>51</v>
      </c>
      <c r="M8" s="15" t="s">
        <v>51</v>
      </c>
      <c r="N8" s="15" t="s">
        <v>50</v>
      </c>
      <c r="O8" s="34" t="s">
        <v>92</v>
      </c>
      <c r="P8" s="35">
        <f>VLOOKUP(C5,Polynomy!A2:K23,2,FALSE)</f>
        <v>0</v>
      </c>
      <c r="Q8" s="36">
        <f>VLOOKUP(C5,Polynomy!A2:K23,3,FALSE)</f>
        <v>-3.6784080746091776E-4</v>
      </c>
      <c r="R8" s="36">
        <f>VLOOKUP(C5,Polynomy!A2:K23,4,FALSE)</f>
        <v>-6.524076815744067E-5</v>
      </c>
      <c r="S8" s="36">
        <f>VLOOKUP(C5,Polynomy!A2:K23,5,FALSE)</f>
        <v>4.8603345527293076E-3</v>
      </c>
      <c r="T8" s="36">
        <f>VLOOKUP(C5,Polynomy!A2:K23,6,FALSE)</f>
        <v>-7.7945476027711411E-4</v>
      </c>
      <c r="U8" s="36">
        <f>VLOOKUP(C5,Polynomy!A2:K23,7,FALSE)</f>
        <v>4.5755410957776712E-3</v>
      </c>
      <c r="V8" s="36">
        <f>VLOOKUP(C5,Polynomy!A2:K23,8,FALSE)</f>
        <v>0</v>
      </c>
      <c r="W8" s="36">
        <f>VLOOKUP(C5,Polynomy!A2:K23,9,FALSE)</f>
        <v>0</v>
      </c>
      <c r="X8" s="36">
        <f>VLOOKUP(C5,Polynomy!A2:K23,10,FALSE)</f>
        <v>0</v>
      </c>
      <c r="Y8" s="36">
        <f>VLOOKUP(C5,Polynomy!A2:K23,11,FALSE)</f>
        <v>6.5846774399434898</v>
      </c>
      <c r="Z8" s="20"/>
      <c r="AA8" s="35">
        <f>VLOOKUP(C5,Polynomy!A50:K71,2,FALSE)</f>
        <v>0</v>
      </c>
      <c r="AB8" s="36">
        <f>VLOOKUP(C5,Polynomy!A50:K71,3,FALSE)</f>
        <v>0</v>
      </c>
      <c r="AC8" s="36">
        <f>VLOOKUP(C5,Polynomy!A50:K71,4,FALSE)</f>
        <v>0</v>
      </c>
      <c r="AD8" s="36">
        <f>VLOOKUP(C5,Polynomy!A50:K71,5,FALSE)</f>
        <v>0</v>
      </c>
      <c r="AE8" s="36">
        <f>VLOOKUP(C5,Polynomy!A50:K71,6,FALSE)</f>
        <v>0</v>
      </c>
      <c r="AF8" s="36">
        <f>VLOOKUP(C5,Polynomy!A50:K71,7,FALSE)</f>
        <v>0</v>
      </c>
      <c r="AG8" s="36">
        <f>VLOOKUP(C5,Polynomy!A50:K71,8,FALSE)</f>
        <v>0</v>
      </c>
      <c r="AH8" s="36">
        <f>VLOOKUP(C5,Polynomy!A50:K71,9,FALSE)</f>
        <v>0</v>
      </c>
      <c r="AI8" s="36">
        <f>VLOOKUP(C5,Polynomy!A50:K71,10,FALSE)</f>
        <v>0</v>
      </c>
      <c r="AJ8" s="36">
        <f>VLOOKUP(C5,Polynomy!A50:K71,11,FALSE)</f>
        <v>50</v>
      </c>
      <c r="AK8" s="20"/>
      <c r="AL8" s="35">
        <f>VLOOKUP($C$5,Polynomy!$A$26:$K$47,2,FALSE)</f>
        <v>0</v>
      </c>
      <c r="AM8" s="35">
        <f>VLOOKUP($C$5,Polynomy!$A$26:$K$47,3,FALSE)</f>
        <v>4.3946953660438566E-4</v>
      </c>
      <c r="AN8" s="35">
        <f>VLOOKUP($C$5,Polynomy!$A$26:$K$47,4,FALSE)</f>
        <v>1.116532873200515E-4</v>
      </c>
      <c r="AO8" s="35">
        <f>VLOOKUP($C$5,Polynomy!$A$26:$K$47,5,FALSE)</f>
        <v>-2.6266768538170816E-4</v>
      </c>
      <c r="AP8" s="35">
        <f>VLOOKUP($C$5,Polynomy!$A$26:$K$47,6,FALSE)</f>
        <v>3.2275880442579158E-4</v>
      </c>
      <c r="AQ8" s="35">
        <f>VLOOKUP($C$5,Polynomy!$A$26:$K$47,7,FALSE)</f>
        <v>-7.4713353106009887E-4</v>
      </c>
      <c r="AR8" s="35">
        <f>VLOOKUP($C$5,Polynomy!$A$26:$K$47,8,FALSE)</f>
        <v>0</v>
      </c>
      <c r="AS8" s="35">
        <f>VLOOKUP($C$5,Polynomy!$A$26:$K$47,9,FALSE)</f>
        <v>0</v>
      </c>
      <c r="AT8" s="35">
        <f>VLOOKUP($C$5,Polynomy!$A$26:$K$47,10,FALSE)</f>
        <v>0</v>
      </c>
      <c r="AU8" s="35">
        <f>VLOOKUP($C$5,Polynomy!$A$26:$K$47,11,FALSE)</f>
        <v>0.73774458101473273</v>
      </c>
      <c r="AV8" s="20"/>
      <c r="AX8" s="15" t="s">
        <v>48</v>
      </c>
      <c r="AY8" s="15" t="s">
        <v>48</v>
      </c>
    </row>
    <row r="9" spans="1:51" ht="15.75" x14ac:dyDescent="0.25">
      <c r="B9" s="13">
        <v>-22</v>
      </c>
      <c r="C9" s="13">
        <f t="shared" ref="C9:C46" si="0">IF($E$6=1,AX9,AY9)</f>
        <v>0</v>
      </c>
      <c r="D9" s="14">
        <f>$C$2*(B9-16)/($C$3-16)</f>
        <v>13.771806217008798</v>
      </c>
      <c r="E9" s="14">
        <f>Z9</f>
        <v>3.1249555993895823</v>
      </c>
      <c r="F9" s="14">
        <f t="shared" ref="F9:F46" si="1">IF($AJ$8=50,E9,IF(R9=$R$4,Z9,IF(R9=$R$3,Z9,D9)))</f>
        <v>3.1249555993895823</v>
      </c>
      <c r="G9" s="14">
        <f>IF(D9-F9&lt;0,0,D9-F9)</f>
        <v>10.646850617619215</v>
      </c>
      <c r="H9" s="14">
        <f t="shared" ref="H9:H46" si="2">E9/AV9</f>
        <v>1.475990019569879</v>
      </c>
      <c r="I9" s="14">
        <f>IF(D9=0,0,IF(D9=0,0,IF(D9/F9&gt;1,1,D9/F9)))</f>
        <v>1</v>
      </c>
      <c r="J9" s="14">
        <f>H9/I9</f>
        <v>1.475990019569879</v>
      </c>
      <c r="K9" s="14">
        <f>F9/J9+G9</f>
        <v>12.764043524045663</v>
      </c>
      <c r="L9" s="14">
        <f>D9*C9</f>
        <v>0</v>
      </c>
      <c r="M9" s="14">
        <f>K9*C9</f>
        <v>0</v>
      </c>
      <c r="N9" s="2">
        <f>(B9-16)/($C$3-16)</f>
        <v>1.2258064516129032</v>
      </c>
      <c r="O9">
        <f t="shared" ref="O9:O46" si="3">ROUND(C9*I9,0)</f>
        <v>0</v>
      </c>
      <c r="P9" s="21">
        <f t="shared" ref="P9:P46" si="4">IF($N$2=1,B9,VLOOKUP($O$3,$M$4:$O$5,3,FALSE))</f>
        <v>-22</v>
      </c>
      <c r="Q9" s="22">
        <f t="shared" ref="Q9:Q46" si="5">IF((16+($C$4-16)*N9)&lt;$K$5,$K$5,IF((16+($C$4-16)*N9)&gt;$K$4,$K$4,16+($C$4-16)*N9))</f>
        <v>62</v>
      </c>
      <c r="R9" s="23">
        <f>IF(AK9&lt;$R$4,IF(AK9&lt;$R$3,$R$3,AK9),$R$4)</f>
        <v>50</v>
      </c>
      <c r="S9" s="24">
        <f t="shared" ref="S9:S46" si="6">P9^2</f>
        <v>484</v>
      </c>
      <c r="T9" s="24">
        <f t="shared" ref="T9:T46" si="7">P9*Q9</f>
        <v>-1364</v>
      </c>
      <c r="U9" s="24">
        <f t="shared" ref="U9:U46" si="8">P9*R9</f>
        <v>-1100</v>
      </c>
      <c r="V9" s="24">
        <f t="shared" ref="V9:V46" si="9">Q9^2</f>
        <v>3844</v>
      </c>
      <c r="W9" s="24">
        <f t="shared" ref="W9:W46" si="10">Q9*R9</f>
        <v>3100</v>
      </c>
      <c r="X9" s="24">
        <f t="shared" ref="X9:X46" si="11">R9^2</f>
        <v>2500</v>
      </c>
      <c r="Y9" s="24"/>
      <c r="Z9" s="16">
        <f>$Y$8+$X$8*P9+$W$8*Q9+$V$8*R9+$U$8*S9+$T$8*T9+$S$8*U9+$R$8*V9+$Q$8*W9+$P$8*X9</f>
        <v>3.1249555993895823</v>
      </c>
      <c r="AA9" s="21">
        <f>P9</f>
        <v>-22</v>
      </c>
      <c r="AB9" s="22">
        <f>Q9</f>
        <v>62</v>
      </c>
      <c r="AC9" s="23">
        <f t="shared" ref="AC9:AC46" si="12">D9</f>
        <v>13.771806217008798</v>
      </c>
      <c r="AD9" s="24">
        <f>AA9^2</f>
        <v>484</v>
      </c>
      <c r="AE9" s="24">
        <f>AA9*AB9</f>
        <v>-1364</v>
      </c>
      <c r="AF9" s="24">
        <f>AA9*AC9</f>
        <v>-302.97973677419355</v>
      </c>
      <c r="AG9" s="24">
        <f>AB9^2</f>
        <v>3844</v>
      </c>
      <c r="AH9" s="24">
        <f>AB9*AC9</f>
        <v>853.85198545454546</v>
      </c>
      <c r="AI9" s="24">
        <f>AC9^2</f>
        <v>189.66264647884219</v>
      </c>
      <c r="AJ9" s="24"/>
      <c r="AK9" s="16">
        <f>$AJ$8+$AI$8*AA9+$AH$8*AB9+$AG$8*AC9+$AF$8*AD9+$AE$8*AE9+$AD$8*AF9+$AC$8*AG9+$AB$8*AH9+$AA$8*AI9</f>
        <v>50</v>
      </c>
      <c r="AL9" s="21">
        <f>P9</f>
        <v>-22</v>
      </c>
      <c r="AM9" s="22">
        <f>AB9</f>
        <v>62</v>
      </c>
      <c r="AN9" s="23">
        <f>R9</f>
        <v>50</v>
      </c>
      <c r="AO9" s="24">
        <f>AL9^2</f>
        <v>484</v>
      </c>
      <c r="AP9" s="24">
        <f>AL9*AM9</f>
        <v>-1364</v>
      </c>
      <c r="AQ9" s="24">
        <f>AL9*AN9</f>
        <v>-1100</v>
      </c>
      <c r="AR9" s="24">
        <f>AM9^2</f>
        <v>3844</v>
      </c>
      <c r="AS9" s="24">
        <f>AM9*AN9</f>
        <v>3100</v>
      </c>
      <c r="AT9" s="24">
        <f>AN9^2</f>
        <v>2500</v>
      </c>
      <c r="AU9" s="24"/>
      <c r="AV9" s="16">
        <f>($AU$8+$AT$8*AL9+$AS$8*AM9+$AR$8*AN9+$AQ$8*AO9+$AP$8*AP9+$AO$8*AQ9+$AN$8*AR9+$AM$8*AS9+$AL$8*AT9)*$AV$5</f>
        <v>2.1171929064264483</v>
      </c>
      <c r="AX9" s="13">
        <v>0</v>
      </c>
      <c r="AY9" s="13">
        <v>1</v>
      </c>
    </row>
    <row r="10" spans="1:51" ht="15.75" x14ac:dyDescent="0.25">
      <c r="B10" s="13">
        <v>-21</v>
      </c>
      <c r="C10" s="13">
        <f t="shared" si="0"/>
        <v>0</v>
      </c>
      <c r="D10" s="14">
        <f t="shared" ref="D10:D46" si="13">$C$2*(B10-16)/($C$3-16)</f>
        <v>13.40939026392962</v>
      </c>
      <c r="E10" s="14">
        <f t="shared" ref="E10:E46" si="14">Z10</f>
        <v>3.122897864770426</v>
      </c>
      <c r="F10" s="14">
        <f t="shared" si="1"/>
        <v>3.122897864770426</v>
      </c>
      <c r="G10" s="14">
        <f t="shared" ref="G10:G46" si="15">IF(D10-F10&lt;0,0,D10-F10)</f>
        <v>10.286492399159194</v>
      </c>
      <c r="H10" s="14">
        <f t="shared" si="2"/>
        <v>1.4470270550565305</v>
      </c>
      <c r="I10" s="14">
        <f t="shared" ref="I10:I46" si="16">IF(D10=0,0,IF(D10=0,0,IF(D10/F10&gt;1,1,D10/F10)))</f>
        <v>1</v>
      </c>
      <c r="J10" s="14">
        <f t="shared" ref="J10:J46" si="17">H10/I10</f>
        <v>1.4470270550565305</v>
      </c>
      <c r="K10" s="14">
        <f t="shared" ref="K10:K46" si="18">F10/J10+G10</f>
        <v>12.444639929198585</v>
      </c>
      <c r="L10" s="14">
        <f t="shared" ref="L10:L46" si="19">D10*C10</f>
        <v>0</v>
      </c>
      <c r="M10" s="14">
        <f t="shared" ref="M10:M46" si="20">K10*C10</f>
        <v>0</v>
      </c>
      <c r="N10" s="2">
        <f t="shared" ref="N10:N46" si="21">(B10-16)/($C$3-16)</f>
        <v>1.1935483870967742</v>
      </c>
      <c r="O10">
        <f t="shared" si="3"/>
        <v>0</v>
      </c>
      <c r="P10" s="21">
        <f t="shared" si="4"/>
        <v>-21</v>
      </c>
      <c r="Q10" s="22">
        <f t="shared" si="5"/>
        <v>62</v>
      </c>
      <c r="R10" s="23">
        <f t="shared" ref="R10:R46" si="22">IF(AK10&lt;$R$4,IF(AK10&lt;$R$3,$R$3,AK10),$R$4)</f>
        <v>50</v>
      </c>
      <c r="S10" s="24">
        <f t="shared" si="6"/>
        <v>441</v>
      </c>
      <c r="T10" s="24">
        <f t="shared" si="7"/>
        <v>-1302</v>
      </c>
      <c r="U10" s="24">
        <f t="shared" si="8"/>
        <v>-1050</v>
      </c>
      <c r="V10" s="24">
        <f t="shared" si="9"/>
        <v>3844</v>
      </c>
      <c r="W10" s="24">
        <f t="shared" si="10"/>
        <v>3100</v>
      </c>
      <c r="X10" s="24">
        <f t="shared" si="11"/>
        <v>2500</v>
      </c>
      <c r="Y10" s="24"/>
      <c r="Z10" s="16">
        <f t="shared" ref="Z10:Z46" si="23">$Y$8+$X$8*P10+$W$8*Q10+$V$8*R10+$U$8*S10+$T$8*T10+$S$8*U10+$R$8*V10+$Q$8*W10+$P$8*X10</f>
        <v>3.122897864770426</v>
      </c>
      <c r="AA10" s="21">
        <f t="shared" ref="AA10:AA46" si="24">P10</f>
        <v>-21</v>
      </c>
      <c r="AB10" s="22">
        <f t="shared" ref="AB10:AB46" si="25">Q10</f>
        <v>62</v>
      </c>
      <c r="AC10" s="23">
        <f t="shared" si="12"/>
        <v>13.40939026392962</v>
      </c>
      <c r="AD10" s="24">
        <f t="shared" ref="AD10:AD46" si="26">AA10^2</f>
        <v>441</v>
      </c>
      <c r="AE10" s="24">
        <f t="shared" ref="AE10:AE46" si="27">AA10*AB10</f>
        <v>-1302</v>
      </c>
      <c r="AF10" s="24">
        <f t="shared" ref="AF10:AF46" si="28">AA10*AC10</f>
        <v>-281.597195542522</v>
      </c>
      <c r="AG10" s="24">
        <f t="shared" ref="AG10:AG46" si="29">AB10^2</f>
        <v>3844</v>
      </c>
      <c r="AH10" s="24">
        <f t="shared" ref="AH10:AH46" si="30">AB10*AC10</f>
        <v>831.38219636363647</v>
      </c>
      <c r="AI10" s="24">
        <f t="shared" ref="AI10:AI46" si="31">AC10^2</f>
        <v>179.81174725037047</v>
      </c>
      <c r="AJ10" s="24"/>
      <c r="AK10" s="16">
        <f t="shared" ref="AK10:AK46" si="32">$AJ$8+$AI$8*AA10+$AH$8*AB10+$AG$8*AC10+$AF$8*AD10+$AE$8*AE10+$AD$8*AF10+$AC$8*AG10+$AB$8*AH10+$AA$8*AI10</f>
        <v>50</v>
      </c>
      <c r="AL10" s="21">
        <f t="shared" ref="AL10:AL46" si="33">P10</f>
        <v>-21</v>
      </c>
      <c r="AM10" s="22">
        <f t="shared" ref="AM10:AM46" si="34">AB10</f>
        <v>62</v>
      </c>
      <c r="AN10" s="23">
        <f t="shared" ref="AN10:AN46" si="35">R10</f>
        <v>50</v>
      </c>
      <c r="AO10" s="24">
        <f t="shared" ref="AO10:AO46" si="36">AL10^2</f>
        <v>441</v>
      </c>
      <c r="AP10" s="24">
        <f t="shared" ref="AP10:AP46" si="37">AL10*AM10</f>
        <v>-1302</v>
      </c>
      <c r="AQ10" s="24">
        <f t="shared" ref="AQ10:AQ46" si="38">AL10*AN10</f>
        <v>-1050</v>
      </c>
      <c r="AR10" s="24">
        <f t="shared" ref="AR10:AR46" si="39">AM10^2</f>
        <v>3844</v>
      </c>
      <c r="AS10" s="24">
        <f t="shared" ref="AS10:AS46" si="40">AM10*AN10</f>
        <v>3100</v>
      </c>
      <c r="AT10" s="24">
        <f t="shared" ref="AT10:AT46" si="41">AN10^2</f>
        <v>2500</v>
      </c>
      <c r="AU10" s="24"/>
      <c r="AV10" s="16">
        <f t="shared" ref="AV10:AV46" si="42">($AU$8+$AT$8*AL10+$AS$8*AM10+$AR$8*AN10+$AQ$8*AO10+$AP$8*AP10+$AO$8*AQ10+$AN$8*AR10+$AM$8*AS10+$AL$8*AT10)*$AV$5</f>
        <v>2.1581475300393915</v>
      </c>
      <c r="AX10" s="13">
        <v>0</v>
      </c>
      <c r="AY10" s="13">
        <v>6</v>
      </c>
    </row>
    <row r="11" spans="1:51" ht="15.75" x14ac:dyDescent="0.25">
      <c r="B11" s="13">
        <v>-20</v>
      </c>
      <c r="C11" s="13">
        <f t="shared" si="0"/>
        <v>0</v>
      </c>
      <c r="D11" s="14">
        <f t="shared" si="13"/>
        <v>13.046974310850441</v>
      </c>
      <c r="E11" s="14">
        <f t="shared" si="14"/>
        <v>3.1299912123428246</v>
      </c>
      <c r="F11" s="14">
        <f t="shared" si="1"/>
        <v>3.1299912123428246</v>
      </c>
      <c r="G11" s="14">
        <f t="shared" si="15"/>
        <v>9.9169830985076164</v>
      </c>
      <c r="H11" s="14">
        <f t="shared" si="2"/>
        <v>1.4243203472246775</v>
      </c>
      <c r="I11" s="14">
        <f t="shared" si="16"/>
        <v>1</v>
      </c>
      <c r="J11" s="14">
        <f t="shared" si="17"/>
        <v>1.4243203472246775</v>
      </c>
      <c r="K11" s="14">
        <f t="shared" si="18"/>
        <v>12.114516271744725</v>
      </c>
      <c r="L11" s="14">
        <f t="shared" si="19"/>
        <v>0</v>
      </c>
      <c r="M11" s="14">
        <f t="shared" si="20"/>
        <v>0</v>
      </c>
      <c r="N11" s="2">
        <f t="shared" si="21"/>
        <v>1.1612903225806452</v>
      </c>
      <c r="O11">
        <f t="shared" si="3"/>
        <v>0</v>
      </c>
      <c r="P11" s="21">
        <f t="shared" si="4"/>
        <v>-20</v>
      </c>
      <c r="Q11" s="22">
        <f t="shared" si="5"/>
        <v>62</v>
      </c>
      <c r="R11" s="23">
        <f t="shared" si="22"/>
        <v>50</v>
      </c>
      <c r="S11" s="24">
        <f t="shared" si="6"/>
        <v>400</v>
      </c>
      <c r="T11" s="24">
        <f t="shared" si="7"/>
        <v>-1240</v>
      </c>
      <c r="U11" s="24">
        <f t="shared" si="8"/>
        <v>-1000</v>
      </c>
      <c r="V11" s="24">
        <f t="shared" si="9"/>
        <v>3844</v>
      </c>
      <c r="W11" s="24">
        <f t="shared" si="10"/>
        <v>3100</v>
      </c>
      <c r="X11" s="24">
        <f t="shared" si="11"/>
        <v>2500</v>
      </c>
      <c r="Z11" s="16">
        <f t="shared" si="23"/>
        <v>3.1299912123428246</v>
      </c>
      <c r="AA11" s="21">
        <f t="shared" si="24"/>
        <v>-20</v>
      </c>
      <c r="AB11" s="22">
        <f t="shared" si="25"/>
        <v>62</v>
      </c>
      <c r="AC11" s="23">
        <f t="shared" si="12"/>
        <v>13.046974310850441</v>
      </c>
      <c r="AD11" s="24">
        <f t="shared" si="26"/>
        <v>400</v>
      </c>
      <c r="AE11" s="24">
        <f t="shared" si="27"/>
        <v>-1240</v>
      </c>
      <c r="AF11" s="24">
        <f t="shared" si="28"/>
        <v>-260.93948621700883</v>
      </c>
      <c r="AG11" s="24">
        <f t="shared" si="29"/>
        <v>3844</v>
      </c>
      <c r="AH11" s="24">
        <f t="shared" si="30"/>
        <v>808.91240727272736</v>
      </c>
      <c r="AI11" s="24">
        <f t="shared" si="31"/>
        <v>170.22353866799133</v>
      </c>
      <c r="AJ11" s="24"/>
      <c r="AK11" s="16">
        <f t="shared" si="32"/>
        <v>50</v>
      </c>
      <c r="AL11" s="21">
        <f t="shared" si="33"/>
        <v>-20</v>
      </c>
      <c r="AM11" s="22">
        <f t="shared" si="34"/>
        <v>62</v>
      </c>
      <c r="AN11" s="23">
        <f t="shared" si="35"/>
        <v>50</v>
      </c>
      <c r="AO11" s="24">
        <f t="shared" si="36"/>
        <v>400</v>
      </c>
      <c r="AP11" s="24">
        <f t="shared" si="37"/>
        <v>-1240</v>
      </c>
      <c r="AQ11" s="24">
        <f t="shared" si="38"/>
        <v>-1000</v>
      </c>
      <c r="AR11" s="24">
        <f t="shared" si="39"/>
        <v>3844</v>
      </c>
      <c r="AS11" s="24">
        <f t="shared" si="40"/>
        <v>3100</v>
      </c>
      <c r="AT11" s="24">
        <f t="shared" si="41"/>
        <v>2500</v>
      </c>
      <c r="AU11" s="24"/>
      <c r="AV11" s="16">
        <f t="shared" si="42"/>
        <v>2.1975331732371077</v>
      </c>
      <c r="AX11" s="13">
        <v>0</v>
      </c>
      <c r="AY11" s="13">
        <v>13</v>
      </c>
    </row>
    <row r="12" spans="1:51" ht="15.75" x14ac:dyDescent="0.25">
      <c r="B12" s="13">
        <v>-19</v>
      </c>
      <c r="C12" s="13">
        <f t="shared" si="0"/>
        <v>0</v>
      </c>
      <c r="D12" s="14">
        <f t="shared" si="13"/>
        <v>12.684558357771262</v>
      </c>
      <c r="E12" s="14">
        <f t="shared" si="14"/>
        <v>3.146235642106781</v>
      </c>
      <c r="F12" s="14">
        <f t="shared" si="1"/>
        <v>3.146235642106781</v>
      </c>
      <c r="G12" s="14">
        <f t="shared" si="15"/>
        <v>9.5383227156644814</v>
      </c>
      <c r="H12" s="14">
        <f t="shared" si="2"/>
        <v>1.4074913874372175</v>
      </c>
      <c r="I12" s="14">
        <f t="shared" si="16"/>
        <v>1</v>
      </c>
      <c r="J12" s="14">
        <f t="shared" si="17"/>
        <v>1.4074913874372175</v>
      </c>
      <c r="K12" s="14">
        <f t="shared" si="18"/>
        <v>11.773672551684079</v>
      </c>
      <c r="L12" s="14">
        <f t="shared" si="19"/>
        <v>0</v>
      </c>
      <c r="M12" s="14">
        <f t="shared" si="20"/>
        <v>0</v>
      </c>
      <c r="N12" s="2">
        <f t="shared" si="21"/>
        <v>1.1290322580645162</v>
      </c>
      <c r="O12">
        <f t="shared" si="3"/>
        <v>0</v>
      </c>
      <c r="P12" s="21">
        <f t="shared" si="4"/>
        <v>-19</v>
      </c>
      <c r="Q12" s="22">
        <f t="shared" si="5"/>
        <v>62</v>
      </c>
      <c r="R12" s="23">
        <f t="shared" si="22"/>
        <v>50</v>
      </c>
      <c r="S12" s="24">
        <f t="shared" si="6"/>
        <v>361</v>
      </c>
      <c r="T12" s="24">
        <f t="shared" si="7"/>
        <v>-1178</v>
      </c>
      <c r="U12" s="24">
        <f t="shared" si="8"/>
        <v>-950</v>
      </c>
      <c r="V12" s="24">
        <f t="shared" si="9"/>
        <v>3844</v>
      </c>
      <c r="W12" s="24">
        <f t="shared" si="10"/>
        <v>3100</v>
      </c>
      <c r="X12" s="24">
        <f t="shared" si="11"/>
        <v>2500</v>
      </c>
      <c r="Z12" s="16">
        <f t="shared" si="23"/>
        <v>3.146235642106781</v>
      </c>
      <c r="AA12" s="21">
        <f t="shared" si="24"/>
        <v>-19</v>
      </c>
      <c r="AB12" s="22">
        <f t="shared" si="25"/>
        <v>62</v>
      </c>
      <c r="AC12" s="23">
        <f t="shared" si="12"/>
        <v>12.684558357771262</v>
      </c>
      <c r="AD12" s="24">
        <f t="shared" si="26"/>
        <v>361</v>
      </c>
      <c r="AE12" s="24">
        <f t="shared" si="27"/>
        <v>-1178</v>
      </c>
      <c r="AF12" s="24">
        <f t="shared" si="28"/>
        <v>-241.006608797654</v>
      </c>
      <c r="AG12" s="24">
        <f t="shared" si="29"/>
        <v>3844</v>
      </c>
      <c r="AH12" s="24">
        <f t="shared" si="30"/>
        <v>786.44261818181826</v>
      </c>
      <c r="AI12" s="24">
        <f t="shared" si="31"/>
        <v>160.89802073170478</v>
      </c>
      <c r="AJ12" s="24"/>
      <c r="AK12" s="16">
        <f t="shared" si="32"/>
        <v>50</v>
      </c>
      <c r="AL12" s="21">
        <f t="shared" si="33"/>
        <v>-19</v>
      </c>
      <c r="AM12" s="22">
        <f t="shared" si="34"/>
        <v>62</v>
      </c>
      <c r="AN12" s="23">
        <f t="shared" si="35"/>
        <v>50</v>
      </c>
      <c r="AO12" s="24">
        <f t="shared" si="36"/>
        <v>361</v>
      </c>
      <c r="AP12" s="24">
        <f t="shared" si="37"/>
        <v>-1178</v>
      </c>
      <c r="AQ12" s="24">
        <f t="shared" si="38"/>
        <v>-950</v>
      </c>
      <c r="AR12" s="24">
        <f t="shared" si="39"/>
        <v>3844</v>
      </c>
      <c r="AS12" s="24">
        <f t="shared" si="40"/>
        <v>3100</v>
      </c>
      <c r="AT12" s="24">
        <f t="shared" si="41"/>
        <v>2500</v>
      </c>
      <c r="AU12" s="24"/>
      <c r="AV12" s="16">
        <f t="shared" si="42"/>
        <v>2.2353498360195982</v>
      </c>
      <c r="AX12" s="13">
        <v>0</v>
      </c>
      <c r="AY12" s="13">
        <v>17</v>
      </c>
    </row>
    <row r="13" spans="1:51" ht="15.75" x14ac:dyDescent="0.25">
      <c r="B13" s="13">
        <v>-18</v>
      </c>
      <c r="C13" s="13">
        <f t="shared" si="0"/>
        <v>0</v>
      </c>
      <c r="D13" s="14">
        <f t="shared" si="13"/>
        <v>12.322142404692084</v>
      </c>
      <c r="E13" s="14">
        <f t="shared" si="14"/>
        <v>3.1844150143260466</v>
      </c>
      <c r="F13" s="14">
        <f t="shared" si="1"/>
        <v>3.1844150143260466</v>
      </c>
      <c r="G13" s="14">
        <f t="shared" si="15"/>
        <v>9.1377273903660381</v>
      </c>
      <c r="H13" s="14">
        <f t="shared" si="2"/>
        <v>1.4221238137649479</v>
      </c>
      <c r="I13" s="14">
        <f t="shared" si="16"/>
        <v>1</v>
      </c>
      <c r="J13" s="14">
        <f t="shared" si="17"/>
        <v>1.4221238137649479</v>
      </c>
      <c r="K13" s="14">
        <f t="shared" si="18"/>
        <v>11.376924135054242</v>
      </c>
      <c r="L13" s="14">
        <f t="shared" si="19"/>
        <v>0</v>
      </c>
      <c r="M13" s="14">
        <f t="shared" si="20"/>
        <v>0</v>
      </c>
      <c r="N13" s="2">
        <f t="shared" si="21"/>
        <v>1.096774193548387</v>
      </c>
      <c r="O13">
        <f t="shared" si="3"/>
        <v>0</v>
      </c>
      <c r="P13" s="21">
        <f t="shared" si="4"/>
        <v>-18</v>
      </c>
      <c r="Q13" s="22">
        <f t="shared" si="5"/>
        <v>60.967741935483865</v>
      </c>
      <c r="R13" s="23">
        <f t="shared" si="22"/>
        <v>50</v>
      </c>
      <c r="S13" s="24">
        <f t="shared" si="6"/>
        <v>324</v>
      </c>
      <c r="T13" s="24">
        <f t="shared" si="7"/>
        <v>-1097.4193548387095</v>
      </c>
      <c r="U13" s="24">
        <f t="shared" si="8"/>
        <v>-900</v>
      </c>
      <c r="V13" s="24">
        <f t="shared" si="9"/>
        <v>3717.0655567117578</v>
      </c>
      <c r="W13" s="24">
        <f t="shared" si="10"/>
        <v>3048.3870967741932</v>
      </c>
      <c r="X13" s="24">
        <f t="shared" si="11"/>
        <v>2500</v>
      </c>
      <c r="Z13" s="16">
        <f t="shared" si="23"/>
        <v>3.1844150143260466</v>
      </c>
      <c r="AA13" s="21">
        <f t="shared" si="24"/>
        <v>-18</v>
      </c>
      <c r="AB13" s="22">
        <f t="shared" si="25"/>
        <v>60.967741935483865</v>
      </c>
      <c r="AC13" s="23">
        <f t="shared" si="12"/>
        <v>12.322142404692084</v>
      </c>
      <c r="AD13" s="24">
        <f t="shared" si="26"/>
        <v>324</v>
      </c>
      <c r="AE13" s="24">
        <f t="shared" si="27"/>
        <v>-1097.4193548387095</v>
      </c>
      <c r="AF13" s="24">
        <f t="shared" si="28"/>
        <v>-221.79856328445752</v>
      </c>
      <c r="AG13" s="24">
        <f t="shared" si="29"/>
        <v>3717.0655567117578</v>
      </c>
      <c r="AH13" s="24">
        <f t="shared" si="30"/>
        <v>751.2531982215495</v>
      </c>
      <c r="AI13" s="24">
        <f t="shared" si="31"/>
        <v>151.8351934415108</v>
      </c>
      <c r="AJ13" s="24"/>
      <c r="AK13" s="16">
        <f t="shared" si="32"/>
        <v>50</v>
      </c>
      <c r="AL13" s="21">
        <f t="shared" si="33"/>
        <v>-18</v>
      </c>
      <c r="AM13" s="22">
        <f t="shared" si="34"/>
        <v>60.967741935483865</v>
      </c>
      <c r="AN13" s="23">
        <f t="shared" si="35"/>
        <v>50</v>
      </c>
      <c r="AO13" s="24">
        <f t="shared" si="36"/>
        <v>324</v>
      </c>
      <c r="AP13" s="24">
        <f t="shared" si="37"/>
        <v>-1097.4193548387095</v>
      </c>
      <c r="AQ13" s="24">
        <f t="shared" si="38"/>
        <v>-900</v>
      </c>
      <c r="AR13" s="24">
        <f t="shared" si="39"/>
        <v>3717.0655567117578</v>
      </c>
      <c r="AS13" s="24">
        <f t="shared" si="40"/>
        <v>3048.3870967741932</v>
      </c>
      <c r="AT13" s="24">
        <f t="shared" si="41"/>
        <v>2500</v>
      </c>
      <c r="AU13" s="24"/>
      <c r="AV13" s="16">
        <f t="shared" si="42"/>
        <v>2.2391967446882051</v>
      </c>
      <c r="AX13" s="13">
        <v>0</v>
      </c>
      <c r="AY13" s="13">
        <v>19</v>
      </c>
    </row>
    <row r="14" spans="1:51" ht="15.75" x14ac:dyDescent="0.25">
      <c r="B14" s="13">
        <v>-17</v>
      </c>
      <c r="C14" s="13">
        <f t="shared" si="0"/>
        <v>5</v>
      </c>
      <c r="D14" s="14">
        <f t="shared" si="13"/>
        <v>11.959726451612903</v>
      </c>
      <c r="E14" s="14">
        <f t="shared" si="14"/>
        <v>3.2369732296477203</v>
      </c>
      <c r="F14" s="14">
        <f t="shared" si="1"/>
        <v>3.2369732296477203</v>
      </c>
      <c r="G14" s="14">
        <f t="shared" si="15"/>
        <v>8.7227532219651831</v>
      </c>
      <c r="H14" s="14">
        <f t="shared" si="2"/>
        <v>1.450302934551412</v>
      </c>
      <c r="I14" s="14">
        <f t="shared" si="16"/>
        <v>1</v>
      </c>
      <c r="J14" s="14">
        <f t="shared" si="17"/>
        <v>1.450302934551412</v>
      </c>
      <c r="K14" s="14">
        <f t="shared" si="18"/>
        <v>10.954682257293886</v>
      </c>
      <c r="L14" s="14">
        <f t="shared" si="19"/>
        <v>59.798632258064515</v>
      </c>
      <c r="M14" s="14">
        <f t="shared" si="20"/>
        <v>54.773411286469425</v>
      </c>
      <c r="N14" s="2">
        <f t="shared" si="21"/>
        <v>1.064516129032258</v>
      </c>
      <c r="O14">
        <f t="shared" si="3"/>
        <v>5</v>
      </c>
      <c r="P14" s="21">
        <f t="shared" si="4"/>
        <v>-17</v>
      </c>
      <c r="Q14" s="22">
        <f t="shared" si="5"/>
        <v>59.645161290322577</v>
      </c>
      <c r="R14" s="23">
        <f t="shared" si="22"/>
        <v>50</v>
      </c>
      <c r="S14" s="24">
        <f t="shared" si="6"/>
        <v>289</v>
      </c>
      <c r="T14" s="24">
        <f t="shared" si="7"/>
        <v>-1013.9677419354838</v>
      </c>
      <c r="U14" s="24">
        <f t="shared" si="8"/>
        <v>-850</v>
      </c>
      <c r="V14" s="24">
        <f t="shared" si="9"/>
        <v>3557.5452653485945</v>
      </c>
      <c r="W14" s="24">
        <f t="shared" si="10"/>
        <v>2982.2580645161288</v>
      </c>
      <c r="X14" s="24">
        <f t="shared" si="11"/>
        <v>2500</v>
      </c>
      <c r="Z14" s="16">
        <f t="shared" si="23"/>
        <v>3.2369732296477203</v>
      </c>
      <c r="AA14" s="21">
        <f t="shared" si="24"/>
        <v>-17</v>
      </c>
      <c r="AB14" s="22">
        <f t="shared" si="25"/>
        <v>59.645161290322577</v>
      </c>
      <c r="AC14" s="23">
        <f t="shared" si="12"/>
        <v>11.959726451612903</v>
      </c>
      <c r="AD14" s="24">
        <f t="shared" si="26"/>
        <v>289</v>
      </c>
      <c r="AE14" s="24">
        <f t="shared" si="27"/>
        <v>-1013.9677419354838</v>
      </c>
      <c r="AF14" s="24">
        <f t="shared" si="28"/>
        <v>-203.31534967741936</v>
      </c>
      <c r="AG14" s="24">
        <f t="shared" si="29"/>
        <v>3557.5452653485945</v>
      </c>
      <c r="AH14" s="24">
        <f t="shared" si="30"/>
        <v>713.33981319458894</v>
      </c>
      <c r="AI14" s="24">
        <f t="shared" si="31"/>
        <v>143.03505679740937</v>
      </c>
      <c r="AJ14" s="24"/>
      <c r="AK14" s="16">
        <f t="shared" si="32"/>
        <v>50</v>
      </c>
      <c r="AL14" s="21">
        <f t="shared" si="33"/>
        <v>-17</v>
      </c>
      <c r="AM14" s="22">
        <f t="shared" si="34"/>
        <v>59.645161290322577</v>
      </c>
      <c r="AN14" s="23">
        <f t="shared" si="35"/>
        <v>50</v>
      </c>
      <c r="AO14" s="24">
        <f t="shared" si="36"/>
        <v>289</v>
      </c>
      <c r="AP14" s="24">
        <f t="shared" si="37"/>
        <v>-1013.9677419354838</v>
      </c>
      <c r="AQ14" s="24">
        <f t="shared" si="38"/>
        <v>-850</v>
      </c>
      <c r="AR14" s="24">
        <f t="shared" si="39"/>
        <v>3557.5452653485945</v>
      </c>
      <c r="AS14" s="24">
        <f t="shared" si="40"/>
        <v>2982.2580645161288</v>
      </c>
      <c r="AT14" s="24">
        <f t="shared" si="41"/>
        <v>2500</v>
      </c>
      <c r="AU14" s="24"/>
      <c r="AV14" s="16">
        <f t="shared" si="42"/>
        <v>2.2319290353287031</v>
      </c>
      <c r="AX14" s="13">
        <v>5</v>
      </c>
      <c r="AY14" s="13">
        <v>26</v>
      </c>
    </row>
    <row r="15" spans="1:51" ht="15.75" x14ac:dyDescent="0.25">
      <c r="B15" s="13">
        <v>-16</v>
      </c>
      <c r="C15" s="13">
        <f t="shared" si="0"/>
        <v>5</v>
      </c>
      <c r="D15" s="14">
        <f t="shared" si="13"/>
        <v>11.597310498533725</v>
      </c>
      <c r="E15" s="14">
        <f t="shared" si="14"/>
        <v>3.3005160698644618</v>
      </c>
      <c r="F15" s="14">
        <f t="shared" si="1"/>
        <v>3.3005160698644618</v>
      </c>
      <c r="G15" s="14">
        <f t="shared" si="15"/>
        <v>8.2967944286692621</v>
      </c>
      <c r="H15" s="14">
        <f t="shared" si="2"/>
        <v>1.4849757414842935</v>
      </c>
      <c r="I15" s="14">
        <f t="shared" si="16"/>
        <v>1</v>
      </c>
      <c r="J15" s="14">
        <f t="shared" si="17"/>
        <v>1.4849757414842935</v>
      </c>
      <c r="K15" s="14">
        <f t="shared" si="18"/>
        <v>10.519400480513221</v>
      </c>
      <c r="L15" s="14">
        <f t="shared" si="19"/>
        <v>57.986552492668622</v>
      </c>
      <c r="M15" s="14">
        <f t="shared" si="20"/>
        <v>52.597002402566105</v>
      </c>
      <c r="N15" s="2">
        <f t="shared" si="21"/>
        <v>1.032258064516129</v>
      </c>
      <c r="O15">
        <f t="shared" si="3"/>
        <v>5</v>
      </c>
      <c r="P15" s="21">
        <f t="shared" si="4"/>
        <v>-16</v>
      </c>
      <c r="Q15" s="22">
        <f t="shared" si="5"/>
        <v>58.322580645161288</v>
      </c>
      <c r="R15" s="23">
        <f t="shared" si="22"/>
        <v>50</v>
      </c>
      <c r="S15" s="24">
        <f t="shared" si="6"/>
        <v>256</v>
      </c>
      <c r="T15" s="24">
        <f t="shared" si="7"/>
        <v>-933.16129032258061</v>
      </c>
      <c r="U15" s="24">
        <f t="shared" si="8"/>
        <v>-800</v>
      </c>
      <c r="V15" s="24">
        <f t="shared" si="9"/>
        <v>3401.5234131113421</v>
      </c>
      <c r="W15" s="24">
        <f t="shared" si="10"/>
        <v>2916.1290322580644</v>
      </c>
      <c r="X15" s="24">
        <f t="shared" si="11"/>
        <v>2500</v>
      </c>
      <c r="Z15" s="16">
        <f t="shared" si="23"/>
        <v>3.3005160698644618</v>
      </c>
      <c r="AA15" s="21">
        <f t="shared" si="24"/>
        <v>-16</v>
      </c>
      <c r="AB15" s="22">
        <f t="shared" si="25"/>
        <v>58.322580645161288</v>
      </c>
      <c r="AC15" s="23">
        <f t="shared" si="12"/>
        <v>11.597310498533725</v>
      </c>
      <c r="AD15" s="24">
        <f t="shared" si="26"/>
        <v>256</v>
      </c>
      <c r="AE15" s="24">
        <f t="shared" si="27"/>
        <v>-933.16129032258061</v>
      </c>
      <c r="AF15" s="24">
        <f t="shared" si="28"/>
        <v>-185.5569679765396</v>
      </c>
      <c r="AG15" s="24">
        <f t="shared" si="29"/>
        <v>3401.5234131113421</v>
      </c>
      <c r="AH15" s="24">
        <f t="shared" si="30"/>
        <v>676.38507681770886</v>
      </c>
      <c r="AI15" s="24">
        <f t="shared" si="31"/>
        <v>134.49761079940055</v>
      </c>
      <c r="AJ15" s="24"/>
      <c r="AK15" s="16">
        <f t="shared" si="32"/>
        <v>50</v>
      </c>
      <c r="AL15" s="21">
        <f t="shared" si="33"/>
        <v>-16</v>
      </c>
      <c r="AM15" s="22">
        <f t="shared" si="34"/>
        <v>58.322580645161288</v>
      </c>
      <c r="AN15" s="23">
        <f t="shared" si="35"/>
        <v>50</v>
      </c>
      <c r="AO15" s="24">
        <f t="shared" si="36"/>
        <v>256</v>
      </c>
      <c r="AP15" s="24">
        <f t="shared" si="37"/>
        <v>-933.16129032258061</v>
      </c>
      <c r="AQ15" s="24">
        <f t="shared" si="38"/>
        <v>-800</v>
      </c>
      <c r="AR15" s="24">
        <f t="shared" si="39"/>
        <v>3401.5234131113421</v>
      </c>
      <c r="AS15" s="24">
        <f t="shared" si="40"/>
        <v>2916.1290322580644</v>
      </c>
      <c r="AT15" s="24">
        <f t="shared" si="41"/>
        <v>2500</v>
      </c>
      <c r="AU15" s="24"/>
      <c r="AV15" s="16">
        <f t="shared" si="42"/>
        <v>2.2226060518439597</v>
      </c>
      <c r="AX15" s="13">
        <v>5</v>
      </c>
      <c r="AY15" s="13">
        <v>39</v>
      </c>
    </row>
    <row r="16" spans="1:51" ht="15.75" x14ac:dyDescent="0.25">
      <c r="B16" s="13">
        <v>-15</v>
      </c>
      <c r="C16" s="13">
        <f t="shared" si="0"/>
        <v>14</v>
      </c>
      <c r="D16" s="14">
        <f t="shared" si="13"/>
        <v>11.234894545454546</v>
      </c>
      <c r="E16" s="14">
        <f t="shared" si="14"/>
        <v>3.3750435349762773</v>
      </c>
      <c r="F16" s="14">
        <f t="shared" si="1"/>
        <v>3.3750435349762773</v>
      </c>
      <c r="G16" s="14">
        <f t="shared" si="15"/>
        <v>7.8598510104782688</v>
      </c>
      <c r="H16" s="14">
        <f t="shared" si="2"/>
        <v>1.526321052845429</v>
      </c>
      <c r="I16" s="14">
        <f t="shared" si="16"/>
        <v>1</v>
      </c>
      <c r="J16" s="14">
        <f t="shared" si="17"/>
        <v>1.526321052845429</v>
      </c>
      <c r="K16" s="14">
        <f t="shared" si="18"/>
        <v>10.071078804712243</v>
      </c>
      <c r="L16" s="14">
        <f t="shared" si="19"/>
        <v>157.28852363636364</v>
      </c>
      <c r="M16" s="14">
        <f t="shared" si="20"/>
        <v>140.99510326597141</v>
      </c>
      <c r="N16" s="2">
        <f t="shared" si="21"/>
        <v>1</v>
      </c>
      <c r="O16">
        <f t="shared" si="3"/>
        <v>14</v>
      </c>
      <c r="P16" s="21">
        <f t="shared" si="4"/>
        <v>-15</v>
      </c>
      <c r="Q16" s="22">
        <f t="shared" si="5"/>
        <v>57</v>
      </c>
      <c r="R16" s="23">
        <f t="shared" si="22"/>
        <v>50</v>
      </c>
      <c r="S16" s="24">
        <f t="shared" si="6"/>
        <v>225</v>
      </c>
      <c r="T16" s="24">
        <f t="shared" si="7"/>
        <v>-855</v>
      </c>
      <c r="U16" s="24">
        <f t="shared" si="8"/>
        <v>-750</v>
      </c>
      <c r="V16" s="24">
        <f t="shared" si="9"/>
        <v>3249</v>
      </c>
      <c r="W16" s="24">
        <f t="shared" si="10"/>
        <v>2850</v>
      </c>
      <c r="X16" s="24">
        <f t="shared" si="11"/>
        <v>2500</v>
      </c>
      <c r="Z16" s="16">
        <f t="shared" si="23"/>
        <v>3.3750435349762773</v>
      </c>
      <c r="AA16" s="21">
        <f t="shared" si="24"/>
        <v>-15</v>
      </c>
      <c r="AB16" s="22">
        <f t="shared" si="25"/>
        <v>57</v>
      </c>
      <c r="AC16" s="23">
        <f t="shared" si="12"/>
        <v>11.234894545454546</v>
      </c>
      <c r="AD16" s="24">
        <f t="shared" si="26"/>
        <v>225</v>
      </c>
      <c r="AE16" s="24">
        <f t="shared" si="27"/>
        <v>-855</v>
      </c>
      <c r="AF16" s="24">
        <f t="shared" si="28"/>
        <v>-168.52341818181819</v>
      </c>
      <c r="AG16" s="24">
        <f t="shared" si="29"/>
        <v>3249</v>
      </c>
      <c r="AH16" s="24">
        <f t="shared" si="30"/>
        <v>640.38898909090915</v>
      </c>
      <c r="AI16" s="24">
        <f t="shared" si="31"/>
        <v>126.22285544748431</v>
      </c>
      <c r="AJ16" s="24"/>
      <c r="AK16" s="16">
        <f t="shared" si="32"/>
        <v>50</v>
      </c>
      <c r="AL16" s="21">
        <f t="shared" si="33"/>
        <v>-15</v>
      </c>
      <c r="AM16" s="22">
        <f t="shared" si="34"/>
        <v>57</v>
      </c>
      <c r="AN16" s="23">
        <f t="shared" si="35"/>
        <v>50</v>
      </c>
      <c r="AO16" s="24">
        <f t="shared" si="36"/>
        <v>225</v>
      </c>
      <c r="AP16" s="24">
        <f t="shared" si="37"/>
        <v>-855</v>
      </c>
      <c r="AQ16" s="24">
        <f t="shared" si="38"/>
        <v>-750</v>
      </c>
      <c r="AR16" s="24">
        <f t="shared" si="39"/>
        <v>3249</v>
      </c>
      <c r="AS16" s="24">
        <f t="shared" si="40"/>
        <v>2850</v>
      </c>
      <c r="AT16" s="24">
        <f t="shared" si="41"/>
        <v>2500</v>
      </c>
      <c r="AU16" s="24"/>
      <c r="AV16" s="16">
        <f t="shared" si="42"/>
        <v>2.2112277942339755</v>
      </c>
      <c r="AX16" s="13">
        <v>14</v>
      </c>
      <c r="AY16" s="13">
        <v>41</v>
      </c>
    </row>
    <row r="17" spans="2:51" ht="15.75" x14ac:dyDescent="0.25">
      <c r="B17" s="13">
        <v>-14</v>
      </c>
      <c r="C17" s="13">
        <f t="shared" si="0"/>
        <v>14</v>
      </c>
      <c r="D17" s="14">
        <f t="shared" si="13"/>
        <v>10.872478592375368</v>
      </c>
      <c r="E17" s="14">
        <f t="shared" si="14"/>
        <v>3.4605556249831624</v>
      </c>
      <c r="F17" s="14">
        <f t="shared" si="1"/>
        <v>3.4605556249831624</v>
      </c>
      <c r="G17" s="14">
        <f t="shared" si="15"/>
        <v>7.4119229673922051</v>
      </c>
      <c r="H17" s="14">
        <f t="shared" si="2"/>
        <v>1.5745584944100881</v>
      </c>
      <c r="I17" s="14">
        <f t="shared" si="16"/>
        <v>1</v>
      </c>
      <c r="J17" s="14">
        <f t="shared" si="17"/>
        <v>1.5745584944100881</v>
      </c>
      <c r="K17" s="14">
        <f t="shared" si="18"/>
        <v>9.6097172298909559</v>
      </c>
      <c r="L17" s="14">
        <f t="shared" si="19"/>
        <v>152.21470029325513</v>
      </c>
      <c r="M17" s="14">
        <f t="shared" si="20"/>
        <v>134.53604121847337</v>
      </c>
      <c r="N17" s="2">
        <f t="shared" si="21"/>
        <v>0.967741935483871</v>
      </c>
      <c r="O17">
        <f t="shared" si="3"/>
        <v>14</v>
      </c>
      <c r="P17" s="21">
        <f t="shared" si="4"/>
        <v>-14</v>
      </c>
      <c r="Q17" s="22">
        <f t="shared" si="5"/>
        <v>55.677419354838712</v>
      </c>
      <c r="R17" s="23">
        <f t="shared" si="22"/>
        <v>50</v>
      </c>
      <c r="S17" s="24">
        <f t="shared" si="6"/>
        <v>196</v>
      </c>
      <c r="T17" s="24">
        <f t="shared" si="7"/>
        <v>-779.48387096774195</v>
      </c>
      <c r="U17" s="24">
        <f t="shared" si="8"/>
        <v>-700</v>
      </c>
      <c r="V17" s="24">
        <f t="shared" si="9"/>
        <v>3099.9750260145684</v>
      </c>
      <c r="W17" s="24">
        <f t="shared" si="10"/>
        <v>2783.8709677419356</v>
      </c>
      <c r="X17" s="24">
        <f t="shared" si="11"/>
        <v>2500</v>
      </c>
      <c r="Z17" s="16">
        <f t="shared" si="23"/>
        <v>3.4605556249831624</v>
      </c>
      <c r="AA17" s="21">
        <f t="shared" si="24"/>
        <v>-14</v>
      </c>
      <c r="AB17" s="22">
        <f t="shared" si="25"/>
        <v>55.677419354838712</v>
      </c>
      <c r="AC17" s="23">
        <f t="shared" si="12"/>
        <v>10.872478592375368</v>
      </c>
      <c r="AD17" s="24">
        <f t="shared" si="26"/>
        <v>196</v>
      </c>
      <c r="AE17" s="24">
        <f t="shared" si="27"/>
        <v>-779.48387096774195</v>
      </c>
      <c r="AF17" s="24">
        <f t="shared" si="28"/>
        <v>-152.21470029325513</v>
      </c>
      <c r="AG17" s="24">
        <f t="shared" si="29"/>
        <v>3099.9750260145684</v>
      </c>
      <c r="AH17" s="24">
        <f t="shared" si="30"/>
        <v>605.3515500141898</v>
      </c>
      <c r="AI17" s="24">
        <f t="shared" si="31"/>
        <v>118.21079074166066</v>
      </c>
      <c r="AJ17" s="24"/>
      <c r="AK17" s="16">
        <f t="shared" si="32"/>
        <v>50</v>
      </c>
      <c r="AL17" s="21">
        <f t="shared" si="33"/>
        <v>-14</v>
      </c>
      <c r="AM17" s="22">
        <f t="shared" si="34"/>
        <v>55.677419354838712</v>
      </c>
      <c r="AN17" s="23">
        <f t="shared" si="35"/>
        <v>50</v>
      </c>
      <c r="AO17" s="24">
        <f t="shared" si="36"/>
        <v>196</v>
      </c>
      <c r="AP17" s="24">
        <f t="shared" si="37"/>
        <v>-779.48387096774195</v>
      </c>
      <c r="AQ17" s="24">
        <f t="shared" si="38"/>
        <v>-700</v>
      </c>
      <c r="AR17" s="24">
        <f t="shared" si="39"/>
        <v>3099.9750260145684</v>
      </c>
      <c r="AS17" s="24">
        <f t="shared" si="40"/>
        <v>2783.8709677419356</v>
      </c>
      <c r="AT17" s="24">
        <f t="shared" si="41"/>
        <v>2500</v>
      </c>
      <c r="AU17" s="24"/>
      <c r="AV17" s="16">
        <f t="shared" si="42"/>
        <v>2.1977942624987503</v>
      </c>
      <c r="AX17" s="13">
        <v>14</v>
      </c>
      <c r="AY17" s="13">
        <v>35</v>
      </c>
    </row>
    <row r="18" spans="2:51" ht="15.75" x14ac:dyDescent="0.25">
      <c r="B18" s="13">
        <v>-13</v>
      </c>
      <c r="C18" s="13">
        <f t="shared" si="0"/>
        <v>13</v>
      </c>
      <c r="D18" s="14">
        <f t="shared" si="13"/>
        <v>10.510062639296187</v>
      </c>
      <c r="E18" s="14">
        <f t="shared" si="14"/>
        <v>3.5570523398851224</v>
      </c>
      <c r="F18" s="14">
        <f t="shared" si="1"/>
        <v>3.5570523398851224</v>
      </c>
      <c r="G18" s="14">
        <f t="shared" si="15"/>
        <v>6.9530102994110647</v>
      </c>
      <c r="H18" s="14">
        <f t="shared" si="2"/>
        <v>1.6299516316861333</v>
      </c>
      <c r="I18" s="14">
        <f t="shared" si="16"/>
        <v>1</v>
      </c>
      <c r="J18" s="14">
        <f t="shared" si="17"/>
        <v>1.6299516316861333</v>
      </c>
      <c r="K18" s="14">
        <f t="shared" si="18"/>
        <v>9.1353157560493479</v>
      </c>
      <c r="L18" s="14">
        <f t="shared" si="19"/>
        <v>136.63081431085044</v>
      </c>
      <c r="M18" s="14">
        <f t="shared" si="20"/>
        <v>118.75910482864153</v>
      </c>
      <c r="N18" s="2">
        <f t="shared" si="21"/>
        <v>0.93548387096774188</v>
      </c>
      <c r="O18">
        <f t="shared" si="3"/>
        <v>13</v>
      </c>
      <c r="P18" s="21">
        <f t="shared" si="4"/>
        <v>-13</v>
      </c>
      <c r="Q18" s="22">
        <f t="shared" si="5"/>
        <v>54.354838709677416</v>
      </c>
      <c r="R18" s="23">
        <f t="shared" si="22"/>
        <v>50</v>
      </c>
      <c r="S18" s="24">
        <f t="shared" si="6"/>
        <v>169</v>
      </c>
      <c r="T18" s="24">
        <f t="shared" si="7"/>
        <v>-706.61290322580646</v>
      </c>
      <c r="U18" s="24">
        <f t="shared" si="8"/>
        <v>-650</v>
      </c>
      <c r="V18" s="24">
        <f t="shared" si="9"/>
        <v>2954.4484911550467</v>
      </c>
      <c r="W18" s="24">
        <f t="shared" si="10"/>
        <v>2717.7419354838707</v>
      </c>
      <c r="X18" s="24">
        <f t="shared" si="11"/>
        <v>2500</v>
      </c>
      <c r="Z18" s="16">
        <f t="shared" si="23"/>
        <v>3.5570523398851224</v>
      </c>
      <c r="AA18" s="21">
        <f t="shared" si="24"/>
        <v>-13</v>
      </c>
      <c r="AB18" s="22">
        <f t="shared" si="25"/>
        <v>54.354838709677416</v>
      </c>
      <c r="AC18" s="23">
        <f t="shared" si="12"/>
        <v>10.510062639296187</v>
      </c>
      <c r="AD18" s="24">
        <f t="shared" si="26"/>
        <v>169</v>
      </c>
      <c r="AE18" s="24">
        <f t="shared" si="27"/>
        <v>-706.61290322580646</v>
      </c>
      <c r="AF18" s="24">
        <f t="shared" si="28"/>
        <v>-136.63081431085044</v>
      </c>
      <c r="AG18" s="24">
        <f t="shared" si="29"/>
        <v>2954.4484911550467</v>
      </c>
      <c r="AH18" s="24">
        <f t="shared" si="30"/>
        <v>571.27275958755081</v>
      </c>
      <c r="AI18" s="24">
        <f t="shared" si="31"/>
        <v>110.46141668192953</v>
      </c>
      <c r="AJ18" s="24"/>
      <c r="AK18" s="16">
        <f t="shared" si="32"/>
        <v>50</v>
      </c>
      <c r="AL18" s="21">
        <f t="shared" si="33"/>
        <v>-13</v>
      </c>
      <c r="AM18" s="22">
        <f t="shared" si="34"/>
        <v>54.354838709677416</v>
      </c>
      <c r="AN18" s="23">
        <f t="shared" si="35"/>
        <v>50</v>
      </c>
      <c r="AO18" s="24">
        <f t="shared" si="36"/>
        <v>169</v>
      </c>
      <c r="AP18" s="24">
        <f t="shared" si="37"/>
        <v>-706.61290322580646</v>
      </c>
      <c r="AQ18" s="24">
        <f t="shared" si="38"/>
        <v>-650</v>
      </c>
      <c r="AR18" s="24">
        <f t="shared" si="39"/>
        <v>2954.4484911550467</v>
      </c>
      <c r="AS18" s="24">
        <f t="shared" si="40"/>
        <v>2717.7419354838707</v>
      </c>
      <c r="AT18" s="24">
        <f t="shared" si="41"/>
        <v>2500</v>
      </c>
      <c r="AU18" s="24"/>
      <c r="AV18" s="16">
        <f t="shared" si="42"/>
        <v>2.1823054566382836</v>
      </c>
      <c r="AX18" s="13">
        <v>13</v>
      </c>
      <c r="AY18" s="13">
        <v>52</v>
      </c>
    </row>
    <row r="19" spans="2:51" ht="15.75" x14ac:dyDescent="0.25">
      <c r="B19" s="13">
        <v>-12</v>
      </c>
      <c r="C19" s="13">
        <f t="shared" si="0"/>
        <v>24</v>
      </c>
      <c r="D19" s="14">
        <f t="shared" si="13"/>
        <v>10.147646686217008</v>
      </c>
      <c r="E19" s="14">
        <f t="shared" si="14"/>
        <v>3.6645336796821506</v>
      </c>
      <c r="F19" s="14">
        <f t="shared" si="1"/>
        <v>3.6645336796821506</v>
      </c>
      <c r="G19" s="14">
        <f t="shared" si="15"/>
        <v>6.4831130065348574</v>
      </c>
      <c r="H19" s="14">
        <f t="shared" si="2"/>
        <v>1.6928118356161315</v>
      </c>
      <c r="I19" s="14">
        <f t="shared" si="16"/>
        <v>1</v>
      </c>
      <c r="J19" s="14">
        <f t="shared" si="17"/>
        <v>1.6928118356161315</v>
      </c>
      <c r="K19" s="14">
        <f t="shared" si="18"/>
        <v>8.6478743831874336</v>
      </c>
      <c r="L19" s="14">
        <f t="shared" si="19"/>
        <v>243.5435204692082</v>
      </c>
      <c r="M19" s="14">
        <f t="shared" si="20"/>
        <v>207.54898519649839</v>
      </c>
      <c r="N19" s="2">
        <f t="shared" si="21"/>
        <v>0.90322580645161288</v>
      </c>
      <c r="O19">
        <f t="shared" si="3"/>
        <v>24</v>
      </c>
      <c r="P19" s="21">
        <f t="shared" si="4"/>
        <v>-12</v>
      </c>
      <c r="Q19" s="22">
        <f t="shared" si="5"/>
        <v>53.032258064516128</v>
      </c>
      <c r="R19" s="23">
        <f t="shared" si="22"/>
        <v>50</v>
      </c>
      <c r="S19" s="24">
        <f t="shared" si="6"/>
        <v>144</v>
      </c>
      <c r="T19" s="24">
        <f t="shared" si="7"/>
        <v>-636.38709677419354</v>
      </c>
      <c r="U19" s="24">
        <f t="shared" si="8"/>
        <v>-600</v>
      </c>
      <c r="V19" s="24">
        <f t="shared" si="9"/>
        <v>2812.4203954214358</v>
      </c>
      <c r="W19" s="24">
        <f t="shared" si="10"/>
        <v>2651.6129032258063</v>
      </c>
      <c r="X19" s="24">
        <f t="shared" si="11"/>
        <v>2500</v>
      </c>
      <c r="Z19" s="16">
        <f t="shared" si="23"/>
        <v>3.6645336796821506</v>
      </c>
      <c r="AA19" s="21">
        <f t="shared" si="24"/>
        <v>-12</v>
      </c>
      <c r="AB19" s="22">
        <f t="shared" si="25"/>
        <v>53.032258064516128</v>
      </c>
      <c r="AC19" s="23">
        <f t="shared" si="12"/>
        <v>10.147646686217008</v>
      </c>
      <c r="AD19" s="24">
        <f t="shared" si="26"/>
        <v>144</v>
      </c>
      <c r="AE19" s="24">
        <f t="shared" si="27"/>
        <v>-636.38709677419354</v>
      </c>
      <c r="AF19" s="24">
        <f t="shared" si="28"/>
        <v>-121.7717602346041</v>
      </c>
      <c r="AG19" s="24">
        <f t="shared" si="29"/>
        <v>2812.4203954214358</v>
      </c>
      <c r="AH19" s="24">
        <f t="shared" si="30"/>
        <v>538.1526178109923</v>
      </c>
      <c r="AI19" s="24">
        <f t="shared" si="31"/>
        <v>102.97473326829103</v>
      </c>
      <c r="AJ19" s="24"/>
      <c r="AK19" s="16">
        <f t="shared" si="32"/>
        <v>50</v>
      </c>
      <c r="AL19" s="21">
        <f t="shared" si="33"/>
        <v>-12</v>
      </c>
      <c r="AM19" s="22">
        <f t="shared" si="34"/>
        <v>53.032258064516128</v>
      </c>
      <c r="AN19" s="23">
        <f t="shared" si="35"/>
        <v>50</v>
      </c>
      <c r="AO19" s="24">
        <f t="shared" si="36"/>
        <v>144</v>
      </c>
      <c r="AP19" s="24">
        <f t="shared" si="37"/>
        <v>-636.38709677419354</v>
      </c>
      <c r="AQ19" s="24">
        <f t="shared" si="38"/>
        <v>-600</v>
      </c>
      <c r="AR19" s="24">
        <f t="shared" si="39"/>
        <v>2812.4203954214358</v>
      </c>
      <c r="AS19" s="24">
        <f t="shared" si="40"/>
        <v>2651.6129032258063</v>
      </c>
      <c r="AT19" s="24">
        <f t="shared" si="41"/>
        <v>2500</v>
      </c>
      <c r="AU19" s="24"/>
      <c r="AV19" s="16">
        <f t="shared" si="42"/>
        <v>2.1647613766525757</v>
      </c>
      <c r="AX19" s="13">
        <v>24</v>
      </c>
      <c r="AY19" s="13">
        <v>37</v>
      </c>
    </row>
    <row r="20" spans="2:51" ht="15.75" x14ac:dyDescent="0.25">
      <c r="B20" s="13">
        <v>-11</v>
      </c>
      <c r="C20" s="13">
        <f t="shared" si="0"/>
        <v>43</v>
      </c>
      <c r="D20" s="14">
        <f t="shared" si="13"/>
        <v>9.7852307331378299</v>
      </c>
      <c r="E20" s="14">
        <f t="shared" si="14"/>
        <v>3.7829996443742528</v>
      </c>
      <c r="F20" s="14">
        <f t="shared" si="1"/>
        <v>3.7829996443742528</v>
      </c>
      <c r="G20" s="14">
        <f t="shared" si="15"/>
        <v>6.002231088763577</v>
      </c>
      <c r="H20" s="14">
        <f t="shared" si="2"/>
        <v>1.7635029916724363</v>
      </c>
      <c r="I20" s="14">
        <f t="shared" si="16"/>
        <v>1</v>
      </c>
      <c r="J20" s="14">
        <f t="shared" si="17"/>
        <v>1.7635029916724363</v>
      </c>
      <c r="K20" s="14">
        <f t="shared" si="18"/>
        <v>8.1473931113052043</v>
      </c>
      <c r="L20" s="14">
        <f t="shared" si="19"/>
        <v>420.76492152492671</v>
      </c>
      <c r="M20" s="14">
        <f t="shared" si="20"/>
        <v>350.33790378612377</v>
      </c>
      <c r="N20" s="2">
        <f t="shared" si="21"/>
        <v>0.87096774193548387</v>
      </c>
      <c r="O20">
        <f t="shared" si="3"/>
        <v>43</v>
      </c>
      <c r="P20" s="21">
        <f t="shared" si="4"/>
        <v>-11</v>
      </c>
      <c r="Q20" s="22">
        <f t="shared" si="5"/>
        <v>51.70967741935484</v>
      </c>
      <c r="R20" s="23">
        <f t="shared" si="22"/>
        <v>50</v>
      </c>
      <c r="S20" s="24">
        <f t="shared" si="6"/>
        <v>121</v>
      </c>
      <c r="T20" s="24">
        <f t="shared" si="7"/>
        <v>-568.80645161290329</v>
      </c>
      <c r="U20" s="24">
        <f t="shared" si="8"/>
        <v>-550</v>
      </c>
      <c r="V20" s="24">
        <f t="shared" si="9"/>
        <v>2673.8907388137359</v>
      </c>
      <c r="W20" s="24">
        <f t="shared" si="10"/>
        <v>2585.483870967742</v>
      </c>
      <c r="X20" s="24">
        <f t="shared" si="11"/>
        <v>2500</v>
      </c>
      <c r="Z20" s="16">
        <f t="shared" si="23"/>
        <v>3.7829996443742528</v>
      </c>
      <c r="AA20" s="21">
        <f t="shared" si="24"/>
        <v>-11</v>
      </c>
      <c r="AB20" s="22">
        <f t="shared" si="25"/>
        <v>51.70967741935484</v>
      </c>
      <c r="AC20" s="23">
        <f t="shared" si="12"/>
        <v>9.7852307331378299</v>
      </c>
      <c r="AD20" s="24">
        <f t="shared" si="26"/>
        <v>121</v>
      </c>
      <c r="AE20" s="24">
        <f t="shared" si="27"/>
        <v>-568.80645161290329</v>
      </c>
      <c r="AF20" s="24">
        <f t="shared" si="28"/>
        <v>-107.63753806451612</v>
      </c>
      <c r="AG20" s="24">
        <f t="shared" si="29"/>
        <v>2673.8907388137359</v>
      </c>
      <c r="AH20" s="24">
        <f t="shared" si="30"/>
        <v>505.99112468451426</v>
      </c>
      <c r="AI20" s="24">
        <f t="shared" si="31"/>
        <v>95.75074050074511</v>
      </c>
      <c r="AJ20" s="24"/>
      <c r="AK20" s="16">
        <f t="shared" si="32"/>
        <v>50</v>
      </c>
      <c r="AL20" s="21">
        <f t="shared" si="33"/>
        <v>-11</v>
      </c>
      <c r="AM20" s="22">
        <f t="shared" si="34"/>
        <v>51.70967741935484</v>
      </c>
      <c r="AN20" s="23">
        <f t="shared" si="35"/>
        <v>50</v>
      </c>
      <c r="AO20" s="24">
        <f t="shared" si="36"/>
        <v>121</v>
      </c>
      <c r="AP20" s="24">
        <f t="shared" si="37"/>
        <v>-568.80645161290329</v>
      </c>
      <c r="AQ20" s="24">
        <f t="shared" si="38"/>
        <v>-550</v>
      </c>
      <c r="AR20" s="24">
        <f t="shared" si="39"/>
        <v>2673.8907388137359</v>
      </c>
      <c r="AS20" s="24">
        <f t="shared" si="40"/>
        <v>2585.483870967742</v>
      </c>
      <c r="AT20" s="24">
        <f t="shared" si="41"/>
        <v>2500</v>
      </c>
      <c r="AU20" s="24"/>
      <c r="AV20" s="16">
        <f t="shared" si="42"/>
        <v>2.1451620225416268</v>
      </c>
      <c r="AX20" s="13">
        <v>43</v>
      </c>
      <c r="AY20" s="13">
        <v>41</v>
      </c>
    </row>
    <row r="21" spans="2:51" ht="15.75" x14ac:dyDescent="0.25">
      <c r="B21" s="13">
        <v>-10</v>
      </c>
      <c r="C21" s="13">
        <f t="shared" si="0"/>
        <v>32</v>
      </c>
      <c r="D21" s="14">
        <f t="shared" si="13"/>
        <v>9.422814780058653</v>
      </c>
      <c r="E21" s="14">
        <f t="shared" si="14"/>
        <v>3.9124502339614251</v>
      </c>
      <c r="F21" s="14">
        <f t="shared" si="1"/>
        <v>3.9124502339614251</v>
      </c>
      <c r="G21" s="14">
        <f t="shared" si="15"/>
        <v>5.5103645460972279</v>
      </c>
      <c r="H21" s="14">
        <f t="shared" si="2"/>
        <v>1.8424471911203879</v>
      </c>
      <c r="I21" s="14">
        <f t="shared" si="16"/>
        <v>1</v>
      </c>
      <c r="J21" s="14">
        <f t="shared" si="17"/>
        <v>1.8424471911203879</v>
      </c>
      <c r="K21" s="14">
        <f t="shared" si="18"/>
        <v>7.6338719404026643</v>
      </c>
      <c r="L21" s="14">
        <f t="shared" si="19"/>
        <v>301.5300729618769</v>
      </c>
      <c r="M21" s="14">
        <f t="shared" si="20"/>
        <v>244.28390209288526</v>
      </c>
      <c r="N21" s="2">
        <f t="shared" si="21"/>
        <v>0.83870967741935487</v>
      </c>
      <c r="O21">
        <f t="shared" si="3"/>
        <v>32</v>
      </c>
      <c r="P21" s="21">
        <f t="shared" si="4"/>
        <v>-10</v>
      </c>
      <c r="Q21" s="22">
        <f t="shared" si="5"/>
        <v>50.387096774193552</v>
      </c>
      <c r="R21" s="23">
        <f t="shared" si="22"/>
        <v>50</v>
      </c>
      <c r="S21" s="24">
        <f t="shared" si="6"/>
        <v>100</v>
      </c>
      <c r="T21" s="24">
        <f t="shared" si="7"/>
        <v>-503.87096774193549</v>
      </c>
      <c r="U21" s="24">
        <f t="shared" si="8"/>
        <v>-500</v>
      </c>
      <c r="V21" s="24">
        <f t="shared" si="9"/>
        <v>2538.8595213319463</v>
      </c>
      <c r="W21" s="24">
        <f t="shared" si="10"/>
        <v>2519.3548387096776</v>
      </c>
      <c r="X21" s="24">
        <f t="shared" si="11"/>
        <v>2500</v>
      </c>
      <c r="Z21" s="16">
        <f t="shared" si="23"/>
        <v>3.9124502339614251</v>
      </c>
      <c r="AA21" s="21">
        <f t="shared" si="24"/>
        <v>-10</v>
      </c>
      <c r="AB21" s="22">
        <f t="shared" si="25"/>
        <v>50.387096774193552</v>
      </c>
      <c r="AC21" s="23">
        <f t="shared" si="12"/>
        <v>9.422814780058653</v>
      </c>
      <c r="AD21" s="24">
        <f t="shared" si="26"/>
        <v>100</v>
      </c>
      <c r="AE21" s="24">
        <f t="shared" si="27"/>
        <v>-503.87096774193549</v>
      </c>
      <c r="AF21" s="24">
        <f t="shared" si="28"/>
        <v>-94.228147800586527</v>
      </c>
      <c r="AG21" s="24">
        <f t="shared" si="29"/>
        <v>2538.8595213319463</v>
      </c>
      <c r="AH21" s="24">
        <f t="shared" si="30"/>
        <v>474.7882802081167</v>
      </c>
      <c r="AI21" s="24">
        <f t="shared" si="31"/>
        <v>88.789438379291795</v>
      </c>
      <c r="AJ21" s="24"/>
      <c r="AK21" s="16">
        <f t="shared" si="32"/>
        <v>50</v>
      </c>
      <c r="AL21" s="21">
        <f t="shared" si="33"/>
        <v>-10</v>
      </c>
      <c r="AM21" s="22">
        <f t="shared" si="34"/>
        <v>50.387096774193552</v>
      </c>
      <c r="AN21" s="23">
        <f t="shared" si="35"/>
        <v>50</v>
      </c>
      <c r="AO21" s="24">
        <f t="shared" si="36"/>
        <v>100</v>
      </c>
      <c r="AP21" s="24">
        <f t="shared" si="37"/>
        <v>-503.87096774193549</v>
      </c>
      <c r="AQ21" s="24">
        <f t="shared" si="38"/>
        <v>-500</v>
      </c>
      <c r="AR21" s="24">
        <f t="shared" si="39"/>
        <v>2538.8595213319463</v>
      </c>
      <c r="AS21" s="24">
        <f t="shared" si="40"/>
        <v>2519.3548387096776</v>
      </c>
      <c r="AT21" s="24">
        <f t="shared" si="41"/>
        <v>2500</v>
      </c>
      <c r="AU21" s="24"/>
      <c r="AV21" s="16">
        <f t="shared" si="42"/>
        <v>2.1235073943054363</v>
      </c>
      <c r="AX21" s="13">
        <v>32</v>
      </c>
      <c r="AY21" s="13">
        <v>43</v>
      </c>
    </row>
    <row r="22" spans="2:51" ht="15.75" x14ac:dyDescent="0.25">
      <c r="B22" s="13">
        <v>-9</v>
      </c>
      <c r="C22" s="13">
        <f t="shared" si="0"/>
        <v>58</v>
      </c>
      <c r="D22" s="14">
        <f t="shared" si="13"/>
        <v>9.0603988269794726</v>
      </c>
      <c r="E22" s="14">
        <f t="shared" si="14"/>
        <v>4.0528854484436696</v>
      </c>
      <c r="F22" s="14">
        <f t="shared" si="1"/>
        <v>4.0528854484436696</v>
      </c>
      <c r="G22" s="14">
        <f t="shared" si="15"/>
        <v>5.007513378535803</v>
      </c>
      <c r="H22" s="14">
        <f t="shared" si="2"/>
        <v>1.9301315788750104</v>
      </c>
      <c r="I22" s="14">
        <f t="shared" si="16"/>
        <v>1</v>
      </c>
      <c r="J22" s="14">
        <f t="shared" si="17"/>
        <v>1.9301315788750104</v>
      </c>
      <c r="K22" s="14">
        <f t="shared" si="18"/>
        <v>7.1073108704798083</v>
      </c>
      <c r="L22" s="14">
        <f t="shared" si="19"/>
        <v>525.50313196480943</v>
      </c>
      <c r="M22" s="14">
        <f t="shared" si="20"/>
        <v>412.22403048782888</v>
      </c>
      <c r="N22" s="2">
        <f t="shared" si="21"/>
        <v>0.80645161290322576</v>
      </c>
      <c r="O22">
        <f t="shared" si="3"/>
        <v>58</v>
      </c>
      <c r="P22" s="21">
        <f t="shared" si="4"/>
        <v>-9</v>
      </c>
      <c r="Q22" s="22">
        <f t="shared" si="5"/>
        <v>49.064516129032256</v>
      </c>
      <c r="R22" s="23">
        <f t="shared" si="22"/>
        <v>50</v>
      </c>
      <c r="S22" s="24">
        <f t="shared" si="6"/>
        <v>81</v>
      </c>
      <c r="T22" s="24">
        <f t="shared" si="7"/>
        <v>-441.58064516129031</v>
      </c>
      <c r="U22" s="24">
        <f t="shared" si="8"/>
        <v>-450</v>
      </c>
      <c r="V22" s="24">
        <f t="shared" si="9"/>
        <v>2407.3267429760663</v>
      </c>
      <c r="W22" s="24">
        <f t="shared" si="10"/>
        <v>2453.2258064516127</v>
      </c>
      <c r="X22" s="24">
        <f t="shared" si="11"/>
        <v>2500</v>
      </c>
      <c r="Z22" s="16">
        <f t="shared" si="23"/>
        <v>4.0528854484436696</v>
      </c>
      <c r="AA22" s="21">
        <f t="shared" si="24"/>
        <v>-9</v>
      </c>
      <c r="AB22" s="22">
        <f t="shared" si="25"/>
        <v>49.064516129032256</v>
      </c>
      <c r="AC22" s="23">
        <f t="shared" si="12"/>
        <v>9.0603988269794726</v>
      </c>
      <c r="AD22" s="24">
        <f t="shared" si="26"/>
        <v>81</v>
      </c>
      <c r="AE22" s="24">
        <f t="shared" si="27"/>
        <v>-441.58064516129031</v>
      </c>
      <c r="AF22" s="24">
        <f t="shared" si="28"/>
        <v>-81.543589442815261</v>
      </c>
      <c r="AG22" s="24">
        <f t="shared" si="29"/>
        <v>2407.3267429760663</v>
      </c>
      <c r="AH22" s="24">
        <f t="shared" si="30"/>
        <v>444.54408438179928</v>
      </c>
      <c r="AI22" s="24">
        <f t="shared" si="31"/>
        <v>82.090826903931003</v>
      </c>
      <c r="AJ22" s="24"/>
      <c r="AK22" s="16">
        <f t="shared" si="32"/>
        <v>50</v>
      </c>
      <c r="AL22" s="21">
        <f t="shared" si="33"/>
        <v>-9</v>
      </c>
      <c r="AM22" s="22">
        <f t="shared" si="34"/>
        <v>49.064516129032256</v>
      </c>
      <c r="AN22" s="23">
        <f t="shared" si="35"/>
        <v>50</v>
      </c>
      <c r="AO22" s="24">
        <f t="shared" si="36"/>
        <v>81</v>
      </c>
      <c r="AP22" s="24">
        <f t="shared" si="37"/>
        <v>-441.58064516129031</v>
      </c>
      <c r="AQ22" s="24">
        <f t="shared" si="38"/>
        <v>-450</v>
      </c>
      <c r="AR22" s="24">
        <f t="shared" si="39"/>
        <v>2407.3267429760663</v>
      </c>
      <c r="AS22" s="24">
        <f t="shared" si="40"/>
        <v>2453.2258064516127</v>
      </c>
      <c r="AT22" s="24">
        <f t="shared" si="41"/>
        <v>2500</v>
      </c>
      <c r="AU22" s="24"/>
      <c r="AV22" s="16">
        <f t="shared" si="42"/>
        <v>2.0997974919440052</v>
      </c>
      <c r="AX22" s="13">
        <v>58</v>
      </c>
      <c r="AY22" s="13">
        <v>54</v>
      </c>
    </row>
    <row r="23" spans="2:51" ht="15.75" x14ac:dyDescent="0.25">
      <c r="B23" s="13">
        <v>-8</v>
      </c>
      <c r="C23" s="13">
        <f t="shared" si="0"/>
        <v>72</v>
      </c>
      <c r="D23" s="14">
        <f t="shared" si="13"/>
        <v>8.697982873900294</v>
      </c>
      <c r="E23" s="14">
        <f t="shared" si="14"/>
        <v>4.2043052878209837</v>
      </c>
      <c r="F23" s="14">
        <f t="shared" si="1"/>
        <v>4.2043052878209837</v>
      </c>
      <c r="G23" s="14">
        <f t="shared" si="15"/>
        <v>4.4936775860793103</v>
      </c>
      <c r="H23" s="14">
        <f t="shared" si="2"/>
        <v>2.0271165769632269</v>
      </c>
      <c r="I23" s="14">
        <f t="shared" si="16"/>
        <v>1</v>
      </c>
      <c r="J23" s="14">
        <f t="shared" si="17"/>
        <v>2.0271165769632269</v>
      </c>
      <c r="K23" s="14">
        <f t="shared" si="18"/>
        <v>6.5677099015366434</v>
      </c>
      <c r="L23" s="14">
        <f t="shared" si="19"/>
        <v>626.25476692082111</v>
      </c>
      <c r="M23" s="14">
        <f t="shared" si="20"/>
        <v>472.87511291063834</v>
      </c>
      <c r="N23" s="2">
        <f t="shared" si="21"/>
        <v>0.77419354838709675</v>
      </c>
      <c r="O23">
        <f t="shared" si="3"/>
        <v>72</v>
      </c>
      <c r="P23" s="21">
        <f t="shared" si="4"/>
        <v>-8</v>
      </c>
      <c r="Q23" s="22">
        <f t="shared" si="5"/>
        <v>47.741935483870968</v>
      </c>
      <c r="R23" s="23">
        <f t="shared" si="22"/>
        <v>50</v>
      </c>
      <c r="S23" s="24">
        <f t="shared" si="6"/>
        <v>64</v>
      </c>
      <c r="T23" s="24">
        <f t="shared" si="7"/>
        <v>-381.93548387096774</v>
      </c>
      <c r="U23" s="24">
        <f t="shared" si="8"/>
        <v>-400</v>
      </c>
      <c r="V23" s="24">
        <f t="shared" si="9"/>
        <v>2279.292403746098</v>
      </c>
      <c r="W23" s="24">
        <f t="shared" si="10"/>
        <v>2387.0967741935483</v>
      </c>
      <c r="X23" s="24">
        <f t="shared" si="11"/>
        <v>2500</v>
      </c>
      <c r="Z23" s="16">
        <f t="shared" si="23"/>
        <v>4.2043052878209837</v>
      </c>
      <c r="AA23" s="21">
        <f t="shared" si="24"/>
        <v>-8</v>
      </c>
      <c r="AB23" s="22">
        <f t="shared" si="25"/>
        <v>47.741935483870968</v>
      </c>
      <c r="AC23" s="23">
        <f t="shared" si="12"/>
        <v>8.697982873900294</v>
      </c>
      <c r="AD23" s="24">
        <f t="shared" si="26"/>
        <v>64</v>
      </c>
      <c r="AE23" s="24">
        <f t="shared" si="27"/>
        <v>-381.93548387096774</v>
      </c>
      <c r="AF23" s="24">
        <f t="shared" si="28"/>
        <v>-69.583862991202352</v>
      </c>
      <c r="AG23" s="24">
        <f t="shared" si="29"/>
        <v>2279.292403746098</v>
      </c>
      <c r="AH23" s="24">
        <f t="shared" si="30"/>
        <v>415.25853720556245</v>
      </c>
      <c r="AI23" s="24">
        <f t="shared" si="31"/>
        <v>75.654906074662819</v>
      </c>
      <c r="AJ23" s="24"/>
      <c r="AK23" s="16">
        <f t="shared" si="32"/>
        <v>50</v>
      </c>
      <c r="AL23" s="21">
        <f t="shared" si="33"/>
        <v>-8</v>
      </c>
      <c r="AM23" s="22">
        <f t="shared" si="34"/>
        <v>47.741935483870968</v>
      </c>
      <c r="AN23" s="23">
        <f t="shared" si="35"/>
        <v>50</v>
      </c>
      <c r="AO23" s="24">
        <f t="shared" si="36"/>
        <v>64</v>
      </c>
      <c r="AP23" s="24">
        <f t="shared" si="37"/>
        <v>-381.93548387096774</v>
      </c>
      <c r="AQ23" s="24">
        <f t="shared" si="38"/>
        <v>-400</v>
      </c>
      <c r="AR23" s="24">
        <f t="shared" si="39"/>
        <v>2279.292403746098</v>
      </c>
      <c r="AS23" s="24">
        <f t="shared" si="40"/>
        <v>2387.0967741935483</v>
      </c>
      <c r="AT23" s="24">
        <f t="shared" si="41"/>
        <v>2500</v>
      </c>
      <c r="AU23" s="24"/>
      <c r="AV23" s="16">
        <f t="shared" si="42"/>
        <v>2.0740323154573326</v>
      </c>
      <c r="AX23" s="13">
        <v>72</v>
      </c>
      <c r="AY23" s="13">
        <v>90</v>
      </c>
    </row>
    <row r="24" spans="2:51" ht="15.75" x14ac:dyDescent="0.25">
      <c r="B24" s="13">
        <v>-7</v>
      </c>
      <c r="C24" s="13">
        <f t="shared" si="0"/>
        <v>86</v>
      </c>
      <c r="D24" s="14">
        <f t="shared" si="13"/>
        <v>8.3355669208211154</v>
      </c>
      <c r="E24" s="14">
        <f t="shared" si="14"/>
        <v>4.3667097520933718</v>
      </c>
      <c r="F24" s="14">
        <f t="shared" si="1"/>
        <v>4.3667097520933718</v>
      </c>
      <c r="G24" s="14">
        <f t="shared" si="15"/>
        <v>3.9688571687277436</v>
      </c>
      <c r="H24" s="14">
        <f t="shared" si="2"/>
        <v>2.1340457589533397</v>
      </c>
      <c r="I24" s="14">
        <f t="shared" si="16"/>
        <v>1</v>
      </c>
      <c r="J24" s="14">
        <f t="shared" si="17"/>
        <v>2.1340457589533397</v>
      </c>
      <c r="K24" s="14">
        <f t="shared" si="18"/>
        <v>6.0150690335731625</v>
      </c>
      <c r="L24" s="14">
        <f t="shared" si="19"/>
        <v>716.85875519061597</v>
      </c>
      <c r="M24" s="14">
        <f t="shared" si="20"/>
        <v>517.29593688729199</v>
      </c>
      <c r="N24" s="2">
        <f t="shared" si="21"/>
        <v>0.74193548387096775</v>
      </c>
      <c r="O24">
        <f t="shared" si="3"/>
        <v>86</v>
      </c>
      <c r="P24" s="21">
        <f t="shared" si="4"/>
        <v>-7</v>
      </c>
      <c r="Q24" s="22">
        <f t="shared" si="5"/>
        <v>46.41935483870968</v>
      </c>
      <c r="R24" s="23">
        <f t="shared" si="22"/>
        <v>50</v>
      </c>
      <c r="S24" s="24">
        <f t="shared" si="6"/>
        <v>49</v>
      </c>
      <c r="T24" s="24">
        <f t="shared" si="7"/>
        <v>-324.93548387096774</v>
      </c>
      <c r="U24" s="24">
        <f t="shared" si="8"/>
        <v>-350</v>
      </c>
      <c r="V24" s="24">
        <f t="shared" si="9"/>
        <v>2154.7565036420397</v>
      </c>
      <c r="W24" s="24">
        <f t="shared" si="10"/>
        <v>2320.9677419354839</v>
      </c>
      <c r="X24" s="24">
        <f t="shared" si="11"/>
        <v>2500</v>
      </c>
      <c r="Z24" s="16">
        <f t="shared" si="23"/>
        <v>4.3667097520933718</v>
      </c>
      <c r="AA24" s="21">
        <f t="shared" si="24"/>
        <v>-7</v>
      </c>
      <c r="AB24" s="22">
        <f t="shared" si="25"/>
        <v>46.41935483870968</v>
      </c>
      <c r="AC24" s="23">
        <f t="shared" si="12"/>
        <v>8.3355669208211154</v>
      </c>
      <c r="AD24" s="24">
        <f t="shared" si="26"/>
        <v>49</v>
      </c>
      <c r="AE24" s="24">
        <f t="shared" si="27"/>
        <v>-324.93548387096774</v>
      </c>
      <c r="AF24" s="24">
        <f t="shared" si="28"/>
        <v>-58.348968445747808</v>
      </c>
      <c r="AG24" s="24">
        <f t="shared" si="29"/>
        <v>2154.7565036420397</v>
      </c>
      <c r="AH24" s="24">
        <f t="shared" si="30"/>
        <v>386.93163867940598</v>
      </c>
      <c r="AI24" s="24">
        <f t="shared" si="31"/>
        <v>69.481675891487214</v>
      </c>
      <c r="AJ24" s="24"/>
      <c r="AK24" s="16">
        <f t="shared" si="32"/>
        <v>50</v>
      </c>
      <c r="AL24" s="21">
        <f t="shared" si="33"/>
        <v>-7</v>
      </c>
      <c r="AM24" s="22">
        <f t="shared" si="34"/>
        <v>46.41935483870968</v>
      </c>
      <c r="AN24" s="23">
        <f t="shared" si="35"/>
        <v>50</v>
      </c>
      <c r="AO24" s="24">
        <f t="shared" si="36"/>
        <v>49</v>
      </c>
      <c r="AP24" s="24">
        <f t="shared" si="37"/>
        <v>-324.93548387096774</v>
      </c>
      <c r="AQ24" s="24">
        <f t="shared" si="38"/>
        <v>-350</v>
      </c>
      <c r="AR24" s="24">
        <f t="shared" si="39"/>
        <v>2154.7565036420397</v>
      </c>
      <c r="AS24" s="24">
        <f t="shared" si="40"/>
        <v>2320.9677419354839</v>
      </c>
      <c r="AT24" s="24">
        <f t="shared" si="41"/>
        <v>2500</v>
      </c>
      <c r="AU24" s="24"/>
      <c r="AV24" s="16">
        <f t="shared" si="42"/>
        <v>2.0462118648454193</v>
      </c>
      <c r="AX24" s="13">
        <v>86</v>
      </c>
      <c r="AY24" s="13">
        <v>125</v>
      </c>
    </row>
    <row r="25" spans="2:51" ht="15.75" x14ac:dyDescent="0.25">
      <c r="B25" s="13">
        <v>-6</v>
      </c>
      <c r="C25" s="13">
        <f t="shared" si="0"/>
        <v>89</v>
      </c>
      <c r="D25" s="14">
        <f t="shared" si="13"/>
        <v>7.9731509677419359</v>
      </c>
      <c r="E25" s="14">
        <f t="shared" si="14"/>
        <v>4.5400988412608321</v>
      </c>
      <c r="F25" s="14">
        <f t="shared" si="1"/>
        <v>4.5400988412608321</v>
      </c>
      <c r="G25" s="14">
        <f t="shared" si="15"/>
        <v>3.4330521264811038</v>
      </c>
      <c r="H25" s="14">
        <f t="shared" si="2"/>
        <v>2.2516577226141754</v>
      </c>
      <c r="I25" s="14">
        <f t="shared" si="16"/>
        <v>1</v>
      </c>
      <c r="J25" s="14">
        <f t="shared" si="17"/>
        <v>2.2516577226141754</v>
      </c>
      <c r="K25" s="14">
        <f t="shared" si="18"/>
        <v>5.4493882665893683</v>
      </c>
      <c r="L25" s="14">
        <f t="shared" si="19"/>
        <v>709.61043612903234</v>
      </c>
      <c r="M25" s="14">
        <f t="shared" si="20"/>
        <v>484.9955557264538</v>
      </c>
      <c r="N25" s="2">
        <f t="shared" si="21"/>
        <v>0.70967741935483875</v>
      </c>
      <c r="O25">
        <f t="shared" si="3"/>
        <v>89</v>
      </c>
      <c r="P25" s="21">
        <f t="shared" si="4"/>
        <v>-6</v>
      </c>
      <c r="Q25" s="22">
        <f t="shared" si="5"/>
        <v>45.096774193548384</v>
      </c>
      <c r="R25" s="23">
        <f t="shared" si="22"/>
        <v>50</v>
      </c>
      <c r="S25" s="24">
        <f t="shared" si="6"/>
        <v>36</v>
      </c>
      <c r="T25" s="24">
        <f t="shared" si="7"/>
        <v>-270.58064516129031</v>
      </c>
      <c r="U25" s="24">
        <f t="shared" si="8"/>
        <v>-300</v>
      </c>
      <c r="V25" s="24">
        <f t="shared" si="9"/>
        <v>2033.7190426638915</v>
      </c>
      <c r="W25" s="24">
        <f t="shared" si="10"/>
        <v>2254.838709677419</v>
      </c>
      <c r="X25" s="24">
        <f t="shared" si="11"/>
        <v>2500</v>
      </c>
      <c r="Z25" s="16">
        <f t="shared" si="23"/>
        <v>4.5400988412608321</v>
      </c>
      <c r="AA25" s="21">
        <f t="shared" si="24"/>
        <v>-6</v>
      </c>
      <c r="AB25" s="22">
        <f t="shared" si="25"/>
        <v>45.096774193548384</v>
      </c>
      <c r="AC25" s="23">
        <f t="shared" si="12"/>
        <v>7.9731509677419359</v>
      </c>
      <c r="AD25" s="24">
        <f t="shared" si="26"/>
        <v>36</v>
      </c>
      <c r="AE25" s="24">
        <f t="shared" si="27"/>
        <v>-270.58064516129031</v>
      </c>
      <c r="AF25" s="24">
        <f t="shared" si="28"/>
        <v>-47.838905806451614</v>
      </c>
      <c r="AG25" s="24">
        <f t="shared" si="29"/>
        <v>2033.7190426638915</v>
      </c>
      <c r="AH25" s="24">
        <f t="shared" si="30"/>
        <v>359.56338880332987</v>
      </c>
      <c r="AI25" s="24">
        <f t="shared" si="31"/>
        <v>63.571136354404167</v>
      </c>
      <c r="AJ25" s="24"/>
      <c r="AK25" s="16">
        <f t="shared" si="32"/>
        <v>50</v>
      </c>
      <c r="AL25" s="21">
        <f t="shared" si="33"/>
        <v>-6</v>
      </c>
      <c r="AM25" s="22">
        <f t="shared" si="34"/>
        <v>45.096774193548384</v>
      </c>
      <c r="AN25" s="23">
        <f t="shared" si="35"/>
        <v>50</v>
      </c>
      <c r="AO25" s="24">
        <f t="shared" si="36"/>
        <v>36</v>
      </c>
      <c r="AP25" s="24">
        <f t="shared" si="37"/>
        <v>-270.58064516129031</v>
      </c>
      <c r="AQ25" s="24">
        <f t="shared" si="38"/>
        <v>-300</v>
      </c>
      <c r="AR25" s="24">
        <f t="shared" si="39"/>
        <v>2033.7190426638915</v>
      </c>
      <c r="AS25" s="24">
        <f t="shared" si="40"/>
        <v>2254.838709677419</v>
      </c>
      <c r="AT25" s="24">
        <f t="shared" si="41"/>
        <v>2500</v>
      </c>
      <c r="AU25" s="24"/>
      <c r="AV25" s="16">
        <f t="shared" si="42"/>
        <v>2.0163361401082645</v>
      </c>
      <c r="AX25" s="13">
        <v>89</v>
      </c>
      <c r="AY25" s="13">
        <v>169</v>
      </c>
    </row>
    <row r="26" spans="2:51" ht="15.75" x14ac:dyDescent="0.25">
      <c r="B26" s="13">
        <v>-5</v>
      </c>
      <c r="C26" s="13">
        <f t="shared" si="0"/>
        <v>108</v>
      </c>
      <c r="D26" s="14">
        <f t="shared" si="13"/>
        <v>7.6107350146627573</v>
      </c>
      <c r="E26" s="14">
        <f t="shared" si="14"/>
        <v>4.7244725553233629</v>
      </c>
      <c r="F26" s="14">
        <f t="shared" si="1"/>
        <v>4.7244725553233629</v>
      </c>
      <c r="G26" s="14">
        <f t="shared" si="15"/>
        <v>2.8862624593393944</v>
      </c>
      <c r="H26" s="14">
        <f t="shared" si="2"/>
        <v>2.3808004006466135</v>
      </c>
      <c r="I26" s="14">
        <f t="shared" si="16"/>
        <v>1</v>
      </c>
      <c r="J26" s="14">
        <f t="shared" si="17"/>
        <v>2.3808004006466135</v>
      </c>
      <c r="K26" s="14">
        <f t="shared" si="18"/>
        <v>4.8706676005852625</v>
      </c>
      <c r="L26" s="14">
        <f t="shared" si="19"/>
        <v>821.95938158357774</v>
      </c>
      <c r="M26" s="14">
        <f t="shared" si="20"/>
        <v>526.03210086320837</v>
      </c>
      <c r="N26" s="2">
        <f t="shared" si="21"/>
        <v>0.67741935483870963</v>
      </c>
      <c r="O26">
        <f t="shared" si="3"/>
        <v>108</v>
      </c>
      <c r="P26" s="21">
        <f t="shared" si="4"/>
        <v>-5</v>
      </c>
      <c r="Q26" s="22">
        <f t="shared" si="5"/>
        <v>43.774193548387096</v>
      </c>
      <c r="R26" s="23">
        <f t="shared" si="22"/>
        <v>50</v>
      </c>
      <c r="S26" s="24">
        <f t="shared" si="6"/>
        <v>25</v>
      </c>
      <c r="T26" s="24">
        <f t="shared" si="7"/>
        <v>-218.87096774193549</v>
      </c>
      <c r="U26" s="24">
        <f t="shared" si="8"/>
        <v>-250</v>
      </c>
      <c r="V26" s="24">
        <f t="shared" si="9"/>
        <v>1916.1800208116545</v>
      </c>
      <c r="W26" s="24">
        <f t="shared" si="10"/>
        <v>2188.7096774193546</v>
      </c>
      <c r="X26" s="24">
        <f t="shared" si="11"/>
        <v>2500</v>
      </c>
      <c r="Z26" s="16">
        <f t="shared" si="23"/>
        <v>4.7244725553233629</v>
      </c>
      <c r="AA26" s="21">
        <f t="shared" si="24"/>
        <v>-5</v>
      </c>
      <c r="AB26" s="22">
        <f t="shared" si="25"/>
        <v>43.774193548387096</v>
      </c>
      <c r="AC26" s="23">
        <f t="shared" si="12"/>
        <v>7.6107350146627573</v>
      </c>
      <c r="AD26" s="24">
        <f t="shared" si="26"/>
        <v>25</v>
      </c>
      <c r="AE26" s="24">
        <f t="shared" si="27"/>
        <v>-218.87096774193549</v>
      </c>
      <c r="AF26" s="24">
        <f t="shared" si="28"/>
        <v>-38.053675073313784</v>
      </c>
      <c r="AG26" s="24">
        <f t="shared" si="29"/>
        <v>1916.1800208116545</v>
      </c>
      <c r="AH26" s="24">
        <f t="shared" si="30"/>
        <v>333.15378757733424</v>
      </c>
      <c r="AI26" s="24">
        <f t="shared" si="31"/>
        <v>57.923287463413722</v>
      </c>
      <c r="AJ26" s="24"/>
      <c r="AK26" s="16">
        <f t="shared" si="32"/>
        <v>50</v>
      </c>
      <c r="AL26" s="21">
        <f t="shared" si="33"/>
        <v>-5</v>
      </c>
      <c r="AM26" s="22">
        <f t="shared" si="34"/>
        <v>43.774193548387096</v>
      </c>
      <c r="AN26" s="23">
        <f t="shared" si="35"/>
        <v>50</v>
      </c>
      <c r="AO26" s="24">
        <f t="shared" si="36"/>
        <v>25</v>
      </c>
      <c r="AP26" s="24">
        <f t="shared" si="37"/>
        <v>-218.87096774193549</v>
      </c>
      <c r="AQ26" s="24">
        <f t="shared" si="38"/>
        <v>-250</v>
      </c>
      <c r="AR26" s="24">
        <f t="shared" si="39"/>
        <v>1916.1800208116545</v>
      </c>
      <c r="AS26" s="24">
        <f t="shared" si="40"/>
        <v>2188.7096774193546</v>
      </c>
      <c r="AT26" s="24">
        <f t="shared" si="41"/>
        <v>2500</v>
      </c>
      <c r="AU26" s="24"/>
      <c r="AV26" s="16">
        <f t="shared" si="42"/>
        <v>1.9844051412458683</v>
      </c>
      <c r="AX26" s="13">
        <v>108</v>
      </c>
      <c r="AY26" s="13">
        <v>195</v>
      </c>
    </row>
    <row r="27" spans="2:51" ht="15.75" x14ac:dyDescent="0.25">
      <c r="B27" s="13">
        <v>-4</v>
      </c>
      <c r="C27" s="13">
        <f t="shared" si="0"/>
        <v>138</v>
      </c>
      <c r="D27" s="14">
        <f t="shared" si="13"/>
        <v>7.2483190615835777</v>
      </c>
      <c r="E27" s="14">
        <f t="shared" si="14"/>
        <v>4.9198308942809632</v>
      </c>
      <c r="F27" s="14">
        <f t="shared" si="1"/>
        <v>4.9198308942809632</v>
      </c>
      <c r="G27" s="14">
        <f t="shared" si="15"/>
        <v>2.3284881673026145</v>
      </c>
      <c r="H27" s="14">
        <f t="shared" si="2"/>
        <v>2.5224483696030302</v>
      </c>
      <c r="I27" s="14">
        <f t="shared" si="16"/>
        <v>1</v>
      </c>
      <c r="J27" s="14">
        <f t="shared" si="17"/>
        <v>2.5224483696030302</v>
      </c>
      <c r="K27" s="14">
        <f t="shared" si="18"/>
        <v>4.2789070355608461</v>
      </c>
      <c r="L27" s="14">
        <f t="shared" si="19"/>
        <v>1000.2680304985337</v>
      </c>
      <c r="M27" s="14">
        <f t="shared" si="20"/>
        <v>590.48917090739678</v>
      </c>
      <c r="N27" s="2">
        <f t="shared" si="21"/>
        <v>0.64516129032258063</v>
      </c>
      <c r="O27">
        <f t="shared" si="3"/>
        <v>138</v>
      </c>
      <c r="P27" s="21">
        <f t="shared" si="4"/>
        <v>-4</v>
      </c>
      <c r="Q27" s="22">
        <f t="shared" si="5"/>
        <v>42.451612903225808</v>
      </c>
      <c r="R27" s="23">
        <f t="shared" si="22"/>
        <v>50</v>
      </c>
      <c r="S27" s="24">
        <f t="shared" si="6"/>
        <v>16</v>
      </c>
      <c r="T27" s="24">
        <f t="shared" si="7"/>
        <v>-169.80645161290323</v>
      </c>
      <c r="U27" s="24">
        <f t="shared" si="8"/>
        <v>-200</v>
      </c>
      <c r="V27" s="24">
        <f t="shared" si="9"/>
        <v>1802.1394380853278</v>
      </c>
      <c r="W27" s="24">
        <f t="shared" si="10"/>
        <v>2122.5806451612902</v>
      </c>
      <c r="X27" s="24">
        <f t="shared" si="11"/>
        <v>2500</v>
      </c>
      <c r="Z27" s="16">
        <f t="shared" si="23"/>
        <v>4.9198308942809632</v>
      </c>
      <c r="AA27" s="21">
        <f t="shared" si="24"/>
        <v>-4</v>
      </c>
      <c r="AB27" s="22">
        <f t="shared" si="25"/>
        <v>42.451612903225808</v>
      </c>
      <c r="AC27" s="23">
        <f t="shared" si="12"/>
        <v>7.2483190615835777</v>
      </c>
      <c r="AD27" s="24">
        <f t="shared" si="26"/>
        <v>16</v>
      </c>
      <c r="AE27" s="24">
        <f t="shared" si="27"/>
        <v>-169.80645161290323</v>
      </c>
      <c r="AF27" s="24">
        <f t="shared" si="28"/>
        <v>-28.993276246334311</v>
      </c>
      <c r="AG27" s="24">
        <f t="shared" si="29"/>
        <v>1802.1394380853278</v>
      </c>
      <c r="AH27" s="24">
        <f t="shared" si="30"/>
        <v>307.70283500141898</v>
      </c>
      <c r="AI27" s="24">
        <f t="shared" si="31"/>
        <v>52.538129218515834</v>
      </c>
      <c r="AJ27" s="24"/>
      <c r="AK27" s="16">
        <f t="shared" si="32"/>
        <v>50</v>
      </c>
      <c r="AL27" s="21">
        <f t="shared" si="33"/>
        <v>-4</v>
      </c>
      <c r="AM27" s="22">
        <f t="shared" si="34"/>
        <v>42.451612903225808</v>
      </c>
      <c r="AN27" s="23">
        <f t="shared" si="35"/>
        <v>50</v>
      </c>
      <c r="AO27" s="24">
        <f t="shared" si="36"/>
        <v>16</v>
      </c>
      <c r="AP27" s="24">
        <f t="shared" si="37"/>
        <v>-169.80645161290323</v>
      </c>
      <c r="AQ27" s="24">
        <f t="shared" si="38"/>
        <v>-200</v>
      </c>
      <c r="AR27" s="24">
        <f t="shared" si="39"/>
        <v>1802.1394380853278</v>
      </c>
      <c r="AS27" s="24">
        <f t="shared" si="40"/>
        <v>2122.5806451612902</v>
      </c>
      <c r="AT27" s="24">
        <f t="shared" si="41"/>
        <v>2500</v>
      </c>
      <c r="AU27" s="24"/>
      <c r="AV27" s="16">
        <f t="shared" si="42"/>
        <v>1.9504188682582313</v>
      </c>
      <c r="AX27" s="13">
        <v>138</v>
      </c>
      <c r="AY27" s="13">
        <v>278</v>
      </c>
    </row>
    <row r="28" spans="2:51" ht="15.75" x14ac:dyDescent="0.25">
      <c r="B28" s="13">
        <v>-3</v>
      </c>
      <c r="C28" s="13">
        <f t="shared" si="0"/>
        <v>163</v>
      </c>
      <c r="D28" s="14">
        <f t="shared" si="13"/>
        <v>6.8859031085043991</v>
      </c>
      <c r="E28" s="14">
        <f t="shared" si="14"/>
        <v>5.1261738581336376</v>
      </c>
      <c r="F28" s="14">
        <f t="shared" si="1"/>
        <v>5.1261738581336376</v>
      </c>
      <c r="G28" s="14">
        <f t="shared" si="15"/>
        <v>1.7597292503707616</v>
      </c>
      <c r="H28" s="14">
        <f t="shared" si="2"/>
        <v>2.6777238747618988</v>
      </c>
      <c r="I28" s="14">
        <f t="shared" si="16"/>
        <v>1</v>
      </c>
      <c r="J28" s="14">
        <f t="shared" si="17"/>
        <v>2.6777238747618988</v>
      </c>
      <c r="K28" s="14">
        <f t="shared" si="18"/>
        <v>3.6741065715161145</v>
      </c>
      <c r="L28" s="14">
        <f t="shared" si="19"/>
        <v>1122.4022066862171</v>
      </c>
      <c r="M28" s="14">
        <f t="shared" si="20"/>
        <v>598.87937115712668</v>
      </c>
      <c r="N28" s="2">
        <f t="shared" si="21"/>
        <v>0.61290322580645162</v>
      </c>
      <c r="O28">
        <f t="shared" si="3"/>
        <v>163</v>
      </c>
      <c r="P28" s="21">
        <f t="shared" si="4"/>
        <v>-3</v>
      </c>
      <c r="Q28" s="22">
        <f t="shared" si="5"/>
        <v>41.129032258064512</v>
      </c>
      <c r="R28" s="23">
        <f t="shared" si="22"/>
        <v>50</v>
      </c>
      <c r="S28" s="24">
        <f t="shared" si="6"/>
        <v>9</v>
      </c>
      <c r="T28" s="24">
        <f t="shared" si="7"/>
        <v>-123.38709677419354</v>
      </c>
      <c r="U28" s="24">
        <f t="shared" si="8"/>
        <v>-150</v>
      </c>
      <c r="V28" s="24">
        <f t="shared" si="9"/>
        <v>1691.5972944849113</v>
      </c>
      <c r="W28" s="24">
        <f t="shared" si="10"/>
        <v>2056.4516129032254</v>
      </c>
      <c r="X28" s="24">
        <f t="shared" si="11"/>
        <v>2500</v>
      </c>
      <c r="Z28" s="16">
        <f t="shared" si="23"/>
        <v>5.1261738581336376</v>
      </c>
      <c r="AA28" s="21">
        <f t="shared" si="24"/>
        <v>-3</v>
      </c>
      <c r="AB28" s="22">
        <f t="shared" si="25"/>
        <v>41.129032258064512</v>
      </c>
      <c r="AC28" s="23">
        <f t="shared" si="12"/>
        <v>6.8859031085043991</v>
      </c>
      <c r="AD28" s="24">
        <f t="shared" si="26"/>
        <v>9</v>
      </c>
      <c r="AE28" s="24">
        <f t="shared" si="27"/>
        <v>-123.38709677419354</v>
      </c>
      <c r="AF28" s="24">
        <f t="shared" si="28"/>
        <v>-20.657709325513196</v>
      </c>
      <c r="AG28" s="24">
        <f t="shared" si="29"/>
        <v>1691.5972944849113</v>
      </c>
      <c r="AH28" s="24">
        <f t="shared" si="30"/>
        <v>283.21053107558413</v>
      </c>
      <c r="AI28" s="24">
        <f t="shared" si="31"/>
        <v>47.415661619710548</v>
      </c>
      <c r="AJ28" s="24"/>
      <c r="AK28" s="16">
        <f t="shared" si="32"/>
        <v>50</v>
      </c>
      <c r="AL28" s="21">
        <f t="shared" si="33"/>
        <v>-3</v>
      </c>
      <c r="AM28" s="22">
        <f t="shared" si="34"/>
        <v>41.129032258064512</v>
      </c>
      <c r="AN28" s="23">
        <f t="shared" si="35"/>
        <v>50</v>
      </c>
      <c r="AO28" s="24">
        <f t="shared" si="36"/>
        <v>9</v>
      </c>
      <c r="AP28" s="24">
        <f t="shared" si="37"/>
        <v>-123.38709677419354</v>
      </c>
      <c r="AQ28" s="24">
        <f t="shared" si="38"/>
        <v>-150</v>
      </c>
      <c r="AR28" s="24">
        <f t="shared" si="39"/>
        <v>1691.5972944849113</v>
      </c>
      <c r="AS28" s="24">
        <f t="shared" si="40"/>
        <v>2056.4516129032254</v>
      </c>
      <c r="AT28" s="24">
        <f t="shared" si="41"/>
        <v>2500</v>
      </c>
      <c r="AU28" s="24"/>
      <c r="AV28" s="16">
        <f t="shared" si="42"/>
        <v>1.9143773211453528</v>
      </c>
      <c r="AX28" s="13">
        <v>163</v>
      </c>
      <c r="AY28" s="13">
        <v>306</v>
      </c>
    </row>
    <row r="29" spans="2:51" ht="15.75" x14ac:dyDescent="0.25">
      <c r="B29" s="13">
        <v>-2</v>
      </c>
      <c r="C29" s="13">
        <f t="shared" si="0"/>
        <v>186</v>
      </c>
      <c r="D29" s="14">
        <f t="shared" si="13"/>
        <v>6.5234871554252205</v>
      </c>
      <c r="E29" s="14">
        <f t="shared" si="14"/>
        <v>5.3435014468813833</v>
      </c>
      <c r="F29" s="14">
        <f t="shared" si="1"/>
        <v>5.3435014468813833</v>
      </c>
      <c r="G29" s="14">
        <f t="shared" si="15"/>
        <v>1.1799857085438372</v>
      </c>
      <c r="H29" s="14">
        <f t="shared" si="2"/>
        <v>2.8479224972735016</v>
      </c>
      <c r="I29" s="14">
        <f t="shared" si="16"/>
        <v>1</v>
      </c>
      <c r="J29" s="14">
        <f t="shared" si="17"/>
        <v>2.8479224972735016</v>
      </c>
      <c r="K29" s="14">
        <f t="shared" si="18"/>
        <v>3.056266208451071</v>
      </c>
      <c r="L29" s="14">
        <f t="shared" si="19"/>
        <v>1213.3686109090911</v>
      </c>
      <c r="M29" s="14">
        <f t="shared" si="20"/>
        <v>568.46551477189917</v>
      </c>
      <c r="N29" s="2">
        <f t="shared" si="21"/>
        <v>0.58064516129032262</v>
      </c>
      <c r="O29">
        <f t="shared" si="3"/>
        <v>186</v>
      </c>
      <c r="P29" s="21">
        <f t="shared" si="4"/>
        <v>-2</v>
      </c>
      <c r="Q29" s="22">
        <f t="shared" si="5"/>
        <v>39.806451612903231</v>
      </c>
      <c r="R29" s="23">
        <f t="shared" si="22"/>
        <v>50</v>
      </c>
      <c r="S29" s="24">
        <f t="shared" si="6"/>
        <v>4</v>
      </c>
      <c r="T29" s="24">
        <f t="shared" si="7"/>
        <v>-79.612903225806463</v>
      </c>
      <c r="U29" s="24">
        <f t="shared" si="8"/>
        <v>-100</v>
      </c>
      <c r="V29" s="24">
        <f t="shared" si="9"/>
        <v>1584.5535900104062</v>
      </c>
      <c r="W29" s="24">
        <f t="shared" si="10"/>
        <v>1990.3225806451615</v>
      </c>
      <c r="X29" s="24">
        <f t="shared" si="11"/>
        <v>2500</v>
      </c>
      <c r="Z29" s="16">
        <f t="shared" si="23"/>
        <v>5.3435014468813833</v>
      </c>
      <c r="AA29" s="21">
        <f t="shared" si="24"/>
        <v>-2</v>
      </c>
      <c r="AB29" s="22">
        <f t="shared" si="25"/>
        <v>39.806451612903231</v>
      </c>
      <c r="AC29" s="23">
        <f t="shared" si="12"/>
        <v>6.5234871554252205</v>
      </c>
      <c r="AD29" s="24">
        <f t="shared" si="26"/>
        <v>4</v>
      </c>
      <c r="AE29" s="24">
        <f t="shared" si="27"/>
        <v>-79.612903225806463</v>
      </c>
      <c r="AF29" s="24">
        <f t="shared" si="28"/>
        <v>-13.046974310850441</v>
      </c>
      <c r="AG29" s="24">
        <f t="shared" si="29"/>
        <v>1584.5535900104062</v>
      </c>
      <c r="AH29" s="24">
        <f t="shared" si="30"/>
        <v>259.67687579982976</v>
      </c>
      <c r="AI29" s="24">
        <f t="shared" si="31"/>
        <v>42.555884666997834</v>
      </c>
      <c r="AJ29" s="24"/>
      <c r="AK29" s="16">
        <f t="shared" si="32"/>
        <v>50</v>
      </c>
      <c r="AL29" s="21">
        <f t="shared" si="33"/>
        <v>-2</v>
      </c>
      <c r="AM29" s="22">
        <f t="shared" si="34"/>
        <v>39.806451612903231</v>
      </c>
      <c r="AN29" s="23">
        <f t="shared" si="35"/>
        <v>50</v>
      </c>
      <c r="AO29" s="24">
        <f t="shared" si="36"/>
        <v>4</v>
      </c>
      <c r="AP29" s="24">
        <f t="shared" si="37"/>
        <v>-79.612903225806463</v>
      </c>
      <c r="AQ29" s="24">
        <f t="shared" si="38"/>
        <v>-100</v>
      </c>
      <c r="AR29" s="24">
        <f t="shared" si="39"/>
        <v>1584.5535900104062</v>
      </c>
      <c r="AS29" s="24">
        <f t="shared" si="40"/>
        <v>1990.3225806451615</v>
      </c>
      <c r="AT29" s="24">
        <f t="shared" si="41"/>
        <v>2500</v>
      </c>
      <c r="AU29" s="24"/>
      <c r="AV29" s="16">
        <f t="shared" si="42"/>
        <v>1.8762804999072338</v>
      </c>
      <c r="AX29" s="13">
        <v>186</v>
      </c>
      <c r="AY29" s="13">
        <v>454</v>
      </c>
    </row>
    <row r="30" spans="2:51" ht="15.75" x14ac:dyDescent="0.25">
      <c r="B30" s="13">
        <v>-1</v>
      </c>
      <c r="C30" s="13">
        <f t="shared" si="0"/>
        <v>305</v>
      </c>
      <c r="D30" s="14">
        <f t="shared" si="13"/>
        <v>6.1610712023460419</v>
      </c>
      <c r="E30" s="14">
        <f t="shared" si="14"/>
        <v>5.5718136605241995</v>
      </c>
      <c r="F30" s="14">
        <f t="shared" si="1"/>
        <v>5.5718136605241995</v>
      </c>
      <c r="G30" s="14">
        <f t="shared" si="15"/>
        <v>0.58925754182184242</v>
      </c>
      <c r="H30" s="14">
        <f t="shared" si="2"/>
        <v>3.0345446684096893</v>
      </c>
      <c r="I30" s="14">
        <f t="shared" si="16"/>
        <v>1</v>
      </c>
      <c r="J30" s="14">
        <f t="shared" si="17"/>
        <v>3.0345446684096893</v>
      </c>
      <c r="K30" s="14">
        <f t="shared" si="18"/>
        <v>2.4253859463657159</v>
      </c>
      <c r="L30" s="14">
        <f t="shared" si="19"/>
        <v>1879.1267167155427</v>
      </c>
      <c r="M30" s="14">
        <f t="shared" si="20"/>
        <v>739.74271364154333</v>
      </c>
      <c r="N30" s="2">
        <f t="shared" si="21"/>
        <v>0.54838709677419351</v>
      </c>
      <c r="O30">
        <f t="shared" si="3"/>
        <v>305</v>
      </c>
      <c r="P30" s="21">
        <f t="shared" si="4"/>
        <v>-1</v>
      </c>
      <c r="Q30" s="22">
        <f t="shared" si="5"/>
        <v>38.483870967741936</v>
      </c>
      <c r="R30" s="23">
        <f t="shared" si="22"/>
        <v>50</v>
      </c>
      <c r="S30" s="24">
        <f t="shared" si="6"/>
        <v>1</v>
      </c>
      <c r="T30" s="24">
        <f t="shared" si="7"/>
        <v>-38.483870967741936</v>
      </c>
      <c r="U30" s="24">
        <f t="shared" si="8"/>
        <v>-50</v>
      </c>
      <c r="V30" s="24">
        <f t="shared" si="9"/>
        <v>1481.0083246618105</v>
      </c>
      <c r="W30" s="24">
        <f t="shared" si="10"/>
        <v>1924.1935483870968</v>
      </c>
      <c r="X30" s="24">
        <f t="shared" si="11"/>
        <v>2500</v>
      </c>
      <c r="Z30" s="16">
        <f t="shared" si="23"/>
        <v>5.5718136605241995</v>
      </c>
      <c r="AA30" s="21">
        <f t="shared" si="24"/>
        <v>-1</v>
      </c>
      <c r="AB30" s="22">
        <f t="shared" si="25"/>
        <v>38.483870967741936</v>
      </c>
      <c r="AC30" s="23">
        <f t="shared" si="12"/>
        <v>6.1610712023460419</v>
      </c>
      <c r="AD30" s="24">
        <f t="shared" si="26"/>
        <v>1</v>
      </c>
      <c r="AE30" s="24">
        <f t="shared" si="27"/>
        <v>-38.483870967741936</v>
      </c>
      <c r="AF30" s="24">
        <f t="shared" si="28"/>
        <v>-6.1610712023460419</v>
      </c>
      <c r="AG30" s="24">
        <f t="shared" si="29"/>
        <v>1481.0083246618105</v>
      </c>
      <c r="AH30" s="24">
        <f t="shared" si="30"/>
        <v>237.10186917415575</v>
      </c>
      <c r="AI30" s="24">
        <f t="shared" si="31"/>
        <v>37.958798360377699</v>
      </c>
      <c r="AJ30" s="24"/>
      <c r="AK30" s="16">
        <f t="shared" si="32"/>
        <v>50</v>
      </c>
      <c r="AL30" s="21">
        <f t="shared" si="33"/>
        <v>-1</v>
      </c>
      <c r="AM30" s="22">
        <f t="shared" si="34"/>
        <v>38.483870967741936</v>
      </c>
      <c r="AN30" s="23">
        <f t="shared" si="35"/>
        <v>50</v>
      </c>
      <c r="AO30" s="24">
        <f t="shared" si="36"/>
        <v>1</v>
      </c>
      <c r="AP30" s="24">
        <f t="shared" si="37"/>
        <v>-38.483870967741936</v>
      </c>
      <c r="AQ30" s="24">
        <f t="shared" si="38"/>
        <v>-50</v>
      </c>
      <c r="AR30" s="24">
        <f t="shared" si="39"/>
        <v>1481.0083246618105</v>
      </c>
      <c r="AS30" s="24">
        <f t="shared" si="40"/>
        <v>1924.1935483870968</v>
      </c>
      <c r="AT30" s="24">
        <f t="shared" si="41"/>
        <v>2500</v>
      </c>
      <c r="AU30" s="24"/>
      <c r="AV30" s="16">
        <f t="shared" si="42"/>
        <v>1.836128404543873</v>
      </c>
      <c r="AX30" s="13">
        <v>305</v>
      </c>
      <c r="AY30" s="13">
        <v>385</v>
      </c>
    </row>
    <row r="31" spans="2:51" ht="15.75" x14ac:dyDescent="0.25">
      <c r="B31" s="13">
        <v>0</v>
      </c>
      <c r="C31" s="13">
        <f t="shared" si="0"/>
        <v>396</v>
      </c>
      <c r="D31" s="14">
        <f t="shared" si="13"/>
        <v>5.7986552492668624</v>
      </c>
      <c r="E31" s="14">
        <f t="shared" si="14"/>
        <v>5.8111104990620888</v>
      </c>
      <c r="F31" s="14">
        <f t="shared" si="1"/>
        <v>5.8111104990620888</v>
      </c>
      <c r="G31" s="14">
        <f t="shared" si="15"/>
        <v>0</v>
      </c>
      <c r="H31" s="14">
        <f t="shared" si="2"/>
        <v>3.2393346114496322</v>
      </c>
      <c r="I31" s="14">
        <f t="shared" si="16"/>
        <v>0.99785664894907145</v>
      </c>
      <c r="J31" s="14">
        <f t="shared" si="17"/>
        <v>3.2462925560111802</v>
      </c>
      <c r="K31" s="14">
        <f t="shared" si="18"/>
        <v>1.7900760325195026</v>
      </c>
      <c r="L31" s="14">
        <f t="shared" si="19"/>
        <v>2296.2674787096776</v>
      </c>
      <c r="M31" s="14">
        <f t="shared" si="20"/>
        <v>708.87010887772306</v>
      </c>
      <c r="N31" s="2">
        <f t="shared" si="21"/>
        <v>0.5161290322580645</v>
      </c>
      <c r="O31">
        <f t="shared" si="3"/>
        <v>395</v>
      </c>
      <c r="P31" s="21">
        <f t="shared" si="4"/>
        <v>0</v>
      </c>
      <c r="Q31" s="22">
        <f t="shared" si="5"/>
        <v>37.161290322580641</v>
      </c>
      <c r="R31" s="23">
        <f t="shared" si="22"/>
        <v>50</v>
      </c>
      <c r="S31" s="24">
        <f t="shared" si="6"/>
        <v>0</v>
      </c>
      <c r="T31" s="24">
        <f t="shared" si="7"/>
        <v>0</v>
      </c>
      <c r="U31" s="24">
        <f t="shared" si="8"/>
        <v>0</v>
      </c>
      <c r="V31" s="24">
        <f t="shared" si="9"/>
        <v>1380.9614984391255</v>
      </c>
      <c r="W31" s="24">
        <f t="shared" si="10"/>
        <v>1858.064516129032</v>
      </c>
      <c r="X31" s="24">
        <f t="shared" si="11"/>
        <v>2500</v>
      </c>
      <c r="Z31" s="16">
        <f t="shared" si="23"/>
        <v>5.8111104990620888</v>
      </c>
      <c r="AA31" s="21">
        <f t="shared" si="24"/>
        <v>0</v>
      </c>
      <c r="AB31" s="22">
        <f t="shared" si="25"/>
        <v>37.161290322580641</v>
      </c>
      <c r="AC31" s="23">
        <f t="shared" si="12"/>
        <v>5.7986552492668624</v>
      </c>
      <c r="AD31" s="24">
        <f t="shared" si="26"/>
        <v>0</v>
      </c>
      <c r="AE31" s="24">
        <f t="shared" si="27"/>
        <v>0</v>
      </c>
      <c r="AF31" s="24">
        <f t="shared" si="28"/>
        <v>0</v>
      </c>
      <c r="AG31" s="24">
        <f t="shared" si="29"/>
        <v>1380.9614984391255</v>
      </c>
      <c r="AH31" s="24">
        <f t="shared" si="30"/>
        <v>215.48551119856208</v>
      </c>
      <c r="AI31" s="24">
        <f t="shared" si="31"/>
        <v>33.624402699850137</v>
      </c>
      <c r="AJ31" s="24"/>
      <c r="AK31" s="16">
        <f t="shared" si="32"/>
        <v>50</v>
      </c>
      <c r="AL31" s="21">
        <f t="shared" si="33"/>
        <v>0</v>
      </c>
      <c r="AM31" s="22">
        <f t="shared" si="34"/>
        <v>37.161290322580641</v>
      </c>
      <c r="AN31" s="23">
        <f t="shared" si="35"/>
        <v>50</v>
      </c>
      <c r="AO31" s="24">
        <f t="shared" si="36"/>
        <v>0</v>
      </c>
      <c r="AP31" s="24">
        <f t="shared" si="37"/>
        <v>0</v>
      </c>
      <c r="AQ31" s="24">
        <f t="shared" si="38"/>
        <v>0</v>
      </c>
      <c r="AR31" s="24">
        <f t="shared" si="39"/>
        <v>1380.9614984391255</v>
      </c>
      <c r="AS31" s="24">
        <f t="shared" si="40"/>
        <v>1858.064516129032</v>
      </c>
      <c r="AT31" s="24">
        <f t="shared" si="41"/>
        <v>2500</v>
      </c>
      <c r="AU31" s="24"/>
      <c r="AV31" s="16">
        <f t="shared" si="42"/>
        <v>1.7939210350552712</v>
      </c>
      <c r="AX31" s="13">
        <v>396</v>
      </c>
      <c r="AY31" s="13">
        <v>490</v>
      </c>
    </row>
    <row r="32" spans="2:51" ht="15.75" x14ac:dyDescent="0.25">
      <c r="B32" s="13">
        <v>1</v>
      </c>
      <c r="C32" s="13">
        <f t="shared" si="0"/>
        <v>394</v>
      </c>
      <c r="D32" s="14">
        <f t="shared" si="13"/>
        <v>5.4362392961876838</v>
      </c>
      <c r="E32" s="14">
        <f t="shared" si="14"/>
        <v>6.0613919624950485</v>
      </c>
      <c r="F32" s="14">
        <f t="shared" si="1"/>
        <v>6.0613919624950485</v>
      </c>
      <c r="G32" s="14">
        <f t="shared" si="15"/>
        <v>0</v>
      </c>
      <c r="H32" s="14">
        <f t="shared" si="2"/>
        <v>3.4643288039223856</v>
      </c>
      <c r="I32" s="14">
        <f t="shared" si="16"/>
        <v>0.89686318420331401</v>
      </c>
      <c r="J32" s="14">
        <f t="shared" si="17"/>
        <v>3.8627171512227454</v>
      </c>
      <c r="K32" s="14">
        <f t="shared" si="18"/>
        <v>1.569204196216208</v>
      </c>
      <c r="L32" s="14">
        <f t="shared" si="19"/>
        <v>2141.8782826979473</v>
      </c>
      <c r="M32" s="14">
        <f t="shared" si="20"/>
        <v>618.26645330918598</v>
      </c>
      <c r="N32" s="2">
        <f t="shared" si="21"/>
        <v>0.4838709677419355</v>
      </c>
      <c r="O32">
        <f t="shared" si="3"/>
        <v>353</v>
      </c>
      <c r="P32" s="21">
        <f t="shared" si="4"/>
        <v>1</v>
      </c>
      <c r="Q32" s="22">
        <f t="shared" si="5"/>
        <v>35.838709677419359</v>
      </c>
      <c r="R32" s="23">
        <f t="shared" si="22"/>
        <v>50</v>
      </c>
      <c r="S32" s="24">
        <f t="shared" si="6"/>
        <v>1</v>
      </c>
      <c r="T32" s="24">
        <f t="shared" si="7"/>
        <v>35.838709677419359</v>
      </c>
      <c r="U32" s="24">
        <f t="shared" si="8"/>
        <v>50</v>
      </c>
      <c r="V32" s="24">
        <f t="shared" si="9"/>
        <v>1284.4131113423521</v>
      </c>
      <c r="W32" s="24">
        <f t="shared" si="10"/>
        <v>1791.935483870968</v>
      </c>
      <c r="X32" s="24">
        <f t="shared" si="11"/>
        <v>2500</v>
      </c>
      <c r="Z32" s="16">
        <f t="shared" si="23"/>
        <v>6.0613919624950485</v>
      </c>
      <c r="AA32" s="21">
        <f t="shared" si="24"/>
        <v>1</v>
      </c>
      <c r="AB32" s="22">
        <f t="shared" si="25"/>
        <v>35.838709677419359</v>
      </c>
      <c r="AC32" s="23">
        <f t="shared" si="12"/>
        <v>5.4362392961876838</v>
      </c>
      <c r="AD32" s="24">
        <f t="shared" si="26"/>
        <v>1</v>
      </c>
      <c r="AE32" s="24">
        <f t="shared" si="27"/>
        <v>35.838709677419359</v>
      </c>
      <c r="AF32" s="24">
        <f t="shared" si="28"/>
        <v>5.4362392961876838</v>
      </c>
      <c r="AG32" s="24">
        <f t="shared" si="29"/>
        <v>1284.4131113423521</v>
      </c>
      <c r="AH32" s="24">
        <f t="shared" si="30"/>
        <v>194.82780187304894</v>
      </c>
      <c r="AI32" s="24">
        <f t="shared" si="31"/>
        <v>29.552697685415165</v>
      </c>
      <c r="AJ32" s="24"/>
      <c r="AK32" s="16">
        <f t="shared" si="32"/>
        <v>50</v>
      </c>
      <c r="AL32" s="21">
        <f t="shared" si="33"/>
        <v>1</v>
      </c>
      <c r="AM32" s="22">
        <f t="shared" si="34"/>
        <v>35.838709677419359</v>
      </c>
      <c r="AN32" s="23">
        <f t="shared" si="35"/>
        <v>50</v>
      </c>
      <c r="AO32" s="24">
        <f t="shared" si="36"/>
        <v>1</v>
      </c>
      <c r="AP32" s="24">
        <f t="shared" si="37"/>
        <v>35.838709677419359</v>
      </c>
      <c r="AQ32" s="24">
        <f t="shared" si="38"/>
        <v>50</v>
      </c>
      <c r="AR32" s="24">
        <f t="shared" si="39"/>
        <v>1284.4131113423521</v>
      </c>
      <c r="AS32" s="24">
        <f t="shared" si="40"/>
        <v>1791.935483870968</v>
      </c>
      <c r="AT32" s="24">
        <f t="shared" si="41"/>
        <v>2500</v>
      </c>
      <c r="AU32" s="24"/>
      <c r="AV32" s="16">
        <f t="shared" si="42"/>
        <v>1.7496583914414283</v>
      </c>
      <c r="AX32" s="13">
        <v>394</v>
      </c>
      <c r="AY32" s="13">
        <v>533</v>
      </c>
    </row>
    <row r="33" spans="2:51" ht="15.75" x14ac:dyDescent="0.25">
      <c r="B33" s="13">
        <v>2</v>
      </c>
      <c r="C33" s="13">
        <f t="shared" si="0"/>
        <v>433</v>
      </c>
      <c r="D33" s="14">
        <f t="shared" si="13"/>
        <v>5.0738233431085042</v>
      </c>
      <c r="E33" s="14">
        <f t="shared" si="14"/>
        <v>6.3226580508230796</v>
      </c>
      <c r="F33" s="14">
        <f t="shared" si="1"/>
        <v>6.3226580508230796</v>
      </c>
      <c r="G33" s="14">
        <f t="shared" si="15"/>
        <v>0</v>
      </c>
      <c r="H33" s="14">
        <f t="shared" si="2"/>
        <v>3.7119167591199687</v>
      </c>
      <c r="I33" s="14">
        <f t="shared" si="16"/>
        <v>0.80248264295235727</v>
      </c>
      <c r="J33" s="14">
        <f t="shared" si="17"/>
        <v>4.6255414889270599</v>
      </c>
      <c r="K33" s="14">
        <f t="shared" si="18"/>
        <v>1.3669011651843777</v>
      </c>
      <c r="L33" s="14">
        <f t="shared" si="19"/>
        <v>2196.9655075659825</v>
      </c>
      <c r="M33" s="14">
        <f t="shared" si="20"/>
        <v>591.86820452483551</v>
      </c>
      <c r="N33" s="2">
        <f t="shared" si="21"/>
        <v>0.45161290322580644</v>
      </c>
      <c r="O33">
        <f t="shared" si="3"/>
        <v>347</v>
      </c>
      <c r="P33" s="21">
        <f t="shared" si="4"/>
        <v>2</v>
      </c>
      <c r="Q33" s="22">
        <f t="shared" si="5"/>
        <v>34.516129032258064</v>
      </c>
      <c r="R33" s="23">
        <f t="shared" si="22"/>
        <v>50</v>
      </c>
      <c r="S33" s="24">
        <f t="shared" si="6"/>
        <v>4</v>
      </c>
      <c r="T33" s="24">
        <f t="shared" si="7"/>
        <v>69.032258064516128</v>
      </c>
      <c r="U33" s="24">
        <f t="shared" si="8"/>
        <v>100</v>
      </c>
      <c r="V33" s="24">
        <f t="shared" si="9"/>
        <v>1191.3631633714881</v>
      </c>
      <c r="W33" s="24">
        <f t="shared" si="10"/>
        <v>1725.8064516129032</v>
      </c>
      <c r="X33" s="24">
        <f t="shared" si="11"/>
        <v>2500</v>
      </c>
      <c r="Z33" s="16">
        <f t="shared" si="23"/>
        <v>6.3226580508230796</v>
      </c>
      <c r="AA33" s="21">
        <f t="shared" si="24"/>
        <v>2</v>
      </c>
      <c r="AB33" s="22">
        <f t="shared" si="25"/>
        <v>34.516129032258064</v>
      </c>
      <c r="AC33" s="23">
        <f t="shared" si="12"/>
        <v>5.0738233431085042</v>
      </c>
      <c r="AD33" s="24">
        <f t="shared" si="26"/>
        <v>4</v>
      </c>
      <c r="AE33" s="24">
        <f t="shared" si="27"/>
        <v>69.032258064516128</v>
      </c>
      <c r="AF33" s="24">
        <f t="shared" si="28"/>
        <v>10.147646686217008</v>
      </c>
      <c r="AG33" s="24">
        <f t="shared" si="29"/>
        <v>1191.3631633714881</v>
      </c>
      <c r="AH33" s="24">
        <f t="shared" si="30"/>
        <v>175.12874119761611</v>
      </c>
      <c r="AI33" s="24">
        <f t="shared" si="31"/>
        <v>25.743683317072758</v>
      </c>
      <c r="AJ33" s="24"/>
      <c r="AK33" s="16">
        <f t="shared" si="32"/>
        <v>50</v>
      </c>
      <c r="AL33" s="21">
        <f t="shared" si="33"/>
        <v>2</v>
      </c>
      <c r="AM33" s="22">
        <f t="shared" si="34"/>
        <v>34.516129032258064</v>
      </c>
      <c r="AN33" s="23">
        <f t="shared" si="35"/>
        <v>50</v>
      </c>
      <c r="AO33" s="24">
        <f t="shared" si="36"/>
        <v>4</v>
      </c>
      <c r="AP33" s="24">
        <f t="shared" si="37"/>
        <v>69.032258064516128</v>
      </c>
      <c r="AQ33" s="24">
        <f t="shared" si="38"/>
        <v>100</v>
      </c>
      <c r="AR33" s="24">
        <f t="shared" si="39"/>
        <v>1191.3631633714881</v>
      </c>
      <c r="AS33" s="24">
        <f t="shared" si="40"/>
        <v>1725.8064516129032</v>
      </c>
      <c r="AT33" s="24">
        <f t="shared" si="41"/>
        <v>2500</v>
      </c>
      <c r="AU33" s="24"/>
      <c r="AV33" s="16">
        <f t="shared" si="42"/>
        <v>1.7033404737023448</v>
      </c>
      <c r="AX33" s="13">
        <v>433</v>
      </c>
      <c r="AY33" s="13">
        <v>380</v>
      </c>
    </row>
    <row r="34" spans="2:51" ht="15.75" x14ac:dyDescent="0.25">
      <c r="B34" s="13">
        <v>3</v>
      </c>
      <c r="C34" s="13">
        <f t="shared" si="0"/>
        <v>352</v>
      </c>
      <c r="D34" s="14">
        <f t="shared" si="13"/>
        <v>4.7114073900293265</v>
      </c>
      <c r="E34" s="14">
        <f t="shared" si="14"/>
        <v>6.5949087640461821</v>
      </c>
      <c r="F34" s="14">
        <f t="shared" si="1"/>
        <v>6.5949087640461821</v>
      </c>
      <c r="G34" s="14">
        <f t="shared" si="15"/>
        <v>0</v>
      </c>
      <c r="H34" s="14">
        <f t="shared" si="2"/>
        <v>3.9849179113207756</v>
      </c>
      <c r="I34" s="14">
        <f t="shared" si="16"/>
        <v>0.71440069280635976</v>
      </c>
      <c r="J34" s="14">
        <f t="shared" si="17"/>
        <v>5.5779871876480644</v>
      </c>
      <c r="K34" s="14">
        <f t="shared" si="18"/>
        <v>1.1823097727169392</v>
      </c>
      <c r="L34" s="14">
        <f t="shared" si="19"/>
        <v>1658.415401290323</v>
      </c>
      <c r="M34" s="14">
        <f t="shared" si="20"/>
        <v>416.1730399963626</v>
      </c>
      <c r="N34" s="2">
        <f t="shared" si="21"/>
        <v>0.41935483870967744</v>
      </c>
      <c r="O34">
        <f t="shared" si="3"/>
        <v>251</v>
      </c>
      <c r="P34" s="21">
        <f t="shared" si="4"/>
        <v>3</v>
      </c>
      <c r="Q34" s="22">
        <f t="shared" si="5"/>
        <v>33.193548387096776</v>
      </c>
      <c r="R34" s="23">
        <f t="shared" si="22"/>
        <v>50</v>
      </c>
      <c r="S34" s="24">
        <f t="shared" si="6"/>
        <v>9</v>
      </c>
      <c r="T34" s="24">
        <f t="shared" si="7"/>
        <v>99.580645161290334</v>
      </c>
      <c r="U34" s="24">
        <f t="shared" si="8"/>
        <v>150</v>
      </c>
      <c r="V34" s="24">
        <f t="shared" si="9"/>
        <v>1101.811654526535</v>
      </c>
      <c r="W34" s="24">
        <f t="shared" si="10"/>
        <v>1659.6774193548388</v>
      </c>
      <c r="X34" s="24">
        <f t="shared" si="11"/>
        <v>2500</v>
      </c>
      <c r="Z34" s="16">
        <f t="shared" si="23"/>
        <v>6.5949087640461821</v>
      </c>
      <c r="AA34" s="21">
        <f t="shared" si="24"/>
        <v>3</v>
      </c>
      <c r="AB34" s="22">
        <f t="shared" si="25"/>
        <v>33.193548387096776</v>
      </c>
      <c r="AC34" s="23">
        <f t="shared" si="12"/>
        <v>4.7114073900293265</v>
      </c>
      <c r="AD34" s="24">
        <f t="shared" si="26"/>
        <v>9</v>
      </c>
      <c r="AE34" s="24">
        <f t="shared" si="27"/>
        <v>99.580645161290334</v>
      </c>
      <c r="AF34" s="24">
        <f t="shared" si="28"/>
        <v>14.13422217008798</v>
      </c>
      <c r="AG34" s="24">
        <f t="shared" si="29"/>
        <v>1101.811654526535</v>
      </c>
      <c r="AH34" s="24">
        <f t="shared" si="30"/>
        <v>156.38832917226378</v>
      </c>
      <c r="AI34" s="24">
        <f t="shared" si="31"/>
        <v>22.197359594822949</v>
      </c>
      <c r="AJ34" s="24"/>
      <c r="AK34" s="16">
        <f t="shared" si="32"/>
        <v>50</v>
      </c>
      <c r="AL34" s="21">
        <f t="shared" si="33"/>
        <v>3</v>
      </c>
      <c r="AM34" s="22">
        <f t="shared" si="34"/>
        <v>33.193548387096776</v>
      </c>
      <c r="AN34" s="23">
        <f t="shared" si="35"/>
        <v>50</v>
      </c>
      <c r="AO34" s="24">
        <f t="shared" si="36"/>
        <v>9</v>
      </c>
      <c r="AP34" s="24">
        <f t="shared" si="37"/>
        <v>99.580645161290334</v>
      </c>
      <c r="AQ34" s="24">
        <f t="shared" si="38"/>
        <v>150</v>
      </c>
      <c r="AR34" s="24">
        <f t="shared" si="39"/>
        <v>1101.811654526535</v>
      </c>
      <c r="AS34" s="24">
        <f t="shared" si="40"/>
        <v>1659.6774193548388</v>
      </c>
      <c r="AT34" s="24">
        <f t="shared" si="41"/>
        <v>2500</v>
      </c>
      <c r="AU34" s="24"/>
      <c r="AV34" s="16">
        <f t="shared" si="42"/>
        <v>1.6549672818380194</v>
      </c>
      <c r="AX34" s="13">
        <v>352</v>
      </c>
      <c r="AY34" s="13">
        <v>228</v>
      </c>
    </row>
    <row r="35" spans="2:51" ht="15.75" x14ac:dyDescent="0.25">
      <c r="B35" s="13">
        <v>4</v>
      </c>
      <c r="C35" s="13">
        <f t="shared" si="0"/>
        <v>316</v>
      </c>
      <c r="D35" s="14">
        <f t="shared" si="13"/>
        <v>4.348991436950147</v>
      </c>
      <c r="E35" s="14">
        <f t="shared" si="14"/>
        <v>6.8781441021643577</v>
      </c>
      <c r="F35" s="14">
        <f t="shared" si="1"/>
        <v>6.8781441021643577</v>
      </c>
      <c r="G35" s="14">
        <f t="shared" si="15"/>
        <v>0</v>
      </c>
      <c r="H35" s="14">
        <f t="shared" si="2"/>
        <v>4.2866797825188865</v>
      </c>
      <c r="I35" s="14">
        <f t="shared" si="16"/>
        <v>0.63229141064108296</v>
      </c>
      <c r="J35" s="14">
        <f t="shared" si="17"/>
        <v>6.7795951524513098</v>
      </c>
      <c r="K35" s="14">
        <f t="shared" si="18"/>
        <v>1.014536111301191</v>
      </c>
      <c r="L35" s="14">
        <f t="shared" si="19"/>
        <v>1374.2812940762465</v>
      </c>
      <c r="M35" s="14">
        <f t="shared" si="20"/>
        <v>320.59341117117634</v>
      </c>
      <c r="N35" s="2">
        <f t="shared" si="21"/>
        <v>0.38709677419354838</v>
      </c>
      <c r="O35">
        <f t="shared" si="3"/>
        <v>200</v>
      </c>
      <c r="P35" s="21">
        <f t="shared" si="4"/>
        <v>4</v>
      </c>
      <c r="Q35" s="22">
        <f t="shared" si="5"/>
        <v>31.870967741935484</v>
      </c>
      <c r="R35" s="23">
        <f t="shared" si="22"/>
        <v>50</v>
      </c>
      <c r="S35" s="24">
        <f t="shared" si="6"/>
        <v>16</v>
      </c>
      <c r="T35" s="24">
        <f t="shared" si="7"/>
        <v>127.48387096774194</v>
      </c>
      <c r="U35" s="24">
        <f t="shared" si="8"/>
        <v>200</v>
      </c>
      <c r="V35" s="24">
        <f t="shared" si="9"/>
        <v>1015.7585848074922</v>
      </c>
      <c r="W35" s="24">
        <f t="shared" si="10"/>
        <v>1593.5483870967741</v>
      </c>
      <c r="X35" s="24">
        <f t="shared" si="11"/>
        <v>2500</v>
      </c>
      <c r="Z35" s="16">
        <f t="shared" si="23"/>
        <v>6.8781441021643577</v>
      </c>
      <c r="AA35" s="21">
        <f t="shared" si="24"/>
        <v>4</v>
      </c>
      <c r="AB35" s="22">
        <f t="shared" si="25"/>
        <v>31.870967741935484</v>
      </c>
      <c r="AC35" s="23">
        <f t="shared" si="12"/>
        <v>4.348991436950147</v>
      </c>
      <c r="AD35" s="24">
        <f t="shared" si="26"/>
        <v>16</v>
      </c>
      <c r="AE35" s="24">
        <f t="shared" si="27"/>
        <v>127.48387096774194</v>
      </c>
      <c r="AF35" s="24">
        <f t="shared" si="28"/>
        <v>17.395965747800588</v>
      </c>
      <c r="AG35" s="24">
        <f t="shared" si="29"/>
        <v>1015.7585848074922</v>
      </c>
      <c r="AH35" s="24">
        <f t="shared" si="30"/>
        <v>138.60656579699179</v>
      </c>
      <c r="AI35" s="24">
        <f t="shared" si="31"/>
        <v>18.913726518665705</v>
      </c>
      <c r="AJ35" s="24"/>
      <c r="AK35" s="16">
        <f t="shared" si="32"/>
        <v>50</v>
      </c>
      <c r="AL35" s="21">
        <f t="shared" si="33"/>
        <v>4</v>
      </c>
      <c r="AM35" s="22">
        <f t="shared" si="34"/>
        <v>31.870967741935484</v>
      </c>
      <c r="AN35" s="23">
        <f t="shared" si="35"/>
        <v>50</v>
      </c>
      <c r="AO35" s="24">
        <f t="shared" si="36"/>
        <v>16</v>
      </c>
      <c r="AP35" s="24">
        <f t="shared" si="37"/>
        <v>127.48387096774194</v>
      </c>
      <c r="AQ35" s="24">
        <f t="shared" si="38"/>
        <v>200</v>
      </c>
      <c r="AR35" s="24">
        <f t="shared" si="39"/>
        <v>1015.7585848074922</v>
      </c>
      <c r="AS35" s="24">
        <f t="shared" si="40"/>
        <v>1593.5483870967741</v>
      </c>
      <c r="AT35" s="24">
        <f t="shared" si="41"/>
        <v>2500</v>
      </c>
      <c r="AU35" s="24"/>
      <c r="AV35" s="16">
        <f t="shared" si="42"/>
        <v>1.604538815848453</v>
      </c>
      <c r="AX35" s="13">
        <v>316</v>
      </c>
      <c r="AY35" s="13">
        <v>261</v>
      </c>
    </row>
    <row r="36" spans="2:51" ht="15.75" x14ac:dyDescent="0.25">
      <c r="B36" s="13">
        <v>5</v>
      </c>
      <c r="C36" s="13">
        <f t="shared" si="0"/>
        <v>312</v>
      </c>
      <c r="D36" s="14">
        <f t="shared" si="13"/>
        <v>3.9865754838709679</v>
      </c>
      <c r="E36" s="14">
        <f t="shared" si="14"/>
        <v>7.1723640651776055</v>
      </c>
      <c r="F36" s="14">
        <f t="shared" si="1"/>
        <v>7.1723640651776055</v>
      </c>
      <c r="G36" s="14">
        <f t="shared" si="15"/>
        <v>0</v>
      </c>
      <c r="H36" s="14">
        <f t="shared" si="2"/>
        <v>4.621204606278086</v>
      </c>
      <c r="I36" s="14">
        <f t="shared" si="16"/>
        <v>0.55582447400099322</v>
      </c>
      <c r="J36" s="14">
        <f t="shared" si="17"/>
        <v>8.3141438033724082</v>
      </c>
      <c r="K36" s="14">
        <f t="shared" si="18"/>
        <v>0.86267019609022511</v>
      </c>
      <c r="L36" s="14">
        <f t="shared" si="19"/>
        <v>1243.8115509677421</v>
      </c>
      <c r="M36" s="14">
        <f t="shared" si="20"/>
        <v>269.15310118015026</v>
      </c>
      <c r="N36" s="2">
        <f t="shared" si="21"/>
        <v>0.35483870967741937</v>
      </c>
      <c r="O36">
        <f t="shared" si="3"/>
        <v>173</v>
      </c>
      <c r="P36" s="21">
        <f t="shared" si="4"/>
        <v>5</v>
      </c>
      <c r="Q36" s="22">
        <f t="shared" si="5"/>
        <v>30.548387096774192</v>
      </c>
      <c r="R36" s="23">
        <f t="shared" si="22"/>
        <v>50</v>
      </c>
      <c r="S36" s="24">
        <f t="shared" si="6"/>
        <v>25</v>
      </c>
      <c r="T36" s="24">
        <f t="shared" si="7"/>
        <v>152.74193548387098</v>
      </c>
      <c r="U36" s="24">
        <f t="shared" si="8"/>
        <v>250</v>
      </c>
      <c r="V36" s="24">
        <f t="shared" si="9"/>
        <v>933.20395421436001</v>
      </c>
      <c r="W36" s="24">
        <f t="shared" si="10"/>
        <v>1527.4193548387095</v>
      </c>
      <c r="X36" s="24">
        <f t="shared" si="11"/>
        <v>2500</v>
      </c>
      <c r="Z36" s="16">
        <f t="shared" si="23"/>
        <v>7.1723640651776055</v>
      </c>
      <c r="AA36" s="21">
        <f t="shared" si="24"/>
        <v>5</v>
      </c>
      <c r="AB36" s="22">
        <f t="shared" si="25"/>
        <v>30.548387096774192</v>
      </c>
      <c r="AC36" s="23">
        <f t="shared" si="12"/>
        <v>3.9865754838709679</v>
      </c>
      <c r="AD36" s="24">
        <f t="shared" si="26"/>
        <v>25</v>
      </c>
      <c r="AE36" s="24">
        <f t="shared" si="27"/>
        <v>152.74193548387098</v>
      </c>
      <c r="AF36" s="24">
        <f t="shared" si="28"/>
        <v>19.932877419354838</v>
      </c>
      <c r="AG36" s="24">
        <f t="shared" si="29"/>
        <v>933.20395421436001</v>
      </c>
      <c r="AH36" s="24">
        <f t="shared" si="30"/>
        <v>121.78345107180022</v>
      </c>
      <c r="AI36" s="24">
        <f t="shared" si="31"/>
        <v>15.892784088601042</v>
      </c>
      <c r="AJ36" s="24"/>
      <c r="AK36" s="16">
        <f t="shared" si="32"/>
        <v>50</v>
      </c>
      <c r="AL36" s="21">
        <f t="shared" si="33"/>
        <v>5</v>
      </c>
      <c r="AM36" s="22">
        <f t="shared" si="34"/>
        <v>30.548387096774192</v>
      </c>
      <c r="AN36" s="23">
        <f t="shared" si="35"/>
        <v>50</v>
      </c>
      <c r="AO36" s="24">
        <f t="shared" si="36"/>
        <v>25</v>
      </c>
      <c r="AP36" s="24">
        <f t="shared" si="37"/>
        <v>152.74193548387098</v>
      </c>
      <c r="AQ36" s="24">
        <f t="shared" si="38"/>
        <v>250</v>
      </c>
      <c r="AR36" s="24">
        <f t="shared" si="39"/>
        <v>933.20395421436001</v>
      </c>
      <c r="AS36" s="24">
        <f t="shared" si="40"/>
        <v>1527.4193548387095</v>
      </c>
      <c r="AT36" s="24">
        <f t="shared" si="41"/>
        <v>2500</v>
      </c>
      <c r="AU36" s="24"/>
      <c r="AV36" s="16">
        <f t="shared" si="42"/>
        <v>1.5520550757336453</v>
      </c>
      <c r="AX36" s="13">
        <v>312</v>
      </c>
      <c r="AY36" s="13">
        <v>279</v>
      </c>
    </row>
    <row r="37" spans="2:51" ht="15.75" x14ac:dyDescent="0.25">
      <c r="B37" s="13">
        <v>6</v>
      </c>
      <c r="C37" s="13">
        <f t="shared" si="0"/>
        <v>280</v>
      </c>
      <c r="D37" s="14">
        <f t="shared" si="13"/>
        <v>3.6241595307917889</v>
      </c>
      <c r="E37" s="14">
        <f t="shared" si="14"/>
        <v>7.4775686530859211</v>
      </c>
      <c r="F37" s="14">
        <f t="shared" si="1"/>
        <v>7.4775686530859211</v>
      </c>
      <c r="G37" s="14">
        <f t="shared" si="15"/>
        <v>0</v>
      </c>
      <c r="H37" s="14">
        <f t="shared" si="2"/>
        <v>4.9933144928194784</v>
      </c>
      <c r="I37" s="14">
        <f t="shared" si="16"/>
        <v>0.48467084675927824</v>
      </c>
      <c r="J37" s="14">
        <f t="shared" si="17"/>
        <v>10.302485751323745</v>
      </c>
      <c r="K37" s="14">
        <f t="shared" si="18"/>
        <v>0.72580237755972088</v>
      </c>
      <c r="L37" s="14">
        <f t="shared" si="19"/>
        <v>1014.7646686217009</v>
      </c>
      <c r="M37" s="14">
        <f t="shared" si="20"/>
        <v>203.22466571672186</v>
      </c>
      <c r="N37" s="2">
        <f t="shared" si="21"/>
        <v>0.32258064516129031</v>
      </c>
      <c r="O37">
        <f t="shared" si="3"/>
        <v>136</v>
      </c>
      <c r="P37" s="21">
        <f t="shared" si="4"/>
        <v>6</v>
      </c>
      <c r="Q37" s="22">
        <f t="shared" si="5"/>
        <v>29.225806451612904</v>
      </c>
      <c r="R37" s="23">
        <f t="shared" si="22"/>
        <v>50</v>
      </c>
      <c r="S37" s="24">
        <f t="shared" si="6"/>
        <v>36</v>
      </c>
      <c r="T37" s="24">
        <f t="shared" si="7"/>
        <v>175.35483870967744</v>
      </c>
      <c r="U37" s="24">
        <f t="shared" si="8"/>
        <v>300</v>
      </c>
      <c r="V37" s="24">
        <f t="shared" si="9"/>
        <v>854.14776274713847</v>
      </c>
      <c r="W37" s="24">
        <f t="shared" si="10"/>
        <v>1461.2903225806451</v>
      </c>
      <c r="X37" s="24">
        <f t="shared" si="11"/>
        <v>2500</v>
      </c>
      <c r="Z37" s="16">
        <f t="shared" si="23"/>
        <v>7.4775686530859211</v>
      </c>
      <c r="AA37" s="21">
        <f t="shared" si="24"/>
        <v>6</v>
      </c>
      <c r="AB37" s="22">
        <f t="shared" si="25"/>
        <v>29.225806451612904</v>
      </c>
      <c r="AC37" s="23">
        <f t="shared" si="12"/>
        <v>3.6241595307917889</v>
      </c>
      <c r="AD37" s="24">
        <f t="shared" si="26"/>
        <v>36</v>
      </c>
      <c r="AE37" s="24">
        <f t="shared" si="27"/>
        <v>175.35483870967744</v>
      </c>
      <c r="AF37" s="24">
        <f t="shared" si="28"/>
        <v>21.744957184750731</v>
      </c>
      <c r="AG37" s="24">
        <f t="shared" si="29"/>
        <v>854.14776274713847</v>
      </c>
      <c r="AH37" s="24">
        <f t="shared" si="30"/>
        <v>105.91898499668906</v>
      </c>
      <c r="AI37" s="24">
        <f t="shared" si="31"/>
        <v>13.134532304628959</v>
      </c>
      <c r="AJ37" s="24"/>
      <c r="AK37" s="16">
        <f t="shared" si="32"/>
        <v>50</v>
      </c>
      <c r="AL37" s="21">
        <f t="shared" si="33"/>
        <v>6</v>
      </c>
      <c r="AM37" s="22">
        <f t="shared" si="34"/>
        <v>29.225806451612904</v>
      </c>
      <c r="AN37" s="23">
        <f t="shared" si="35"/>
        <v>50</v>
      </c>
      <c r="AO37" s="24">
        <f t="shared" si="36"/>
        <v>36</v>
      </c>
      <c r="AP37" s="24">
        <f t="shared" si="37"/>
        <v>175.35483870967744</v>
      </c>
      <c r="AQ37" s="24">
        <f t="shared" si="38"/>
        <v>300</v>
      </c>
      <c r="AR37" s="24">
        <f t="shared" si="39"/>
        <v>854.14776274713847</v>
      </c>
      <c r="AS37" s="24">
        <f t="shared" si="40"/>
        <v>1461.2903225806451</v>
      </c>
      <c r="AT37" s="24">
        <f t="shared" si="41"/>
        <v>2500</v>
      </c>
      <c r="AU37" s="24"/>
      <c r="AV37" s="16">
        <f t="shared" si="42"/>
        <v>1.4975160614935967</v>
      </c>
      <c r="AX37" s="13">
        <v>280</v>
      </c>
      <c r="AY37" s="13">
        <v>229</v>
      </c>
    </row>
    <row r="38" spans="2:51" ht="15.75" x14ac:dyDescent="0.25">
      <c r="B38" s="13">
        <v>7</v>
      </c>
      <c r="C38" s="13">
        <f t="shared" si="0"/>
        <v>324</v>
      </c>
      <c r="D38" s="14">
        <f t="shared" si="13"/>
        <v>3.2617435777126103</v>
      </c>
      <c r="E38" s="14">
        <f t="shared" si="14"/>
        <v>7.7937578658893125</v>
      </c>
      <c r="F38" s="14">
        <f t="shared" si="1"/>
        <v>7.7937578658893125</v>
      </c>
      <c r="G38" s="14">
        <f t="shared" si="15"/>
        <v>0</v>
      </c>
      <c r="H38" s="14">
        <f t="shared" si="2"/>
        <v>5.4088695245188143</v>
      </c>
      <c r="I38" s="14">
        <f t="shared" si="16"/>
        <v>0.41850717379714575</v>
      </c>
      <c r="J38" s="14">
        <f t="shared" si="17"/>
        <v>12.924197870836363</v>
      </c>
      <c r="K38" s="14">
        <f t="shared" si="18"/>
        <v>0.60303609893469978</v>
      </c>
      <c r="L38" s="14">
        <f t="shared" si="19"/>
        <v>1056.8049191788857</v>
      </c>
      <c r="M38" s="14">
        <f t="shared" si="20"/>
        <v>195.38369605484272</v>
      </c>
      <c r="N38" s="2">
        <f t="shared" si="21"/>
        <v>0.29032258064516131</v>
      </c>
      <c r="O38">
        <f t="shared" si="3"/>
        <v>136</v>
      </c>
      <c r="P38" s="21">
        <f t="shared" si="4"/>
        <v>7</v>
      </c>
      <c r="Q38" s="22">
        <f t="shared" si="5"/>
        <v>27.903225806451616</v>
      </c>
      <c r="R38" s="23">
        <f t="shared" si="22"/>
        <v>50</v>
      </c>
      <c r="S38" s="24">
        <f t="shared" si="6"/>
        <v>49</v>
      </c>
      <c r="T38" s="24">
        <f t="shared" si="7"/>
        <v>195.32258064516131</v>
      </c>
      <c r="U38" s="24">
        <f t="shared" si="8"/>
        <v>350</v>
      </c>
      <c r="V38" s="24">
        <f t="shared" si="9"/>
        <v>778.59001040582746</v>
      </c>
      <c r="W38" s="24">
        <f t="shared" si="10"/>
        <v>1395.1612903225807</v>
      </c>
      <c r="X38" s="24">
        <f t="shared" si="11"/>
        <v>2500</v>
      </c>
      <c r="Z38" s="16">
        <f t="shared" si="23"/>
        <v>7.7937578658893125</v>
      </c>
      <c r="AA38" s="21">
        <f t="shared" si="24"/>
        <v>7</v>
      </c>
      <c r="AB38" s="22">
        <f t="shared" si="25"/>
        <v>27.903225806451616</v>
      </c>
      <c r="AC38" s="23">
        <f t="shared" si="12"/>
        <v>3.2617435777126103</v>
      </c>
      <c r="AD38" s="24">
        <f t="shared" si="26"/>
        <v>49</v>
      </c>
      <c r="AE38" s="24">
        <f t="shared" si="27"/>
        <v>195.32258064516131</v>
      </c>
      <c r="AF38" s="24">
        <f t="shared" si="28"/>
        <v>22.832205043988271</v>
      </c>
      <c r="AG38" s="24">
        <f t="shared" si="29"/>
        <v>778.59001040582746</v>
      </c>
      <c r="AH38" s="24">
        <f t="shared" si="30"/>
        <v>91.013167571658329</v>
      </c>
      <c r="AI38" s="24">
        <f t="shared" si="31"/>
        <v>10.638971166749458</v>
      </c>
      <c r="AJ38" s="24"/>
      <c r="AK38" s="16">
        <f t="shared" si="32"/>
        <v>50</v>
      </c>
      <c r="AL38" s="21">
        <f t="shared" si="33"/>
        <v>7</v>
      </c>
      <c r="AM38" s="22">
        <f t="shared" si="34"/>
        <v>27.903225806451616</v>
      </c>
      <c r="AN38" s="23">
        <f t="shared" si="35"/>
        <v>50</v>
      </c>
      <c r="AO38" s="24">
        <f t="shared" si="36"/>
        <v>49</v>
      </c>
      <c r="AP38" s="24">
        <f t="shared" si="37"/>
        <v>195.32258064516131</v>
      </c>
      <c r="AQ38" s="24">
        <f t="shared" si="38"/>
        <v>350</v>
      </c>
      <c r="AR38" s="24">
        <f t="shared" si="39"/>
        <v>778.59001040582746</v>
      </c>
      <c r="AS38" s="24">
        <f t="shared" si="40"/>
        <v>1395.1612903225807</v>
      </c>
      <c r="AT38" s="24">
        <f t="shared" si="41"/>
        <v>2500</v>
      </c>
      <c r="AU38" s="24"/>
      <c r="AV38" s="16">
        <f t="shared" si="42"/>
        <v>1.440921773128307</v>
      </c>
      <c r="AX38" s="13">
        <v>324</v>
      </c>
      <c r="AY38" s="13">
        <v>269</v>
      </c>
    </row>
    <row r="39" spans="2:51" ht="15.75" x14ac:dyDescent="0.25">
      <c r="B39" s="13">
        <v>8</v>
      </c>
      <c r="C39" s="13">
        <f t="shared" si="0"/>
        <v>334</v>
      </c>
      <c r="D39" s="14">
        <f t="shared" si="13"/>
        <v>2.8993276246334312</v>
      </c>
      <c r="E39" s="14">
        <f t="shared" si="14"/>
        <v>8.1209317035877735</v>
      </c>
      <c r="F39" s="14">
        <f t="shared" si="1"/>
        <v>8.1209317035877735</v>
      </c>
      <c r="G39" s="14">
        <f t="shared" si="15"/>
        <v>0</v>
      </c>
      <c r="H39" s="14">
        <f t="shared" si="2"/>
        <v>5.8750596598052143</v>
      </c>
      <c r="I39" s="14">
        <f t="shared" si="16"/>
        <v>0.35701908727449677</v>
      </c>
      <c r="J39" s="14">
        <f t="shared" si="17"/>
        <v>16.45586992184575</v>
      </c>
      <c r="K39" s="14">
        <f t="shared" si="18"/>
        <v>0.49349756300679976</v>
      </c>
      <c r="L39" s="14">
        <f t="shared" si="19"/>
        <v>968.37542662756607</v>
      </c>
      <c r="M39" s="14">
        <f t="shared" si="20"/>
        <v>164.82818604427112</v>
      </c>
      <c r="N39" s="2">
        <f t="shared" si="21"/>
        <v>0.25806451612903225</v>
      </c>
      <c r="O39">
        <f t="shared" si="3"/>
        <v>119</v>
      </c>
      <c r="P39" s="21">
        <f t="shared" si="4"/>
        <v>8</v>
      </c>
      <c r="Q39" s="22">
        <f t="shared" si="5"/>
        <v>26.58064516129032</v>
      </c>
      <c r="R39" s="23">
        <f t="shared" si="22"/>
        <v>50</v>
      </c>
      <c r="S39" s="24">
        <f t="shared" si="6"/>
        <v>64</v>
      </c>
      <c r="T39" s="24">
        <f t="shared" si="7"/>
        <v>212.64516129032256</v>
      </c>
      <c r="U39" s="24">
        <f t="shared" si="8"/>
        <v>400</v>
      </c>
      <c r="V39" s="24">
        <f t="shared" si="9"/>
        <v>706.53069719042651</v>
      </c>
      <c r="W39" s="24">
        <f t="shared" si="10"/>
        <v>1329.0322580645161</v>
      </c>
      <c r="X39" s="24">
        <f t="shared" si="11"/>
        <v>2500</v>
      </c>
      <c r="Z39" s="16">
        <f t="shared" si="23"/>
        <v>8.1209317035877735</v>
      </c>
      <c r="AA39" s="21">
        <f t="shared" si="24"/>
        <v>8</v>
      </c>
      <c r="AB39" s="22">
        <f t="shared" si="25"/>
        <v>26.58064516129032</v>
      </c>
      <c r="AC39" s="23">
        <f t="shared" si="12"/>
        <v>2.8993276246334312</v>
      </c>
      <c r="AD39" s="24">
        <f t="shared" si="26"/>
        <v>64</v>
      </c>
      <c r="AE39" s="24">
        <f t="shared" si="27"/>
        <v>212.64516129032256</v>
      </c>
      <c r="AF39" s="24">
        <f t="shared" si="28"/>
        <v>23.19462099706745</v>
      </c>
      <c r="AG39" s="24">
        <f t="shared" si="29"/>
        <v>706.53069719042651</v>
      </c>
      <c r="AH39" s="24">
        <f t="shared" si="30"/>
        <v>77.065998796707973</v>
      </c>
      <c r="AI39" s="24">
        <f t="shared" si="31"/>
        <v>8.4061006749625342</v>
      </c>
      <c r="AJ39" s="24"/>
      <c r="AK39" s="16">
        <f t="shared" si="32"/>
        <v>50</v>
      </c>
      <c r="AL39" s="21">
        <f t="shared" si="33"/>
        <v>8</v>
      </c>
      <c r="AM39" s="22">
        <f t="shared" si="34"/>
        <v>26.58064516129032</v>
      </c>
      <c r="AN39" s="23">
        <f t="shared" si="35"/>
        <v>50</v>
      </c>
      <c r="AO39" s="24">
        <f t="shared" si="36"/>
        <v>64</v>
      </c>
      <c r="AP39" s="24">
        <f t="shared" si="37"/>
        <v>212.64516129032256</v>
      </c>
      <c r="AQ39" s="24">
        <f t="shared" si="38"/>
        <v>400</v>
      </c>
      <c r="AR39" s="24">
        <f t="shared" si="39"/>
        <v>706.53069719042651</v>
      </c>
      <c r="AS39" s="24">
        <f t="shared" si="40"/>
        <v>1329.0322580645161</v>
      </c>
      <c r="AT39" s="24">
        <f t="shared" si="41"/>
        <v>2500</v>
      </c>
      <c r="AU39" s="24"/>
      <c r="AV39" s="16">
        <f t="shared" si="42"/>
        <v>1.3822722106377761</v>
      </c>
      <c r="AX39" s="13">
        <v>334</v>
      </c>
      <c r="AY39" s="13">
        <v>233</v>
      </c>
    </row>
    <row r="40" spans="2:51" ht="15.75" x14ac:dyDescent="0.25">
      <c r="B40" s="13">
        <v>9</v>
      </c>
      <c r="C40" s="13">
        <f t="shared" si="0"/>
        <v>387</v>
      </c>
      <c r="D40" s="14">
        <f t="shared" si="13"/>
        <v>2.5369116715542521</v>
      </c>
      <c r="E40" s="14">
        <f t="shared" si="14"/>
        <v>8.4590901661813049</v>
      </c>
      <c r="F40" s="14">
        <f t="shared" si="1"/>
        <v>8.4590901661813049</v>
      </c>
      <c r="G40" s="14">
        <f t="shared" si="15"/>
        <v>0</v>
      </c>
      <c r="H40" s="14">
        <f t="shared" si="2"/>
        <v>6.4008013003811204</v>
      </c>
      <c r="I40" s="14">
        <f t="shared" si="16"/>
        <v>0.29990360921988996</v>
      </c>
      <c r="J40" s="14">
        <f t="shared" si="17"/>
        <v>21.342861851615929</v>
      </c>
      <c r="K40" s="14">
        <f t="shared" si="18"/>
        <v>0.39634282529645121</v>
      </c>
      <c r="L40" s="14">
        <f t="shared" si="19"/>
        <v>981.78481689149555</v>
      </c>
      <c r="M40" s="14">
        <f t="shared" si="20"/>
        <v>153.38467338972663</v>
      </c>
      <c r="N40" s="2">
        <f t="shared" si="21"/>
        <v>0.22580645161290322</v>
      </c>
      <c r="O40">
        <f t="shared" si="3"/>
        <v>116</v>
      </c>
      <c r="P40" s="21">
        <f t="shared" si="4"/>
        <v>9</v>
      </c>
      <c r="Q40" s="22">
        <f t="shared" si="5"/>
        <v>25.258064516129032</v>
      </c>
      <c r="R40" s="23">
        <f t="shared" si="22"/>
        <v>50</v>
      </c>
      <c r="S40" s="24">
        <f t="shared" si="6"/>
        <v>81</v>
      </c>
      <c r="T40" s="24">
        <f t="shared" si="7"/>
        <v>227.32258064516128</v>
      </c>
      <c r="U40" s="24">
        <f t="shared" si="8"/>
        <v>450</v>
      </c>
      <c r="V40" s="24">
        <f t="shared" si="9"/>
        <v>637.96982310093654</v>
      </c>
      <c r="W40" s="24">
        <f t="shared" si="10"/>
        <v>1262.9032258064517</v>
      </c>
      <c r="X40" s="24">
        <f t="shared" si="11"/>
        <v>2500</v>
      </c>
      <c r="Z40" s="16">
        <f t="shared" si="23"/>
        <v>8.4590901661813049</v>
      </c>
      <c r="AA40" s="21">
        <f t="shared" si="24"/>
        <v>9</v>
      </c>
      <c r="AB40" s="22">
        <f t="shared" si="25"/>
        <v>25.258064516129032</v>
      </c>
      <c r="AC40" s="23">
        <f t="shared" si="12"/>
        <v>2.5369116715542521</v>
      </c>
      <c r="AD40" s="24">
        <f t="shared" si="26"/>
        <v>81</v>
      </c>
      <c r="AE40" s="24">
        <f t="shared" si="27"/>
        <v>227.32258064516128</v>
      </c>
      <c r="AF40" s="24">
        <f t="shared" si="28"/>
        <v>22.832205043988267</v>
      </c>
      <c r="AG40" s="24">
        <f t="shared" si="29"/>
        <v>637.96982310093654</v>
      </c>
      <c r="AH40" s="24">
        <f t="shared" si="30"/>
        <v>64.077478671838051</v>
      </c>
      <c r="AI40" s="24">
        <f t="shared" si="31"/>
        <v>6.4359208292681895</v>
      </c>
      <c r="AJ40" s="24"/>
      <c r="AK40" s="16">
        <f t="shared" si="32"/>
        <v>50</v>
      </c>
      <c r="AL40" s="21">
        <f t="shared" si="33"/>
        <v>9</v>
      </c>
      <c r="AM40" s="22">
        <f t="shared" si="34"/>
        <v>25.258064516129032</v>
      </c>
      <c r="AN40" s="23">
        <f t="shared" si="35"/>
        <v>50</v>
      </c>
      <c r="AO40" s="24">
        <f t="shared" si="36"/>
        <v>81</v>
      </c>
      <c r="AP40" s="24">
        <f t="shared" si="37"/>
        <v>227.32258064516128</v>
      </c>
      <c r="AQ40" s="24">
        <f t="shared" si="38"/>
        <v>450</v>
      </c>
      <c r="AR40" s="24">
        <f t="shared" si="39"/>
        <v>637.96982310093654</v>
      </c>
      <c r="AS40" s="24">
        <f t="shared" si="40"/>
        <v>1262.9032258064517</v>
      </c>
      <c r="AT40" s="24">
        <f t="shared" si="41"/>
        <v>2500</v>
      </c>
      <c r="AU40" s="24"/>
      <c r="AV40" s="16">
        <f t="shared" si="42"/>
        <v>1.321567374022004</v>
      </c>
      <c r="AX40" s="13">
        <v>387</v>
      </c>
      <c r="AY40" s="13">
        <v>230</v>
      </c>
    </row>
    <row r="41" spans="2:51" ht="15.75" x14ac:dyDescent="0.25">
      <c r="B41" s="13">
        <v>10</v>
      </c>
      <c r="C41" s="13">
        <f t="shared" si="0"/>
        <v>341</v>
      </c>
      <c r="D41" s="14">
        <f t="shared" si="13"/>
        <v>2.1744957184750735</v>
      </c>
      <c r="E41" s="14">
        <f t="shared" si="14"/>
        <v>8.7769586463920835</v>
      </c>
      <c r="F41" s="14">
        <f t="shared" si="1"/>
        <v>8.7769586463920835</v>
      </c>
      <c r="G41" s="14">
        <f t="shared" si="15"/>
        <v>0</v>
      </c>
      <c r="H41" s="14">
        <f t="shared" si="2"/>
        <v>6.7876237157104304</v>
      </c>
      <c r="I41" s="14">
        <f t="shared" si="16"/>
        <v>0.24775048010154824</v>
      </c>
      <c r="J41" s="14">
        <f t="shared" si="17"/>
        <v>27.39701538793512</v>
      </c>
      <c r="K41" s="14">
        <f t="shared" si="18"/>
        <v>0.32036185409660395</v>
      </c>
      <c r="L41" s="14">
        <f t="shared" si="19"/>
        <v>741.50304000000006</v>
      </c>
      <c r="M41" s="14">
        <f t="shared" si="20"/>
        <v>109.24339224694195</v>
      </c>
      <c r="N41" s="2">
        <f t="shared" si="21"/>
        <v>0.19354838709677419</v>
      </c>
      <c r="O41">
        <f t="shared" si="3"/>
        <v>84</v>
      </c>
      <c r="P41" s="21">
        <f t="shared" si="4"/>
        <v>10</v>
      </c>
      <c r="Q41" s="22">
        <f t="shared" si="5"/>
        <v>25</v>
      </c>
      <c r="R41" s="23">
        <f t="shared" si="22"/>
        <v>50</v>
      </c>
      <c r="S41" s="24">
        <f t="shared" si="6"/>
        <v>100</v>
      </c>
      <c r="T41" s="24">
        <f t="shared" si="7"/>
        <v>250</v>
      </c>
      <c r="U41" s="24">
        <f t="shared" si="8"/>
        <v>500</v>
      </c>
      <c r="V41" s="24">
        <f t="shared" si="9"/>
        <v>625</v>
      </c>
      <c r="W41" s="24">
        <f t="shared" si="10"/>
        <v>1250</v>
      </c>
      <c r="X41" s="24">
        <f t="shared" si="11"/>
        <v>2500</v>
      </c>
      <c r="Z41" s="16">
        <f t="shared" si="23"/>
        <v>8.7769586463920835</v>
      </c>
      <c r="AA41" s="21">
        <f t="shared" si="24"/>
        <v>10</v>
      </c>
      <c r="AB41" s="22">
        <f t="shared" si="25"/>
        <v>25</v>
      </c>
      <c r="AC41" s="23">
        <f t="shared" si="12"/>
        <v>2.1744957184750735</v>
      </c>
      <c r="AD41" s="24">
        <f t="shared" si="26"/>
        <v>100</v>
      </c>
      <c r="AE41" s="24">
        <f t="shared" si="27"/>
        <v>250</v>
      </c>
      <c r="AF41" s="24">
        <f t="shared" si="28"/>
        <v>21.744957184750735</v>
      </c>
      <c r="AG41" s="24">
        <f t="shared" si="29"/>
        <v>625</v>
      </c>
      <c r="AH41" s="24">
        <f t="shared" si="30"/>
        <v>54.362392961876836</v>
      </c>
      <c r="AI41" s="24">
        <f t="shared" si="31"/>
        <v>4.7284316296664262</v>
      </c>
      <c r="AJ41" s="24"/>
      <c r="AK41" s="16">
        <f t="shared" si="32"/>
        <v>50</v>
      </c>
      <c r="AL41" s="21">
        <f t="shared" si="33"/>
        <v>10</v>
      </c>
      <c r="AM41" s="22">
        <f t="shared" si="34"/>
        <v>25</v>
      </c>
      <c r="AN41" s="23">
        <f t="shared" si="35"/>
        <v>50</v>
      </c>
      <c r="AO41" s="24">
        <f t="shared" si="36"/>
        <v>100</v>
      </c>
      <c r="AP41" s="24">
        <f t="shared" si="37"/>
        <v>250</v>
      </c>
      <c r="AQ41" s="24">
        <f t="shared" si="38"/>
        <v>500</v>
      </c>
      <c r="AR41" s="24">
        <f t="shared" si="39"/>
        <v>625</v>
      </c>
      <c r="AS41" s="24">
        <f t="shared" si="40"/>
        <v>1250</v>
      </c>
      <c r="AT41" s="24">
        <f t="shared" si="41"/>
        <v>2500</v>
      </c>
      <c r="AU41" s="24"/>
      <c r="AV41" s="16">
        <f t="shared" si="42"/>
        <v>1.2930826772375725</v>
      </c>
      <c r="AX41" s="13">
        <v>341</v>
      </c>
      <c r="AY41" s="13">
        <v>243</v>
      </c>
    </row>
    <row r="42" spans="2:51" ht="15.75" x14ac:dyDescent="0.25">
      <c r="B42" s="13">
        <v>11</v>
      </c>
      <c r="C42" s="13">
        <f t="shared" si="0"/>
        <v>408</v>
      </c>
      <c r="D42" s="14">
        <f t="shared" si="13"/>
        <v>1.8120797653958944</v>
      </c>
      <c r="E42" s="14">
        <f t="shared" si="14"/>
        <v>9.0965753680329531</v>
      </c>
      <c r="F42" s="14">
        <f t="shared" si="1"/>
        <v>9.0965753680329531</v>
      </c>
      <c r="G42" s="14">
        <f t="shared" si="15"/>
        <v>0</v>
      </c>
      <c r="H42" s="14">
        <f t="shared" si="2"/>
        <v>7.1553854869648195</v>
      </c>
      <c r="I42" s="14">
        <f t="shared" si="16"/>
        <v>0.19920461185468519</v>
      </c>
      <c r="J42" s="14">
        <f t="shared" si="17"/>
        <v>35.919778263891274</v>
      </c>
      <c r="K42" s="14">
        <f t="shared" si="18"/>
        <v>0.25324698001205032</v>
      </c>
      <c r="L42" s="14">
        <f t="shared" si="19"/>
        <v>739.32854428152496</v>
      </c>
      <c r="M42" s="14">
        <f t="shared" si="20"/>
        <v>103.32476784491652</v>
      </c>
      <c r="N42" s="2">
        <f t="shared" si="21"/>
        <v>0.16129032258064516</v>
      </c>
      <c r="O42">
        <f t="shared" si="3"/>
        <v>81</v>
      </c>
      <c r="P42" s="21">
        <f t="shared" si="4"/>
        <v>11</v>
      </c>
      <c r="Q42" s="22">
        <f t="shared" si="5"/>
        <v>25</v>
      </c>
      <c r="R42" s="23">
        <f t="shared" si="22"/>
        <v>50</v>
      </c>
      <c r="S42" s="24">
        <f t="shared" si="6"/>
        <v>121</v>
      </c>
      <c r="T42" s="24">
        <f t="shared" si="7"/>
        <v>275</v>
      </c>
      <c r="U42" s="24">
        <f t="shared" si="8"/>
        <v>550</v>
      </c>
      <c r="V42" s="24">
        <f t="shared" si="9"/>
        <v>625</v>
      </c>
      <c r="W42" s="24">
        <f t="shared" si="10"/>
        <v>1250</v>
      </c>
      <c r="X42" s="24">
        <f t="shared" si="11"/>
        <v>2500</v>
      </c>
      <c r="Z42" s="16">
        <f t="shared" si="23"/>
        <v>9.0965753680329531</v>
      </c>
      <c r="AA42" s="21">
        <f t="shared" si="24"/>
        <v>11</v>
      </c>
      <c r="AB42" s="22">
        <f t="shared" si="25"/>
        <v>25</v>
      </c>
      <c r="AC42" s="23">
        <f t="shared" si="12"/>
        <v>1.8120797653958944</v>
      </c>
      <c r="AD42" s="24">
        <f t="shared" si="26"/>
        <v>121</v>
      </c>
      <c r="AE42" s="24">
        <f t="shared" si="27"/>
        <v>275</v>
      </c>
      <c r="AF42" s="24">
        <f t="shared" si="28"/>
        <v>19.932877419354838</v>
      </c>
      <c r="AG42" s="24">
        <f t="shared" si="29"/>
        <v>625</v>
      </c>
      <c r="AH42" s="24">
        <f t="shared" si="30"/>
        <v>45.301994134897363</v>
      </c>
      <c r="AI42" s="24">
        <f t="shared" si="31"/>
        <v>3.2836330761572396</v>
      </c>
      <c r="AJ42" s="24"/>
      <c r="AK42" s="16">
        <f t="shared" si="32"/>
        <v>50</v>
      </c>
      <c r="AL42" s="21">
        <f t="shared" si="33"/>
        <v>11</v>
      </c>
      <c r="AM42" s="22">
        <f t="shared" si="34"/>
        <v>25</v>
      </c>
      <c r="AN42" s="23">
        <f t="shared" si="35"/>
        <v>50</v>
      </c>
      <c r="AO42" s="24">
        <f t="shared" si="36"/>
        <v>121</v>
      </c>
      <c r="AP42" s="24">
        <f t="shared" si="37"/>
        <v>275</v>
      </c>
      <c r="AQ42" s="24">
        <f t="shared" si="38"/>
        <v>550</v>
      </c>
      <c r="AR42" s="24">
        <f t="shared" si="39"/>
        <v>625</v>
      </c>
      <c r="AS42" s="24">
        <f t="shared" si="40"/>
        <v>1250</v>
      </c>
      <c r="AT42" s="24">
        <f t="shared" si="41"/>
        <v>2500</v>
      </c>
      <c r="AU42" s="24"/>
      <c r="AV42" s="16">
        <f t="shared" si="42"/>
        <v>1.2712907480113347</v>
      </c>
      <c r="AX42" s="13">
        <v>408</v>
      </c>
      <c r="AY42" s="13">
        <v>191</v>
      </c>
    </row>
    <row r="43" spans="2:51" ht="15.75" x14ac:dyDescent="0.25">
      <c r="B43" s="13">
        <v>12</v>
      </c>
      <c r="C43" s="13">
        <f t="shared" si="0"/>
        <v>376</v>
      </c>
      <c r="D43" s="14">
        <f t="shared" si="13"/>
        <v>1.4496638123167156</v>
      </c>
      <c r="E43" s="14">
        <f t="shared" si="14"/>
        <v>9.4253431718653768</v>
      </c>
      <c r="F43" s="14">
        <f t="shared" si="1"/>
        <v>9.4253431718653768</v>
      </c>
      <c r="G43" s="14">
        <f t="shared" si="15"/>
        <v>0</v>
      </c>
      <c r="H43" s="14">
        <f t="shared" si="2"/>
        <v>7.5527829226179808</v>
      </c>
      <c r="I43" s="14">
        <f t="shared" si="16"/>
        <v>0.15380488390533706</v>
      </c>
      <c r="J43" s="14">
        <f t="shared" si="17"/>
        <v>49.106261978433167</v>
      </c>
      <c r="K43" s="14">
        <f t="shared" si="18"/>
        <v>0.19193770391248402</v>
      </c>
      <c r="L43" s="14">
        <f t="shared" si="19"/>
        <v>545.0735934310851</v>
      </c>
      <c r="M43" s="14">
        <f t="shared" si="20"/>
        <v>72.168576671093987</v>
      </c>
      <c r="N43" s="2">
        <f t="shared" si="21"/>
        <v>0.12903225806451613</v>
      </c>
      <c r="O43">
        <f t="shared" si="3"/>
        <v>58</v>
      </c>
      <c r="P43" s="21">
        <f t="shared" si="4"/>
        <v>12</v>
      </c>
      <c r="Q43" s="22">
        <f t="shared" si="5"/>
        <v>25</v>
      </c>
      <c r="R43" s="23">
        <f t="shared" si="22"/>
        <v>50</v>
      </c>
      <c r="S43" s="24">
        <f t="shared" si="6"/>
        <v>144</v>
      </c>
      <c r="T43" s="24">
        <f t="shared" si="7"/>
        <v>300</v>
      </c>
      <c r="U43" s="24">
        <f t="shared" si="8"/>
        <v>600</v>
      </c>
      <c r="V43" s="24">
        <f t="shared" si="9"/>
        <v>625</v>
      </c>
      <c r="W43" s="24">
        <f t="shared" si="10"/>
        <v>1250</v>
      </c>
      <c r="X43" s="24">
        <f t="shared" si="11"/>
        <v>2500</v>
      </c>
      <c r="Z43" s="16">
        <f t="shared" si="23"/>
        <v>9.4253431718653768</v>
      </c>
      <c r="AA43" s="21">
        <f t="shared" si="24"/>
        <v>12</v>
      </c>
      <c r="AB43" s="22">
        <f t="shared" si="25"/>
        <v>25</v>
      </c>
      <c r="AC43" s="23">
        <f t="shared" si="12"/>
        <v>1.4496638123167156</v>
      </c>
      <c r="AD43" s="24">
        <f t="shared" si="26"/>
        <v>144</v>
      </c>
      <c r="AE43" s="24">
        <f t="shared" si="27"/>
        <v>300</v>
      </c>
      <c r="AF43" s="24">
        <f t="shared" si="28"/>
        <v>17.395965747800588</v>
      </c>
      <c r="AG43" s="24">
        <f t="shared" si="29"/>
        <v>625</v>
      </c>
      <c r="AH43" s="24">
        <f t="shared" si="30"/>
        <v>36.241595307917891</v>
      </c>
      <c r="AI43" s="24">
        <f t="shared" si="31"/>
        <v>2.1015251687406336</v>
      </c>
      <c r="AJ43" s="24"/>
      <c r="AK43" s="16">
        <f t="shared" si="32"/>
        <v>50</v>
      </c>
      <c r="AL43" s="21">
        <f t="shared" si="33"/>
        <v>12</v>
      </c>
      <c r="AM43" s="22">
        <f t="shared" si="34"/>
        <v>25</v>
      </c>
      <c r="AN43" s="23">
        <f t="shared" si="35"/>
        <v>50</v>
      </c>
      <c r="AO43" s="24">
        <f t="shared" si="36"/>
        <v>144</v>
      </c>
      <c r="AP43" s="24">
        <f t="shared" si="37"/>
        <v>300</v>
      </c>
      <c r="AQ43" s="24">
        <f t="shared" si="38"/>
        <v>600</v>
      </c>
      <c r="AR43" s="24">
        <f t="shared" si="39"/>
        <v>625</v>
      </c>
      <c r="AS43" s="24">
        <f t="shared" si="40"/>
        <v>1250</v>
      </c>
      <c r="AT43" s="24">
        <f t="shared" si="41"/>
        <v>2500</v>
      </c>
      <c r="AU43" s="24"/>
      <c r="AV43" s="16">
        <f t="shared" si="42"/>
        <v>1.2479298383698707</v>
      </c>
      <c r="AX43" s="13">
        <v>376</v>
      </c>
      <c r="AY43" s="13">
        <v>146</v>
      </c>
    </row>
    <row r="44" spans="2:51" ht="15.75" x14ac:dyDescent="0.25">
      <c r="B44" s="13">
        <v>13</v>
      </c>
      <c r="C44" s="13">
        <f t="shared" si="0"/>
        <v>322</v>
      </c>
      <c r="D44" s="14">
        <f t="shared" si="13"/>
        <v>1.0872478592375368</v>
      </c>
      <c r="E44" s="14">
        <f t="shared" si="14"/>
        <v>9.7632620578893565</v>
      </c>
      <c r="F44" s="14">
        <f t="shared" si="1"/>
        <v>9.7632620578893565</v>
      </c>
      <c r="G44" s="14">
        <f t="shared" si="15"/>
        <v>0</v>
      </c>
      <c r="H44" s="14">
        <f t="shared" si="2"/>
        <v>7.9830437207747309</v>
      </c>
      <c r="I44" s="14">
        <f t="shared" si="16"/>
        <v>0.11136112631115633</v>
      </c>
      <c r="J44" s="14">
        <f t="shared" si="17"/>
        <v>71.686089977836161</v>
      </c>
      <c r="K44" s="14">
        <f t="shared" si="18"/>
        <v>0.13619465172264178</v>
      </c>
      <c r="L44" s="14">
        <f t="shared" si="19"/>
        <v>350.09381067448686</v>
      </c>
      <c r="M44" s="14">
        <f t="shared" si="20"/>
        <v>43.854677854690649</v>
      </c>
      <c r="N44" s="2">
        <f t="shared" si="21"/>
        <v>9.6774193548387094E-2</v>
      </c>
      <c r="O44">
        <f t="shared" si="3"/>
        <v>36</v>
      </c>
      <c r="P44" s="21">
        <f t="shared" si="4"/>
        <v>13</v>
      </c>
      <c r="Q44" s="22">
        <f t="shared" si="5"/>
        <v>25</v>
      </c>
      <c r="R44" s="23">
        <f t="shared" si="22"/>
        <v>50</v>
      </c>
      <c r="S44" s="24">
        <f t="shared" si="6"/>
        <v>169</v>
      </c>
      <c r="T44" s="24">
        <f t="shared" si="7"/>
        <v>325</v>
      </c>
      <c r="U44" s="24">
        <f t="shared" si="8"/>
        <v>650</v>
      </c>
      <c r="V44" s="24">
        <f t="shared" si="9"/>
        <v>625</v>
      </c>
      <c r="W44" s="24">
        <f t="shared" si="10"/>
        <v>1250</v>
      </c>
      <c r="X44" s="24">
        <f t="shared" si="11"/>
        <v>2500</v>
      </c>
      <c r="Z44" s="16">
        <f t="shared" si="23"/>
        <v>9.7632620578893565</v>
      </c>
      <c r="AA44" s="21">
        <f t="shared" si="24"/>
        <v>13</v>
      </c>
      <c r="AB44" s="22">
        <f t="shared" si="25"/>
        <v>25</v>
      </c>
      <c r="AC44" s="23">
        <f t="shared" si="12"/>
        <v>1.0872478592375368</v>
      </c>
      <c r="AD44" s="24">
        <f t="shared" si="26"/>
        <v>169</v>
      </c>
      <c r="AE44" s="24">
        <f t="shared" si="27"/>
        <v>325</v>
      </c>
      <c r="AF44" s="24">
        <f t="shared" si="28"/>
        <v>14.134222170087977</v>
      </c>
      <c r="AG44" s="24">
        <f t="shared" si="29"/>
        <v>625</v>
      </c>
      <c r="AH44" s="24">
        <f t="shared" si="30"/>
        <v>27.181196480938418</v>
      </c>
      <c r="AI44" s="24">
        <f t="shared" si="31"/>
        <v>1.1821079074166065</v>
      </c>
      <c r="AJ44" s="24"/>
      <c r="AK44" s="16">
        <f t="shared" si="32"/>
        <v>50</v>
      </c>
      <c r="AL44" s="21">
        <f t="shared" si="33"/>
        <v>13</v>
      </c>
      <c r="AM44" s="22">
        <f t="shared" si="34"/>
        <v>25</v>
      </c>
      <c r="AN44" s="23">
        <f t="shared" si="35"/>
        <v>50</v>
      </c>
      <c r="AO44" s="24">
        <f t="shared" si="36"/>
        <v>169</v>
      </c>
      <c r="AP44" s="24">
        <f t="shared" si="37"/>
        <v>325</v>
      </c>
      <c r="AQ44" s="24">
        <f t="shared" si="38"/>
        <v>650</v>
      </c>
      <c r="AR44" s="24">
        <f t="shared" si="39"/>
        <v>625</v>
      </c>
      <c r="AS44" s="24">
        <f t="shared" si="40"/>
        <v>1250</v>
      </c>
      <c r="AT44" s="24">
        <f t="shared" si="41"/>
        <v>2500</v>
      </c>
      <c r="AU44" s="24"/>
      <c r="AV44" s="16">
        <f t="shared" si="42"/>
        <v>1.2229999483131806</v>
      </c>
      <c r="AX44" s="13">
        <v>322</v>
      </c>
      <c r="AY44" s="13">
        <v>150</v>
      </c>
    </row>
    <row r="45" spans="2:51" ht="15.75" x14ac:dyDescent="0.25">
      <c r="B45" s="13">
        <v>14</v>
      </c>
      <c r="C45" s="13">
        <f t="shared" si="0"/>
        <v>326</v>
      </c>
      <c r="D45" s="14">
        <f t="shared" si="13"/>
        <v>0.7248319061583578</v>
      </c>
      <c r="E45" s="14">
        <f t="shared" si="14"/>
        <v>10.11033202610489</v>
      </c>
      <c r="F45" s="14">
        <f t="shared" si="1"/>
        <v>10.11033202610489</v>
      </c>
      <c r="G45" s="14">
        <f t="shared" si="15"/>
        <v>0</v>
      </c>
      <c r="H45" s="14">
        <f t="shared" si="2"/>
        <v>8.4499146831911141</v>
      </c>
      <c r="I45" s="14">
        <f t="shared" si="16"/>
        <v>7.1692196090775345E-2</v>
      </c>
      <c r="J45" s="14">
        <f t="shared" si="17"/>
        <v>117.86380030110929</v>
      </c>
      <c r="K45" s="14">
        <f t="shared" si="18"/>
        <v>8.5779789895419956E-2</v>
      </c>
      <c r="L45" s="14">
        <f t="shared" si="19"/>
        <v>236.29520140762463</v>
      </c>
      <c r="M45" s="14">
        <f t="shared" si="20"/>
        <v>27.964211505906906</v>
      </c>
      <c r="N45" s="2">
        <f t="shared" si="21"/>
        <v>6.4516129032258063E-2</v>
      </c>
      <c r="O45">
        <f t="shared" si="3"/>
        <v>23</v>
      </c>
      <c r="P45" s="21">
        <f t="shared" si="4"/>
        <v>14</v>
      </c>
      <c r="Q45" s="22">
        <f t="shared" si="5"/>
        <v>25</v>
      </c>
      <c r="R45" s="23">
        <f t="shared" si="22"/>
        <v>50</v>
      </c>
      <c r="S45" s="24">
        <f t="shared" si="6"/>
        <v>196</v>
      </c>
      <c r="T45" s="24">
        <f t="shared" si="7"/>
        <v>350</v>
      </c>
      <c r="U45" s="24">
        <f t="shared" si="8"/>
        <v>700</v>
      </c>
      <c r="V45" s="24">
        <f t="shared" si="9"/>
        <v>625</v>
      </c>
      <c r="W45" s="24">
        <f t="shared" si="10"/>
        <v>1250</v>
      </c>
      <c r="X45" s="24">
        <f t="shared" si="11"/>
        <v>2500</v>
      </c>
      <c r="Z45" s="16">
        <f t="shared" si="23"/>
        <v>10.11033202610489</v>
      </c>
      <c r="AA45" s="21">
        <f t="shared" si="24"/>
        <v>14</v>
      </c>
      <c r="AB45" s="22">
        <f t="shared" si="25"/>
        <v>25</v>
      </c>
      <c r="AC45" s="23">
        <f t="shared" si="12"/>
        <v>0.7248319061583578</v>
      </c>
      <c r="AD45" s="24">
        <f t="shared" si="26"/>
        <v>196</v>
      </c>
      <c r="AE45" s="24">
        <f t="shared" si="27"/>
        <v>350</v>
      </c>
      <c r="AF45" s="24">
        <f t="shared" si="28"/>
        <v>10.147646686217008</v>
      </c>
      <c r="AG45" s="24">
        <f t="shared" si="29"/>
        <v>625</v>
      </c>
      <c r="AH45" s="24">
        <f t="shared" si="30"/>
        <v>18.120797653958945</v>
      </c>
      <c r="AI45" s="24">
        <f t="shared" si="31"/>
        <v>0.52538129218515839</v>
      </c>
      <c r="AJ45" s="24"/>
      <c r="AK45" s="16">
        <f t="shared" si="32"/>
        <v>50</v>
      </c>
      <c r="AL45" s="21">
        <f t="shared" si="33"/>
        <v>14</v>
      </c>
      <c r="AM45" s="22">
        <f t="shared" si="34"/>
        <v>25</v>
      </c>
      <c r="AN45" s="23">
        <f t="shared" si="35"/>
        <v>50</v>
      </c>
      <c r="AO45" s="24">
        <f t="shared" si="36"/>
        <v>196</v>
      </c>
      <c r="AP45" s="24">
        <f t="shared" si="37"/>
        <v>350</v>
      </c>
      <c r="AQ45" s="24">
        <f t="shared" si="38"/>
        <v>700</v>
      </c>
      <c r="AR45" s="24">
        <f t="shared" si="39"/>
        <v>625</v>
      </c>
      <c r="AS45" s="24">
        <f t="shared" si="40"/>
        <v>1250</v>
      </c>
      <c r="AT45" s="24">
        <f t="shared" si="41"/>
        <v>2500</v>
      </c>
      <c r="AU45" s="24"/>
      <c r="AV45" s="16">
        <f t="shared" si="42"/>
        <v>1.1965010778412639</v>
      </c>
      <c r="AX45" s="13">
        <v>326</v>
      </c>
      <c r="AY45" s="13">
        <v>97</v>
      </c>
    </row>
    <row r="46" spans="2:51" ht="16.5" thickBot="1" x14ac:dyDescent="0.3">
      <c r="B46" s="13">
        <v>15</v>
      </c>
      <c r="C46" s="13">
        <f t="shared" si="0"/>
        <v>320</v>
      </c>
      <c r="D46" s="14">
        <f t="shared" si="13"/>
        <v>0.3624159530791789</v>
      </c>
      <c r="E46" s="14">
        <f t="shared" si="14"/>
        <v>10.466553076511982</v>
      </c>
      <c r="F46" s="14">
        <f t="shared" si="1"/>
        <v>10.466553076511982</v>
      </c>
      <c r="G46" s="14">
        <f t="shared" si="15"/>
        <v>0</v>
      </c>
      <c r="H46" s="14">
        <f t="shared" si="2"/>
        <v>8.9577674060127972</v>
      </c>
      <c r="I46" s="14">
        <f t="shared" si="16"/>
        <v>3.462610378315259E-2</v>
      </c>
      <c r="J46" s="14">
        <f t="shared" si="17"/>
        <v>258.699837039454</v>
      </c>
      <c r="K46" s="14">
        <f t="shared" si="18"/>
        <v>4.0458290180197296E-2</v>
      </c>
      <c r="L46" s="14">
        <f t="shared" si="19"/>
        <v>115.97310498533724</v>
      </c>
      <c r="M46" s="14">
        <f t="shared" si="20"/>
        <v>12.946652857663135</v>
      </c>
      <c r="N46" s="2">
        <f t="shared" si="21"/>
        <v>3.2258064516129031E-2</v>
      </c>
      <c r="O46">
        <f t="shared" si="3"/>
        <v>11</v>
      </c>
      <c r="P46" s="25">
        <f t="shared" si="4"/>
        <v>15</v>
      </c>
      <c r="Q46" s="26">
        <f t="shared" si="5"/>
        <v>25</v>
      </c>
      <c r="R46" s="28">
        <f t="shared" si="22"/>
        <v>50</v>
      </c>
      <c r="S46" s="29">
        <f t="shared" si="6"/>
        <v>225</v>
      </c>
      <c r="T46" s="29">
        <f t="shared" si="7"/>
        <v>375</v>
      </c>
      <c r="U46" s="29">
        <f t="shared" si="8"/>
        <v>750</v>
      </c>
      <c r="V46" s="29">
        <f t="shared" si="9"/>
        <v>625</v>
      </c>
      <c r="W46" s="29">
        <f t="shared" si="10"/>
        <v>1250</v>
      </c>
      <c r="X46" s="29">
        <f t="shared" si="11"/>
        <v>2500</v>
      </c>
      <c r="Y46" s="27"/>
      <c r="Z46" s="30">
        <f t="shared" si="23"/>
        <v>10.466553076511982</v>
      </c>
      <c r="AA46" s="25">
        <f t="shared" si="24"/>
        <v>15</v>
      </c>
      <c r="AB46" s="26">
        <f t="shared" si="25"/>
        <v>25</v>
      </c>
      <c r="AC46" s="28">
        <f t="shared" si="12"/>
        <v>0.3624159530791789</v>
      </c>
      <c r="AD46" s="29">
        <f t="shared" si="26"/>
        <v>225</v>
      </c>
      <c r="AE46" s="29">
        <f t="shared" si="27"/>
        <v>375</v>
      </c>
      <c r="AF46" s="29">
        <f t="shared" si="28"/>
        <v>5.4362392961876838</v>
      </c>
      <c r="AG46" s="29">
        <f t="shared" si="29"/>
        <v>625</v>
      </c>
      <c r="AH46" s="29">
        <f t="shared" si="30"/>
        <v>9.0603988269794726</v>
      </c>
      <c r="AI46" s="29">
        <f t="shared" si="31"/>
        <v>0.1313453230462896</v>
      </c>
      <c r="AJ46" s="29"/>
      <c r="AK46" s="30">
        <f t="shared" si="32"/>
        <v>50</v>
      </c>
      <c r="AL46" s="25">
        <f t="shared" si="33"/>
        <v>15</v>
      </c>
      <c r="AM46" s="26">
        <f t="shared" si="34"/>
        <v>25</v>
      </c>
      <c r="AN46" s="28">
        <f t="shared" si="35"/>
        <v>50</v>
      </c>
      <c r="AO46" s="29">
        <f t="shared" si="36"/>
        <v>225</v>
      </c>
      <c r="AP46" s="29">
        <f t="shared" si="37"/>
        <v>375</v>
      </c>
      <c r="AQ46" s="29">
        <f t="shared" si="38"/>
        <v>750</v>
      </c>
      <c r="AR46" s="29">
        <f t="shared" si="39"/>
        <v>625</v>
      </c>
      <c r="AS46" s="29">
        <f t="shared" si="40"/>
        <v>1250</v>
      </c>
      <c r="AT46" s="29">
        <f t="shared" si="41"/>
        <v>2500</v>
      </c>
      <c r="AU46" s="29"/>
      <c r="AV46" s="30">
        <f t="shared" si="42"/>
        <v>1.1684332269541213</v>
      </c>
      <c r="AX46" s="13">
        <v>320</v>
      </c>
      <c r="AY46" s="13">
        <v>61</v>
      </c>
    </row>
    <row r="47" spans="2:51" ht="18.75" x14ac:dyDescent="0.3">
      <c r="H47" s="2"/>
      <c r="I47" s="2"/>
      <c r="J47" s="2"/>
      <c r="K47" s="2" t="s">
        <v>52</v>
      </c>
      <c r="L47" s="33">
        <f>SUM(L9:L43)</f>
        <v>27104.36429888563</v>
      </c>
      <c r="M47" s="33">
        <f>SUM(M9:M46)</f>
        <v>10226.07878067723</v>
      </c>
      <c r="O47">
        <f>SUM(O9:O46)</f>
        <v>3874</v>
      </c>
    </row>
    <row r="48" spans="2:51" ht="19.5" x14ac:dyDescent="0.35">
      <c r="G48" s="10">
        <f>-22+COUNTIF(G9:G46,"&gt;0")</f>
        <v>0</v>
      </c>
      <c r="H48" s="2"/>
      <c r="I48" s="2"/>
      <c r="J48" s="2"/>
      <c r="K48" s="2" t="s">
        <v>55</v>
      </c>
      <c r="L48" s="33">
        <f>L47/M47</f>
        <v>2.6505139340507431</v>
      </c>
      <c r="M48" s="33"/>
    </row>
    <row r="49" spans="6:8" x14ac:dyDescent="0.25">
      <c r="F49" t="s">
        <v>112</v>
      </c>
      <c r="G49">
        <f>IF(G48=-22,"Monovalentní",G48)</f>
        <v>0</v>
      </c>
      <c r="H49" t="s">
        <v>40</v>
      </c>
    </row>
  </sheetData>
  <dataValidations disablePrompts="1" count="1">
    <dataValidation type="list" allowBlank="1" showInputMessage="1" showErrorMessage="1" sqref="C6" xr:uid="{00000000-0002-0000-0300-000000000000}">
      <formula1>$AX$5:$AY$5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5"/>
  <dimension ref="A1:O71"/>
  <sheetViews>
    <sheetView workbookViewId="0">
      <selection activeCell="O24" sqref="O24"/>
    </sheetView>
  </sheetViews>
  <sheetFormatPr defaultRowHeight="15" x14ac:dyDescent="0.25"/>
  <cols>
    <col min="1" max="1" width="11.85546875" customWidth="1"/>
    <col min="2" max="2" width="12.7109375" bestFit="1" customWidth="1"/>
    <col min="16" max="16" width="15.5703125" customWidth="1"/>
  </cols>
  <sheetData>
    <row r="1" spans="1:15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184</v>
      </c>
      <c r="M1" t="s">
        <v>85</v>
      </c>
      <c r="N1" t="s">
        <v>86</v>
      </c>
      <c r="O1" t="s">
        <v>185</v>
      </c>
    </row>
    <row r="2" spans="1:15" x14ac:dyDescent="0.25">
      <c r="A2" t="s">
        <v>30</v>
      </c>
      <c r="B2">
        <f>'EcoAir 406'!G2</f>
        <v>0</v>
      </c>
      <c r="C2">
        <f>'EcoAir 406'!H2</f>
        <v>-1.2528072870939446E-3</v>
      </c>
      <c r="D2">
        <f>'EcoAir 406'!I2</f>
        <v>4.1250000000000157E-4</v>
      </c>
      <c r="E2">
        <f>'EcoAir 406'!J2</f>
        <v>3.8488799036220274E-3</v>
      </c>
      <c r="F2">
        <f>'EcoAir 406'!K2</f>
        <v>-5.8165057067602961E-4</v>
      </c>
      <c r="G2">
        <f>'EcoAir 406'!L2</f>
        <v>3.7540642846126283E-3</v>
      </c>
      <c r="H2">
        <f>'EcoAir 406'!M2</f>
        <v>0</v>
      </c>
      <c r="I2">
        <f>'EcoAir 406'!N2</f>
        <v>0</v>
      </c>
      <c r="J2">
        <f>'EcoAir 406'!O2</f>
        <v>0</v>
      </c>
      <c r="K2">
        <f>'EcoAir 406'!P2</f>
        <v>6.3444857290715007</v>
      </c>
      <c r="L2">
        <v>1</v>
      </c>
      <c r="M2">
        <v>50</v>
      </c>
      <c r="N2">
        <v>50</v>
      </c>
      <c r="O2">
        <v>2</v>
      </c>
    </row>
    <row r="3" spans="1:15" x14ac:dyDescent="0.25">
      <c r="A3" t="s">
        <v>29</v>
      </c>
      <c r="B3">
        <f>'EcoAir 408'!G2</f>
        <v>0</v>
      </c>
      <c r="C3">
        <f>'EcoAir 408'!H2</f>
        <v>-3.6784080746091776E-4</v>
      </c>
      <c r="D3">
        <f>'EcoAir 408'!I2</f>
        <v>-6.524076815744067E-5</v>
      </c>
      <c r="E3">
        <f>'EcoAir 408'!J2</f>
        <v>4.8603345527293076E-3</v>
      </c>
      <c r="F3">
        <f>'EcoAir 408'!K2</f>
        <v>-7.7945476027711411E-4</v>
      </c>
      <c r="G3">
        <f>'EcoAir 408'!L2</f>
        <v>4.5755410957776712E-3</v>
      </c>
      <c r="H3">
        <f>'EcoAir 408'!M2</f>
        <v>0</v>
      </c>
      <c r="I3">
        <f>'EcoAir 408'!N2</f>
        <v>0</v>
      </c>
      <c r="J3">
        <f>'EcoAir 408'!O2</f>
        <v>0</v>
      </c>
      <c r="K3">
        <f>'EcoAir 408'!P2</f>
        <v>6.5846774399434898</v>
      </c>
      <c r="L3">
        <v>1</v>
      </c>
      <c r="M3">
        <v>50</v>
      </c>
      <c r="N3">
        <v>50</v>
      </c>
      <c r="O3">
        <v>2</v>
      </c>
    </row>
    <row r="4" spans="1:15" x14ac:dyDescent="0.25">
      <c r="A4" t="s">
        <v>31</v>
      </c>
      <c r="B4">
        <f>'EcoAir 410'!G2</f>
        <v>0</v>
      </c>
      <c r="C4">
        <f>'EcoAir 410'!H2</f>
        <v>-1.3545524484371311E-3</v>
      </c>
      <c r="D4">
        <f>'EcoAir 410'!I2</f>
        <v>2.6035018476869743E-4</v>
      </c>
      <c r="E4">
        <f>'EcoAir 410'!J2</f>
        <v>7.6335084692299897E-3</v>
      </c>
      <c r="F4">
        <f>'EcoAir 410'!K2</f>
        <v>-1.8840308110557443E-3</v>
      </c>
      <c r="G4">
        <f>'EcoAir 410'!L2</f>
        <v>6.6477116490573154E-3</v>
      </c>
      <c r="H4">
        <f>'EcoAir 410'!M2</f>
        <v>0</v>
      </c>
      <c r="I4">
        <f>'EcoAir 410'!N2</f>
        <v>0</v>
      </c>
      <c r="J4">
        <f>'EcoAir 410'!O2</f>
        <v>0</v>
      </c>
      <c r="K4">
        <f>'EcoAir 410'!P2</f>
        <v>10.80327724379241</v>
      </c>
      <c r="L4">
        <v>1</v>
      </c>
      <c r="M4">
        <v>50</v>
      </c>
      <c r="N4">
        <v>50</v>
      </c>
      <c r="O4">
        <v>2</v>
      </c>
    </row>
    <row r="5" spans="1:15" x14ac:dyDescent="0.25">
      <c r="A5" t="s">
        <v>32</v>
      </c>
      <c r="B5">
        <f>'EcoAir 415'!G2</f>
        <v>0</v>
      </c>
      <c r="C5">
        <f>'EcoAir 415'!H2</f>
        <v>-1.3676485699095336E-3</v>
      </c>
      <c r="D5">
        <f>'EcoAir 415'!I2</f>
        <v>1.6137061973163654E-4</v>
      </c>
      <c r="E5">
        <f>'EcoAir 415'!J2</f>
        <v>9.2798115456630727E-3</v>
      </c>
      <c r="F5">
        <f>'EcoAir 415'!K2</f>
        <v>-1.5090697954626895E-3</v>
      </c>
      <c r="G5">
        <f>'EcoAir 415'!L2</f>
        <v>9.2986220204873578E-3</v>
      </c>
      <c r="H5">
        <f>'EcoAir 415'!M2</f>
        <v>0</v>
      </c>
      <c r="I5">
        <f>'EcoAir 415'!N2</f>
        <v>0</v>
      </c>
      <c r="J5">
        <f>'EcoAir 415'!O2</f>
        <v>0</v>
      </c>
      <c r="K5">
        <f>'EcoAir 415'!P2</f>
        <v>14.185437833123546</v>
      </c>
      <c r="L5">
        <v>1</v>
      </c>
      <c r="M5">
        <v>50</v>
      </c>
      <c r="N5">
        <v>50</v>
      </c>
      <c r="O5">
        <v>2</v>
      </c>
    </row>
    <row r="6" spans="1:15" x14ac:dyDescent="0.25">
      <c r="A6" t="s">
        <v>33</v>
      </c>
      <c r="B6">
        <f>'EcoAir 420'!G2</f>
        <v>0</v>
      </c>
      <c r="C6">
        <f>'EcoAir 420'!H2</f>
        <v>7.4739643623132493E-4</v>
      </c>
      <c r="D6">
        <f>'EcoAir 420'!I2</f>
        <v>-1.0978894122454352E-3</v>
      </c>
      <c r="E6">
        <f>'EcoAir 420'!J2</f>
        <v>1.129457088007709E-2</v>
      </c>
      <c r="F6">
        <f>'EcoAir 420'!K2</f>
        <v>-3.0222323301598922E-3</v>
      </c>
      <c r="G6">
        <f>'EcoAir 420'!L2</f>
        <v>9.1908818662899839E-3</v>
      </c>
      <c r="H6">
        <f>'EcoAir 420'!M2</f>
        <v>0</v>
      </c>
      <c r="I6">
        <f>'EcoAir 420'!N2</f>
        <v>0</v>
      </c>
      <c r="J6">
        <f>'EcoAir 420'!O2</f>
        <v>0</v>
      </c>
      <c r="K6">
        <f>'EcoAir 420'!P2</f>
        <v>13.768621989036069</v>
      </c>
      <c r="L6">
        <v>1</v>
      </c>
      <c r="M6">
        <v>50</v>
      </c>
      <c r="N6">
        <v>50</v>
      </c>
      <c r="O6">
        <v>2</v>
      </c>
    </row>
    <row r="7" spans="1:15" x14ac:dyDescent="0.25">
      <c r="A7" t="s">
        <v>87</v>
      </c>
      <c r="B7">
        <f>'EcoAir 610M'!G2</f>
        <v>-3.4928857013980885E-4</v>
      </c>
      <c r="C7">
        <f>'EcoAir 610M'!H2</f>
        <v>2.3751872924730242E-4</v>
      </c>
      <c r="D7">
        <f>'EcoAir 610M'!I2</f>
        <v>4.2475889299166929E-5</v>
      </c>
      <c r="E7">
        <f>'EcoAir 610M'!J2</f>
        <v>1.1309538161601018E-3</v>
      </c>
      <c r="F7">
        <f>'EcoAir 610M'!K2</f>
        <v>1.5894105039979882E-3</v>
      </c>
      <c r="G7">
        <f>'EcoAir 610M'!L2</f>
        <v>3.2806395408054444E-3</v>
      </c>
      <c r="H7">
        <f>'EcoAir 610M'!M2</f>
        <v>0.12239309534706141</v>
      </c>
      <c r="I7">
        <f>'EcoAir 610M'!N2</f>
        <v>-3.4031892896422181E-2</v>
      </c>
      <c r="J7">
        <f>'EcoAir 610M'!O2</f>
        <v>2.2482500084272706E-2</v>
      </c>
      <c r="K7">
        <f>'EcoAir 610M'!P2</f>
        <v>0.3781471170488242</v>
      </c>
      <c r="L7">
        <v>1</v>
      </c>
      <c r="M7">
        <v>20</v>
      </c>
      <c r="N7">
        <v>80</v>
      </c>
      <c r="O7">
        <v>1</v>
      </c>
    </row>
    <row r="8" spans="1:15" x14ac:dyDescent="0.25">
      <c r="A8" t="s">
        <v>34</v>
      </c>
      <c r="B8">
        <f>'EcoAir 614M'!G2</f>
        <v>-3.4928857013980885E-4</v>
      </c>
      <c r="C8">
        <f>'EcoAir 614M'!H2</f>
        <v>2.3751872924730242E-4</v>
      </c>
      <c r="D8">
        <f>'EcoAir 614M'!I2</f>
        <v>4.2475889299166929E-5</v>
      </c>
      <c r="E8">
        <f>'EcoAir 614M'!J2</f>
        <v>1.1309538161601018E-3</v>
      </c>
      <c r="F8">
        <f>'EcoAir 614M'!K2</f>
        <v>1.5894105039979882E-3</v>
      </c>
      <c r="G8">
        <f>'EcoAir 614M'!L2</f>
        <v>3.2806395408054444E-3</v>
      </c>
      <c r="H8">
        <f>'EcoAir 614M'!M2</f>
        <v>0.12239309534706141</v>
      </c>
      <c r="I8">
        <f>'EcoAir 614M'!N2</f>
        <v>-3.4031892896422181E-2</v>
      </c>
      <c r="J8">
        <f>'EcoAir 614M'!O2</f>
        <v>2.2482500084272706E-2</v>
      </c>
      <c r="K8">
        <f>'EcoAir 614M'!P2</f>
        <v>0.3781471170488242</v>
      </c>
      <c r="L8">
        <v>1</v>
      </c>
      <c r="M8">
        <v>20</v>
      </c>
      <c r="N8">
        <v>120</v>
      </c>
      <c r="O8">
        <v>1</v>
      </c>
    </row>
    <row r="9" spans="1:15" x14ac:dyDescent="0.25">
      <c r="A9" t="s">
        <v>35</v>
      </c>
      <c r="B9">
        <f>'EcoAir 622M'!G2</f>
        <v>-5.0999204948795282E-4</v>
      </c>
      <c r="C9">
        <f>'EcoAir 622M'!H2</f>
        <v>-1.6147303409099891E-4</v>
      </c>
      <c r="D9">
        <f>'EcoAir 622M'!I2</f>
        <v>-2.6923076923093108E-5</v>
      </c>
      <c r="E9">
        <f>'EcoAir 622M'!J2</f>
        <v>2.5081153629591705E-3</v>
      </c>
      <c r="F9">
        <f>'EcoAir 622M'!K2</f>
        <v>3.5888263888704389E-4</v>
      </c>
      <c r="G9">
        <f>'EcoAir 622M'!L2</f>
        <v>8.8053974638848311E-3</v>
      </c>
      <c r="H9">
        <f>'EcoAir 622M'!M2</f>
        <v>0.21096179611487689</v>
      </c>
      <c r="I9">
        <f>'EcoAir 622M'!N2</f>
        <v>1.9086283914151871E-2</v>
      </c>
      <c r="J9">
        <f>'EcoAir 622M'!O2</f>
        <v>0.11857571613001437</v>
      </c>
      <c r="K9">
        <f>'EcoAir 622M'!P2</f>
        <v>-1.5438062293842836</v>
      </c>
      <c r="L9">
        <v>1</v>
      </c>
      <c r="M9">
        <v>20</v>
      </c>
      <c r="N9">
        <v>120</v>
      </c>
      <c r="O9">
        <v>1</v>
      </c>
    </row>
    <row r="10" spans="1:15" x14ac:dyDescent="0.25">
      <c r="A10" t="s">
        <v>36</v>
      </c>
      <c r="B10">
        <f>'EcoAir 510M'!G2</f>
        <v>-3.412509766584056E-5</v>
      </c>
      <c r="C10">
        <f>'EcoAir 510M'!H2</f>
        <v>-3.6130187363844047E-4</v>
      </c>
      <c r="D10">
        <f>'EcoAir 510M'!I2</f>
        <v>-4.7727272727272792E-3</v>
      </c>
      <c r="E10">
        <f>'EcoAir 510M'!J2</f>
        <v>1.7021766753849941E-3</v>
      </c>
      <c r="F10">
        <f>'EcoAir 510M'!K2</f>
        <v>-1.6831951791615959E-3</v>
      </c>
      <c r="G10">
        <f>'EcoAir 510M'!L2</f>
        <v>4.6901791321542442E-3</v>
      </c>
      <c r="H10">
        <f>'EcoAir 510M'!M2</f>
        <v>0.10007608982527373</v>
      </c>
      <c r="I10">
        <f>'EcoAir 510M'!N2</f>
        <v>0.42527841384559067</v>
      </c>
      <c r="J10">
        <f>'EcoAir 510M'!O2</f>
        <v>0.16816001101912315</v>
      </c>
      <c r="K10">
        <f>'EcoAir 510M'!P2</f>
        <v>-8.8499356357867303</v>
      </c>
      <c r="L10">
        <v>1</v>
      </c>
      <c r="M10">
        <v>20</v>
      </c>
      <c r="N10">
        <v>100</v>
      </c>
      <c r="O10">
        <v>1</v>
      </c>
    </row>
    <row r="11" spans="1:15" x14ac:dyDescent="0.25">
      <c r="A11" t="s">
        <v>37</v>
      </c>
      <c r="B11">
        <f>'EcoAir 520M'!G2</f>
        <v>-7.4596939576434781E-4</v>
      </c>
      <c r="C11">
        <f>'EcoAir 520M'!H2</f>
        <v>-6.7072324101194306E-4</v>
      </c>
      <c r="D11">
        <f>'EcoAir 520M'!I2</f>
        <v>-1.3439807359305297E-3</v>
      </c>
      <c r="E11">
        <f>'EcoAir 520M'!J2</f>
        <v>4.0907711110370493E-3</v>
      </c>
      <c r="F11">
        <f>'EcoAir 520M'!K2</f>
        <v>-2.8928802280426E-3</v>
      </c>
      <c r="G11">
        <f>'EcoAir 520M'!L2</f>
        <v>6.5780754383654412E-3</v>
      </c>
      <c r="H11">
        <f>'EcoAir 520M'!M2</f>
        <v>0.24776554366980888</v>
      </c>
      <c r="I11">
        <f>'EcoAir 520M'!N2</f>
        <v>0.13195821932428065</v>
      </c>
      <c r="J11">
        <f>'EcoAir 520M'!O2</f>
        <v>0.21897247025834038</v>
      </c>
      <c r="K11">
        <f>'EcoAir 520M'!P2</f>
        <v>-4.1450476030058701</v>
      </c>
      <c r="L11">
        <v>1</v>
      </c>
      <c r="M11">
        <v>20</v>
      </c>
      <c r="N11">
        <v>100</v>
      </c>
      <c r="O11">
        <v>1</v>
      </c>
    </row>
    <row r="12" spans="1:15" x14ac:dyDescent="0.25">
      <c r="A12" t="s">
        <v>80</v>
      </c>
      <c r="B12">
        <f>'RTC 6i'!G2</f>
        <v>-2.6359565584066225E-4</v>
      </c>
      <c r="C12">
        <f>'RTC 6i'!H2</f>
        <v>-2.1439461117775928E-4</v>
      </c>
      <c r="D12">
        <f>'RTC 6i'!I2</f>
        <v>3.0495762786128229E-4</v>
      </c>
      <c r="E12">
        <f>'RTC 6i'!J2</f>
        <v>8.766363752053249E-4</v>
      </c>
      <c r="F12">
        <f>'RTC 6i'!K2</f>
        <v>7.3142708897540971E-4</v>
      </c>
      <c r="G12">
        <f>'RTC 6i'!L2</f>
        <v>-5.7928141405228942E-5</v>
      </c>
      <c r="H12">
        <f>'RTC 6i'!M2</f>
        <v>0.10054540333053892</v>
      </c>
      <c r="I12">
        <f>'RTC 6i'!N2</f>
        <v>-3.3751879130816183E-2</v>
      </c>
      <c r="J12">
        <f>'RTC 6i'!O2</f>
        <v>3.6861576252837022E-3</v>
      </c>
      <c r="K12">
        <f>'RTC 6i'!P2</f>
        <v>-0.38333211102670717</v>
      </c>
      <c r="L12">
        <v>1</v>
      </c>
      <c r="M12">
        <v>30</v>
      </c>
      <c r="N12">
        <v>85</v>
      </c>
      <c r="O12">
        <v>1</v>
      </c>
    </row>
    <row r="13" spans="1:15" x14ac:dyDescent="0.25">
      <c r="A13" t="s">
        <v>81</v>
      </c>
      <c r="B13">
        <f>'RTC 12i'!G2</f>
        <v>1.7572502685284718E-4</v>
      </c>
      <c r="C13">
        <f>'RTC 12i'!H2</f>
        <v>-2.0942108137629592E-4</v>
      </c>
      <c r="D13">
        <f>'RTC 12i'!I2</f>
        <v>-1.8166666666666637E-3</v>
      </c>
      <c r="E13">
        <f>'RTC 12i'!J2</f>
        <v>3.0028474488500924E-3</v>
      </c>
      <c r="F13">
        <f>'RTC 12i'!K2</f>
        <v>4.2325120362503375E-4</v>
      </c>
      <c r="G13">
        <f>'RTC 12i'!L2</f>
        <v>2.1406446945693687E-3</v>
      </c>
      <c r="H13">
        <f>'RTC 12i'!M2</f>
        <v>0.1110621369118751</v>
      </c>
      <c r="I13">
        <f>'RTC 12i'!N2</f>
        <v>9.6304020348134137E-2</v>
      </c>
      <c r="J13">
        <f>'RTC 12i'!O2</f>
        <v>1.6118140670372854E-2</v>
      </c>
      <c r="K13">
        <f>'RTC 12i'!P2</f>
        <v>-1.0153941108721765</v>
      </c>
      <c r="L13">
        <v>1</v>
      </c>
      <c r="M13">
        <v>30</v>
      </c>
      <c r="N13">
        <v>100</v>
      </c>
      <c r="O13">
        <v>1</v>
      </c>
    </row>
    <row r="14" spans="1:15" x14ac:dyDescent="0.25">
      <c r="A14" t="s">
        <v>89</v>
      </c>
      <c r="B14">
        <f>'RTC 13e'!G2</f>
        <v>8.7575015738315966E-5</v>
      </c>
      <c r="C14">
        <f>'RTC 13e'!H2</f>
        <v>-2.6208831130803702E-4</v>
      </c>
      <c r="D14">
        <f>'RTC 13e'!I2</f>
        <v>-1.2176072469379051E-3</v>
      </c>
      <c r="E14">
        <f>'RTC 13e'!J2</f>
        <v>2.2445155317494343E-3</v>
      </c>
      <c r="F14">
        <f>'RTC 13e'!K2</f>
        <v>-1.5608576868469503E-3</v>
      </c>
      <c r="G14">
        <f>'RTC 13e'!L2</f>
        <v>2.0264672818557233E-3</v>
      </c>
      <c r="H14">
        <f>'RTC 13e'!M2</f>
        <v>0.10165679666527305</v>
      </c>
      <c r="I14">
        <f>'RTC 13e'!N2</f>
        <v>7.1697589524897409E-2</v>
      </c>
      <c r="J14">
        <f>'RTC 13e'!O2</f>
        <v>0.10520954213494257</v>
      </c>
      <c r="K14">
        <f>'RTC 13e'!P2</f>
        <v>-1.2764900138330453</v>
      </c>
      <c r="L14">
        <v>1</v>
      </c>
      <c r="M14">
        <v>30</v>
      </c>
      <c r="N14">
        <v>100</v>
      </c>
      <c r="O14">
        <v>1</v>
      </c>
    </row>
    <row r="15" spans="1:15" x14ac:dyDescent="0.25">
      <c r="A15" t="s">
        <v>88</v>
      </c>
      <c r="B15">
        <f>'RTC 20e'!G2</f>
        <v>-2.0743295761793177E-4</v>
      </c>
      <c r="C15">
        <f>'RTC 20e'!H2</f>
        <v>-4.5091444608177033E-4</v>
      </c>
      <c r="D15">
        <f>'RTC 20e'!I2</f>
        <v>1.7934166007804871E-3</v>
      </c>
      <c r="E15">
        <f>'RTC 20e'!J2</f>
        <v>4.7128048593441498E-3</v>
      </c>
      <c r="F15">
        <f>'RTC 20e'!K2</f>
        <v>-1.7622775808552008E-3</v>
      </c>
      <c r="G15">
        <f>'RTC 20e'!L2</f>
        <v>1.0162700992157648E-3</v>
      </c>
      <c r="H15">
        <f>'RTC 20e'!M2</f>
        <v>0.25019837620123675</v>
      </c>
      <c r="I15">
        <f>'RTC 20e'!N2</f>
        <v>-0.22272736338749927</v>
      </c>
      <c r="J15">
        <f>'RTC 20e'!O2</f>
        <v>0.13966734834277394</v>
      </c>
      <c r="K15">
        <f>'RTC 20e'!P2</f>
        <v>5.1236357069513412</v>
      </c>
      <c r="L15">
        <v>1</v>
      </c>
      <c r="M15">
        <v>30</v>
      </c>
      <c r="N15">
        <v>100</v>
      </c>
      <c r="O15">
        <v>1</v>
      </c>
    </row>
    <row r="16" spans="1:15" x14ac:dyDescent="0.25">
      <c r="A16" t="s">
        <v>94</v>
      </c>
      <c r="B16">
        <f>'EcoPart 612M'!G2</f>
        <v>9.9434156378600848E-4</v>
      </c>
      <c r="C16">
        <f>'EcoPart 612M'!H2</f>
        <v>-2.7870370370370354E-4</v>
      </c>
      <c r="D16">
        <f>'EcoPart 612M'!I2</f>
        <v>2.4074074074081721E-5</v>
      </c>
      <c r="E16">
        <f>'EcoPart 612M'!J2</f>
        <v>2.7098765432098755E-3</v>
      </c>
      <c r="F16">
        <f>'EcoPart 612M'!K2</f>
        <v>1.5037037037037031E-3</v>
      </c>
      <c r="G16">
        <f>'EcoPart 612M'!L2</f>
        <v>-6.0938271604938062E-3</v>
      </c>
      <c r="H16">
        <f>'EcoPart 612M'!M2</f>
        <v>6.9835905349794211E-2</v>
      </c>
      <c r="I16">
        <f>'EcoPart 612M'!N2</f>
        <v>-4.3750000000000705E-2</v>
      </c>
      <c r="J16">
        <f>'EcoPart 612M'!O2</f>
        <v>0</v>
      </c>
      <c r="K16">
        <f>'EcoPart 612M'!P2</f>
        <v>2.214434156378617</v>
      </c>
      <c r="L16">
        <v>2</v>
      </c>
      <c r="M16">
        <v>20</v>
      </c>
      <c r="N16">
        <v>80</v>
      </c>
      <c r="O16">
        <v>1</v>
      </c>
    </row>
    <row r="17" spans="1:15" x14ac:dyDescent="0.25">
      <c r="A17" t="s">
        <v>95</v>
      </c>
      <c r="B17">
        <f>'EcoPart 616M'!G2</f>
        <v>-2.2037037037037058E-4</v>
      </c>
      <c r="C17">
        <f>'EcoPart 616M'!H2</f>
        <v>-2.6250000000000025E-4</v>
      </c>
      <c r="D17">
        <f>'EcoPart 616M'!I2</f>
        <v>9.6666666666666288E-4</v>
      </c>
      <c r="E17">
        <f>'EcoPart 616M'!J2</f>
        <v>2.9333333333333347E-3</v>
      </c>
      <c r="F17">
        <f>'EcoPart 616M'!K2</f>
        <v>4.9333333333333165E-3</v>
      </c>
      <c r="G17">
        <f>'EcoPart 616M'!L2</f>
        <v>-1.8488888888888722E-2</v>
      </c>
      <c r="H17">
        <f>'EcoPart 616M'!M2</f>
        <v>0.21984953703703708</v>
      </c>
      <c r="I17">
        <f>'EcoPart 616M'!N2</f>
        <v>-0.11237499999999957</v>
      </c>
      <c r="J17">
        <f>'EcoPart 616M'!O2</f>
        <v>0</v>
      </c>
      <c r="K17">
        <f>'EcoPart 616M'!P2</f>
        <v>2.9984490740740606</v>
      </c>
      <c r="L17">
        <v>2</v>
      </c>
      <c r="M17">
        <v>20</v>
      </c>
      <c r="N17">
        <v>80</v>
      </c>
      <c r="O17">
        <v>1</v>
      </c>
    </row>
    <row r="18" spans="1:15" x14ac:dyDescent="0.25">
      <c r="A18" t="s">
        <v>98</v>
      </c>
      <c r="B18">
        <f>'EcoPart 406'!G2</f>
        <v>0</v>
      </c>
      <c r="C18">
        <f>'EcoPart 406'!H2</f>
        <v>-1.6199999999999551E-4</v>
      </c>
      <c r="D18">
        <f>'EcoPart 406'!I2</f>
        <v>-3.0000000000000268E-4</v>
      </c>
      <c r="E18">
        <f>'EcoPart 406'!J2</f>
        <v>3.8519999999999935E-3</v>
      </c>
      <c r="F18">
        <f>'EcoPart 406'!K2</f>
        <v>-2.7999999999999152E-4</v>
      </c>
      <c r="G18">
        <f>'EcoPart 406'!L2</f>
        <v>1.9199999999999794E-3</v>
      </c>
      <c r="H18">
        <f>'EcoPart 406'!M2</f>
        <v>0</v>
      </c>
      <c r="I18">
        <f>'EcoPart 406'!N2</f>
        <v>0</v>
      </c>
      <c r="J18">
        <f>'EcoPart 406'!O2</f>
        <v>0</v>
      </c>
      <c r="K18">
        <f>'EcoPart 406'!P2</f>
        <v>6.503999999999996</v>
      </c>
      <c r="L18">
        <v>2</v>
      </c>
      <c r="M18">
        <v>50</v>
      </c>
      <c r="N18">
        <v>50</v>
      </c>
      <c r="O18">
        <v>2</v>
      </c>
    </row>
    <row r="19" spans="1:15" x14ac:dyDescent="0.25">
      <c r="A19" t="s">
        <v>99</v>
      </c>
      <c r="B19">
        <f>'EcoPart 408'!G2</f>
        <v>0</v>
      </c>
      <c r="C19">
        <f>'EcoPart 408'!H2</f>
        <v>-5.8828571428571458E-4</v>
      </c>
      <c r="D19">
        <f>'EcoPart 408'!I2</f>
        <v>-2.8571428571428385E-5</v>
      </c>
      <c r="E19">
        <f>'EcoPart 408'!J2</f>
        <v>5.7697142857142817E-3</v>
      </c>
      <c r="F19">
        <f>'EcoPart 408'!K2</f>
        <v>-1.5028571428571361E-3</v>
      </c>
      <c r="G19">
        <f>'EcoPart 408'!L2</f>
        <v>2.8971428571428646E-3</v>
      </c>
      <c r="H19">
        <f>'EcoPart 408'!M2</f>
        <v>0</v>
      </c>
      <c r="I19">
        <f>'EcoPart 408'!N2</f>
        <v>0</v>
      </c>
      <c r="J19">
        <f>'EcoPart 408'!O2</f>
        <v>0</v>
      </c>
      <c r="K19">
        <f>'EcoPart 408'!P2</f>
        <v>9.2533571428571424</v>
      </c>
      <c r="L19">
        <v>2</v>
      </c>
      <c r="M19">
        <v>50</v>
      </c>
      <c r="N19">
        <v>50</v>
      </c>
      <c r="O19">
        <v>2</v>
      </c>
    </row>
    <row r="20" spans="1:15" x14ac:dyDescent="0.25">
      <c r="A20" t="s">
        <v>97</v>
      </c>
      <c r="B20">
        <f>'EcoPart 410'!G2</f>
        <v>0</v>
      </c>
      <c r="C20">
        <f>'EcoPart 410'!H2</f>
        <v>-1.2185714285714265E-3</v>
      </c>
      <c r="D20">
        <f>'EcoPart 410'!I2</f>
        <v>2.928571428571412E-4</v>
      </c>
      <c r="E20">
        <f>'EcoPart 410'!J2</f>
        <v>6.6314285714285598E-3</v>
      </c>
      <c r="F20">
        <f>'EcoPart 410'!K2</f>
        <v>-1.4857142857142719E-3</v>
      </c>
      <c r="G20">
        <f>'EcoPart 410'!L2</f>
        <v>2.5142857142857137E-3</v>
      </c>
      <c r="H20">
        <f>'EcoPart 410'!M2</f>
        <v>0</v>
      </c>
      <c r="I20">
        <f>'EcoPart 410'!N2</f>
        <v>0</v>
      </c>
      <c r="J20">
        <f>'EcoPart 410'!O2</f>
        <v>0</v>
      </c>
      <c r="K20">
        <f>'EcoPart 410'!P2</f>
        <v>11.739464285714284</v>
      </c>
      <c r="L20">
        <v>2</v>
      </c>
      <c r="M20">
        <v>50</v>
      </c>
      <c r="N20">
        <v>50</v>
      </c>
      <c r="O20">
        <v>2</v>
      </c>
    </row>
    <row r="21" spans="1:15" x14ac:dyDescent="0.25">
      <c r="A21" t="s">
        <v>100</v>
      </c>
      <c r="B21">
        <f>'EcoPart 412'!G2</f>
        <v>0</v>
      </c>
      <c r="C21">
        <f>'EcoPart 412'!H2</f>
        <v>-2.0885714285714357E-3</v>
      </c>
      <c r="D21">
        <f>'EcoPart 412'!I2</f>
        <v>7.428571428571471E-4</v>
      </c>
      <c r="E21">
        <f>'EcoPart 412'!J2</f>
        <v>8.0514285714285705E-3</v>
      </c>
      <c r="F21">
        <f>'EcoPart 412'!K2</f>
        <v>-2.0857142857142867E-3</v>
      </c>
      <c r="G21">
        <f>'EcoPart 412'!L2</f>
        <v>6.3142857142857159E-3</v>
      </c>
      <c r="H21">
        <f>'EcoPart 412'!M2</f>
        <v>0</v>
      </c>
      <c r="I21">
        <f>'EcoPart 412'!N2</f>
        <v>0</v>
      </c>
      <c r="J21">
        <f>'EcoPart 412'!O2</f>
        <v>0</v>
      </c>
      <c r="K21">
        <f>'EcoPart 412'!P2</f>
        <v>14.460714285714293</v>
      </c>
      <c r="L21">
        <v>2</v>
      </c>
      <c r="M21">
        <v>50</v>
      </c>
      <c r="N21">
        <v>50</v>
      </c>
      <c r="O21">
        <v>2</v>
      </c>
    </row>
    <row r="22" spans="1:15" x14ac:dyDescent="0.25">
      <c r="A22" t="s">
        <v>101</v>
      </c>
      <c r="B22">
        <f>'EcoPart 414'!G2</f>
        <v>0</v>
      </c>
      <c r="C22">
        <f>'EcoPart 414'!H2</f>
        <v>6.5114285714285372E-4</v>
      </c>
      <c r="D22">
        <f>'EcoPart 414'!I2</f>
        <v>-9.3571428571428343E-4</v>
      </c>
      <c r="E22">
        <f>'EcoPart 414'!J2</f>
        <v>9.2731428571428826E-3</v>
      </c>
      <c r="F22">
        <f>'EcoPart 414'!K2</f>
        <v>-1.6685714285714541E-3</v>
      </c>
      <c r="G22">
        <f>'EcoPart 414'!L2</f>
        <v>1.7314285714285778E-3</v>
      </c>
      <c r="H22">
        <f>'EcoPart 414'!M2</f>
        <v>0</v>
      </c>
      <c r="I22">
        <f>'EcoPart 414'!N2</f>
        <v>0</v>
      </c>
      <c r="J22">
        <f>'EcoPart 414'!O2</f>
        <v>0</v>
      </c>
      <c r="K22">
        <f>'EcoPart 414'!P2</f>
        <v>14.419321428571431</v>
      </c>
      <c r="L22">
        <v>2</v>
      </c>
      <c r="M22">
        <v>50</v>
      </c>
      <c r="N22">
        <v>50</v>
      </c>
      <c r="O22">
        <v>2</v>
      </c>
    </row>
    <row r="23" spans="1:15" x14ac:dyDescent="0.25">
      <c r="A23" t="s">
        <v>102</v>
      </c>
      <c r="B23">
        <f>'EcoPart 417'!G2</f>
        <v>0</v>
      </c>
      <c r="C23">
        <f>'EcoPart 417'!H2</f>
        <v>-5.0299999999999867E-3</v>
      </c>
      <c r="D23">
        <f>'EcoPart 417'!I2</f>
        <v>2.2999999999999917E-3</v>
      </c>
      <c r="E23">
        <f>'EcoPart 417'!J2</f>
        <v>1.0613333333333291E-2</v>
      </c>
      <c r="F23">
        <f>'EcoPart 417'!K2</f>
        <v>-1.9999999999999502E-3</v>
      </c>
      <c r="G23">
        <f>'EcoPart 417'!L2</f>
        <v>5.9999999999999568E-3</v>
      </c>
      <c r="H23">
        <f>'EcoPart 417'!M2</f>
        <v>0</v>
      </c>
      <c r="I23">
        <f>'EcoPart 417'!N2</f>
        <v>0</v>
      </c>
      <c r="J23">
        <f>'EcoPart 417'!O2</f>
        <v>0</v>
      </c>
      <c r="K23">
        <f>'EcoPart 417'!P2</f>
        <v>22.763333333333321</v>
      </c>
      <c r="L23">
        <v>2</v>
      </c>
      <c r="M23">
        <v>50</v>
      </c>
      <c r="N23">
        <v>50</v>
      </c>
      <c r="O23">
        <v>2</v>
      </c>
    </row>
    <row r="25" spans="1:15" x14ac:dyDescent="0.25">
      <c r="A25" t="s">
        <v>27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5" x14ac:dyDescent="0.25">
      <c r="A26" t="s">
        <v>30</v>
      </c>
      <c r="B26">
        <f>'EcoAir 406'!G19</f>
        <v>0</v>
      </c>
      <c r="C26">
        <f>'EcoAir 406'!H19</f>
        <v>5.142734855136076E-4</v>
      </c>
      <c r="D26">
        <f>'EcoAir 406'!I19</f>
        <v>-1.2499999999999618E-5</v>
      </c>
      <c r="E26">
        <f>'EcoAir 406'!J19</f>
        <v>1.3234033076047154E-5</v>
      </c>
      <c r="F26">
        <f>'EcoAir 406'!K19</f>
        <v>1.4266900790166825E-4</v>
      </c>
      <c r="G26">
        <f>'EcoAir 406'!L19</f>
        <v>-4.2727765685050397E-5</v>
      </c>
      <c r="H26">
        <f>'EcoAir 406'!M19</f>
        <v>0</v>
      </c>
      <c r="I26">
        <f>'EcoAir 406'!N19</f>
        <v>0</v>
      </c>
      <c r="J26">
        <f>'EcoAir 406'!O19</f>
        <v>0</v>
      </c>
      <c r="K26">
        <f>'EcoAir 406'!P19</f>
        <v>0.38720602521961167</v>
      </c>
    </row>
    <row r="27" spans="1:15" x14ac:dyDescent="0.25">
      <c r="A27" t="s">
        <v>29</v>
      </c>
      <c r="B27">
        <f>'EcoAir 408'!G20</f>
        <v>0</v>
      </c>
      <c r="C27">
        <f>'EcoAir 408'!H20</f>
        <v>4.3946953660438566E-4</v>
      </c>
      <c r="D27">
        <f>'EcoAir 408'!I20</f>
        <v>1.116532873200515E-4</v>
      </c>
      <c r="E27">
        <f>'EcoAir 408'!J20</f>
        <v>-2.6266768538170816E-4</v>
      </c>
      <c r="F27">
        <f>'EcoAir 408'!K20</f>
        <v>3.2275880442579158E-4</v>
      </c>
      <c r="G27">
        <f>'EcoAir 408'!L20</f>
        <v>-7.4713353106009887E-4</v>
      </c>
      <c r="H27">
        <f>'EcoAir 408'!M20</f>
        <v>0</v>
      </c>
      <c r="I27">
        <f>'EcoAir 408'!N20</f>
        <v>0</v>
      </c>
      <c r="J27">
        <f>'EcoAir 408'!O20</f>
        <v>0</v>
      </c>
      <c r="K27">
        <f>'EcoAir 408'!P20</f>
        <v>0.73774458101473273</v>
      </c>
    </row>
    <row r="28" spans="1:15" x14ac:dyDescent="0.25">
      <c r="A28" t="s">
        <v>31</v>
      </c>
      <c r="B28">
        <f>'EcoAir 410'!G25</f>
        <v>0</v>
      </c>
      <c r="C28">
        <f>'EcoAir 410'!H25</f>
        <v>6.6428491202109917E-4</v>
      </c>
      <c r="D28">
        <f>'EcoAir 410'!I25</f>
        <v>9.5339321014806808E-5</v>
      </c>
      <c r="E28">
        <f>'EcoAir 410'!J25</f>
        <v>-7.7844279512005171E-5</v>
      </c>
      <c r="F28">
        <f>'EcoAir 410'!K25</f>
        <v>4.2052925178976498E-4</v>
      </c>
      <c r="G28">
        <f>'EcoAir 410'!L25</f>
        <v>-5.8738251188964173E-5</v>
      </c>
      <c r="H28">
        <f>'EcoAir 410'!M25</f>
        <v>0</v>
      </c>
      <c r="I28">
        <f>'EcoAir 410'!N25</f>
        <v>0</v>
      </c>
      <c r="J28">
        <f>'EcoAir 410'!O25</f>
        <v>0</v>
      </c>
      <c r="K28">
        <f>'EcoAir 410'!P25</f>
        <v>1.0345159273696429</v>
      </c>
    </row>
    <row r="29" spans="1:15" x14ac:dyDescent="0.25">
      <c r="A29" t="s">
        <v>32</v>
      </c>
      <c r="B29">
        <f>'EcoAir 415'!G25</f>
        <v>0</v>
      </c>
      <c r="C29">
        <f>'EcoAir 415'!H25</f>
        <v>6.867975404242036E-4</v>
      </c>
      <c r="D29">
        <f>'EcoAir 415'!I25</f>
        <v>2.0506686461566631E-4</v>
      </c>
      <c r="E29">
        <f>'EcoAir 415'!J25</f>
        <v>-1.9613137033833535E-4</v>
      </c>
      <c r="F29">
        <f>'EcoAir 415'!K25</f>
        <v>7.2880553694423312E-4</v>
      </c>
      <c r="G29">
        <f>'EcoAir 415'!L25</f>
        <v>9.9345864809871859E-5</v>
      </c>
      <c r="H29">
        <f>'EcoAir 415'!M25</f>
        <v>0</v>
      </c>
      <c r="I29">
        <f>'EcoAir 415'!N25</f>
        <v>0</v>
      </c>
      <c r="J29">
        <f>'EcoAir 415'!O25</f>
        <v>0</v>
      </c>
      <c r="K29">
        <f>'EcoAir 415'!P25</f>
        <v>1.9161806769859029</v>
      </c>
    </row>
    <row r="30" spans="1:15" x14ac:dyDescent="0.25">
      <c r="A30" t="s">
        <v>33</v>
      </c>
      <c r="B30">
        <f>'EcoAir 420'!G25</f>
        <v>0</v>
      </c>
      <c r="C30">
        <f>'EcoAir 420'!H25</f>
        <v>3.488948661913677E-3</v>
      </c>
      <c r="D30">
        <f>'EcoAir 420'!I25</f>
        <v>-1.2944912211452055E-3</v>
      </c>
      <c r="E30">
        <f>'EcoAir 420'!J25</f>
        <v>1.64639818728092E-3</v>
      </c>
      <c r="F30">
        <f>'EcoAir 420'!K25</f>
        <v>-1.5389718254719498E-3</v>
      </c>
      <c r="G30">
        <f>'EcoAir 420'!L25</f>
        <v>-2.3478448004587015E-3</v>
      </c>
      <c r="H30">
        <f>'EcoAir 420'!M25</f>
        <v>0</v>
      </c>
      <c r="I30">
        <f>'EcoAir 420'!N25</f>
        <v>0</v>
      </c>
      <c r="J30">
        <f>'EcoAir 420'!O25</f>
        <v>0</v>
      </c>
      <c r="K30">
        <f>'EcoAir 420'!P25</f>
        <v>-0.41754007757124789</v>
      </c>
    </row>
    <row r="31" spans="1:15" x14ac:dyDescent="0.25">
      <c r="A31" t="s">
        <v>87</v>
      </c>
      <c r="B31">
        <f>'EcoAir 610M'!G44</f>
        <v>1.4376812245459522E-4</v>
      </c>
      <c r="C31">
        <f>'EcoAir 610M'!H44</f>
        <v>7.0568678763024127E-4</v>
      </c>
      <c r="D31">
        <f>'EcoAir 610M'!I44</f>
        <v>-2.9633543936121509E-5</v>
      </c>
      <c r="E31">
        <f>'EcoAir 610M'!J44</f>
        <v>9.019040831784304E-5</v>
      </c>
      <c r="F31">
        <f>'EcoAir 610M'!K44</f>
        <v>5.6684439043760222E-4</v>
      </c>
      <c r="G31">
        <f>'EcoAir 610M'!L44</f>
        <v>5.3488252371619994E-4</v>
      </c>
      <c r="H31">
        <f>'EcoAir 610M'!M44</f>
        <v>-1.1759400559930893E-2</v>
      </c>
      <c r="I31">
        <f>'EcoAir 610M'!N44</f>
        <v>-2.5947785754173625E-3</v>
      </c>
      <c r="J31">
        <f>'EcoAir 610M'!O44</f>
        <v>-2.3306642798387872E-2</v>
      </c>
      <c r="K31">
        <f>'EcoAir 610M'!P44</f>
        <v>0.32312588962222344</v>
      </c>
    </row>
    <row r="32" spans="1:15" x14ac:dyDescent="0.25">
      <c r="A32" t="s">
        <v>34</v>
      </c>
      <c r="B32">
        <f>'EcoAir 614M'!G44</f>
        <v>1.4376812245459522E-4</v>
      </c>
      <c r="C32">
        <f>'EcoAir 614M'!H44</f>
        <v>7.0568678763024127E-4</v>
      </c>
      <c r="D32">
        <f>'EcoAir 614M'!I44</f>
        <v>-2.9633543936121509E-5</v>
      </c>
      <c r="E32">
        <f>'EcoAir 614M'!J44</f>
        <v>9.019040831784304E-5</v>
      </c>
      <c r="F32">
        <f>'EcoAir 614M'!K44</f>
        <v>5.6684439043760222E-4</v>
      </c>
      <c r="G32">
        <f>'EcoAir 614M'!L44</f>
        <v>5.3488252371619994E-4</v>
      </c>
      <c r="H32">
        <f>'EcoAir 614M'!M44</f>
        <v>-1.1759400559930893E-2</v>
      </c>
      <c r="I32">
        <f>'EcoAir 614M'!N44</f>
        <v>-2.5947785754173625E-3</v>
      </c>
      <c r="J32">
        <f>'EcoAir 614M'!O44</f>
        <v>-2.3306642798387872E-2</v>
      </c>
      <c r="K32">
        <f>'EcoAir 614M'!P44</f>
        <v>0.32312588962222344</v>
      </c>
    </row>
    <row r="33" spans="1:11" x14ac:dyDescent="0.25">
      <c r="A33" t="s">
        <v>35</v>
      </c>
      <c r="B33">
        <f>'EcoAir 622M'!G46</f>
        <v>2.0684136346033917E-4</v>
      </c>
      <c r="C33">
        <f>'EcoAir 622M'!H46</f>
        <v>9.1850676427595289E-4</v>
      </c>
      <c r="D33">
        <f>'EcoAir 622M'!I46</f>
        <v>-3.076923076923278E-5</v>
      </c>
      <c r="E33">
        <f>'EcoAir 622M'!J46</f>
        <v>3.7195567618734173E-4</v>
      </c>
      <c r="F33">
        <f>'EcoAir 622M'!K46</f>
        <v>5.9458223525089132E-4</v>
      </c>
      <c r="G33">
        <f>'EcoAir 622M'!L46</f>
        <v>1.2577822023188115E-3</v>
      </c>
      <c r="H33">
        <f>'EcoAir 622M'!M46</f>
        <v>-8.5547783787713813E-3</v>
      </c>
      <c r="I33">
        <f>'EcoAir 622M'!N46</f>
        <v>1.2066290926086059E-2</v>
      </c>
      <c r="J33">
        <f>'EcoAir 622M'!O46</f>
        <v>-3.0579856453766641E-2</v>
      </c>
      <c r="K33">
        <f>'EcoAir 622M'!P46</f>
        <v>1.1842915481876659E-2</v>
      </c>
    </row>
    <row r="34" spans="1:11" x14ac:dyDescent="0.25">
      <c r="A34" t="s">
        <v>36</v>
      </c>
      <c r="B34">
        <f>'EcoAir 510M'!G40</f>
        <v>1.1357965747063398E-4</v>
      </c>
      <c r="C34">
        <f>'EcoAir 510M'!H40</f>
        <v>2.5572961085970847E-4</v>
      </c>
      <c r="D34">
        <f>'EcoAir 510M'!I40</f>
        <v>-1.1045454545454564E-3</v>
      </c>
      <c r="E34">
        <f>'EcoAir 510M'!J40</f>
        <v>2.6033567691994983E-4</v>
      </c>
      <c r="F34">
        <f>'EcoAir 510M'!K40</f>
        <v>5.3502869355874733E-4</v>
      </c>
      <c r="G34">
        <f>'EcoAir 510M'!L40</f>
        <v>-2.5368317912456581E-4</v>
      </c>
      <c r="H34">
        <f>'EcoAir 510M'!M40</f>
        <v>1.0051309840707833E-2</v>
      </c>
      <c r="I34">
        <f>'EcoAir 510M'!N40</f>
        <v>0.10536901322527308</v>
      </c>
      <c r="J34">
        <f>'EcoAir 510M'!O40</f>
        <v>-3.204445007037194E-2</v>
      </c>
      <c r="K34">
        <f>'EcoAir 510M'!P40</f>
        <v>-2.3018576484288467</v>
      </c>
    </row>
    <row r="35" spans="1:11" x14ac:dyDescent="0.25">
      <c r="A35" t="s">
        <v>37</v>
      </c>
      <c r="B35">
        <f>'EcoAir 520M'!G57</f>
        <v>1.024935514040044E-4</v>
      </c>
      <c r="C35">
        <f>'EcoAir 520M'!H57</f>
        <v>6.0149661268679635E-4</v>
      </c>
      <c r="D35">
        <f>'EcoAir 520M'!I57</f>
        <v>6.3046105749868747E-5</v>
      </c>
      <c r="E35">
        <f>'EcoAir 520M'!J57</f>
        <v>6.4291223950606845E-4</v>
      </c>
      <c r="F35">
        <f>'EcoAir 520M'!K57</f>
        <v>-1.0849857173820992E-4</v>
      </c>
      <c r="G35">
        <f>'EcoAir 520M'!L57</f>
        <v>5.7707995292147934E-4</v>
      </c>
      <c r="H35">
        <f>'EcoAir 520M'!M57</f>
        <v>1.8246321130598937E-2</v>
      </c>
      <c r="I35">
        <f>'EcoAir 520M'!N57</f>
        <v>1.6403372218702958E-2</v>
      </c>
      <c r="J35">
        <f>'EcoAir 520M'!O57</f>
        <v>-1.0670836199569586E-2</v>
      </c>
      <c r="K35">
        <f>'EcoAir 520M'!P57</f>
        <v>-0.67051709533760961</v>
      </c>
    </row>
    <row r="36" spans="1:11" x14ac:dyDescent="0.25">
      <c r="A36" t="s">
        <v>80</v>
      </c>
      <c r="B36">
        <f>'RTC 6i'!G38</f>
        <v>7.4647706440945705E-5</v>
      </c>
      <c r="C36">
        <f>'RTC 6i'!H38</f>
        <v>2.8971449974300842E-4</v>
      </c>
      <c r="D36">
        <f>'RTC 6i'!I38</f>
        <v>2.071784290398596E-4</v>
      </c>
      <c r="E36">
        <f>'RTC 6i'!J38</f>
        <v>2.6190027629377933E-4</v>
      </c>
      <c r="F36">
        <f>'RTC 6i'!K38</f>
        <v>3.2876602104155194E-4</v>
      </c>
      <c r="G36">
        <f>'RTC 6i'!L38</f>
        <v>-5.0195023042280279E-5</v>
      </c>
      <c r="H36">
        <f>'RTC 6i'!M38</f>
        <v>-2.0357722535063352E-3</v>
      </c>
      <c r="I36">
        <f>'RTC 6i'!N38</f>
        <v>-1.707836265520395E-2</v>
      </c>
      <c r="J36">
        <f>'RTC 6i'!O38</f>
        <v>-2.2376432849072016E-2</v>
      </c>
      <c r="K36">
        <f>'RTC 6i'!P38</f>
        <v>0.4933764580153765</v>
      </c>
    </row>
    <row r="37" spans="1:11" x14ac:dyDescent="0.25">
      <c r="A37" t="s">
        <v>81</v>
      </c>
      <c r="B37">
        <f>'RTC 12i'!G52</f>
        <v>2.7724072084974339E-4</v>
      </c>
      <c r="C37">
        <f>'RTC 12i'!H52</f>
        <v>5.2086291643910383E-4</v>
      </c>
      <c r="D37">
        <f>'RTC 12i'!I52</f>
        <v>4.7333333333333114E-4</v>
      </c>
      <c r="E37">
        <f>'RTC 12i'!J52</f>
        <v>4.6473607175332853E-4</v>
      </c>
      <c r="F37">
        <f>'RTC 12i'!K52</f>
        <v>4.5751911639762026E-4</v>
      </c>
      <c r="G37">
        <f>'RTC 12i'!L52</f>
        <v>-2.71725570608561E-4</v>
      </c>
      <c r="H37">
        <f>'RTC 12i'!M52</f>
        <v>-1.4173178002204256E-2</v>
      </c>
      <c r="I37">
        <f>'RTC 12i'!N52</f>
        <v>-2.9199120607814402E-2</v>
      </c>
      <c r="J37">
        <f>'RTC 12i'!O52</f>
        <v>-3.6091301575639438E-2</v>
      </c>
      <c r="K37">
        <f>'RTC 12i'!P52</f>
        <v>1.0534838468303713</v>
      </c>
    </row>
    <row r="38" spans="1:11" x14ac:dyDescent="0.25">
      <c r="A38" t="s">
        <v>89</v>
      </c>
      <c r="B38">
        <f>'RTC 13e'!G75</f>
        <v>1.4127912910855679E-4</v>
      </c>
      <c r="C38">
        <f>'RTC 13e'!H75</f>
        <v>7.038540817770843E-4</v>
      </c>
      <c r="D38">
        <f>'RTC 13e'!I75</f>
        <v>4.4354652715354956E-4</v>
      </c>
      <c r="E38">
        <f>'RTC 13e'!J75</f>
        <v>2.4500426228791372E-4</v>
      </c>
      <c r="F38">
        <f>'RTC 13e'!K75</f>
        <v>3.6933614038488021E-4</v>
      </c>
      <c r="G38">
        <f>'RTC 13e'!L75</f>
        <v>-1.3953165126720794E-4</v>
      </c>
      <c r="H38">
        <f>'RTC 13e'!M75</f>
        <v>-1.3035125166024389E-2</v>
      </c>
      <c r="I38">
        <f>'RTC 13e'!N75</f>
        <v>-4.293801488581156E-2</v>
      </c>
      <c r="J38">
        <f>'RTC 13e'!O75</f>
        <v>-2.3335688607504557E-2</v>
      </c>
      <c r="K38">
        <f>'RTC 13e'!P75</f>
        <v>1.343628243251791</v>
      </c>
    </row>
    <row r="39" spans="1:11" x14ac:dyDescent="0.25">
      <c r="A39" t="s">
        <v>88</v>
      </c>
      <c r="B39">
        <f>'RTC 20e'!G83</f>
        <v>8.7870971294098073E-5</v>
      </c>
      <c r="C39">
        <f>'RTC 20e'!H83</f>
        <v>9.8281728903208514E-4</v>
      </c>
      <c r="D39">
        <f>'RTC 20e'!I83</f>
        <v>6.8782236608743992E-4</v>
      </c>
      <c r="E39">
        <f>'RTC 20e'!J83</f>
        <v>3.8388527654729363E-4</v>
      </c>
      <c r="F39">
        <f>'RTC 20e'!K83</f>
        <v>6.840877087507934E-4</v>
      </c>
      <c r="G39">
        <f>'RTC 20e'!L83</f>
        <v>-4.0337956722530876E-4</v>
      </c>
      <c r="H39">
        <f>'RTC 20e'!M83</f>
        <v>1.0949211923753432E-2</v>
      </c>
      <c r="I39">
        <f>'RTC 20e'!N83</f>
        <v>-5.3243946475330109E-2</v>
      </c>
      <c r="J39">
        <f>'RTC 20e'!O83</f>
        <v>-3.836095533612012E-2</v>
      </c>
      <c r="K39">
        <f>'RTC 20e'!P83</f>
        <v>1.2072946964032416</v>
      </c>
    </row>
    <row r="40" spans="1:11" x14ac:dyDescent="0.25">
      <c r="A40" t="s">
        <v>94</v>
      </c>
      <c r="B40">
        <f>'EcoPart 612M'!G24</f>
        <v>8.3710562414266359E-5</v>
      </c>
      <c r="C40">
        <f>'EcoPart 612M'!H24</f>
        <v>6.0246913580247041E-4</v>
      </c>
      <c r="D40">
        <f>'EcoPart 612M'!I24</f>
        <v>1.0339506172839645E-4</v>
      </c>
      <c r="E40">
        <f>'EcoPart 612M'!J24</f>
        <v>2.6748971193418454E-5</v>
      </c>
      <c r="F40">
        <f>'EcoPart 612M'!K24</f>
        <v>5.1975308641975749E-4</v>
      </c>
      <c r="G40">
        <f>'EcoPart 612M'!L24</f>
        <v>-4.9189300411523352E-3</v>
      </c>
      <c r="H40">
        <f>'EcoPart 612M'!M24</f>
        <v>4.7729766803839956E-3</v>
      </c>
      <c r="I40">
        <f>'EcoPart 612M'!N24</f>
        <v>-1.1861111111111306E-2</v>
      </c>
      <c r="J40">
        <f>'EcoPart 612M'!O24</f>
        <v>0</v>
      </c>
      <c r="K40">
        <f>'EcoPart 612M'!P24</f>
        <v>8.2005315500693177E-2</v>
      </c>
    </row>
    <row r="41" spans="1:11" x14ac:dyDescent="0.25">
      <c r="A41" t="s">
        <v>95</v>
      </c>
      <c r="B41">
        <f>'EcoPart 616M'!G25</f>
        <v>3.6759259259259302E-4</v>
      </c>
      <c r="C41">
        <f>'EcoPart 616M'!H25</f>
        <v>6.2916666666666665E-4</v>
      </c>
      <c r="D41">
        <f>'EcoPart 616M'!I25</f>
        <v>8.3333333333335065E-5</v>
      </c>
      <c r="E41">
        <f>'EcoPart 616M'!J25</f>
        <v>6.3333333333333373E-4</v>
      </c>
      <c r="F41">
        <f>'EcoPart 616M'!K25</f>
        <v>1.9999999999999407E-4</v>
      </c>
      <c r="G41">
        <f>'EcoPart 616M'!L25</f>
        <v>-4.3111111111110564E-3</v>
      </c>
      <c r="H41">
        <f>'EcoPart 616M'!M25</f>
        <v>-2.7384259259259558E-3</v>
      </c>
      <c r="I41">
        <f>'EcoPart 616M'!N25</f>
        <v>1.5541666666666551E-2</v>
      </c>
      <c r="J41">
        <f>'EcoPart 616M'!O25</f>
        <v>0</v>
      </c>
      <c r="K41">
        <f>'EcoPart 616M'!P25</f>
        <v>-0.27081018518518341</v>
      </c>
    </row>
    <row r="42" spans="1:11" x14ac:dyDescent="0.25">
      <c r="A42" t="s">
        <v>98</v>
      </c>
      <c r="B42">
        <f>'EcoPart 406'!G15</f>
        <v>0</v>
      </c>
      <c r="C42">
        <f>'EcoPart 406'!H15</f>
        <v>-4.3742857142857141E-4</v>
      </c>
      <c r="D42">
        <f>'EcoPart 406'!I15</f>
        <v>5.5714285714285718E-4</v>
      </c>
      <c r="E42">
        <f>'EcoPart 406'!J15</f>
        <v>-3.3542857142857029E-4</v>
      </c>
      <c r="F42">
        <f>'EcoPart 406'!K15</f>
        <v>4.4571428571428426E-4</v>
      </c>
      <c r="G42">
        <f>'EcoPart 406'!L15</f>
        <v>4.5714285714283934E-5</v>
      </c>
      <c r="H42">
        <f>'EcoPart 406'!M15</f>
        <v>0</v>
      </c>
      <c r="I42">
        <f>'EcoPart 406'!N15</f>
        <v>0</v>
      </c>
      <c r="J42">
        <f>'EcoPart 406'!O15</f>
        <v>0</v>
      </c>
      <c r="K42">
        <f>'EcoPart 406'!P15</f>
        <v>1.391285714285714</v>
      </c>
    </row>
    <row r="43" spans="1:11" x14ac:dyDescent="0.25">
      <c r="A43" t="s">
        <v>99</v>
      </c>
      <c r="B43">
        <f>'EcoPart 408'!G15</f>
        <v>0</v>
      </c>
      <c r="C43">
        <f>'EcoPart 408'!H15</f>
        <v>-4.9142857142856953E-4</v>
      </c>
      <c r="D43">
        <f>'EcoPart 408'!I15</f>
        <v>6.5714285714285571E-4</v>
      </c>
      <c r="E43">
        <f>'EcoPart 408'!J15</f>
        <v>-1.3142857142857655E-4</v>
      </c>
      <c r="F43">
        <f>'EcoPart 408'!K15</f>
        <v>4.8571428571429211E-4</v>
      </c>
      <c r="G43">
        <f>'EcoPart 408'!L15</f>
        <v>8.5714285714279234E-5</v>
      </c>
      <c r="H43">
        <f>'EcoPart 408'!M15</f>
        <v>0</v>
      </c>
      <c r="I43">
        <f>'EcoPart 408'!N15</f>
        <v>0</v>
      </c>
      <c r="J43">
        <f>'EcoPart 408'!O15</f>
        <v>0</v>
      </c>
      <c r="K43">
        <f>'EcoPart 408'!P15</f>
        <v>1.8992857142857131</v>
      </c>
    </row>
    <row r="44" spans="1:11" x14ac:dyDescent="0.25">
      <c r="A44" t="s">
        <v>97</v>
      </c>
      <c r="B44">
        <f>'EcoPart 410'!G15</f>
        <v>0</v>
      </c>
      <c r="C44">
        <f>'EcoPart 410'!H15</f>
        <v>-4.9999999999999481E-5</v>
      </c>
      <c r="D44">
        <f>'EcoPart 410'!I15</f>
        <v>5.4999999999999949E-4</v>
      </c>
      <c r="E44">
        <f>'EcoPart 410'!J15</f>
        <v>-4.6000000000000278E-4</v>
      </c>
      <c r="F44">
        <f>'EcoPart 410'!K15</f>
        <v>8.0000000000000329E-4</v>
      </c>
      <c r="G44">
        <f>'EcoPart 410'!L15</f>
        <v>-1.9999999999999765E-4</v>
      </c>
      <c r="H44">
        <f>'EcoPart 410'!M15</f>
        <v>0</v>
      </c>
      <c r="I44">
        <f>'EcoPart 410'!N15</f>
        <v>0</v>
      </c>
      <c r="J44">
        <f>'EcoPart 410'!O15</f>
        <v>0</v>
      </c>
      <c r="K44">
        <f>'EcoPart 410'!P15</f>
        <v>1.5887499999999992</v>
      </c>
    </row>
    <row r="45" spans="1:11" x14ac:dyDescent="0.25">
      <c r="A45" t="s">
        <v>100</v>
      </c>
      <c r="B45">
        <f>'EcoPart 412'!G15</f>
        <v>0</v>
      </c>
      <c r="C45">
        <f>'EcoPart 412'!H15</f>
        <v>-2.1942857142857216E-4</v>
      </c>
      <c r="D45">
        <f>'EcoPart 412'!I15</f>
        <v>7.571428571428576E-4</v>
      </c>
      <c r="E45">
        <f>'EcoPart 412'!J15</f>
        <v>6.7657142857142905E-4</v>
      </c>
      <c r="F45">
        <f>'EcoPart 412'!K15</f>
        <v>-4.3428571428571518E-4</v>
      </c>
      <c r="G45">
        <f>'EcoPart 412'!L15</f>
        <v>-3.4285714285706281E-5</v>
      </c>
      <c r="H45">
        <f>'EcoPart 412'!M15</f>
        <v>0</v>
      </c>
      <c r="I45">
        <f>'EcoPart 412'!N15</f>
        <v>0</v>
      </c>
      <c r="J45">
        <f>'EcoPart 412'!O15</f>
        <v>0</v>
      </c>
      <c r="K45">
        <f>'EcoPart 412'!P15</f>
        <v>2.0227857142857153</v>
      </c>
    </row>
    <row r="46" spans="1:11" x14ac:dyDescent="0.25">
      <c r="A46" t="s">
        <v>101</v>
      </c>
      <c r="B46">
        <f>'EcoPart 414'!G15</f>
        <v>0</v>
      </c>
      <c r="C46">
        <f>'EcoPart 414'!H15</f>
        <v>1.2285714285715794E-5</v>
      </c>
      <c r="D46">
        <f>'EcoPart 414'!I15</f>
        <v>7.2857142857142738E-4</v>
      </c>
      <c r="E46">
        <f>'EcoPart 414'!J15</f>
        <v>-8.5371428571429119E-4</v>
      </c>
      <c r="F46">
        <f>'EcoPart 414'!K15</f>
        <v>1.2628571428571489E-3</v>
      </c>
      <c r="G46">
        <f>'EcoPart 414'!L15</f>
        <v>-3.3714285714286701E-4</v>
      </c>
      <c r="H46">
        <f>'EcoPart 414'!M15</f>
        <v>0</v>
      </c>
      <c r="I46">
        <f>'EcoPart 414'!N15</f>
        <v>0</v>
      </c>
      <c r="J46">
        <f>'EcoPart 414'!O15</f>
        <v>0</v>
      </c>
      <c r="K46">
        <f>'EcoPart 414'!P15</f>
        <v>2.3061428571428557</v>
      </c>
    </row>
    <row r="47" spans="1:11" x14ac:dyDescent="0.25">
      <c r="A47" t="s">
        <v>102</v>
      </c>
      <c r="B47">
        <f>'EcoPart 417'!G14</f>
        <v>0</v>
      </c>
      <c r="C47">
        <f>'EcoPart 417'!H14</f>
        <v>1.2799999999999966E-3</v>
      </c>
      <c r="D47">
        <f>'EcoPart 417'!I14</f>
        <v>1.0000000000000194E-4</v>
      </c>
      <c r="E47">
        <f>'EcoPart 417'!J14</f>
        <v>-3.6666666666666694E-4</v>
      </c>
      <c r="F47">
        <f>'EcoPart 417'!K14</f>
        <v>7.9999999999999917E-4</v>
      </c>
      <c r="G47">
        <f>'EcoPart 417'!L14</f>
        <v>1.8000000000000145E-3</v>
      </c>
      <c r="H47">
        <f>'EcoPart 417'!M14</f>
        <v>0</v>
      </c>
      <c r="I47">
        <f>'EcoPart 417'!N14</f>
        <v>0</v>
      </c>
      <c r="J47">
        <f>'EcoPart 417'!O14</f>
        <v>0</v>
      </c>
      <c r="K47">
        <f>'EcoPart 417'!P14</f>
        <v>1.3608333333333378</v>
      </c>
    </row>
    <row r="49" spans="1:11" x14ac:dyDescent="0.25">
      <c r="A49" t="s">
        <v>28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</row>
    <row r="50" spans="1:11" x14ac:dyDescent="0.25">
      <c r="A50" t="s">
        <v>30</v>
      </c>
      <c r="B50">
        <f>'EcoAir 406'!G36</f>
        <v>0</v>
      </c>
      <c r="C50">
        <f>'EcoAir 406'!H36</f>
        <v>0</v>
      </c>
      <c r="D50">
        <f>'EcoAir 406'!I36</f>
        <v>0</v>
      </c>
      <c r="E50">
        <f>'EcoAir 406'!J36</f>
        <v>0</v>
      </c>
      <c r="F50">
        <f>'EcoAir 406'!K36</f>
        <v>0</v>
      </c>
      <c r="G50">
        <f>'EcoAir 406'!L36</f>
        <v>0</v>
      </c>
      <c r="H50">
        <f>'EcoAir 406'!M36</f>
        <v>0</v>
      </c>
      <c r="I50">
        <f>'EcoAir 406'!N36</f>
        <v>0</v>
      </c>
      <c r="J50">
        <f>'EcoAir 406'!O36</f>
        <v>0</v>
      </c>
      <c r="K50">
        <f>'EcoAir 406'!P36</f>
        <v>50</v>
      </c>
    </row>
    <row r="51" spans="1:11" x14ac:dyDescent="0.25">
      <c r="A51" t="s">
        <v>29</v>
      </c>
      <c r="B51">
        <f>'EcoAir 408'!G38</f>
        <v>0</v>
      </c>
      <c r="C51">
        <f>'EcoAir 408'!H38</f>
        <v>0</v>
      </c>
      <c r="D51">
        <f>'EcoAir 408'!I38</f>
        <v>0</v>
      </c>
      <c r="E51">
        <f>'EcoAir 408'!J38</f>
        <v>0</v>
      </c>
      <c r="F51">
        <f>'EcoAir 408'!K38</f>
        <v>0</v>
      </c>
      <c r="G51">
        <f>'EcoAir 408'!L38</f>
        <v>0</v>
      </c>
      <c r="H51">
        <f>'EcoAir 408'!M38</f>
        <v>0</v>
      </c>
      <c r="I51">
        <f>'EcoAir 408'!N38</f>
        <v>0</v>
      </c>
      <c r="J51">
        <f>'EcoAir 408'!O38</f>
        <v>0</v>
      </c>
      <c r="K51">
        <f>'EcoAir 408'!P38</f>
        <v>50</v>
      </c>
    </row>
    <row r="52" spans="1:11" x14ac:dyDescent="0.25">
      <c r="A52" t="s">
        <v>31</v>
      </c>
      <c r="B52">
        <f>'EcoAir 410'!G48</f>
        <v>0</v>
      </c>
      <c r="C52">
        <f>'EcoAir 410'!H48</f>
        <v>0</v>
      </c>
      <c r="D52">
        <f>'EcoAir 410'!I48</f>
        <v>0</v>
      </c>
      <c r="E52">
        <f>'EcoAir 410'!J48</f>
        <v>0</v>
      </c>
      <c r="F52">
        <f>'EcoAir 410'!K48</f>
        <v>0</v>
      </c>
      <c r="G52">
        <f>'EcoAir 410'!L48</f>
        <v>0</v>
      </c>
      <c r="H52">
        <f>'EcoAir 410'!M48</f>
        <v>0</v>
      </c>
      <c r="I52">
        <f>'EcoAir 410'!N48</f>
        <v>0</v>
      </c>
      <c r="J52">
        <f>'EcoAir 410'!O48</f>
        <v>0</v>
      </c>
      <c r="K52">
        <f>'EcoAir 410'!P48</f>
        <v>50</v>
      </c>
    </row>
    <row r="53" spans="1:11" x14ac:dyDescent="0.25">
      <c r="A53" t="s">
        <v>32</v>
      </c>
      <c r="B53">
        <f>'EcoAir 415'!G48</f>
        <v>0</v>
      </c>
      <c r="C53">
        <f>'EcoAir 415'!H48</f>
        <v>0</v>
      </c>
      <c r="D53">
        <f>'EcoAir 415'!I48</f>
        <v>0</v>
      </c>
      <c r="E53">
        <f>'EcoAir 415'!J48</f>
        <v>0</v>
      </c>
      <c r="F53">
        <f>'EcoAir 415'!K48</f>
        <v>0</v>
      </c>
      <c r="G53">
        <f>'EcoAir 415'!L48</f>
        <v>0</v>
      </c>
      <c r="H53">
        <f>'EcoAir 415'!M48</f>
        <v>0</v>
      </c>
      <c r="I53">
        <f>'EcoAir 415'!N48</f>
        <v>0</v>
      </c>
      <c r="J53">
        <f>'EcoAir 415'!O48</f>
        <v>0</v>
      </c>
      <c r="K53">
        <f>'EcoAir 415'!P48</f>
        <v>50</v>
      </c>
    </row>
    <row r="54" spans="1:11" x14ac:dyDescent="0.25">
      <c r="A54" t="s">
        <v>33</v>
      </c>
      <c r="B54">
        <f>'EcoAir 420'!G48</f>
        <v>0</v>
      </c>
      <c r="C54">
        <f>'EcoAir 420'!H48</f>
        <v>0</v>
      </c>
      <c r="D54">
        <f>'EcoAir 420'!I48</f>
        <v>0</v>
      </c>
      <c r="E54">
        <f>'EcoAir 420'!J48</f>
        <v>0</v>
      </c>
      <c r="F54">
        <f>'EcoAir 420'!K48</f>
        <v>0</v>
      </c>
      <c r="G54">
        <f>'EcoAir 420'!L48</f>
        <v>0</v>
      </c>
      <c r="H54">
        <f>'EcoAir 420'!M48</f>
        <v>0</v>
      </c>
      <c r="I54">
        <f>'EcoAir 420'!N48</f>
        <v>0</v>
      </c>
      <c r="J54">
        <f>'EcoAir 420'!O48</f>
        <v>0</v>
      </c>
      <c r="K54">
        <f>'EcoAir 420'!P48</f>
        <v>50</v>
      </c>
    </row>
    <row r="55" spans="1:11" x14ac:dyDescent="0.25">
      <c r="A55" t="s">
        <v>87</v>
      </c>
      <c r="B55">
        <f>'EcoAir 610M'!G86</f>
        <v>0.22687668232094504</v>
      </c>
      <c r="C55">
        <f>'EcoAir 610M'!H86</f>
        <v>-1.5979540146598293E-2</v>
      </c>
      <c r="D55">
        <f>'EcoAir 610M'!I86</f>
        <v>8.8464852694096691E-4</v>
      </c>
      <c r="E55">
        <f>'EcoAir 610M'!J86</f>
        <v>-0.31374862068470205</v>
      </c>
      <c r="F55">
        <f>'EcoAir 610M'!K86</f>
        <v>-2.2228846926202646E-2</v>
      </c>
      <c r="G55">
        <f>'EcoAir 610M'!L86</f>
        <v>-2.7478048679508414E-4</v>
      </c>
      <c r="H55">
        <f>'EcoAir 610M'!M86</f>
        <v>10.691751379509405</v>
      </c>
      <c r="I55">
        <f>'EcoAir 610M'!N86</f>
        <v>0.19529103916008014</v>
      </c>
      <c r="J55">
        <f>'EcoAir 610M'!O86</f>
        <v>0.82097019514243463</v>
      </c>
      <c r="K55">
        <f>'EcoAir 610M'!P86</f>
        <v>-11.298450811263727</v>
      </c>
    </row>
    <row r="56" spans="1:11" x14ac:dyDescent="0.25">
      <c r="A56" t="s">
        <v>34</v>
      </c>
      <c r="B56">
        <f>'EcoAir 614M'!G86</f>
        <v>0.22687668232094504</v>
      </c>
      <c r="C56">
        <f>'EcoAir 614M'!H86</f>
        <v>-1.5979540146598293E-2</v>
      </c>
      <c r="D56">
        <f>'EcoAir 614M'!I86</f>
        <v>8.8464852694096691E-4</v>
      </c>
      <c r="E56">
        <f>'EcoAir 614M'!J86</f>
        <v>-0.31374862068470205</v>
      </c>
      <c r="F56">
        <f>'EcoAir 614M'!K86</f>
        <v>-2.2228846926202646E-2</v>
      </c>
      <c r="G56">
        <f>'EcoAir 614M'!L86</f>
        <v>-2.7478048679508414E-4</v>
      </c>
      <c r="H56">
        <f>'EcoAir 614M'!M86</f>
        <v>10.691751379509405</v>
      </c>
      <c r="I56">
        <f>'EcoAir 614M'!N86</f>
        <v>0.19529103916008014</v>
      </c>
      <c r="J56">
        <f>'EcoAir 614M'!O86</f>
        <v>0.82097019514243463</v>
      </c>
      <c r="K56">
        <f>'EcoAir 614M'!P86</f>
        <v>-11.298450811263727</v>
      </c>
    </row>
    <row r="57" spans="1:11" x14ac:dyDescent="0.25">
      <c r="A57" t="s">
        <v>35</v>
      </c>
      <c r="B57">
        <f>'EcoAir 622M'!G90</f>
        <v>5.9295539869593718E-2</v>
      </c>
      <c r="C57">
        <f>'EcoAir 622M'!H90</f>
        <v>1.6449097279059167E-2</v>
      </c>
      <c r="D57">
        <f>'EcoAir 622M'!I90</f>
        <v>-8.0588790936176889E-6</v>
      </c>
      <c r="E57">
        <f>'EcoAir 622M'!J90</f>
        <v>-0.2341706966178069</v>
      </c>
      <c r="F57">
        <f>'EcoAir 622M'!K90</f>
        <v>-9.3729758285010286E-3</v>
      </c>
      <c r="G57">
        <f>'EcoAir 622M'!L90</f>
        <v>-1.4160005172093738E-2</v>
      </c>
      <c r="H57">
        <f>'EcoAir 622M'!M90</f>
        <v>6.1590067493968608</v>
      </c>
      <c r="I57">
        <f>'EcoAir 622M'!N90</f>
        <v>-0.19801239264667703</v>
      </c>
      <c r="J57">
        <f>'EcoAir 622M'!O90</f>
        <v>0.56977232572060843</v>
      </c>
      <c r="K57">
        <f>'EcoAir 622M'!P90</f>
        <v>0.59376949238319554</v>
      </c>
    </row>
    <row r="58" spans="1:11" x14ac:dyDescent="0.25">
      <c r="A58" t="s">
        <v>36</v>
      </c>
      <c r="B58">
        <f>'EcoAir 510M'!G78</f>
        <v>1.9734414893758209E-2</v>
      </c>
      <c r="C58">
        <f>'EcoAir 510M'!H78</f>
        <v>5.8354877815415623E-2</v>
      </c>
      <c r="D58">
        <f>'EcoAir 510M'!I78</f>
        <v>6.6472630848902245E-2</v>
      </c>
      <c r="E58">
        <f>'EcoAir 510M'!J78</f>
        <v>-0.308245205813511</v>
      </c>
      <c r="F58">
        <f>'EcoAir 510M'!K78</f>
        <v>5.8977283103868504E-3</v>
      </c>
      <c r="G58">
        <f>'EcoAir 510M'!L78</f>
        <v>-1.1563825833210868E-2</v>
      </c>
      <c r="H58">
        <f>'EcoAir 510M'!M78</f>
        <v>9.9604062450267001</v>
      </c>
      <c r="I58">
        <f>'EcoAir 510M'!N78</f>
        <v>-5.9793454638756858</v>
      </c>
      <c r="J58">
        <f>'EcoAir 510M'!O78</f>
        <v>-1.0645717351162847</v>
      </c>
      <c r="K58">
        <f>'EcoAir 510M'!P78</f>
        <v>124.57084268270083</v>
      </c>
    </row>
    <row r="59" spans="1:11" x14ac:dyDescent="0.25">
      <c r="A59" t="s">
        <v>37</v>
      </c>
      <c r="B59">
        <f>'EcoAir 520M'!G113</f>
        <v>0.1615729510465117</v>
      </c>
      <c r="C59">
        <f>'EcoAir 520M'!H113</f>
        <v>4.4429742982159307E-2</v>
      </c>
      <c r="D59">
        <f>'EcoAir 520M'!I113</f>
        <v>1.2213173272765936E-2</v>
      </c>
      <c r="E59">
        <f>'EcoAir 520M'!J113</f>
        <v>-0.37600182477143584</v>
      </c>
      <c r="F59">
        <f>'EcoAir 520M'!K113</f>
        <v>-8.2912200970094128E-4</v>
      </c>
      <c r="G59">
        <f>'EcoAir 520M'!L113</f>
        <v>3.7560085253575917E-2</v>
      </c>
      <c r="H59">
        <f>'EcoAir 520M'!M113</f>
        <v>3.633683998719814</v>
      </c>
      <c r="I59">
        <f>'EcoAir 520M'!N113</f>
        <v>-1.2698355614342485</v>
      </c>
      <c r="J59">
        <f>'EcoAir 520M'!O113</f>
        <v>0.47490980508947078</v>
      </c>
      <c r="K59">
        <f>'EcoAir 520M'!P113</f>
        <v>29.634693865606444</v>
      </c>
    </row>
    <row r="60" spans="1:11" x14ac:dyDescent="0.25">
      <c r="A60" t="s">
        <v>80</v>
      </c>
      <c r="B60">
        <f>'RTC 6i'!G74</f>
        <v>1.0656180385308478</v>
      </c>
      <c r="C60">
        <f>'RTC 6i'!H74</f>
        <v>9.4120992113309612E-2</v>
      </c>
      <c r="D60">
        <f>'RTC 6i'!I74</f>
        <v>-6.419514171358197E-3</v>
      </c>
      <c r="E60">
        <f>'RTC 6i'!J74</f>
        <v>-0.48083600479753269</v>
      </c>
      <c r="F60">
        <f>'RTC 6i'!K74</f>
        <v>-2.6736483939325942E-2</v>
      </c>
      <c r="G60">
        <f>'RTC 6i'!L74</f>
        <v>3.5202228322753576E-2</v>
      </c>
      <c r="H60">
        <f>'RTC 6i'!M74</f>
        <v>6.0230415163000721</v>
      </c>
      <c r="I60">
        <f>'RTC 6i'!N74</f>
        <v>0.66409169642331634</v>
      </c>
      <c r="J60">
        <f>'RTC 6i'!O74</f>
        <v>1.1006171816365202</v>
      </c>
      <c r="K60">
        <f>'RTC 6i'!P74</f>
        <v>-0.50138203119419877</v>
      </c>
    </row>
    <row r="61" spans="1:11" x14ac:dyDescent="0.25">
      <c r="A61" t="s">
        <v>81</v>
      </c>
      <c r="B61">
        <f>'RTC 12i'!G102</f>
        <v>-5.9354194097119749E-2</v>
      </c>
      <c r="C61">
        <f>'RTC 12i'!H102</f>
        <v>1.0029129952856257E-2</v>
      </c>
      <c r="D61">
        <f>'RTC 12i'!I102</f>
        <v>1.5334154281314974E-2</v>
      </c>
      <c r="E61">
        <f>'RTC 12i'!J102</f>
        <v>-0.18202764438201119</v>
      </c>
      <c r="F61">
        <f>'RTC 12i'!K102</f>
        <v>-1.5497534608138958E-2</v>
      </c>
      <c r="G61">
        <f>'RTC 12i'!L102</f>
        <v>2.0860760439188667E-2</v>
      </c>
      <c r="H61">
        <f>'RTC 12i'!M102</f>
        <v>8.9161233687473391</v>
      </c>
      <c r="I61">
        <f>'RTC 12i'!N102</f>
        <v>-0.7717917843461003</v>
      </c>
      <c r="J61">
        <f>'RTC 12i'!O102</f>
        <v>0.1062802128386976</v>
      </c>
      <c r="K61">
        <f>'RTC 12i'!P102</f>
        <v>6.2793600811223627</v>
      </c>
    </row>
    <row r="62" spans="1:11" x14ac:dyDescent="0.25">
      <c r="A62" t="s">
        <v>89</v>
      </c>
      <c r="B62">
        <f>'RTC 13e'!G148</f>
        <v>-0.1491666898250541</v>
      </c>
      <c r="C62">
        <f>'RTC 13e'!H148</f>
        <v>-9.4528985990313293E-3</v>
      </c>
      <c r="D62">
        <f>'RTC 13e'!I148</f>
        <v>9.5998489759117674E-3</v>
      </c>
      <c r="E62">
        <f>'RTC 13e'!J148</f>
        <v>-0.14158551186206514</v>
      </c>
      <c r="F62">
        <f>'RTC 13e'!K148</f>
        <v>6.1282968125776901E-3</v>
      </c>
      <c r="G62">
        <f>'RTC 13e'!L148</f>
        <v>9.0758279061136284E-3</v>
      </c>
      <c r="H62">
        <f>'RTC 13e'!M148</f>
        <v>12.077384305110382</v>
      </c>
      <c r="I62">
        <f>'RTC 13e'!N148</f>
        <v>-0.27225823477668271</v>
      </c>
      <c r="J62">
        <f>'RTC 13e'!O148</f>
        <v>-1.2696511922303593</v>
      </c>
      <c r="K62">
        <f>'RTC 13e'!P148</f>
        <v>-3.037670749531749</v>
      </c>
    </row>
    <row r="63" spans="1:11" x14ac:dyDescent="0.25">
      <c r="A63" t="s">
        <v>88</v>
      </c>
      <c r="B63">
        <f>'RTC 20e'!G164</f>
        <v>-4.5974905112857248E-2</v>
      </c>
      <c r="C63">
        <f>'RTC 20e'!H164</f>
        <v>2.3261487257627105E-2</v>
      </c>
      <c r="D63">
        <f>'RTC 20e'!I164</f>
        <v>-5.5582441046411503E-3</v>
      </c>
      <c r="E63">
        <f>'RTC 20e'!J164</f>
        <v>-0.11302806819971642</v>
      </c>
      <c r="F63">
        <f>'RTC 20e'!K164</f>
        <v>-7.0023070023556115E-3</v>
      </c>
      <c r="G63">
        <f>'RTC 20e'!L164</f>
        <v>2.8361621150400092E-2</v>
      </c>
      <c r="H63">
        <f>'RTC 20e'!M164</f>
        <v>4.9700494838356297</v>
      </c>
      <c r="I63">
        <f>'RTC 20e'!N164</f>
        <v>0.66151469401107055</v>
      </c>
      <c r="J63">
        <f>'RTC 20e'!O164</f>
        <v>-7.589135992384663E-2</v>
      </c>
      <c r="K63">
        <f>'RTC 20e'!P164</f>
        <v>-21.813236198407829</v>
      </c>
    </row>
    <row r="64" spans="1:11" x14ac:dyDescent="0.25">
      <c r="A64" t="s">
        <v>94</v>
      </c>
      <c r="B64">
        <f>'EcoPart 612M'!G46</f>
        <v>-0.23111335038039818</v>
      </c>
      <c r="C64">
        <f>'EcoPart 612M'!H46</f>
        <v>-1.6457979337159815E-2</v>
      </c>
      <c r="D64">
        <f>'EcoPart 612M'!I46</f>
        <v>4.8960170805664492E-3</v>
      </c>
      <c r="E64">
        <f>'EcoPart 612M'!J46</f>
        <v>-1.6615859218768902E-2</v>
      </c>
      <c r="F64">
        <f>'EcoPart 612M'!K46</f>
        <v>-6.2327239606436505E-3</v>
      </c>
      <c r="G64">
        <f>'EcoPart 612M'!L46</f>
        <v>-0.11712586265435346</v>
      </c>
      <c r="H64">
        <f>'EcoPart 612M'!M46</f>
        <v>10.106108462121735</v>
      </c>
      <c r="I64">
        <f>'EcoPart 612M'!N46</f>
        <v>2.3072572745662973E-3</v>
      </c>
      <c r="J64">
        <f>'EcoPart 612M'!O46</f>
        <v>0</v>
      </c>
      <c r="K64">
        <f>'EcoPart 612M'!P46</f>
        <v>-6.263309726549366</v>
      </c>
    </row>
    <row r="65" spans="1:11" x14ac:dyDescent="0.25">
      <c r="A65" t="s">
        <v>95</v>
      </c>
      <c r="B65">
        <f>'EcoPart 616M'!G48</f>
        <v>2.6409989924596904E-2</v>
      </c>
      <c r="C65">
        <f>'EcoPart 616M'!H48</f>
        <v>8.5119268271322355E-3</v>
      </c>
      <c r="D65">
        <f>'EcoPart 616M'!I48</f>
        <v>-4.1087198190910522E-3</v>
      </c>
      <c r="E65">
        <f>'EcoPart 616M'!J48</f>
        <v>-9.6221306286511196E-2</v>
      </c>
      <c r="F65">
        <f>'EcoPart 616M'!K48</f>
        <v>-3.1038251834638372E-2</v>
      </c>
      <c r="G65">
        <f>'EcoPart 616M'!L48</f>
        <v>0.19031938475936586</v>
      </c>
      <c r="H65">
        <f>'EcoPart 616M'!M48</f>
        <v>4.4584364870993713</v>
      </c>
      <c r="I65">
        <f>'EcoPart 616M'!N48</f>
        <v>0.49784825839672714</v>
      </c>
      <c r="J65">
        <f>'EcoPart 616M'!O48</f>
        <v>0</v>
      </c>
      <c r="K65">
        <f>'EcoPart 616M'!P48</f>
        <v>-13.692999503086124</v>
      </c>
    </row>
    <row r="66" spans="1:11" x14ac:dyDescent="0.25">
      <c r="A66" t="s">
        <v>98</v>
      </c>
      <c r="B66">
        <f>'EcoPart 406'!G28</f>
        <v>0</v>
      </c>
      <c r="C66">
        <f>'EcoPart 406'!H28</f>
        <v>0</v>
      </c>
      <c r="D66">
        <f>'EcoPart 406'!I28</f>
        <v>0</v>
      </c>
      <c r="E66">
        <f>'EcoPart 406'!J28</f>
        <v>0</v>
      </c>
      <c r="F66">
        <f>'EcoPart 406'!K28</f>
        <v>0</v>
      </c>
      <c r="G66">
        <f>'EcoPart 406'!L28</f>
        <v>0</v>
      </c>
      <c r="H66">
        <f>'EcoPart 406'!M28</f>
        <v>0</v>
      </c>
      <c r="I66">
        <f>'EcoPart 406'!N28</f>
        <v>0</v>
      </c>
      <c r="J66">
        <f>'EcoPart 406'!O28</f>
        <v>0</v>
      </c>
      <c r="K66">
        <f>'EcoPart 406'!P28</f>
        <v>50</v>
      </c>
    </row>
    <row r="67" spans="1:11" x14ac:dyDescent="0.25">
      <c r="A67" t="s">
        <v>99</v>
      </c>
      <c r="B67">
        <f>'EcoPart 408'!G28</f>
        <v>0</v>
      </c>
      <c r="C67">
        <f>'EcoPart 408'!H28</f>
        <v>0</v>
      </c>
      <c r="D67">
        <f>'EcoPart 408'!I28</f>
        <v>0</v>
      </c>
      <c r="E67">
        <f>'EcoPart 408'!J28</f>
        <v>0</v>
      </c>
      <c r="F67">
        <f>'EcoPart 408'!K28</f>
        <v>0</v>
      </c>
      <c r="G67">
        <f>'EcoPart 408'!L28</f>
        <v>0</v>
      </c>
      <c r="H67">
        <f>'EcoPart 408'!M28</f>
        <v>0</v>
      </c>
      <c r="I67">
        <f>'EcoPart 408'!N28</f>
        <v>0</v>
      </c>
      <c r="J67">
        <f>'EcoPart 408'!O28</f>
        <v>0</v>
      </c>
      <c r="K67">
        <f>'EcoPart 408'!P28</f>
        <v>50</v>
      </c>
    </row>
    <row r="68" spans="1:11" x14ac:dyDescent="0.25">
      <c r="A68" t="s">
        <v>97</v>
      </c>
      <c r="B68">
        <f>'EcoPart 410'!G28</f>
        <v>0</v>
      </c>
      <c r="C68">
        <f>'EcoPart 410'!H28</f>
        <v>0</v>
      </c>
      <c r="D68">
        <f>'EcoPart 410'!I28</f>
        <v>0</v>
      </c>
      <c r="E68">
        <f>'EcoPart 410'!J28</f>
        <v>0</v>
      </c>
      <c r="F68">
        <f>'EcoPart 410'!K28</f>
        <v>0</v>
      </c>
      <c r="G68">
        <f>'EcoPart 410'!L28</f>
        <v>0</v>
      </c>
      <c r="H68">
        <f>'EcoPart 410'!M28</f>
        <v>0</v>
      </c>
      <c r="I68">
        <f>'EcoPart 410'!N28</f>
        <v>0</v>
      </c>
      <c r="J68">
        <f>'EcoPart 410'!O28</f>
        <v>0</v>
      </c>
      <c r="K68">
        <f>'EcoPart 410'!P28</f>
        <v>50</v>
      </c>
    </row>
    <row r="69" spans="1:11" x14ac:dyDescent="0.25">
      <c r="A69" t="s">
        <v>100</v>
      </c>
      <c r="B69">
        <f>'EcoPart 412'!G28</f>
        <v>0</v>
      </c>
      <c r="C69">
        <f>'EcoPart 412'!H28</f>
        <v>0</v>
      </c>
      <c r="D69">
        <f>'EcoPart 412'!I28</f>
        <v>0</v>
      </c>
      <c r="E69">
        <f>'EcoPart 412'!J28</f>
        <v>0</v>
      </c>
      <c r="F69">
        <f>'EcoPart 412'!K28</f>
        <v>0</v>
      </c>
      <c r="G69">
        <f>'EcoPart 412'!L28</f>
        <v>0</v>
      </c>
      <c r="H69">
        <f>'EcoPart 412'!M28</f>
        <v>0</v>
      </c>
      <c r="I69">
        <f>'EcoPart 412'!N28</f>
        <v>0</v>
      </c>
      <c r="J69">
        <f>'EcoPart 412'!O28</f>
        <v>0</v>
      </c>
      <c r="K69">
        <f>'EcoPart 412'!P28</f>
        <v>50</v>
      </c>
    </row>
    <row r="70" spans="1:11" x14ac:dyDescent="0.25">
      <c r="A70" t="s">
        <v>101</v>
      </c>
      <c r="B70">
        <f>'EcoPart 414'!G28</f>
        <v>0</v>
      </c>
      <c r="C70">
        <f>'EcoPart 414'!H28</f>
        <v>0</v>
      </c>
      <c r="D70">
        <f>'EcoPart 414'!I28</f>
        <v>0</v>
      </c>
      <c r="E70">
        <f>'EcoPart 414'!J28</f>
        <v>0</v>
      </c>
      <c r="F70">
        <f>'EcoPart 414'!K28</f>
        <v>0</v>
      </c>
      <c r="G70">
        <f>'EcoPart 414'!L28</f>
        <v>0</v>
      </c>
      <c r="H70">
        <f>'EcoPart 414'!M28</f>
        <v>0</v>
      </c>
      <c r="I70">
        <f>'EcoPart 414'!N28</f>
        <v>0</v>
      </c>
      <c r="J70">
        <f>'EcoPart 414'!O28</f>
        <v>0</v>
      </c>
      <c r="K70">
        <f>'EcoPart 414'!P28</f>
        <v>50</v>
      </c>
    </row>
    <row r="71" spans="1:11" x14ac:dyDescent="0.25">
      <c r="A71" t="s">
        <v>102</v>
      </c>
      <c r="B71">
        <f>'EcoPart 417'!G26</f>
        <v>0</v>
      </c>
      <c r="C71">
        <f>'EcoPart 417'!H26</f>
        <v>0</v>
      </c>
      <c r="D71">
        <f>'EcoPart 417'!I26</f>
        <v>0</v>
      </c>
      <c r="E71">
        <f>'EcoPart 417'!J26</f>
        <v>0</v>
      </c>
      <c r="F71">
        <f>'EcoPart 417'!K26</f>
        <v>0</v>
      </c>
      <c r="G71">
        <f>'EcoPart 417'!L26</f>
        <v>0</v>
      </c>
      <c r="H71">
        <f>'EcoPart 417'!M26</f>
        <v>0</v>
      </c>
      <c r="I71">
        <f>'EcoPart 417'!N26</f>
        <v>0</v>
      </c>
      <c r="J71">
        <f>'EcoPart 417'!O26</f>
        <v>0</v>
      </c>
      <c r="K71">
        <f>'EcoPart 417'!P26</f>
        <v>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6"/>
  <dimension ref="A1:T49"/>
  <sheetViews>
    <sheetView zoomScale="70" zoomScaleNormal="70" workbookViewId="0">
      <selection activeCell="J2" sqref="J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LINEST(E4:E15,G4:O15)</f>
        <v>0</v>
      </c>
      <c r="H2" s="4">
        <v>-1.2528072870939446E-3</v>
      </c>
      <c r="I2" s="4">
        <v>4.1250000000000157E-4</v>
      </c>
      <c r="J2" s="4">
        <v>3.8488799036220274E-3</v>
      </c>
      <c r="K2" s="4">
        <v>-5.8165057067602961E-4</v>
      </c>
      <c r="L2" s="4">
        <v>3.7540642846126283E-3</v>
      </c>
      <c r="M2" s="4">
        <v>0</v>
      </c>
      <c r="N2" s="4">
        <v>0</v>
      </c>
      <c r="O2" s="4">
        <v>0</v>
      </c>
      <c r="P2" s="4">
        <v>6.3444857290715007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2.84</v>
      </c>
      <c r="F4" s="2"/>
      <c r="G4">
        <f t="shared" ref="G4:I15" si="0">A4</f>
        <v>-15</v>
      </c>
      <c r="H4" s="10">
        <f t="shared" si="0"/>
        <v>35</v>
      </c>
      <c r="I4">
        <f t="shared" si="0"/>
        <v>50</v>
      </c>
      <c r="J4">
        <f t="shared" ref="J4:J15" si="1">G4^2</f>
        <v>225</v>
      </c>
      <c r="K4">
        <f t="shared" ref="K4:K15" si="2">G4*H4</f>
        <v>-525</v>
      </c>
      <c r="L4">
        <f t="shared" ref="L4:L15" si="3">G4*I4</f>
        <v>-750</v>
      </c>
      <c r="M4">
        <f t="shared" ref="M4:M15" si="4">H4^2</f>
        <v>1225</v>
      </c>
      <c r="N4">
        <f t="shared" ref="N4:N15" si="5">H4*I4</f>
        <v>1750</v>
      </c>
      <c r="O4">
        <f t="shared" ref="O4:O15" si="6">I4^2</f>
        <v>2500</v>
      </c>
      <c r="Q4" s="11">
        <f t="shared" ref="Q4:Q15" si="7">$P$2+$O$2*G4+$N$2*H4+$M$2*I4+$L$2*J4+$K$2*K4+$J$2*L4+$I$2*M4+$H$2*N4+$G$2*O4</f>
        <v>2.9207565625833358</v>
      </c>
      <c r="R4" s="12">
        <f t="shared" ref="R4:R15" si="8">(Q4-E4)/E4</f>
        <v>2.8435409360329567E-2</v>
      </c>
      <c r="S4" s="11"/>
      <c r="T4" s="12"/>
    </row>
    <row r="5" spans="1:20" x14ac:dyDescent="0.25">
      <c r="A5">
        <v>-7</v>
      </c>
      <c r="B5">
        <v>35</v>
      </c>
      <c r="C5">
        <v>50</v>
      </c>
      <c r="E5">
        <v>3.87</v>
      </c>
      <c r="F5" s="2"/>
      <c r="G5">
        <f t="shared" si="0"/>
        <v>-7</v>
      </c>
      <c r="H5" s="10">
        <f t="shared" si="0"/>
        <v>35</v>
      </c>
      <c r="I5">
        <f t="shared" si="0"/>
        <v>50</v>
      </c>
      <c r="J5">
        <f t="shared" si="1"/>
        <v>49</v>
      </c>
      <c r="K5">
        <f t="shared" si="2"/>
        <v>-245</v>
      </c>
      <c r="L5">
        <f t="shared" si="3"/>
        <v>-350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3.6367310501510359</v>
      </c>
      <c r="R5" s="12">
        <f t="shared" si="8"/>
        <v>-6.0276214431256893E-2</v>
      </c>
      <c r="S5" s="11"/>
      <c r="T5" s="12"/>
    </row>
    <row r="6" spans="1:20" x14ac:dyDescent="0.25">
      <c r="A6">
        <v>2</v>
      </c>
      <c r="B6">
        <v>35</v>
      </c>
      <c r="C6">
        <v>50</v>
      </c>
      <c r="E6">
        <v>4.6900000000000004</v>
      </c>
      <c r="F6" s="2"/>
      <c r="G6">
        <f t="shared" si="0"/>
        <v>2</v>
      </c>
      <c r="H6" s="10">
        <f t="shared" si="0"/>
        <v>35</v>
      </c>
      <c r="I6">
        <f t="shared" si="0"/>
        <v>50</v>
      </c>
      <c r="J6">
        <f t="shared" si="1"/>
        <v>4</v>
      </c>
      <c r="K6">
        <f t="shared" si="2"/>
        <v>70</v>
      </c>
      <c r="L6">
        <f t="shared" si="3"/>
        <v>100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5.0165741842104303</v>
      </c>
      <c r="R6" s="12">
        <f t="shared" si="8"/>
        <v>6.9632022219707865E-2</v>
      </c>
      <c r="S6" s="11"/>
      <c r="T6" s="12"/>
    </row>
    <row r="7" spans="1:20" x14ac:dyDescent="0.25">
      <c r="A7">
        <v>7</v>
      </c>
      <c r="B7">
        <v>35</v>
      </c>
      <c r="C7">
        <v>50</v>
      </c>
      <c r="E7">
        <v>6.22</v>
      </c>
      <c r="F7" s="2"/>
      <c r="G7">
        <f t="shared" si="0"/>
        <v>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245</v>
      </c>
      <c r="L7">
        <f t="shared" si="3"/>
        <v>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6.0459382030551989</v>
      </c>
      <c r="R7" s="12">
        <f t="shared" si="8"/>
        <v>-2.7984211727459945E-2</v>
      </c>
      <c r="S7" s="11"/>
      <c r="T7" s="12"/>
    </row>
    <row r="8" spans="1:20" x14ac:dyDescent="0.25">
      <c r="A8">
        <v>-15</v>
      </c>
      <c r="B8">
        <v>45</v>
      </c>
      <c r="C8">
        <v>50</v>
      </c>
      <c r="E8">
        <v>2.65</v>
      </c>
      <c r="F8" s="2"/>
      <c r="G8">
        <f t="shared" si="0"/>
        <v>-15</v>
      </c>
      <c r="H8" s="10">
        <f t="shared" si="0"/>
        <v>45</v>
      </c>
      <c r="I8">
        <f t="shared" si="0"/>
        <v>50</v>
      </c>
      <c r="J8">
        <f t="shared" si="1"/>
        <v>225</v>
      </c>
      <c r="K8">
        <f t="shared" si="2"/>
        <v>-675</v>
      </c>
      <c r="L8">
        <f t="shared" si="3"/>
        <v>-750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2.7116005046377691</v>
      </c>
      <c r="R8" s="12">
        <f t="shared" si="8"/>
        <v>2.3245473448214805E-2</v>
      </c>
      <c r="S8" s="11"/>
      <c r="T8" s="12"/>
    </row>
    <row r="9" spans="1:20" x14ac:dyDescent="0.25">
      <c r="A9">
        <v>-7</v>
      </c>
      <c r="B9">
        <v>45</v>
      </c>
      <c r="C9">
        <v>50</v>
      </c>
      <c r="E9">
        <v>3.63</v>
      </c>
      <c r="F9" s="2"/>
      <c r="G9">
        <f t="shared" si="0"/>
        <v>-7</v>
      </c>
      <c r="H9" s="10">
        <f t="shared" si="0"/>
        <v>45</v>
      </c>
      <c r="I9">
        <f t="shared" si="0"/>
        <v>50</v>
      </c>
      <c r="J9">
        <f t="shared" si="1"/>
        <v>49</v>
      </c>
      <c r="K9">
        <f t="shared" si="2"/>
        <v>-315</v>
      </c>
      <c r="L9">
        <f t="shared" si="3"/>
        <v>-350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3.3810429465513869</v>
      </c>
      <c r="R9" s="12">
        <f t="shared" si="8"/>
        <v>-6.8583210316422311E-2</v>
      </c>
      <c r="S9" s="11"/>
      <c r="T9" s="12"/>
    </row>
    <row r="10" spans="1:20" x14ac:dyDescent="0.25">
      <c r="A10">
        <v>2</v>
      </c>
      <c r="B10">
        <v>45</v>
      </c>
      <c r="C10">
        <v>50</v>
      </c>
      <c r="E10">
        <v>4.34</v>
      </c>
      <c r="G10">
        <f t="shared" si="0"/>
        <v>2</v>
      </c>
      <c r="H10" s="10">
        <f t="shared" si="0"/>
        <v>45</v>
      </c>
      <c r="I10">
        <f t="shared" si="0"/>
        <v>50</v>
      </c>
      <c r="J10">
        <f t="shared" si="1"/>
        <v>4</v>
      </c>
      <c r="K10">
        <f t="shared" si="2"/>
        <v>90</v>
      </c>
      <c r="L10">
        <f t="shared" si="3"/>
        <v>100</v>
      </c>
      <c r="M10">
        <f t="shared" si="4"/>
        <v>2025</v>
      </c>
      <c r="N10">
        <f t="shared" si="5"/>
        <v>2250</v>
      </c>
      <c r="O10">
        <f t="shared" si="6"/>
        <v>2500</v>
      </c>
      <c r="Q10" s="11">
        <f t="shared" si="7"/>
        <v>4.7085375292499396</v>
      </c>
      <c r="R10" s="12">
        <f t="shared" si="8"/>
        <v>8.4916481393995338E-2</v>
      </c>
      <c r="S10" s="11"/>
      <c r="T10" s="12"/>
    </row>
    <row r="11" spans="1:20" x14ac:dyDescent="0.25">
      <c r="A11">
        <v>7</v>
      </c>
      <c r="B11">
        <v>45</v>
      </c>
      <c r="C11">
        <v>50</v>
      </c>
      <c r="E11">
        <v>5.89</v>
      </c>
      <c r="G11">
        <f t="shared" si="0"/>
        <v>7</v>
      </c>
      <c r="H11" s="10">
        <f t="shared" si="0"/>
        <v>45</v>
      </c>
      <c r="I11">
        <f t="shared" si="0"/>
        <v>50</v>
      </c>
      <c r="J11">
        <f t="shared" si="1"/>
        <v>49</v>
      </c>
      <c r="K11">
        <f t="shared" si="2"/>
        <v>315</v>
      </c>
      <c r="L11">
        <f t="shared" si="3"/>
        <v>350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5.7088190195609076</v>
      </c>
      <c r="R11" s="12">
        <f t="shared" si="8"/>
        <v>-3.0760777663682858E-2</v>
      </c>
      <c r="S11" s="11"/>
      <c r="T11" s="12"/>
    </row>
    <row r="12" spans="1:20" x14ac:dyDescent="0.25">
      <c r="A12">
        <v>-7</v>
      </c>
      <c r="B12">
        <v>55</v>
      </c>
      <c r="C12">
        <v>50</v>
      </c>
      <c r="E12">
        <v>3.43</v>
      </c>
      <c r="G12">
        <f t="shared" si="0"/>
        <v>-7</v>
      </c>
      <c r="H12" s="10">
        <f t="shared" si="0"/>
        <v>55</v>
      </c>
      <c r="I12">
        <f t="shared" si="0"/>
        <v>50</v>
      </c>
      <c r="J12">
        <f t="shared" si="1"/>
        <v>49</v>
      </c>
      <c r="K12">
        <f t="shared" si="2"/>
        <v>-385</v>
      </c>
      <c r="L12">
        <f t="shared" si="3"/>
        <v>-350</v>
      </c>
      <c r="M12">
        <f t="shared" si="4"/>
        <v>3025</v>
      </c>
      <c r="N12">
        <f t="shared" si="5"/>
        <v>2750</v>
      </c>
      <c r="O12">
        <f t="shared" si="6"/>
        <v>2500</v>
      </c>
      <c r="Q12" s="11">
        <f t="shared" si="7"/>
        <v>3.207854842951738</v>
      </c>
      <c r="R12" s="12">
        <f t="shared" si="8"/>
        <v>-6.4765351909114338E-2</v>
      </c>
      <c r="S12" s="11"/>
      <c r="T12" s="12"/>
    </row>
    <row r="13" spans="1:20" x14ac:dyDescent="0.25">
      <c r="A13">
        <v>2</v>
      </c>
      <c r="B13">
        <v>55</v>
      </c>
      <c r="C13">
        <v>50</v>
      </c>
      <c r="E13">
        <v>4.25</v>
      </c>
      <c r="G13">
        <f t="shared" si="0"/>
        <v>2</v>
      </c>
      <c r="H13" s="10">
        <f t="shared" si="0"/>
        <v>55</v>
      </c>
      <c r="I13">
        <f t="shared" si="0"/>
        <v>50</v>
      </c>
      <c r="J13">
        <f t="shared" si="1"/>
        <v>4</v>
      </c>
      <c r="K13">
        <f t="shared" si="2"/>
        <v>110</v>
      </c>
      <c r="L13">
        <f t="shared" si="3"/>
        <v>100</v>
      </c>
      <c r="M13">
        <f t="shared" si="4"/>
        <v>3025</v>
      </c>
      <c r="N13">
        <f t="shared" si="5"/>
        <v>2750</v>
      </c>
      <c r="O13">
        <f t="shared" si="6"/>
        <v>2500</v>
      </c>
      <c r="Q13" s="11">
        <f t="shared" si="7"/>
        <v>4.4830008742894476</v>
      </c>
      <c r="R13" s="12">
        <f t="shared" si="8"/>
        <v>5.4823735126928848E-2</v>
      </c>
      <c r="S13" s="11"/>
      <c r="T13" s="12"/>
    </row>
    <row r="14" spans="1:20" x14ac:dyDescent="0.25">
      <c r="A14">
        <v>7</v>
      </c>
      <c r="B14">
        <v>55</v>
      </c>
      <c r="C14">
        <v>50</v>
      </c>
      <c r="E14">
        <v>5.56</v>
      </c>
      <c r="G14">
        <f t="shared" si="0"/>
        <v>7</v>
      </c>
      <c r="H14" s="10">
        <f t="shared" si="0"/>
        <v>55</v>
      </c>
      <c r="I14">
        <f t="shared" si="0"/>
        <v>50</v>
      </c>
      <c r="J14">
        <f t="shared" si="1"/>
        <v>49</v>
      </c>
      <c r="K14">
        <f t="shared" si="2"/>
        <v>385</v>
      </c>
      <c r="L14">
        <f t="shared" si="3"/>
        <v>350</v>
      </c>
      <c r="M14">
        <f t="shared" si="4"/>
        <v>3025</v>
      </c>
      <c r="N14">
        <f t="shared" si="5"/>
        <v>2750</v>
      </c>
      <c r="O14">
        <f t="shared" si="6"/>
        <v>2500</v>
      </c>
      <c r="Q14" s="11">
        <f t="shared" si="7"/>
        <v>5.4541998360666142</v>
      </c>
      <c r="R14" s="12">
        <f t="shared" si="8"/>
        <v>-1.9028806462839106E-2</v>
      </c>
      <c r="S14" s="11"/>
      <c r="T14" s="12"/>
    </row>
    <row r="15" spans="1:20" x14ac:dyDescent="0.25">
      <c r="A15">
        <v>-15</v>
      </c>
      <c r="B15">
        <v>55</v>
      </c>
      <c r="C15">
        <v>50</v>
      </c>
      <c r="E15">
        <v>2.4900000000000002</v>
      </c>
      <c r="G15">
        <f t="shared" si="0"/>
        <v>-15</v>
      </c>
      <c r="H15" s="10">
        <f t="shared" si="0"/>
        <v>55</v>
      </c>
      <c r="I15">
        <f t="shared" si="0"/>
        <v>50</v>
      </c>
      <c r="J15">
        <f t="shared" si="1"/>
        <v>225</v>
      </c>
      <c r="K15">
        <f t="shared" si="2"/>
        <v>-825</v>
      </c>
      <c r="L15">
        <f t="shared" si="3"/>
        <v>-750</v>
      </c>
      <c r="M15">
        <f t="shared" si="4"/>
        <v>3025</v>
      </c>
      <c r="N15">
        <f t="shared" si="5"/>
        <v>2750</v>
      </c>
      <c r="O15">
        <f t="shared" si="6"/>
        <v>2500</v>
      </c>
      <c r="Q15" s="11">
        <f t="shared" si="7"/>
        <v>2.5849444466922025</v>
      </c>
      <c r="R15" s="12">
        <f t="shared" si="8"/>
        <v>3.8130299876386442E-2</v>
      </c>
      <c r="S15" s="11"/>
      <c r="T15" s="12"/>
    </row>
    <row r="18" spans="1:18" x14ac:dyDescent="0.25">
      <c r="A18" t="s">
        <v>27</v>
      </c>
      <c r="G18" s="4" t="s">
        <v>1</v>
      </c>
      <c r="H18" s="4" t="s">
        <v>2</v>
      </c>
      <c r="I18" s="4" t="s">
        <v>3</v>
      </c>
      <c r="J18" s="4" t="s">
        <v>4</v>
      </c>
      <c r="K18" s="4" t="s">
        <v>5</v>
      </c>
      <c r="L18" s="4" t="s">
        <v>6</v>
      </c>
      <c r="M18" s="4" t="s">
        <v>7</v>
      </c>
      <c r="N18" s="4" t="s">
        <v>8</v>
      </c>
      <c r="O18" s="4" t="s">
        <v>9</v>
      </c>
      <c r="P18" s="4" t="s">
        <v>10</v>
      </c>
    </row>
    <row r="19" spans="1:18" x14ac:dyDescent="0.25">
      <c r="A19" s="1"/>
      <c r="C19" s="1"/>
      <c r="D19" s="1"/>
      <c r="E19" s="1"/>
      <c r="F19" s="1"/>
      <c r="G19" s="4">
        <f t="array" ref="G19:P19">LINEST(E21:E32,G21:O32)</f>
        <v>0</v>
      </c>
      <c r="H19" s="4">
        <v>5.142734855136076E-4</v>
      </c>
      <c r="I19" s="4">
        <v>-1.2499999999999618E-5</v>
      </c>
      <c r="J19" s="4">
        <v>1.3234033076047154E-5</v>
      </c>
      <c r="K19" s="4">
        <v>1.4266900790166825E-4</v>
      </c>
      <c r="L19" s="4">
        <v>-4.2727765685050397E-5</v>
      </c>
      <c r="M19" s="4">
        <v>0</v>
      </c>
      <c r="N19" s="4">
        <v>0</v>
      </c>
      <c r="O19" s="4">
        <v>0</v>
      </c>
      <c r="P19" s="4">
        <v>0.38720602521961167</v>
      </c>
    </row>
    <row r="20" spans="1:18" ht="45" x14ac:dyDescent="0.25">
      <c r="A20" s="5" t="s">
        <v>11</v>
      </c>
      <c r="B20" s="5" t="s">
        <v>12</v>
      </c>
      <c r="C20" s="5" t="s">
        <v>13</v>
      </c>
      <c r="D20" s="6"/>
      <c r="E20" s="7" t="s">
        <v>14</v>
      </c>
      <c r="F20" s="3"/>
      <c r="G20" s="8" t="s">
        <v>17</v>
      </c>
      <c r="H20" s="8" t="s">
        <v>18</v>
      </c>
      <c r="I20" s="8" t="s">
        <v>0</v>
      </c>
      <c r="J20" s="8" t="s">
        <v>19</v>
      </c>
      <c r="K20" s="8" t="s">
        <v>20</v>
      </c>
      <c r="L20" s="8" t="s">
        <v>21</v>
      </c>
      <c r="M20" s="8" t="s">
        <v>22</v>
      </c>
      <c r="N20" s="8" t="s">
        <v>23</v>
      </c>
      <c r="O20" s="8" t="s">
        <v>24</v>
      </c>
      <c r="P20" s="3"/>
      <c r="Q20" s="9" t="s">
        <v>14</v>
      </c>
      <c r="R20" s="9" t="s">
        <v>15</v>
      </c>
    </row>
    <row r="21" spans="1:18" x14ac:dyDescent="0.25">
      <c r="A21">
        <v>-15</v>
      </c>
      <c r="B21">
        <v>35</v>
      </c>
      <c r="C21">
        <v>50</v>
      </c>
      <c r="E21">
        <v>1.17</v>
      </c>
      <c r="F21" s="2"/>
      <c r="G21">
        <f t="shared" ref="G21:I32" si="9">A21</f>
        <v>-15</v>
      </c>
      <c r="H21" s="10">
        <f t="shared" si="9"/>
        <v>35</v>
      </c>
      <c r="I21">
        <f t="shared" si="9"/>
        <v>50</v>
      </c>
      <c r="J21">
        <f t="shared" ref="J21:J32" si="10">G21^2</f>
        <v>225</v>
      </c>
      <c r="K21">
        <f t="shared" ref="K21:K32" si="11">G21*H21</f>
        <v>-525</v>
      </c>
      <c r="L21">
        <f t="shared" ref="L21:L32" si="12">G21*I21</f>
        <v>-750</v>
      </c>
      <c r="M21">
        <f t="shared" ref="M21:M32" si="13">H21^2</f>
        <v>1225</v>
      </c>
      <c r="N21">
        <f t="shared" ref="N21:N32" si="14">H21*I21</f>
        <v>1750</v>
      </c>
      <c r="O21">
        <f t="shared" ref="O21:O32" si="15">I21^2</f>
        <v>2500</v>
      </c>
      <c r="Q21" s="11">
        <f t="shared" ref="Q21:Q32" si="16">$P$19+$O$19*G21+$N$19*H21+$M$19*I21+$L$19*J21+$K$19*K21+$J$19*L21+$I$19*M21+$H$19*N21+$G$19*O21</f>
        <v>1.177431623633878</v>
      </c>
      <c r="R21" s="12">
        <f t="shared" ref="R21:R32" si="17">(Q21-E21)/E21</f>
        <v>6.3518150716906493E-3</v>
      </c>
    </row>
    <row r="22" spans="1:18" x14ac:dyDescent="0.25">
      <c r="A22">
        <v>-7</v>
      </c>
      <c r="B22">
        <v>35</v>
      </c>
      <c r="C22">
        <v>50</v>
      </c>
      <c r="E22">
        <v>1.25</v>
      </c>
      <c r="F22" s="2"/>
      <c r="G22">
        <f t="shared" si="9"/>
        <v>-7</v>
      </c>
      <c r="H22" s="10">
        <f t="shared" si="9"/>
        <v>35</v>
      </c>
      <c r="I22">
        <f t="shared" si="9"/>
        <v>50</v>
      </c>
      <c r="J22">
        <f t="shared" si="10"/>
        <v>49</v>
      </c>
      <c r="K22">
        <f t="shared" si="11"/>
        <v>-245</v>
      </c>
      <c r="L22">
        <f t="shared" si="12"/>
        <v>-350</v>
      </c>
      <c r="M22">
        <f t="shared" si="13"/>
        <v>1225</v>
      </c>
      <c r="N22">
        <f t="shared" si="14"/>
        <v>1750</v>
      </c>
      <c r="O22">
        <f t="shared" si="15"/>
        <v>2500</v>
      </c>
      <c r="Q22" s="11">
        <f t="shared" si="16"/>
        <v>1.2301926458373327</v>
      </c>
      <c r="R22" s="12">
        <f t="shared" si="17"/>
        <v>-1.5845883330133859E-2</v>
      </c>
    </row>
    <row r="23" spans="1:18" x14ac:dyDescent="0.25">
      <c r="A23">
        <v>2</v>
      </c>
      <c r="B23">
        <v>35</v>
      </c>
      <c r="C23">
        <v>50</v>
      </c>
      <c r="E23">
        <v>1.28</v>
      </c>
      <c r="F23" s="2"/>
      <c r="G23">
        <f t="shared" si="9"/>
        <v>2</v>
      </c>
      <c r="H23" s="10">
        <f t="shared" si="9"/>
        <v>35</v>
      </c>
      <c r="I23">
        <f t="shared" si="9"/>
        <v>50</v>
      </c>
      <c r="J23">
        <f t="shared" si="10"/>
        <v>4</v>
      </c>
      <c r="K23">
        <f t="shared" si="11"/>
        <v>70</v>
      </c>
      <c r="L23">
        <f t="shared" si="12"/>
        <v>100</v>
      </c>
      <c r="M23">
        <f t="shared" si="13"/>
        <v>1225</v>
      </c>
      <c r="N23">
        <f t="shared" si="14"/>
        <v>1750</v>
      </c>
      <c r="O23">
        <f t="shared" si="15"/>
        <v>2500</v>
      </c>
      <c r="Q23" s="11">
        <f t="shared" si="16"/>
        <v>1.2830114476664067</v>
      </c>
      <c r="R23" s="12">
        <f t="shared" si="17"/>
        <v>2.3526934893802406E-3</v>
      </c>
    </row>
    <row r="24" spans="1:18" x14ac:dyDescent="0.25">
      <c r="A24">
        <v>7</v>
      </c>
      <c r="B24">
        <v>35</v>
      </c>
      <c r="C24">
        <v>50</v>
      </c>
      <c r="E24">
        <v>1.3</v>
      </c>
      <c r="F24" s="2"/>
      <c r="G24">
        <f t="shared" si="9"/>
        <v>7</v>
      </c>
      <c r="H24" s="10">
        <f t="shared" si="9"/>
        <v>35</v>
      </c>
      <c r="I24">
        <f t="shared" si="9"/>
        <v>50</v>
      </c>
      <c r="J24">
        <f t="shared" si="10"/>
        <v>49</v>
      </c>
      <c r="K24">
        <f t="shared" si="11"/>
        <v>245</v>
      </c>
      <c r="L24">
        <f t="shared" si="12"/>
        <v>350</v>
      </c>
      <c r="M24">
        <f t="shared" si="13"/>
        <v>1225</v>
      </c>
      <c r="N24">
        <f t="shared" si="14"/>
        <v>1750</v>
      </c>
      <c r="O24">
        <f t="shared" si="15"/>
        <v>2500</v>
      </c>
      <c r="Q24" s="11">
        <f t="shared" si="16"/>
        <v>1.3093642828623833</v>
      </c>
      <c r="R24" s="12">
        <f t="shared" si="17"/>
        <v>7.2032945095255553E-3</v>
      </c>
    </row>
    <row r="25" spans="1:18" x14ac:dyDescent="0.25">
      <c r="A25">
        <v>-15</v>
      </c>
      <c r="B25">
        <v>45</v>
      </c>
      <c r="C25">
        <v>50</v>
      </c>
      <c r="E25">
        <v>1.4</v>
      </c>
      <c r="F25" s="2"/>
      <c r="G25">
        <f t="shared" si="9"/>
        <v>-15</v>
      </c>
      <c r="H25" s="10">
        <f t="shared" si="9"/>
        <v>45</v>
      </c>
      <c r="I25">
        <f t="shared" si="9"/>
        <v>50</v>
      </c>
      <c r="J25">
        <f t="shared" si="10"/>
        <v>225</v>
      </c>
      <c r="K25">
        <f t="shared" si="11"/>
        <v>-675</v>
      </c>
      <c r="L25">
        <f t="shared" si="12"/>
        <v>-750</v>
      </c>
      <c r="M25">
        <f t="shared" si="13"/>
        <v>2025</v>
      </c>
      <c r="N25">
        <f t="shared" si="14"/>
        <v>2250</v>
      </c>
      <c r="O25">
        <f t="shared" si="15"/>
        <v>2500</v>
      </c>
      <c r="Q25" s="11">
        <f t="shared" si="16"/>
        <v>1.4031680152054318</v>
      </c>
      <c r="R25" s="12">
        <f t="shared" si="17"/>
        <v>2.2628680038799015E-3</v>
      </c>
    </row>
    <row r="26" spans="1:18" x14ac:dyDescent="0.25">
      <c r="A26">
        <v>-7</v>
      </c>
      <c r="B26">
        <v>45</v>
      </c>
      <c r="C26">
        <v>50</v>
      </c>
      <c r="E26">
        <v>1.47</v>
      </c>
      <c r="F26" s="2"/>
      <c r="G26">
        <f t="shared" si="9"/>
        <v>-7</v>
      </c>
      <c r="H26" s="10">
        <f t="shared" si="9"/>
        <v>45</v>
      </c>
      <c r="I26">
        <f t="shared" si="9"/>
        <v>50</v>
      </c>
      <c r="J26">
        <f t="shared" si="10"/>
        <v>49</v>
      </c>
      <c r="K26">
        <f t="shared" si="11"/>
        <v>-315</v>
      </c>
      <c r="L26">
        <f t="shared" si="12"/>
        <v>-350</v>
      </c>
      <c r="M26">
        <f t="shared" si="13"/>
        <v>2025</v>
      </c>
      <c r="N26">
        <f t="shared" si="14"/>
        <v>2250</v>
      </c>
      <c r="O26">
        <f t="shared" si="15"/>
        <v>2500</v>
      </c>
      <c r="Q26" s="11">
        <f t="shared" si="16"/>
        <v>1.46734255804102</v>
      </c>
      <c r="R26" s="12">
        <f t="shared" si="17"/>
        <v>-1.8077836455646186E-3</v>
      </c>
    </row>
    <row r="27" spans="1:18" x14ac:dyDescent="0.25">
      <c r="A27">
        <v>2</v>
      </c>
      <c r="B27">
        <v>45</v>
      </c>
      <c r="C27">
        <v>50</v>
      </c>
      <c r="E27">
        <v>1.5</v>
      </c>
      <c r="F27" s="2"/>
      <c r="G27">
        <f t="shared" si="9"/>
        <v>2</v>
      </c>
      <c r="H27" s="10">
        <f t="shared" si="9"/>
        <v>45</v>
      </c>
      <c r="I27">
        <f t="shared" si="9"/>
        <v>50</v>
      </c>
      <c r="J27">
        <f t="shared" si="10"/>
        <v>4</v>
      </c>
      <c r="K27">
        <f t="shared" si="11"/>
        <v>90</v>
      </c>
      <c r="L27">
        <f t="shared" si="12"/>
        <v>100</v>
      </c>
      <c r="M27">
        <f t="shared" si="13"/>
        <v>2025</v>
      </c>
      <c r="N27">
        <f t="shared" si="14"/>
        <v>2250</v>
      </c>
      <c r="O27">
        <f t="shared" si="15"/>
        <v>2500</v>
      </c>
      <c r="Q27" s="11">
        <f t="shared" si="16"/>
        <v>1.5330015705812441</v>
      </c>
      <c r="R27" s="12">
        <f t="shared" si="17"/>
        <v>2.2001047054162726E-2</v>
      </c>
    </row>
    <row r="28" spans="1:18" x14ac:dyDescent="0.25">
      <c r="A28">
        <v>7</v>
      </c>
      <c r="B28">
        <v>45</v>
      </c>
      <c r="C28">
        <v>50</v>
      </c>
      <c r="E28">
        <v>1.6</v>
      </c>
      <c r="F28" s="2"/>
      <c r="G28">
        <f t="shared" si="9"/>
        <v>7</v>
      </c>
      <c r="H28" s="10">
        <f t="shared" si="9"/>
        <v>45</v>
      </c>
      <c r="I28">
        <f t="shared" si="9"/>
        <v>50</v>
      </c>
      <c r="J28">
        <f t="shared" si="10"/>
        <v>49</v>
      </c>
      <c r="K28">
        <f t="shared" si="11"/>
        <v>315</v>
      </c>
      <c r="L28">
        <f t="shared" si="12"/>
        <v>350</v>
      </c>
      <c r="M28">
        <f t="shared" si="13"/>
        <v>2025</v>
      </c>
      <c r="N28">
        <f t="shared" si="14"/>
        <v>2250</v>
      </c>
      <c r="O28">
        <f t="shared" si="15"/>
        <v>2500</v>
      </c>
      <c r="Q28" s="11">
        <f t="shared" si="16"/>
        <v>1.5664878561723041</v>
      </c>
      <c r="R28" s="12">
        <f t="shared" si="17"/>
        <v>-2.0945089892309976E-2</v>
      </c>
    </row>
    <row r="29" spans="1:18" x14ac:dyDescent="0.25">
      <c r="A29">
        <v>-7</v>
      </c>
      <c r="B29">
        <v>55</v>
      </c>
      <c r="C29">
        <v>50</v>
      </c>
      <c r="E29">
        <v>1.73</v>
      </c>
      <c r="F29" s="2"/>
      <c r="G29">
        <f t="shared" si="9"/>
        <v>-7</v>
      </c>
      <c r="H29" s="10">
        <f t="shared" si="9"/>
        <v>55</v>
      </c>
      <c r="I29">
        <f t="shared" si="9"/>
        <v>50</v>
      </c>
      <c r="J29">
        <f t="shared" si="10"/>
        <v>49</v>
      </c>
      <c r="K29">
        <f t="shared" si="11"/>
        <v>-385</v>
      </c>
      <c r="L29">
        <f t="shared" si="12"/>
        <v>-350</v>
      </c>
      <c r="M29">
        <f t="shared" si="13"/>
        <v>3025</v>
      </c>
      <c r="N29">
        <f t="shared" si="14"/>
        <v>2750</v>
      </c>
      <c r="O29">
        <f t="shared" si="15"/>
        <v>2500</v>
      </c>
      <c r="Q29" s="11">
        <f t="shared" si="16"/>
        <v>1.7019924702447076</v>
      </c>
      <c r="R29" s="12">
        <f t="shared" si="17"/>
        <v>-1.6189323557972493E-2</v>
      </c>
    </row>
    <row r="30" spans="1:18" x14ac:dyDescent="0.25">
      <c r="A30">
        <v>2</v>
      </c>
      <c r="B30">
        <v>55</v>
      </c>
      <c r="C30">
        <v>50</v>
      </c>
      <c r="E30">
        <v>1.75</v>
      </c>
      <c r="F30" s="2"/>
      <c r="G30">
        <f t="shared" si="9"/>
        <v>2</v>
      </c>
      <c r="H30" s="10">
        <f t="shared" si="9"/>
        <v>55</v>
      </c>
      <c r="I30">
        <f t="shared" si="9"/>
        <v>50</v>
      </c>
      <c r="J30">
        <f t="shared" si="10"/>
        <v>4</v>
      </c>
      <c r="K30">
        <f t="shared" si="11"/>
        <v>110</v>
      </c>
      <c r="L30">
        <f t="shared" si="12"/>
        <v>100</v>
      </c>
      <c r="M30">
        <f t="shared" si="13"/>
        <v>3025</v>
      </c>
      <c r="N30">
        <f t="shared" si="14"/>
        <v>2750</v>
      </c>
      <c r="O30">
        <f t="shared" si="15"/>
        <v>2500</v>
      </c>
      <c r="Q30" s="11">
        <f t="shared" si="16"/>
        <v>1.7804916934960817</v>
      </c>
      <c r="R30" s="12">
        <f t="shared" si="17"/>
        <v>1.742382485490384E-2</v>
      </c>
    </row>
    <row r="31" spans="1:18" x14ac:dyDescent="0.25">
      <c r="A31">
        <v>7</v>
      </c>
      <c r="B31">
        <v>55</v>
      </c>
      <c r="C31">
        <v>50</v>
      </c>
      <c r="E31">
        <v>1.83</v>
      </c>
      <c r="F31" s="2"/>
      <c r="G31">
        <f t="shared" si="9"/>
        <v>7</v>
      </c>
      <c r="H31" s="10">
        <f t="shared" si="9"/>
        <v>55</v>
      </c>
      <c r="I31">
        <f t="shared" si="9"/>
        <v>50</v>
      </c>
      <c r="J31">
        <f t="shared" si="10"/>
        <v>49</v>
      </c>
      <c r="K31">
        <f t="shared" si="11"/>
        <v>385</v>
      </c>
      <c r="L31">
        <f t="shared" si="12"/>
        <v>350</v>
      </c>
      <c r="M31">
        <f t="shared" si="13"/>
        <v>3025</v>
      </c>
      <c r="N31">
        <f t="shared" si="14"/>
        <v>2750</v>
      </c>
      <c r="O31">
        <f t="shared" si="15"/>
        <v>2500</v>
      </c>
      <c r="Q31" s="11">
        <f t="shared" si="16"/>
        <v>1.821111429482225</v>
      </c>
      <c r="R31" s="12">
        <f t="shared" si="17"/>
        <v>-4.8571423594399067E-3</v>
      </c>
    </row>
    <row r="32" spans="1:18" x14ac:dyDescent="0.25">
      <c r="A32">
        <v>-15</v>
      </c>
      <c r="B32">
        <v>55</v>
      </c>
      <c r="C32">
        <v>50</v>
      </c>
      <c r="E32">
        <v>1.62</v>
      </c>
      <c r="F32" s="2"/>
      <c r="G32">
        <f t="shared" si="9"/>
        <v>-15</v>
      </c>
      <c r="H32" s="10">
        <f t="shared" si="9"/>
        <v>55</v>
      </c>
      <c r="I32">
        <f t="shared" si="9"/>
        <v>50</v>
      </c>
      <c r="J32">
        <f t="shared" si="10"/>
        <v>225</v>
      </c>
      <c r="K32">
        <f t="shared" si="11"/>
        <v>-825</v>
      </c>
      <c r="L32">
        <f t="shared" si="12"/>
        <v>-750</v>
      </c>
      <c r="M32">
        <f t="shared" si="13"/>
        <v>3025</v>
      </c>
      <c r="N32">
        <f t="shared" si="14"/>
        <v>2750</v>
      </c>
      <c r="O32">
        <f t="shared" si="15"/>
        <v>2500</v>
      </c>
      <c r="Q32" s="11">
        <f t="shared" si="16"/>
        <v>1.6264044067769858</v>
      </c>
      <c r="R32" s="12">
        <f t="shared" si="17"/>
        <v>3.9533375166578557E-3</v>
      </c>
    </row>
    <row r="35" spans="1:18" x14ac:dyDescent="0.25">
      <c r="A35" t="s">
        <v>28</v>
      </c>
      <c r="G35" s="4" t="s">
        <v>1</v>
      </c>
      <c r="H35" s="4" t="s">
        <v>2</v>
      </c>
      <c r="I35" s="4" t="s">
        <v>3</v>
      </c>
      <c r="J35" s="4" t="s">
        <v>4</v>
      </c>
      <c r="K35" s="4" t="s">
        <v>5</v>
      </c>
      <c r="L35" s="4" t="s">
        <v>6</v>
      </c>
      <c r="M35" s="4" t="s">
        <v>7</v>
      </c>
      <c r="N35" s="4" t="s">
        <v>8</v>
      </c>
      <c r="O35" s="4" t="s">
        <v>9</v>
      </c>
      <c r="P35" s="4" t="s">
        <v>10</v>
      </c>
    </row>
    <row r="36" spans="1:18" x14ac:dyDescent="0.25">
      <c r="A36" s="1"/>
      <c r="C36" s="1"/>
      <c r="D36" s="1"/>
      <c r="E36" s="1"/>
      <c r="F36" s="1"/>
      <c r="G36" s="4">
        <f t="array" ref="G36:P36">LINEST(E38:E49,G38:O49)</f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50</v>
      </c>
    </row>
    <row r="37" spans="1:18" ht="45" x14ac:dyDescent="0.25">
      <c r="A37" s="5" t="s">
        <v>11</v>
      </c>
      <c r="B37" s="5" t="s">
        <v>12</v>
      </c>
      <c r="C37" s="5" t="s">
        <v>14</v>
      </c>
      <c r="E37" s="7" t="s">
        <v>13</v>
      </c>
      <c r="F37" s="3"/>
      <c r="G37" s="8" t="s">
        <v>17</v>
      </c>
      <c r="H37" s="8" t="s">
        <v>18</v>
      </c>
      <c r="I37" s="8" t="s">
        <v>0</v>
      </c>
      <c r="J37" s="8" t="s">
        <v>19</v>
      </c>
      <c r="K37" s="8" t="s">
        <v>20</v>
      </c>
      <c r="L37" s="8" t="s">
        <v>21</v>
      </c>
      <c r="M37" s="8" t="s">
        <v>22</v>
      </c>
      <c r="N37" s="8" t="s">
        <v>23</v>
      </c>
      <c r="O37" s="8" t="s">
        <v>24</v>
      </c>
      <c r="P37" s="3"/>
      <c r="Q37" s="9" t="s">
        <v>16</v>
      </c>
      <c r="R37" s="9" t="s">
        <v>15</v>
      </c>
    </row>
    <row r="38" spans="1:18" x14ac:dyDescent="0.25">
      <c r="A38">
        <v>-15</v>
      </c>
      <c r="B38">
        <v>35</v>
      </c>
      <c r="C38" s="2">
        <f>E4</f>
        <v>2.84</v>
      </c>
      <c r="E38">
        <v>50</v>
      </c>
      <c r="F38" s="2"/>
      <c r="G38">
        <f t="shared" ref="G38:I49" si="18">A38</f>
        <v>-15</v>
      </c>
      <c r="H38" s="10">
        <f t="shared" si="18"/>
        <v>35</v>
      </c>
      <c r="I38">
        <f t="shared" si="18"/>
        <v>2.84</v>
      </c>
      <c r="J38">
        <f t="shared" ref="J38:J49" si="19">G38^2</f>
        <v>225</v>
      </c>
      <c r="K38">
        <f t="shared" ref="K38:K49" si="20">G38*H38</f>
        <v>-525</v>
      </c>
      <c r="L38">
        <f t="shared" ref="L38:L49" si="21">G38*I38</f>
        <v>-42.599999999999994</v>
      </c>
      <c r="M38">
        <f t="shared" ref="M38:M49" si="22">H38^2</f>
        <v>1225</v>
      </c>
      <c r="N38">
        <f t="shared" ref="N38:N49" si="23">H38*I38</f>
        <v>99.399999999999991</v>
      </c>
      <c r="O38">
        <f t="shared" ref="O38:O49" si="24">I38^2</f>
        <v>8.0655999999999999</v>
      </c>
      <c r="Q38" s="11">
        <f t="shared" ref="Q38:Q49" si="25">$P$36+$O$2*G38+$N$36*H38+$M$36*I38+$L$36*J38+$K$36*K38+$J$36*L38+$I$36*M38+$H$36*N38+$G$36*O38</f>
        <v>50</v>
      </c>
      <c r="R38" s="12">
        <f t="shared" ref="R38:R49" si="26">(Q38-E38)/E38</f>
        <v>0</v>
      </c>
    </row>
    <row r="39" spans="1:18" x14ac:dyDescent="0.25">
      <c r="A39">
        <v>-7</v>
      </c>
      <c r="B39">
        <v>35</v>
      </c>
      <c r="C39" s="2">
        <f t="shared" ref="C39:C49" si="27">E5</f>
        <v>3.87</v>
      </c>
      <c r="E39">
        <v>50</v>
      </c>
      <c r="F39" s="2"/>
      <c r="G39">
        <f t="shared" si="18"/>
        <v>-7</v>
      </c>
      <c r="H39" s="10">
        <f t="shared" si="18"/>
        <v>35</v>
      </c>
      <c r="I39">
        <f t="shared" si="18"/>
        <v>3.87</v>
      </c>
      <c r="J39">
        <f t="shared" si="19"/>
        <v>49</v>
      </c>
      <c r="K39">
        <f t="shared" si="20"/>
        <v>-245</v>
      </c>
      <c r="L39">
        <f t="shared" si="21"/>
        <v>-27.09</v>
      </c>
      <c r="M39">
        <f t="shared" si="22"/>
        <v>1225</v>
      </c>
      <c r="N39">
        <f t="shared" si="23"/>
        <v>135.45000000000002</v>
      </c>
      <c r="O39">
        <f t="shared" si="24"/>
        <v>14.976900000000001</v>
      </c>
      <c r="Q39" s="11">
        <f t="shared" si="25"/>
        <v>50</v>
      </c>
      <c r="R39" s="12">
        <f t="shared" si="26"/>
        <v>0</v>
      </c>
    </row>
    <row r="40" spans="1:18" x14ac:dyDescent="0.25">
      <c r="A40">
        <v>2</v>
      </c>
      <c r="B40">
        <v>35</v>
      </c>
      <c r="C40" s="2">
        <f t="shared" si="27"/>
        <v>4.6900000000000004</v>
      </c>
      <c r="E40">
        <v>50</v>
      </c>
      <c r="F40" s="2"/>
      <c r="G40">
        <f t="shared" si="18"/>
        <v>2</v>
      </c>
      <c r="H40" s="10">
        <f t="shared" si="18"/>
        <v>35</v>
      </c>
      <c r="I40">
        <f t="shared" si="18"/>
        <v>4.6900000000000004</v>
      </c>
      <c r="J40">
        <f t="shared" si="19"/>
        <v>4</v>
      </c>
      <c r="K40">
        <f t="shared" si="20"/>
        <v>70</v>
      </c>
      <c r="L40">
        <f t="shared" si="21"/>
        <v>9.3800000000000008</v>
      </c>
      <c r="M40">
        <f t="shared" si="22"/>
        <v>1225</v>
      </c>
      <c r="N40">
        <f t="shared" si="23"/>
        <v>164.15</v>
      </c>
      <c r="O40">
        <f t="shared" si="24"/>
        <v>21.996100000000002</v>
      </c>
      <c r="Q40" s="11">
        <f t="shared" si="25"/>
        <v>50</v>
      </c>
      <c r="R40" s="12">
        <f t="shared" si="26"/>
        <v>0</v>
      </c>
    </row>
    <row r="41" spans="1:18" x14ac:dyDescent="0.25">
      <c r="A41">
        <v>7</v>
      </c>
      <c r="B41">
        <v>35</v>
      </c>
      <c r="C41" s="2">
        <f t="shared" si="27"/>
        <v>6.22</v>
      </c>
      <c r="E41">
        <v>50</v>
      </c>
      <c r="F41" s="2"/>
      <c r="G41">
        <f t="shared" si="18"/>
        <v>7</v>
      </c>
      <c r="H41" s="10">
        <f t="shared" si="18"/>
        <v>35</v>
      </c>
      <c r="I41">
        <f t="shared" si="18"/>
        <v>6.22</v>
      </c>
      <c r="J41">
        <f t="shared" si="19"/>
        <v>49</v>
      </c>
      <c r="K41">
        <f t="shared" si="20"/>
        <v>245</v>
      </c>
      <c r="L41">
        <f t="shared" si="21"/>
        <v>43.54</v>
      </c>
      <c r="M41">
        <f t="shared" si="22"/>
        <v>1225</v>
      </c>
      <c r="N41">
        <f t="shared" si="23"/>
        <v>217.7</v>
      </c>
      <c r="O41">
        <f t="shared" si="24"/>
        <v>38.688399999999994</v>
      </c>
      <c r="Q41" s="11">
        <f t="shared" si="25"/>
        <v>50</v>
      </c>
      <c r="R41" s="12">
        <f t="shared" si="26"/>
        <v>0</v>
      </c>
    </row>
    <row r="42" spans="1:18" x14ac:dyDescent="0.25">
      <c r="A42">
        <v>-15</v>
      </c>
      <c r="B42">
        <v>45</v>
      </c>
      <c r="C42" s="2">
        <f t="shared" si="27"/>
        <v>2.65</v>
      </c>
      <c r="E42">
        <v>50</v>
      </c>
      <c r="F42" s="2"/>
      <c r="G42">
        <f t="shared" si="18"/>
        <v>-15</v>
      </c>
      <c r="H42" s="10">
        <f t="shared" si="18"/>
        <v>45</v>
      </c>
      <c r="I42">
        <f t="shared" si="18"/>
        <v>2.65</v>
      </c>
      <c r="J42">
        <f t="shared" si="19"/>
        <v>225</v>
      </c>
      <c r="K42">
        <f t="shared" si="20"/>
        <v>-675</v>
      </c>
      <c r="L42">
        <f t="shared" si="21"/>
        <v>-39.75</v>
      </c>
      <c r="M42">
        <f t="shared" si="22"/>
        <v>2025</v>
      </c>
      <c r="N42">
        <f t="shared" si="23"/>
        <v>119.25</v>
      </c>
      <c r="O42">
        <f t="shared" si="24"/>
        <v>7.0225</v>
      </c>
      <c r="Q42" s="11">
        <f t="shared" si="25"/>
        <v>50</v>
      </c>
      <c r="R42" s="12">
        <f t="shared" si="26"/>
        <v>0</v>
      </c>
    </row>
    <row r="43" spans="1:18" x14ac:dyDescent="0.25">
      <c r="A43">
        <v>-7</v>
      </c>
      <c r="B43">
        <v>45</v>
      </c>
      <c r="C43" s="2">
        <f t="shared" si="27"/>
        <v>3.63</v>
      </c>
      <c r="E43">
        <v>50</v>
      </c>
      <c r="F43" s="2"/>
      <c r="G43">
        <f t="shared" si="18"/>
        <v>-7</v>
      </c>
      <c r="H43" s="10">
        <f t="shared" si="18"/>
        <v>45</v>
      </c>
      <c r="I43">
        <f t="shared" si="18"/>
        <v>3.63</v>
      </c>
      <c r="J43">
        <f t="shared" si="19"/>
        <v>49</v>
      </c>
      <c r="K43">
        <f t="shared" si="20"/>
        <v>-315</v>
      </c>
      <c r="L43">
        <f t="shared" si="21"/>
        <v>-25.41</v>
      </c>
      <c r="M43">
        <f t="shared" si="22"/>
        <v>2025</v>
      </c>
      <c r="N43">
        <f t="shared" si="23"/>
        <v>163.35</v>
      </c>
      <c r="O43">
        <f t="shared" si="24"/>
        <v>13.1769</v>
      </c>
      <c r="Q43" s="11">
        <f t="shared" si="25"/>
        <v>50</v>
      </c>
      <c r="R43" s="12">
        <f t="shared" si="26"/>
        <v>0</v>
      </c>
    </row>
    <row r="44" spans="1:18" x14ac:dyDescent="0.25">
      <c r="A44">
        <v>2</v>
      </c>
      <c r="B44">
        <v>45</v>
      </c>
      <c r="C44" s="2">
        <f t="shared" si="27"/>
        <v>4.34</v>
      </c>
      <c r="E44">
        <v>50</v>
      </c>
      <c r="F44" s="2"/>
      <c r="G44">
        <f t="shared" si="18"/>
        <v>2</v>
      </c>
      <c r="H44" s="10">
        <f t="shared" si="18"/>
        <v>45</v>
      </c>
      <c r="I44">
        <f t="shared" si="18"/>
        <v>4.34</v>
      </c>
      <c r="J44">
        <f t="shared" si="19"/>
        <v>4</v>
      </c>
      <c r="K44">
        <f t="shared" si="20"/>
        <v>90</v>
      </c>
      <c r="L44">
        <f t="shared" si="21"/>
        <v>8.68</v>
      </c>
      <c r="M44">
        <f t="shared" si="22"/>
        <v>2025</v>
      </c>
      <c r="N44">
        <f t="shared" si="23"/>
        <v>195.29999999999998</v>
      </c>
      <c r="O44">
        <f t="shared" si="24"/>
        <v>18.835599999999999</v>
      </c>
      <c r="Q44" s="11">
        <f t="shared" si="25"/>
        <v>50</v>
      </c>
      <c r="R44" s="12">
        <f t="shared" si="26"/>
        <v>0</v>
      </c>
    </row>
    <row r="45" spans="1:18" x14ac:dyDescent="0.25">
      <c r="A45">
        <v>7</v>
      </c>
      <c r="B45">
        <v>45</v>
      </c>
      <c r="C45" s="2">
        <f t="shared" si="27"/>
        <v>5.89</v>
      </c>
      <c r="E45">
        <v>50</v>
      </c>
      <c r="F45" s="2"/>
      <c r="G45">
        <f t="shared" si="18"/>
        <v>7</v>
      </c>
      <c r="H45" s="10">
        <f t="shared" si="18"/>
        <v>45</v>
      </c>
      <c r="I45">
        <f t="shared" si="18"/>
        <v>5.89</v>
      </c>
      <c r="J45">
        <f t="shared" si="19"/>
        <v>49</v>
      </c>
      <c r="K45">
        <f t="shared" si="20"/>
        <v>315</v>
      </c>
      <c r="L45">
        <f t="shared" si="21"/>
        <v>41.23</v>
      </c>
      <c r="M45">
        <f t="shared" si="22"/>
        <v>2025</v>
      </c>
      <c r="N45">
        <f t="shared" si="23"/>
        <v>265.05</v>
      </c>
      <c r="O45">
        <f t="shared" si="24"/>
        <v>34.692099999999996</v>
      </c>
      <c r="Q45" s="11">
        <f t="shared" si="25"/>
        <v>50</v>
      </c>
      <c r="R45" s="12">
        <f t="shared" si="26"/>
        <v>0</v>
      </c>
    </row>
    <row r="46" spans="1:18" x14ac:dyDescent="0.25">
      <c r="A46">
        <v>-7</v>
      </c>
      <c r="B46">
        <v>55</v>
      </c>
      <c r="C46" s="2">
        <f t="shared" si="27"/>
        <v>3.43</v>
      </c>
      <c r="E46">
        <v>50</v>
      </c>
      <c r="F46" s="2"/>
      <c r="G46">
        <f t="shared" si="18"/>
        <v>-7</v>
      </c>
      <c r="H46" s="10">
        <f t="shared" si="18"/>
        <v>55</v>
      </c>
      <c r="I46">
        <f t="shared" si="18"/>
        <v>3.43</v>
      </c>
      <c r="J46">
        <f t="shared" si="19"/>
        <v>49</v>
      </c>
      <c r="K46">
        <f t="shared" si="20"/>
        <v>-385</v>
      </c>
      <c r="L46">
        <f t="shared" si="21"/>
        <v>-24.01</v>
      </c>
      <c r="M46">
        <f t="shared" si="22"/>
        <v>3025</v>
      </c>
      <c r="N46">
        <f t="shared" si="23"/>
        <v>188.65</v>
      </c>
      <c r="O46">
        <f t="shared" si="24"/>
        <v>11.764900000000001</v>
      </c>
      <c r="Q46" s="11">
        <f t="shared" si="25"/>
        <v>50</v>
      </c>
      <c r="R46" s="12">
        <f t="shared" si="26"/>
        <v>0</v>
      </c>
    </row>
    <row r="47" spans="1:18" x14ac:dyDescent="0.25">
      <c r="A47">
        <v>2</v>
      </c>
      <c r="B47">
        <v>55</v>
      </c>
      <c r="C47" s="2">
        <f t="shared" si="27"/>
        <v>4.25</v>
      </c>
      <c r="E47">
        <v>50</v>
      </c>
      <c r="F47" s="2"/>
      <c r="G47">
        <f t="shared" si="18"/>
        <v>2</v>
      </c>
      <c r="H47" s="10">
        <f t="shared" si="18"/>
        <v>55</v>
      </c>
      <c r="I47">
        <f t="shared" si="18"/>
        <v>4.25</v>
      </c>
      <c r="J47">
        <f t="shared" si="19"/>
        <v>4</v>
      </c>
      <c r="K47">
        <f t="shared" si="20"/>
        <v>110</v>
      </c>
      <c r="L47">
        <f t="shared" si="21"/>
        <v>8.5</v>
      </c>
      <c r="M47">
        <f t="shared" si="22"/>
        <v>3025</v>
      </c>
      <c r="N47">
        <f t="shared" si="23"/>
        <v>233.75</v>
      </c>
      <c r="O47">
        <f t="shared" si="24"/>
        <v>18.0625</v>
      </c>
      <c r="Q47" s="11">
        <f t="shared" si="25"/>
        <v>50</v>
      </c>
      <c r="R47" s="12">
        <f t="shared" si="26"/>
        <v>0</v>
      </c>
    </row>
    <row r="48" spans="1:18" x14ac:dyDescent="0.25">
      <c r="A48">
        <v>7</v>
      </c>
      <c r="B48">
        <v>55</v>
      </c>
      <c r="C48" s="2">
        <f t="shared" si="27"/>
        <v>5.56</v>
      </c>
      <c r="E48">
        <v>50</v>
      </c>
      <c r="F48" s="2"/>
      <c r="G48">
        <f t="shared" si="18"/>
        <v>7</v>
      </c>
      <c r="H48" s="10">
        <f t="shared" si="18"/>
        <v>55</v>
      </c>
      <c r="I48">
        <f t="shared" si="18"/>
        <v>5.56</v>
      </c>
      <c r="J48">
        <f t="shared" si="19"/>
        <v>49</v>
      </c>
      <c r="K48">
        <f t="shared" si="20"/>
        <v>385</v>
      </c>
      <c r="L48">
        <f t="shared" si="21"/>
        <v>38.919999999999995</v>
      </c>
      <c r="M48">
        <f t="shared" si="22"/>
        <v>3025</v>
      </c>
      <c r="N48">
        <f t="shared" si="23"/>
        <v>305.79999999999995</v>
      </c>
      <c r="O48">
        <f t="shared" si="24"/>
        <v>30.913599999999995</v>
      </c>
      <c r="Q48" s="11">
        <f t="shared" si="25"/>
        <v>50</v>
      </c>
      <c r="R48" s="12">
        <f t="shared" si="26"/>
        <v>0</v>
      </c>
    </row>
    <row r="49" spans="1:18" x14ac:dyDescent="0.25">
      <c r="A49">
        <v>-15</v>
      </c>
      <c r="B49">
        <v>55</v>
      </c>
      <c r="C49" s="2">
        <f t="shared" si="27"/>
        <v>2.4900000000000002</v>
      </c>
      <c r="E49">
        <v>50</v>
      </c>
      <c r="F49" s="2"/>
      <c r="G49">
        <f t="shared" si="18"/>
        <v>-15</v>
      </c>
      <c r="H49" s="10">
        <f t="shared" si="18"/>
        <v>55</v>
      </c>
      <c r="I49">
        <f t="shared" si="18"/>
        <v>2.4900000000000002</v>
      </c>
      <c r="J49">
        <f t="shared" si="19"/>
        <v>225</v>
      </c>
      <c r="K49">
        <f t="shared" si="20"/>
        <v>-825</v>
      </c>
      <c r="L49">
        <f t="shared" si="21"/>
        <v>-37.35</v>
      </c>
      <c r="M49">
        <f t="shared" si="22"/>
        <v>3025</v>
      </c>
      <c r="N49">
        <f t="shared" si="23"/>
        <v>136.95000000000002</v>
      </c>
      <c r="O49">
        <f t="shared" si="24"/>
        <v>6.2001000000000008</v>
      </c>
      <c r="Q49" s="11">
        <f t="shared" si="25"/>
        <v>50</v>
      </c>
      <c r="R49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9457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9457" r:id="rId4"/>
      </mc:Fallback>
    </mc:AlternateContent>
    <mc:AlternateContent xmlns:mc="http://schemas.openxmlformats.org/markup-compatibility/2006">
      <mc:Choice Requires="x14">
        <oleObject progId="Equation.3" shapeId="19458" r:id="rId6">
          <objectPr defaultSize="0" autoPict="0" r:id="rId5">
            <anchor moveWithCells="1" sizeWithCells="1">
              <from>
                <xdr:col>6</xdr:col>
                <xdr:colOff>171450</xdr:colOff>
                <xdr:row>19</xdr:row>
                <xdr:rowOff>38100</xdr:rowOff>
              </from>
              <to>
                <xdr:col>14</xdr:col>
                <xdr:colOff>1466850</xdr:colOff>
                <xdr:row>19</xdr:row>
                <xdr:rowOff>647700</xdr:rowOff>
              </to>
            </anchor>
          </objectPr>
        </oleObject>
      </mc:Choice>
      <mc:Fallback>
        <oleObject progId="Equation.3" shapeId="19458" r:id="rId6"/>
      </mc:Fallback>
    </mc:AlternateContent>
    <mc:AlternateContent xmlns:mc="http://schemas.openxmlformats.org/markup-compatibility/2006">
      <mc:Choice Requires="x14">
        <oleObject progId="Equation.3" shapeId="19459" r:id="rId7">
          <objectPr defaultSize="0" autoPict="0" r:id="rId5">
            <anchor moveWithCells="1" sizeWithCells="1">
              <from>
                <xdr:col>6</xdr:col>
                <xdr:colOff>171450</xdr:colOff>
                <xdr:row>36</xdr:row>
                <xdr:rowOff>38100</xdr:rowOff>
              </from>
              <to>
                <xdr:col>14</xdr:col>
                <xdr:colOff>1466850</xdr:colOff>
                <xdr:row>36</xdr:row>
                <xdr:rowOff>647700</xdr:rowOff>
              </to>
            </anchor>
          </objectPr>
        </oleObject>
      </mc:Choice>
      <mc:Fallback>
        <oleObject progId="Equation.3" shapeId="19459" r:id="rId7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ist7"/>
  <dimension ref="A1:T52"/>
  <sheetViews>
    <sheetView zoomScale="70" zoomScaleNormal="70" workbookViewId="0">
      <selection activeCell="H2" sqref="H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LINEST(E4:E16,G4:O16)</f>
        <v>0</v>
      </c>
      <c r="H2" s="4">
        <v>-3.6784080746091776E-4</v>
      </c>
      <c r="I2" s="4">
        <v>-6.524076815744067E-5</v>
      </c>
      <c r="J2" s="4">
        <v>4.8603345527293076E-3</v>
      </c>
      <c r="K2" s="4">
        <v>-7.7945476027711411E-4</v>
      </c>
      <c r="L2" s="4">
        <v>4.5755410957776712E-3</v>
      </c>
      <c r="M2" s="4">
        <v>0</v>
      </c>
      <c r="N2" s="4">
        <v>0</v>
      </c>
      <c r="O2" s="4">
        <v>0</v>
      </c>
      <c r="P2" s="4">
        <v>6.5846774399434898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3.63</v>
      </c>
      <c r="F4" s="2"/>
      <c r="G4">
        <f t="shared" ref="G4:I16" si="0">A4</f>
        <v>-15</v>
      </c>
      <c r="H4" s="10">
        <f t="shared" si="0"/>
        <v>35</v>
      </c>
      <c r="I4">
        <f t="shared" si="0"/>
        <v>50</v>
      </c>
      <c r="J4">
        <f t="shared" ref="J4:J16" si="1">G4^2</f>
        <v>225</v>
      </c>
      <c r="K4">
        <f t="shared" ref="K4:K16" si="2">G4*H4</f>
        <v>-525</v>
      </c>
      <c r="L4">
        <f t="shared" ref="L4:L16" si="3">G4*I4</f>
        <v>-750</v>
      </c>
      <c r="M4">
        <f t="shared" ref="M4:M16" si="4">H4^2</f>
        <v>1225</v>
      </c>
      <c r="N4">
        <f t="shared" ref="N4:N16" si="5">H4*I4</f>
        <v>1750</v>
      </c>
      <c r="O4">
        <f t="shared" ref="O4:O16" si="6">I4^2</f>
        <v>2500</v>
      </c>
      <c r="Q4" s="11">
        <f t="shared" ref="Q4:Q16" si="7">$P$2+$O$2*G4+$N$2*H4+$M$2*I4+$L$2*J4+$K$2*K4+$J$2*L4+$I$2*M4+$H$2*N4+$G$2*O4</f>
        <v>3.6544956670424984</v>
      </c>
      <c r="R4" s="12">
        <f t="shared" ref="R4:R16" si="8">(Q4-E4)/E4</f>
        <v>6.7481176425615713E-3</v>
      </c>
      <c r="S4" s="11"/>
      <c r="T4" s="12"/>
    </row>
    <row r="5" spans="1:20" x14ac:dyDescent="0.25">
      <c r="A5">
        <v>-7</v>
      </c>
      <c r="B5">
        <v>35</v>
      </c>
      <c r="C5">
        <v>50</v>
      </c>
      <c r="E5">
        <v>4.7300000000000004</v>
      </c>
      <c r="F5" s="2"/>
      <c r="G5">
        <f t="shared" si="0"/>
        <v>-7</v>
      </c>
      <c r="H5" s="10">
        <f t="shared" si="0"/>
        <v>35</v>
      </c>
      <c r="I5">
        <f t="shared" si="0"/>
        <v>50</v>
      </c>
      <c r="J5">
        <f t="shared" si="1"/>
        <v>49</v>
      </c>
      <c r="K5">
        <f t="shared" si="2"/>
        <v>-245</v>
      </c>
      <c r="L5">
        <f t="shared" si="3"/>
        <v>-350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4.575086922399759</v>
      </c>
      <c r="R5" s="12">
        <f t="shared" si="8"/>
        <v>-3.2751179196668374E-2</v>
      </c>
      <c r="S5" s="11"/>
      <c r="T5" s="12"/>
    </row>
    <row r="6" spans="1:20" x14ac:dyDescent="0.25">
      <c r="A6">
        <v>2</v>
      </c>
      <c r="B6">
        <v>35</v>
      </c>
      <c r="C6">
        <v>50</v>
      </c>
      <c r="E6">
        <v>6.02</v>
      </c>
      <c r="F6" s="2"/>
      <c r="G6">
        <f t="shared" si="0"/>
        <v>2</v>
      </c>
      <c r="H6" s="10">
        <f t="shared" si="0"/>
        <v>35</v>
      </c>
      <c r="I6">
        <f t="shared" si="0"/>
        <v>50</v>
      </c>
      <c r="J6">
        <f t="shared" si="1"/>
        <v>4</v>
      </c>
      <c r="K6">
        <f t="shared" si="2"/>
        <v>70</v>
      </c>
      <c r="L6">
        <f t="shared" si="3"/>
        <v>100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6.3108098723306618</v>
      </c>
      <c r="R6" s="12">
        <f t="shared" si="8"/>
        <v>4.8307287762568485E-2</v>
      </c>
      <c r="S6" s="11"/>
      <c r="T6" s="12"/>
    </row>
    <row r="7" spans="1:20" x14ac:dyDescent="0.25">
      <c r="A7">
        <v>7</v>
      </c>
      <c r="B7">
        <v>35</v>
      </c>
      <c r="C7">
        <v>50</v>
      </c>
      <c r="E7">
        <v>7.83</v>
      </c>
      <c r="F7" s="2"/>
      <c r="G7">
        <f t="shared" si="0"/>
        <v>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245</v>
      </c>
      <c r="L7">
        <f t="shared" si="3"/>
        <v>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7.5953882767744902</v>
      </c>
      <c r="R7" s="12">
        <f t="shared" si="8"/>
        <v>-2.9963183042849274E-2</v>
      </c>
      <c r="S7" s="11"/>
      <c r="T7" s="12"/>
    </row>
    <row r="8" spans="1:20" x14ac:dyDescent="0.25">
      <c r="A8">
        <v>-15</v>
      </c>
      <c r="B8">
        <v>45</v>
      </c>
      <c r="C8">
        <v>50</v>
      </c>
      <c r="E8">
        <v>3.5</v>
      </c>
      <c r="F8" s="2"/>
      <c r="G8">
        <f t="shared" si="0"/>
        <v>-15</v>
      </c>
      <c r="H8" s="10">
        <f t="shared" si="0"/>
        <v>45</v>
      </c>
      <c r="I8">
        <f t="shared" si="0"/>
        <v>50</v>
      </c>
      <c r="J8">
        <f t="shared" si="1"/>
        <v>225</v>
      </c>
      <c r="K8">
        <f t="shared" si="2"/>
        <v>-675</v>
      </c>
      <c r="L8">
        <f t="shared" si="3"/>
        <v>-750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3.5353008628276545</v>
      </c>
      <c r="R8" s="12">
        <f t="shared" si="8"/>
        <v>1.0085960807901298E-2</v>
      </c>
      <c r="S8" s="11"/>
      <c r="T8" s="12"/>
    </row>
    <row r="9" spans="1:20" x14ac:dyDescent="0.25">
      <c r="A9">
        <v>-7</v>
      </c>
      <c r="B9">
        <v>45</v>
      </c>
      <c r="C9">
        <v>50</v>
      </c>
      <c r="E9">
        <v>4.62</v>
      </c>
      <c r="F9" s="2"/>
      <c r="G9">
        <f t="shared" si="0"/>
        <v>-7</v>
      </c>
      <c r="H9" s="10">
        <f t="shared" si="0"/>
        <v>45</v>
      </c>
      <c r="I9">
        <f t="shared" si="0"/>
        <v>50</v>
      </c>
      <c r="J9">
        <f t="shared" si="1"/>
        <v>49</v>
      </c>
      <c r="K9">
        <f t="shared" si="2"/>
        <v>-315</v>
      </c>
      <c r="L9">
        <f t="shared" si="3"/>
        <v>-350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4.3935357373627468</v>
      </c>
      <c r="R9" s="12">
        <f t="shared" si="8"/>
        <v>-4.9018238666072134E-2</v>
      </c>
      <c r="S9" s="11"/>
      <c r="T9" s="12"/>
    </row>
    <row r="10" spans="1:20" x14ac:dyDescent="0.25">
      <c r="A10">
        <v>2</v>
      </c>
      <c r="B10">
        <v>45</v>
      </c>
      <c r="C10">
        <v>50</v>
      </c>
      <c r="E10">
        <v>5.51</v>
      </c>
      <c r="G10">
        <f t="shared" si="0"/>
        <v>2</v>
      </c>
      <c r="H10" s="10">
        <f t="shared" si="0"/>
        <v>45</v>
      </c>
      <c r="I10">
        <f t="shared" si="0"/>
        <v>50</v>
      </c>
      <c r="J10">
        <f t="shared" si="1"/>
        <v>4</v>
      </c>
      <c r="K10">
        <f t="shared" si="2"/>
        <v>90</v>
      </c>
      <c r="L10">
        <f t="shared" si="3"/>
        <v>100</v>
      </c>
      <c r="M10">
        <f t="shared" si="4"/>
        <v>2025</v>
      </c>
      <c r="N10">
        <f t="shared" si="5"/>
        <v>2250</v>
      </c>
      <c r="O10">
        <f t="shared" si="6"/>
        <v>2500</v>
      </c>
      <c r="Q10" s="11">
        <f t="shared" si="7"/>
        <v>6.0591077588687092</v>
      </c>
      <c r="R10" s="12">
        <f t="shared" si="8"/>
        <v>9.9656580556934563E-2</v>
      </c>
      <c r="S10" s="11"/>
      <c r="T10" s="12"/>
    </row>
    <row r="11" spans="1:20" x14ac:dyDescent="0.25">
      <c r="A11">
        <v>7</v>
      </c>
      <c r="B11">
        <v>45</v>
      </c>
      <c r="C11">
        <v>50</v>
      </c>
      <c r="E11">
        <v>7.44</v>
      </c>
      <c r="G11">
        <f t="shared" si="0"/>
        <v>7</v>
      </c>
      <c r="H11" s="10">
        <f t="shared" si="0"/>
        <v>45</v>
      </c>
      <c r="I11">
        <f t="shared" si="0"/>
        <v>50</v>
      </c>
      <c r="J11">
        <f t="shared" si="1"/>
        <v>49</v>
      </c>
      <c r="K11">
        <f t="shared" si="2"/>
        <v>315</v>
      </c>
      <c r="L11">
        <f t="shared" si="3"/>
        <v>350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7.3047134252986812</v>
      </c>
      <c r="R11" s="12">
        <f t="shared" si="8"/>
        <v>-1.8183679395338603E-2</v>
      </c>
      <c r="S11" s="11"/>
      <c r="T11" s="12"/>
    </row>
    <row r="12" spans="1:20" x14ac:dyDescent="0.25">
      <c r="A12">
        <v>-7</v>
      </c>
      <c r="B12">
        <v>55</v>
      </c>
      <c r="C12">
        <v>50</v>
      </c>
      <c r="E12">
        <v>4.3899999999999997</v>
      </c>
      <c r="G12">
        <f t="shared" si="0"/>
        <v>-7</v>
      </c>
      <c r="H12" s="10">
        <f t="shared" si="0"/>
        <v>55</v>
      </c>
      <c r="I12">
        <f t="shared" si="0"/>
        <v>50</v>
      </c>
      <c r="J12">
        <f t="shared" si="1"/>
        <v>49</v>
      </c>
      <c r="K12">
        <f t="shared" si="2"/>
        <v>-385</v>
      </c>
      <c r="L12">
        <f t="shared" si="3"/>
        <v>-350</v>
      </c>
      <c r="M12">
        <f t="shared" si="4"/>
        <v>3025</v>
      </c>
      <c r="N12">
        <f t="shared" si="5"/>
        <v>2750</v>
      </c>
      <c r="O12">
        <f t="shared" si="6"/>
        <v>2500</v>
      </c>
      <c r="Q12" s="11">
        <f t="shared" si="7"/>
        <v>4.1989363986942445</v>
      </c>
      <c r="R12" s="12">
        <f t="shared" si="8"/>
        <v>-4.35224604341128E-2</v>
      </c>
      <c r="S12" s="11"/>
      <c r="T12" s="12"/>
    </row>
    <row r="13" spans="1:20" x14ac:dyDescent="0.25">
      <c r="A13">
        <v>2</v>
      </c>
      <c r="B13">
        <v>55</v>
      </c>
      <c r="C13">
        <v>50</v>
      </c>
      <c r="E13">
        <v>5.88</v>
      </c>
      <c r="G13">
        <f t="shared" si="0"/>
        <v>2</v>
      </c>
      <c r="H13" s="10">
        <f t="shared" si="0"/>
        <v>55</v>
      </c>
      <c r="I13">
        <f t="shared" si="0"/>
        <v>50</v>
      </c>
      <c r="J13">
        <f t="shared" si="1"/>
        <v>4</v>
      </c>
      <c r="K13">
        <f t="shared" si="2"/>
        <v>110</v>
      </c>
      <c r="L13">
        <f t="shared" si="3"/>
        <v>100</v>
      </c>
      <c r="M13">
        <f t="shared" si="4"/>
        <v>3025</v>
      </c>
      <c r="N13">
        <f t="shared" si="5"/>
        <v>2750</v>
      </c>
      <c r="O13">
        <f t="shared" si="6"/>
        <v>2500</v>
      </c>
      <c r="Q13" s="11">
        <f t="shared" si="7"/>
        <v>5.7943574917752665</v>
      </c>
      <c r="R13" s="12">
        <f t="shared" si="8"/>
        <v>-1.4565052419172348E-2</v>
      </c>
      <c r="S13" s="11"/>
      <c r="T13" s="12"/>
    </row>
    <row r="14" spans="1:20" x14ac:dyDescent="0.25">
      <c r="A14">
        <v>7</v>
      </c>
      <c r="B14">
        <v>55</v>
      </c>
      <c r="C14">
        <v>50</v>
      </c>
      <c r="E14">
        <v>7.08</v>
      </c>
      <c r="G14">
        <f t="shared" si="0"/>
        <v>7</v>
      </c>
      <c r="H14" s="10">
        <f t="shared" si="0"/>
        <v>55</v>
      </c>
      <c r="I14">
        <f t="shared" si="0"/>
        <v>50</v>
      </c>
      <c r="J14">
        <f t="shared" si="1"/>
        <v>49</v>
      </c>
      <c r="K14">
        <f t="shared" si="2"/>
        <v>385</v>
      </c>
      <c r="L14">
        <f t="shared" si="3"/>
        <v>350</v>
      </c>
      <c r="M14">
        <f t="shared" si="4"/>
        <v>3025</v>
      </c>
      <c r="N14">
        <f t="shared" si="5"/>
        <v>2750</v>
      </c>
      <c r="O14">
        <f t="shared" si="6"/>
        <v>2500</v>
      </c>
      <c r="Q14" s="11">
        <f t="shared" si="7"/>
        <v>7.000990420191382</v>
      </c>
      <c r="R14" s="12">
        <f t="shared" si="8"/>
        <v>-1.1159545170708773E-2</v>
      </c>
      <c r="S14" s="11"/>
      <c r="T14" s="12"/>
    </row>
    <row r="15" spans="1:20" x14ac:dyDescent="0.25">
      <c r="A15">
        <v>-15</v>
      </c>
      <c r="B15">
        <v>55</v>
      </c>
      <c r="C15">
        <v>50</v>
      </c>
      <c r="E15">
        <v>3.27</v>
      </c>
      <c r="G15">
        <f t="shared" si="0"/>
        <v>-15</v>
      </c>
      <c r="H15" s="10">
        <f t="shared" si="0"/>
        <v>55</v>
      </c>
      <c r="I15">
        <f t="shared" si="0"/>
        <v>50</v>
      </c>
      <c r="J15">
        <f t="shared" si="1"/>
        <v>225</v>
      </c>
      <c r="K15">
        <f t="shared" si="2"/>
        <v>-825</v>
      </c>
      <c r="L15">
        <f t="shared" si="3"/>
        <v>-750</v>
      </c>
      <c r="M15">
        <f t="shared" si="4"/>
        <v>3025</v>
      </c>
      <c r="N15">
        <f t="shared" si="5"/>
        <v>2750</v>
      </c>
      <c r="O15">
        <f t="shared" si="6"/>
        <v>2500</v>
      </c>
      <c r="Q15" s="11">
        <f t="shared" si="7"/>
        <v>3.4030579049813232</v>
      </c>
      <c r="R15" s="12">
        <f t="shared" si="8"/>
        <v>4.0690490819976513E-2</v>
      </c>
      <c r="S15" s="11"/>
      <c r="T15" s="12"/>
    </row>
    <row r="16" spans="1:20" x14ac:dyDescent="0.25">
      <c r="A16">
        <v>7</v>
      </c>
      <c r="B16">
        <v>65</v>
      </c>
      <c r="C16">
        <v>50</v>
      </c>
      <c r="E16">
        <v>6.61</v>
      </c>
      <c r="G16">
        <f t="shared" si="0"/>
        <v>7</v>
      </c>
      <c r="H16" s="10">
        <f t="shared" si="0"/>
        <v>65</v>
      </c>
      <c r="I16">
        <f t="shared" si="0"/>
        <v>50</v>
      </c>
      <c r="J16">
        <f t="shared" si="1"/>
        <v>49</v>
      </c>
      <c r="K16">
        <f t="shared" si="2"/>
        <v>455</v>
      </c>
      <c r="L16">
        <f t="shared" si="3"/>
        <v>350</v>
      </c>
      <c r="M16">
        <f t="shared" si="4"/>
        <v>4225</v>
      </c>
      <c r="N16">
        <f t="shared" si="5"/>
        <v>3250</v>
      </c>
      <c r="O16">
        <f t="shared" si="6"/>
        <v>2500</v>
      </c>
      <c r="Q16" s="11">
        <f t="shared" si="7"/>
        <v>6.6842192614525953</v>
      </c>
      <c r="R16" s="12">
        <f t="shared" si="8"/>
        <v>1.1228330023085467E-2</v>
      </c>
      <c r="S16" s="11"/>
      <c r="T16" s="12"/>
    </row>
    <row r="19" spans="1:18" x14ac:dyDescent="0.25">
      <c r="A19" t="s">
        <v>27</v>
      </c>
      <c r="G19" s="4" t="s">
        <v>1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  <c r="M19" s="4" t="s">
        <v>7</v>
      </c>
      <c r="N19" s="4" t="s">
        <v>8</v>
      </c>
      <c r="O19" s="4" t="s">
        <v>9</v>
      </c>
      <c r="P19" s="4" t="s">
        <v>10</v>
      </c>
    </row>
    <row r="20" spans="1:18" x14ac:dyDescent="0.25">
      <c r="A20" s="1"/>
      <c r="C20" s="1"/>
      <c r="D20" s="1"/>
      <c r="E20" s="1"/>
      <c r="F20" s="1"/>
      <c r="G20" s="4">
        <f t="array" ref="G20:P20">LINEST(E22:E34,G22:O34)</f>
        <v>0</v>
      </c>
      <c r="H20" s="4">
        <v>4.3946953660438566E-4</v>
      </c>
      <c r="I20" s="4">
        <v>1.116532873200515E-4</v>
      </c>
      <c r="J20" s="4">
        <v>-2.6266768538170816E-4</v>
      </c>
      <c r="K20" s="4">
        <v>3.2275880442579158E-4</v>
      </c>
      <c r="L20" s="4">
        <v>-7.4713353106009887E-4</v>
      </c>
      <c r="M20" s="4">
        <v>0</v>
      </c>
      <c r="N20" s="4">
        <v>0</v>
      </c>
      <c r="O20" s="4">
        <v>0</v>
      </c>
      <c r="P20" s="4">
        <v>0.73774458101473273</v>
      </c>
    </row>
    <row r="21" spans="1:18" ht="45" x14ac:dyDescent="0.25">
      <c r="A21" s="5" t="s">
        <v>11</v>
      </c>
      <c r="B21" s="5" t="s">
        <v>12</v>
      </c>
      <c r="C21" s="5" t="s">
        <v>13</v>
      </c>
      <c r="D21" s="6"/>
      <c r="E21" s="7" t="s">
        <v>14</v>
      </c>
      <c r="F21" s="3"/>
      <c r="G21" s="8" t="s">
        <v>17</v>
      </c>
      <c r="H21" s="8" t="s">
        <v>18</v>
      </c>
      <c r="I21" s="8" t="s">
        <v>0</v>
      </c>
      <c r="J21" s="8" t="s">
        <v>19</v>
      </c>
      <c r="K21" s="8" t="s">
        <v>20</v>
      </c>
      <c r="L21" s="8" t="s">
        <v>21</v>
      </c>
      <c r="M21" s="8" t="s">
        <v>22</v>
      </c>
      <c r="N21" s="8" t="s">
        <v>23</v>
      </c>
      <c r="O21" s="8" t="s">
        <v>24</v>
      </c>
      <c r="P21" s="3"/>
      <c r="Q21" s="9" t="s">
        <v>14</v>
      </c>
      <c r="R21" s="9" t="s">
        <v>15</v>
      </c>
    </row>
    <row r="22" spans="1:18" x14ac:dyDescent="0.25">
      <c r="A22">
        <v>-15</v>
      </c>
      <c r="B22">
        <v>35</v>
      </c>
      <c r="C22">
        <v>50</v>
      </c>
      <c r="E22">
        <v>1.5</v>
      </c>
      <c r="F22" s="2"/>
      <c r="G22">
        <f t="shared" ref="G22:I34" si="9">A22</f>
        <v>-15</v>
      </c>
      <c r="H22" s="10">
        <f t="shared" si="9"/>
        <v>35</v>
      </c>
      <c r="I22">
        <f t="shared" si="9"/>
        <v>50</v>
      </c>
      <c r="J22">
        <f t="shared" ref="J22:J34" si="10">G22^2</f>
        <v>225</v>
      </c>
      <c r="K22">
        <f t="shared" ref="K22:K34" si="11">G22*H22</f>
        <v>-525</v>
      </c>
      <c r="L22">
        <f t="shared" ref="L22:L34" si="12">G22*I22</f>
        <v>-750</v>
      </c>
      <c r="M22">
        <f t="shared" ref="M22:M34" si="13">H22^2</f>
        <v>1225</v>
      </c>
      <c r="N22">
        <f t="shared" ref="N22:N34" si="14">H22*I22</f>
        <v>1750</v>
      </c>
      <c r="O22">
        <f t="shared" ref="O22:O34" si="15">I22^2</f>
        <v>2500</v>
      </c>
      <c r="Q22" s="11">
        <f t="shared" ref="Q22:Q34" si="16">$P$20+$O$20*G22+$N$20*H22+$M$20*I22+$L$20*J22+$K$20*K22+$J$20*L22+$I$20*M22+$H$20*N22+$G$20*O22</f>
        <v>1.503038894263689</v>
      </c>
      <c r="R22" s="12">
        <f t="shared" ref="R22:R34" si="17">(Q22-E22)/E22</f>
        <v>2.0259295091259824E-3</v>
      </c>
    </row>
    <row r="23" spans="1:18" x14ac:dyDescent="0.25">
      <c r="A23">
        <v>-7</v>
      </c>
      <c r="B23">
        <v>35</v>
      </c>
      <c r="C23">
        <v>50</v>
      </c>
      <c r="E23">
        <v>1.62</v>
      </c>
      <c r="F23" s="2"/>
      <c r="G23">
        <f t="shared" si="9"/>
        <v>-7</v>
      </c>
      <c r="H23" s="10">
        <f t="shared" si="9"/>
        <v>35</v>
      </c>
      <c r="I23">
        <f t="shared" si="9"/>
        <v>50</v>
      </c>
      <c r="J23">
        <f t="shared" si="10"/>
        <v>49</v>
      </c>
      <c r="K23">
        <f t="shared" si="11"/>
        <v>-245</v>
      </c>
      <c r="L23">
        <f t="shared" si="12"/>
        <v>-350</v>
      </c>
      <c r="M23">
        <f t="shared" si="13"/>
        <v>1225</v>
      </c>
      <c r="N23">
        <f t="shared" si="14"/>
        <v>1750</v>
      </c>
      <c r="O23">
        <f t="shared" si="15"/>
        <v>2500</v>
      </c>
      <c r="Q23" s="11">
        <f t="shared" si="16"/>
        <v>1.6198397868168046</v>
      </c>
      <c r="R23" s="12">
        <f t="shared" si="17"/>
        <v>-9.8897026663875886E-5</v>
      </c>
    </row>
    <row r="24" spans="1:18" x14ac:dyDescent="0.25">
      <c r="A24">
        <v>2</v>
      </c>
      <c r="B24">
        <v>35</v>
      </c>
      <c r="C24">
        <v>50</v>
      </c>
      <c r="E24">
        <v>1.6</v>
      </c>
      <c r="F24" s="2"/>
      <c r="G24">
        <f t="shared" si="9"/>
        <v>2</v>
      </c>
      <c r="H24" s="10">
        <f t="shared" si="9"/>
        <v>35</v>
      </c>
      <c r="I24">
        <f t="shared" si="9"/>
        <v>50</v>
      </c>
      <c r="J24">
        <f t="shared" si="10"/>
        <v>4</v>
      </c>
      <c r="K24">
        <f t="shared" si="11"/>
        <v>70</v>
      </c>
      <c r="L24">
        <f t="shared" si="12"/>
        <v>100</v>
      </c>
      <c r="M24">
        <f t="shared" si="13"/>
        <v>1225</v>
      </c>
      <c r="N24">
        <f t="shared" si="14"/>
        <v>1750</v>
      </c>
      <c r="O24">
        <f t="shared" si="15"/>
        <v>2500</v>
      </c>
      <c r="Q24" s="11">
        <f t="shared" si="16"/>
        <v>1.6369293606868649</v>
      </c>
      <c r="R24" s="12">
        <f t="shared" si="17"/>
        <v>2.3080850429290506E-2</v>
      </c>
    </row>
    <row r="25" spans="1:18" x14ac:dyDescent="0.25">
      <c r="A25">
        <v>7</v>
      </c>
      <c r="B25">
        <v>35</v>
      </c>
      <c r="C25">
        <v>50</v>
      </c>
      <c r="E25">
        <v>1.62</v>
      </c>
      <c r="F25" s="2"/>
      <c r="G25">
        <f t="shared" si="9"/>
        <v>7</v>
      </c>
      <c r="H25" s="10">
        <f t="shared" si="9"/>
        <v>35</v>
      </c>
      <c r="I25">
        <f t="shared" si="9"/>
        <v>50</v>
      </c>
      <c r="J25">
        <f t="shared" si="10"/>
        <v>49</v>
      </c>
      <c r="K25">
        <f t="shared" si="11"/>
        <v>245</v>
      </c>
      <c r="L25">
        <f t="shared" si="12"/>
        <v>350</v>
      </c>
      <c r="M25">
        <f t="shared" si="13"/>
        <v>1225</v>
      </c>
      <c r="N25">
        <f t="shared" si="14"/>
        <v>1750</v>
      </c>
      <c r="O25">
        <f t="shared" si="15"/>
        <v>2500</v>
      </c>
      <c r="Q25" s="11">
        <f t="shared" si="16"/>
        <v>1.5941242212182469</v>
      </c>
      <c r="R25" s="12">
        <f t="shared" si="17"/>
        <v>-1.5972702951699492E-2</v>
      </c>
    </row>
    <row r="26" spans="1:18" x14ac:dyDescent="0.25">
      <c r="A26">
        <v>-15</v>
      </c>
      <c r="B26">
        <v>45</v>
      </c>
      <c r="C26">
        <v>50</v>
      </c>
      <c r="E26">
        <v>1.76</v>
      </c>
      <c r="F26" s="2"/>
      <c r="G26">
        <f t="shared" si="9"/>
        <v>-15</v>
      </c>
      <c r="H26" s="10">
        <f t="shared" si="9"/>
        <v>45</v>
      </c>
      <c r="I26">
        <f t="shared" si="9"/>
        <v>50</v>
      </c>
      <c r="J26">
        <f t="shared" si="10"/>
        <v>225</v>
      </c>
      <c r="K26">
        <f t="shared" si="11"/>
        <v>-675</v>
      </c>
      <c r="L26">
        <f t="shared" si="12"/>
        <v>-750</v>
      </c>
      <c r="M26">
        <f t="shared" si="13"/>
        <v>2025</v>
      </c>
      <c r="N26">
        <f t="shared" si="14"/>
        <v>2250</v>
      </c>
      <c r="O26">
        <f t="shared" si="15"/>
        <v>2500</v>
      </c>
      <c r="Q26" s="11">
        <f t="shared" si="16"/>
        <v>1.7636824717580541</v>
      </c>
      <c r="R26" s="12">
        <f t="shared" si="17"/>
        <v>2.0923134988943977E-3</v>
      </c>
    </row>
    <row r="27" spans="1:18" x14ac:dyDescent="0.25">
      <c r="A27">
        <v>-7</v>
      </c>
      <c r="B27">
        <v>45</v>
      </c>
      <c r="C27">
        <v>50</v>
      </c>
      <c r="E27">
        <v>1.97</v>
      </c>
      <c r="F27" s="2"/>
      <c r="G27">
        <f t="shared" si="9"/>
        <v>-7</v>
      </c>
      <c r="H27" s="10">
        <f t="shared" si="9"/>
        <v>45</v>
      </c>
      <c r="I27">
        <f t="shared" si="9"/>
        <v>50</v>
      </c>
      <c r="J27">
        <f t="shared" si="10"/>
        <v>49</v>
      </c>
      <c r="K27">
        <f t="shared" si="11"/>
        <v>-315</v>
      </c>
      <c r="L27">
        <f t="shared" si="12"/>
        <v>-350</v>
      </c>
      <c r="M27">
        <f t="shared" si="13"/>
        <v>2025</v>
      </c>
      <c r="N27">
        <f t="shared" si="14"/>
        <v>2250</v>
      </c>
      <c r="O27">
        <f t="shared" si="15"/>
        <v>2500</v>
      </c>
      <c r="Q27" s="11">
        <f t="shared" si="16"/>
        <v>1.9063040686652335</v>
      </c>
      <c r="R27" s="12">
        <f t="shared" si="17"/>
        <v>-3.2332960068409376E-2</v>
      </c>
    </row>
    <row r="28" spans="1:18" x14ac:dyDescent="0.25">
      <c r="A28">
        <v>2</v>
      </c>
      <c r="B28">
        <v>45</v>
      </c>
      <c r="C28">
        <v>50</v>
      </c>
      <c r="E28">
        <v>1.89</v>
      </c>
      <c r="F28" s="2"/>
      <c r="G28">
        <f t="shared" si="9"/>
        <v>2</v>
      </c>
      <c r="H28" s="10">
        <f t="shared" si="9"/>
        <v>45</v>
      </c>
      <c r="I28">
        <f t="shared" si="9"/>
        <v>50</v>
      </c>
      <c r="J28">
        <f t="shared" si="10"/>
        <v>4</v>
      </c>
      <c r="K28">
        <f t="shared" si="11"/>
        <v>90</v>
      </c>
      <c r="L28">
        <f t="shared" si="12"/>
        <v>100</v>
      </c>
      <c r="M28">
        <f t="shared" si="13"/>
        <v>2025</v>
      </c>
      <c r="N28">
        <f t="shared" si="14"/>
        <v>2250</v>
      </c>
      <c r="O28">
        <f t="shared" si="15"/>
        <v>2500</v>
      </c>
      <c r="Q28" s="11">
        <f t="shared" si="16"/>
        <v>1.9524419349336148</v>
      </c>
      <c r="R28" s="12">
        <f t="shared" si="17"/>
        <v>3.3038060811436475E-2</v>
      </c>
    </row>
    <row r="29" spans="1:18" x14ac:dyDescent="0.25">
      <c r="A29">
        <v>7</v>
      </c>
      <c r="B29">
        <v>45</v>
      </c>
      <c r="C29">
        <v>50</v>
      </c>
      <c r="E29">
        <v>1.97</v>
      </c>
      <c r="F29" s="2"/>
      <c r="G29">
        <f t="shared" si="9"/>
        <v>7</v>
      </c>
      <c r="H29" s="10">
        <f t="shared" si="9"/>
        <v>45</v>
      </c>
      <c r="I29">
        <f t="shared" si="9"/>
        <v>50</v>
      </c>
      <c r="J29">
        <f t="shared" si="10"/>
        <v>49</v>
      </c>
      <c r="K29">
        <f t="shared" si="11"/>
        <v>315</v>
      </c>
      <c r="L29">
        <f t="shared" si="12"/>
        <v>350</v>
      </c>
      <c r="M29">
        <f t="shared" si="13"/>
        <v>2025</v>
      </c>
      <c r="N29">
        <f t="shared" si="14"/>
        <v>2250</v>
      </c>
      <c r="O29">
        <f t="shared" si="15"/>
        <v>2500</v>
      </c>
      <c r="Q29" s="11">
        <f t="shared" si="16"/>
        <v>1.9257747356862862</v>
      </c>
      <c r="R29" s="12">
        <f t="shared" si="17"/>
        <v>-2.2449372748078053E-2</v>
      </c>
    </row>
    <row r="30" spans="1:18" x14ac:dyDescent="0.25">
      <c r="A30">
        <v>-7</v>
      </c>
      <c r="B30">
        <v>55</v>
      </c>
      <c r="C30">
        <v>50</v>
      </c>
      <c r="E30">
        <v>2.2799999999999998</v>
      </c>
      <c r="F30" s="2"/>
      <c r="G30">
        <f t="shared" si="9"/>
        <v>-7</v>
      </c>
      <c r="H30" s="10">
        <f t="shared" si="9"/>
        <v>55</v>
      </c>
      <c r="I30">
        <f t="shared" si="9"/>
        <v>50</v>
      </c>
      <c r="J30">
        <f t="shared" si="10"/>
        <v>49</v>
      </c>
      <c r="K30">
        <f t="shared" si="11"/>
        <v>-385</v>
      </c>
      <c r="L30">
        <f t="shared" si="12"/>
        <v>-350</v>
      </c>
      <c r="M30">
        <f t="shared" si="13"/>
        <v>3025</v>
      </c>
      <c r="N30">
        <f t="shared" si="14"/>
        <v>2750</v>
      </c>
      <c r="O30">
        <f t="shared" si="15"/>
        <v>2500</v>
      </c>
      <c r="Q30" s="11">
        <f t="shared" si="16"/>
        <v>2.2150990079776722</v>
      </c>
      <c r="R30" s="12">
        <f t="shared" si="17"/>
        <v>-2.8465347378213851E-2</v>
      </c>
    </row>
    <row r="31" spans="1:18" x14ac:dyDescent="0.25">
      <c r="A31">
        <v>2</v>
      </c>
      <c r="B31">
        <v>55</v>
      </c>
      <c r="C31">
        <v>50</v>
      </c>
      <c r="E31">
        <v>2.2200000000000002</v>
      </c>
      <c r="F31" s="2"/>
      <c r="G31">
        <f t="shared" si="9"/>
        <v>2</v>
      </c>
      <c r="H31" s="10">
        <f t="shared" si="9"/>
        <v>55</v>
      </c>
      <c r="I31">
        <f t="shared" si="9"/>
        <v>50</v>
      </c>
      <c r="J31">
        <f t="shared" si="10"/>
        <v>4</v>
      </c>
      <c r="K31">
        <f t="shared" si="11"/>
        <v>110</v>
      </c>
      <c r="L31">
        <f t="shared" si="12"/>
        <v>100</v>
      </c>
      <c r="M31">
        <f t="shared" si="13"/>
        <v>3025</v>
      </c>
      <c r="N31">
        <f t="shared" si="14"/>
        <v>2750</v>
      </c>
      <c r="O31">
        <f t="shared" si="15"/>
        <v>2500</v>
      </c>
      <c r="Q31" s="11">
        <f t="shared" si="16"/>
        <v>2.2902851666443746</v>
      </c>
      <c r="R31" s="12">
        <f t="shared" si="17"/>
        <v>3.1659984974943448E-2</v>
      </c>
    </row>
    <row r="32" spans="1:18" x14ac:dyDescent="0.25">
      <c r="A32">
        <v>7</v>
      </c>
      <c r="B32">
        <v>55</v>
      </c>
      <c r="C32">
        <v>50</v>
      </c>
      <c r="E32">
        <v>2.2799999999999998</v>
      </c>
      <c r="F32" s="2"/>
      <c r="G32">
        <f t="shared" si="9"/>
        <v>7</v>
      </c>
      <c r="H32" s="10">
        <f t="shared" si="9"/>
        <v>55</v>
      </c>
      <c r="I32">
        <f t="shared" si="9"/>
        <v>50</v>
      </c>
      <c r="J32">
        <f t="shared" si="10"/>
        <v>49</v>
      </c>
      <c r="K32">
        <f t="shared" si="11"/>
        <v>385</v>
      </c>
      <c r="L32">
        <f t="shared" si="12"/>
        <v>350</v>
      </c>
      <c r="M32">
        <f t="shared" si="13"/>
        <v>3025</v>
      </c>
      <c r="N32">
        <f t="shared" si="14"/>
        <v>2750</v>
      </c>
      <c r="O32">
        <f t="shared" si="15"/>
        <v>2500</v>
      </c>
      <c r="Q32" s="11">
        <f t="shared" si="16"/>
        <v>2.2797559076183358</v>
      </c>
      <c r="R32" s="12">
        <f t="shared" si="17"/>
        <v>-1.0705806213333653E-4</v>
      </c>
    </row>
    <row r="33" spans="1:18" x14ac:dyDescent="0.25">
      <c r="A33">
        <v>-15</v>
      </c>
      <c r="B33">
        <v>55</v>
      </c>
      <c r="C33">
        <v>50</v>
      </c>
      <c r="E33">
        <v>2.0099999999999998</v>
      </c>
      <c r="F33" s="2"/>
      <c r="G33">
        <f t="shared" si="9"/>
        <v>-15</v>
      </c>
      <c r="H33" s="10">
        <f t="shared" si="9"/>
        <v>55</v>
      </c>
      <c r="I33">
        <f t="shared" si="9"/>
        <v>50</v>
      </c>
      <c r="J33">
        <f t="shared" si="10"/>
        <v>225</v>
      </c>
      <c r="K33">
        <f t="shared" si="11"/>
        <v>-825</v>
      </c>
      <c r="L33">
        <f t="shared" si="12"/>
        <v>-750</v>
      </c>
      <c r="M33">
        <f t="shared" si="13"/>
        <v>3025</v>
      </c>
      <c r="N33">
        <f t="shared" si="14"/>
        <v>2750</v>
      </c>
      <c r="O33">
        <f t="shared" si="15"/>
        <v>2500</v>
      </c>
      <c r="Q33" s="11">
        <f t="shared" si="16"/>
        <v>2.0466567067164299</v>
      </c>
      <c r="R33" s="12">
        <f t="shared" si="17"/>
        <v>1.8237167520611976E-2</v>
      </c>
    </row>
    <row r="34" spans="1:18" x14ac:dyDescent="0.25">
      <c r="A34">
        <v>7</v>
      </c>
      <c r="B34">
        <v>65</v>
      </c>
      <c r="C34">
        <v>50</v>
      </c>
      <c r="E34">
        <v>2.67</v>
      </c>
      <c r="F34" s="2"/>
      <c r="G34">
        <f t="shared" si="9"/>
        <v>7</v>
      </c>
      <c r="H34" s="10">
        <f t="shared" si="9"/>
        <v>65</v>
      </c>
      <c r="I34">
        <f t="shared" si="9"/>
        <v>50</v>
      </c>
      <c r="J34">
        <f t="shared" si="10"/>
        <v>49</v>
      </c>
      <c r="K34">
        <f t="shared" si="11"/>
        <v>455</v>
      </c>
      <c r="L34">
        <f t="shared" si="12"/>
        <v>350</v>
      </c>
      <c r="M34">
        <f t="shared" si="13"/>
        <v>4225</v>
      </c>
      <c r="N34">
        <f t="shared" si="14"/>
        <v>3250</v>
      </c>
      <c r="O34">
        <f t="shared" si="15"/>
        <v>2500</v>
      </c>
      <c r="Q34" s="11">
        <f t="shared" si="16"/>
        <v>2.6560677370143964</v>
      </c>
      <c r="R34" s="12">
        <f t="shared" si="17"/>
        <v>-5.2180760245706262E-3</v>
      </c>
    </row>
    <row r="37" spans="1:18" x14ac:dyDescent="0.25">
      <c r="A37" t="s">
        <v>28</v>
      </c>
      <c r="G37" s="4" t="s">
        <v>1</v>
      </c>
      <c r="H37" s="4" t="s">
        <v>2</v>
      </c>
      <c r="I37" s="4" t="s">
        <v>3</v>
      </c>
      <c r="J37" s="4" t="s">
        <v>4</v>
      </c>
      <c r="K37" s="4" t="s">
        <v>5</v>
      </c>
      <c r="L37" s="4" t="s">
        <v>6</v>
      </c>
      <c r="M37" s="4" t="s">
        <v>7</v>
      </c>
      <c r="N37" s="4" t="s">
        <v>8</v>
      </c>
      <c r="O37" s="4" t="s">
        <v>9</v>
      </c>
      <c r="P37" s="4" t="s">
        <v>10</v>
      </c>
    </row>
    <row r="38" spans="1:18" x14ac:dyDescent="0.25">
      <c r="A38" s="1"/>
      <c r="C38" s="1"/>
      <c r="D38" s="1"/>
      <c r="E38" s="1"/>
      <c r="F38" s="1"/>
      <c r="G38" s="4">
        <f t="array" ref="G38:P38">LINEST(E40:E52,G40:O52)</f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50</v>
      </c>
    </row>
    <row r="39" spans="1:18" ht="45" x14ac:dyDescent="0.25">
      <c r="A39" s="5" t="s">
        <v>11</v>
      </c>
      <c r="B39" s="5" t="s">
        <v>12</v>
      </c>
      <c r="C39" s="5" t="s">
        <v>14</v>
      </c>
      <c r="E39" s="7" t="s">
        <v>13</v>
      </c>
      <c r="F39" s="3"/>
      <c r="G39" s="8" t="s">
        <v>17</v>
      </c>
      <c r="H39" s="8" t="s">
        <v>18</v>
      </c>
      <c r="I39" s="8" t="s">
        <v>0</v>
      </c>
      <c r="J39" s="8" t="s">
        <v>19</v>
      </c>
      <c r="K39" s="8" t="s">
        <v>20</v>
      </c>
      <c r="L39" s="8" t="s">
        <v>21</v>
      </c>
      <c r="M39" s="8" t="s">
        <v>22</v>
      </c>
      <c r="N39" s="8" t="s">
        <v>23</v>
      </c>
      <c r="O39" s="8" t="s">
        <v>24</v>
      </c>
      <c r="P39" s="3"/>
      <c r="Q39" s="9" t="s">
        <v>16</v>
      </c>
      <c r="R39" s="9" t="s">
        <v>15</v>
      </c>
    </row>
    <row r="40" spans="1:18" x14ac:dyDescent="0.25">
      <c r="A40">
        <v>-15</v>
      </c>
      <c r="B40">
        <v>35</v>
      </c>
      <c r="C40" s="2">
        <f>E4</f>
        <v>3.63</v>
      </c>
      <c r="E40">
        <v>50</v>
      </c>
      <c r="F40" s="2"/>
      <c r="G40">
        <f t="shared" ref="G40:I52" si="18">A40</f>
        <v>-15</v>
      </c>
      <c r="H40" s="10">
        <f t="shared" si="18"/>
        <v>35</v>
      </c>
      <c r="I40">
        <f t="shared" si="18"/>
        <v>3.63</v>
      </c>
      <c r="J40">
        <f t="shared" ref="J40:J52" si="19">G40^2</f>
        <v>225</v>
      </c>
      <c r="K40">
        <f t="shared" ref="K40:K52" si="20">G40*H40</f>
        <v>-525</v>
      </c>
      <c r="L40">
        <f t="shared" ref="L40:L52" si="21">G40*I40</f>
        <v>-54.449999999999996</v>
      </c>
      <c r="M40">
        <f t="shared" ref="M40:M52" si="22">H40^2</f>
        <v>1225</v>
      </c>
      <c r="N40">
        <f t="shared" ref="N40:N52" si="23">H40*I40</f>
        <v>127.05</v>
      </c>
      <c r="O40">
        <f t="shared" ref="O40:O52" si="24">I40^2</f>
        <v>13.1769</v>
      </c>
      <c r="Q40" s="11">
        <f t="shared" ref="Q40:Q52" si="25">$P$38+$O$2*G40+$N$38*H40+$M$38*I40+$L$38*J40+$K$38*K40+$J$38*L40+$I$38*M40+$H$38*N40+$G$38*O40</f>
        <v>50</v>
      </c>
      <c r="R40" s="12">
        <f t="shared" ref="R40:R52" si="26">(Q40-E40)/E40</f>
        <v>0</v>
      </c>
    </row>
    <row r="41" spans="1:18" x14ac:dyDescent="0.25">
      <c r="A41">
        <v>-7</v>
      </c>
      <c r="B41">
        <v>35</v>
      </c>
      <c r="C41" s="2">
        <f t="shared" ref="C41:C52" si="27">E5</f>
        <v>4.7300000000000004</v>
      </c>
      <c r="E41">
        <v>50</v>
      </c>
      <c r="F41" s="2"/>
      <c r="G41">
        <f t="shared" si="18"/>
        <v>-7</v>
      </c>
      <c r="H41" s="10">
        <f t="shared" si="18"/>
        <v>35</v>
      </c>
      <c r="I41">
        <f t="shared" si="18"/>
        <v>4.7300000000000004</v>
      </c>
      <c r="J41">
        <f t="shared" si="19"/>
        <v>49</v>
      </c>
      <c r="K41">
        <f t="shared" si="20"/>
        <v>-245</v>
      </c>
      <c r="L41">
        <f t="shared" si="21"/>
        <v>-33.11</v>
      </c>
      <c r="M41">
        <f t="shared" si="22"/>
        <v>1225</v>
      </c>
      <c r="N41">
        <f t="shared" si="23"/>
        <v>165.55</v>
      </c>
      <c r="O41">
        <f t="shared" si="24"/>
        <v>22.372900000000005</v>
      </c>
      <c r="Q41" s="11">
        <f t="shared" si="25"/>
        <v>50</v>
      </c>
      <c r="R41" s="12">
        <f t="shared" si="26"/>
        <v>0</v>
      </c>
    </row>
    <row r="42" spans="1:18" x14ac:dyDescent="0.25">
      <c r="A42">
        <v>2</v>
      </c>
      <c r="B42">
        <v>35</v>
      </c>
      <c r="C42" s="2">
        <f t="shared" si="27"/>
        <v>6.02</v>
      </c>
      <c r="E42">
        <v>50</v>
      </c>
      <c r="F42" s="2"/>
      <c r="G42">
        <f t="shared" si="18"/>
        <v>2</v>
      </c>
      <c r="H42" s="10">
        <f t="shared" si="18"/>
        <v>35</v>
      </c>
      <c r="I42">
        <f t="shared" si="18"/>
        <v>6.02</v>
      </c>
      <c r="J42">
        <f t="shared" si="19"/>
        <v>4</v>
      </c>
      <c r="K42">
        <f t="shared" si="20"/>
        <v>70</v>
      </c>
      <c r="L42">
        <f t="shared" si="21"/>
        <v>12.04</v>
      </c>
      <c r="M42">
        <f t="shared" si="22"/>
        <v>1225</v>
      </c>
      <c r="N42">
        <f t="shared" si="23"/>
        <v>210.7</v>
      </c>
      <c r="O42">
        <f t="shared" si="24"/>
        <v>36.240399999999994</v>
      </c>
      <c r="Q42" s="11">
        <f t="shared" si="25"/>
        <v>50</v>
      </c>
      <c r="R42" s="12">
        <f t="shared" si="26"/>
        <v>0</v>
      </c>
    </row>
    <row r="43" spans="1:18" x14ac:dyDescent="0.25">
      <c r="A43">
        <v>7</v>
      </c>
      <c r="B43">
        <v>35</v>
      </c>
      <c r="C43" s="2">
        <f t="shared" si="27"/>
        <v>7.83</v>
      </c>
      <c r="E43">
        <v>50</v>
      </c>
      <c r="F43" s="2"/>
      <c r="G43">
        <f t="shared" si="18"/>
        <v>7</v>
      </c>
      <c r="H43" s="10">
        <f t="shared" si="18"/>
        <v>35</v>
      </c>
      <c r="I43">
        <f t="shared" si="18"/>
        <v>7.83</v>
      </c>
      <c r="J43">
        <f t="shared" si="19"/>
        <v>49</v>
      </c>
      <c r="K43">
        <f t="shared" si="20"/>
        <v>245</v>
      </c>
      <c r="L43">
        <f t="shared" si="21"/>
        <v>54.81</v>
      </c>
      <c r="M43">
        <f t="shared" si="22"/>
        <v>1225</v>
      </c>
      <c r="N43">
        <f t="shared" si="23"/>
        <v>274.05</v>
      </c>
      <c r="O43">
        <f t="shared" si="24"/>
        <v>61.308900000000001</v>
      </c>
      <c r="Q43" s="11">
        <f t="shared" si="25"/>
        <v>50</v>
      </c>
      <c r="R43" s="12">
        <f t="shared" si="26"/>
        <v>0</v>
      </c>
    </row>
    <row r="44" spans="1:18" x14ac:dyDescent="0.25">
      <c r="A44">
        <v>-15</v>
      </c>
      <c r="B44">
        <v>45</v>
      </c>
      <c r="C44" s="2">
        <f t="shared" si="27"/>
        <v>3.5</v>
      </c>
      <c r="E44">
        <v>50</v>
      </c>
      <c r="F44" s="2"/>
      <c r="G44">
        <f t="shared" si="18"/>
        <v>-15</v>
      </c>
      <c r="H44" s="10">
        <f t="shared" si="18"/>
        <v>45</v>
      </c>
      <c r="I44">
        <f t="shared" si="18"/>
        <v>3.5</v>
      </c>
      <c r="J44">
        <f t="shared" si="19"/>
        <v>225</v>
      </c>
      <c r="K44">
        <f t="shared" si="20"/>
        <v>-675</v>
      </c>
      <c r="L44">
        <f t="shared" si="21"/>
        <v>-52.5</v>
      </c>
      <c r="M44">
        <f t="shared" si="22"/>
        <v>2025</v>
      </c>
      <c r="N44">
        <f t="shared" si="23"/>
        <v>157.5</v>
      </c>
      <c r="O44">
        <f t="shared" si="24"/>
        <v>12.25</v>
      </c>
      <c r="Q44" s="11">
        <f t="shared" si="25"/>
        <v>50</v>
      </c>
      <c r="R44" s="12">
        <f t="shared" si="26"/>
        <v>0</v>
      </c>
    </row>
    <row r="45" spans="1:18" x14ac:dyDescent="0.25">
      <c r="A45">
        <v>-7</v>
      </c>
      <c r="B45">
        <v>45</v>
      </c>
      <c r="C45" s="2">
        <f t="shared" si="27"/>
        <v>4.62</v>
      </c>
      <c r="E45">
        <v>50</v>
      </c>
      <c r="F45" s="2"/>
      <c r="G45">
        <f t="shared" si="18"/>
        <v>-7</v>
      </c>
      <c r="H45" s="10">
        <f t="shared" si="18"/>
        <v>45</v>
      </c>
      <c r="I45">
        <f t="shared" si="18"/>
        <v>4.62</v>
      </c>
      <c r="J45">
        <f t="shared" si="19"/>
        <v>49</v>
      </c>
      <c r="K45">
        <f t="shared" si="20"/>
        <v>-315</v>
      </c>
      <c r="L45">
        <f t="shared" si="21"/>
        <v>-32.340000000000003</v>
      </c>
      <c r="M45">
        <f t="shared" si="22"/>
        <v>2025</v>
      </c>
      <c r="N45">
        <f t="shared" si="23"/>
        <v>207.9</v>
      </c>
      <c r="O45">
        <f t="shared" si="24"/>
        <v>21.3444</v>
      </c>
      <c r="Q45" s="11">
        <f t="shared" si="25"/>
        <v>50</v>
      </c>
      <c r="R45" s="12">
        <f t="shared" si="26"/>
        <v>0</v>
      </c>
    </row>
    <row r="46" spans="1:18" x14ac:dyDescent="0.25">
      <c r="A46">
        <v>2</v>
      </c>
      <c r="B46">
        <v>45</v>
      </c>
      <c r="C46" s="2">
        <f t="shared" si="27"/>
        <v>5.51</v>
      </c>
      <c r="E46">
        <v>50</v>
      </c>
      <c r="F46" s="2"/>
      <c r="G46">
        <f t="shared" si="18"/>
        <v>2</v>
      </c>
      <c r="H46" s="10">
        <f t="shared" si="18"/>
        <v>45</v>
      </c>
      <c r="I46">
        <f t="shared" si="18"/>
        <v>5.51</v>
      </c>
      <c r="J46">
        <f t="shared" si="19"/>
        <v>4</v>
      </c>
      <c r="K46">
        <f t="shared" si="20"/>
        <v>90</v>
      </c>
      <c r="L46">
        <f t="shared" si="21"/>
        <v>11.02</v>
      </c>
      <c r="M46">
        <f t="shared" si="22"/>
        <v>2025</v>
      </c>
      <c r="N46">
        <f t="shared" si="23"/>
        <v>247.95</v>
      </c>
      <c r="O46">
        <f t="shared" si="24"/>
        <v>30.360099999999999</v>
      </c>
      <c r="Q46" s="11">
        <f t="shared" si="25"/>
        <v>50</v>
      </c>
      <c r="R46" s="12">
        <f t="shared" si="26"/>
        <v>0</v>
      </c>
    </row>
    <row r="47" spans="1:18" x14ac:dyDescent="0.25">
      <c r="A47">
        <v>7</v>
      </c>
      <c r="B47">
        <v>45</v>
      </c>
      <c r="C47" s="2">
        <f t="shared" si="27"/>
        <v>7.44</v>
      </c>
      <c r="E47">
        <v>50</v>
      </c>
      <c r="F47" s="2"/>
      <c r="G47">
        <f t="shared" si="18"/>
        <v>7</v>
      </c>
      <c r="H47" s="10">
        <f t="shared" si="18"/>
        <v>45</v>
      </c>
      <c r="I47">
        <f t="shared" si="18"/>
        <v>7.44</v>
      </c>
      <c r="J47">
        <f t="shared" si="19"/>
        <v>49</v>
      </c>
      <c r="K47">
        <f t="shared" si="20"/>
        <v>315</v>
      </c>
      <c r="L47">
        <f t="shared" si="21"/>
        <v>52.080000000000005</v>
      </c>
      <c r="M47">
        <f t="shared" si="22"/>
        <v>2025</v>
      </c>
      <c r="N47">
        <f t="shared" si="23"/>
        <v>334.8</v>
      </c>
      <c r="O47">
        <f t="shared" si="24"/>
        <v>55.353600000000007</v>
      </c>
      <c r="Q47" s="11">
        <f t="shared" si="25"/>
        <v>50</v>
      </c>
      <c r="R47" s="12">
        <f t="shared" si="26"/>
        <v>0</v>
      </c>
    </row>
    <row r="48" spans="1:18" x14ac:dyDescent="0.25">
      <c r="A48">
        <v>-7</v>
      </c>
      <c r="B48">
        <v>55</v>
      </c>
      <c r="C48" s="2">
        <f t="shared" si="27"/>
        <v>4.3899999999999997</v>
      </c>
      <c r="E48">
        <v>50</v>
      </c>
      <c r="F48" s="2"/>
      <c r="G48">
        <f t="shared" si="18"/>
        <v>-7</v>
      </c>
      <c r="H48" s="10">
        <f t="shared" si="18"/>
        <v>55</v>
      </c>
      <c r="I48">
        <f t="shared" si="18"/>
        <v>4.3899999999999997</v>
      </c>
      <c r="J48">
        <f t="shared" si="19"/>
        <v>49</v>
      </c>
      <c r="K48">
        <f t="shared" si="20"/>
        <v>-385</v>
      </c>
      <c r="L48">
        <f t="shared" si="21"/>
        <v>-30.729999999999997</v>
      </c>
      <c r="M48">
        <f t="shared" si="22"/>
        <v>3025</v>
      </c>
      <c r="N48">
        <f t="shared" si="23"/>
        <v>241.45</v>
      </c>
      <c r="O48">
        <f t="shared" si="24"/>
        <v>19.272099999999998</v>
      </c>
      <c r="Q48" s="11">
        <f t="shared" si="25"/>
        <v>50</v>
      </c>
      <c r="R48" s="12">
        <f t="shared" si="26"/>
        <v>0</v>
      </c>
    </row>
    <row r="49" spans="1:18" x14ac:dyDescent="0.25">
      <c r="A49">
        <v>2</v>
      </c>
      <c r="B49">
        <v>55</v>
      </c>
      <c r="C49" s="2">
        <f t="shared" si="27"/>
        <v>5.88</v>
      </c>
      <c r="E49">
        <v>50</v>
      </c>
      <c r="F49" s="2"/>
      <c r="G49">
        <f t="shared" si="18"/>
        <v>2</v>
      </c>
      <c r="H49" s="10">
        <f t="shared" si="18"/>
        <v>55</v>
      </c>
      <c r="I49">
        <f t="shared" si="18"/>
        <v>5.88</v>
      </c>
      <c r="J49">
        <f t="shared" si="19"/>
        <v>4</v>
      </c>
      <c r="K49">
        <f t="shared" si="20"/>
        <v>110</v>
      </c>
      <c r="L49">
        <f t="shared" si="21"/>
        <v>11.76</v>
      </c>
      <c r="M49">
        <f t="shared" si="22"/>
        <v>3025</v>
      </c>
      <c r="N49">
        <f t="shared" si="23"/>
        <v>323.39999999999998</v>
      </c>
      <c r="O49">
        <f t="shared" si="24"/>
        <v>34.574399999999997</v>
      </c>
      <c r="Q49" s="11">
        <f t="shared" si="25"/>
        <v>50</v>
      </c>
      <c r="R49" s="12">
        <f t="shared" si="26"/>
        <v>0</v>
      </c>
    </row>
    <row r="50" spans="1:18" x14ac:dyDescent="0.25">
      <c r="A50">
        <v>7</v>
      </c>
      <c r="B50">
        <v>55</v>
      </c>
      <c r="C50" s="2">
        <f t="shared" si="27"/>
        <v>7.08</v>
      </c>
      <c r="E50">
        <v>50</v>
      </c>
      <c r="F50" s="2"/>
      <c r="G50">
        <f t="shared" si="18"/>
        <v>7</v>
      </c>
      <c r="H50" s="10">
        <f t="shared" si="18"/>
        <v>55</v>
      </c>
      <c r="I50">
        <f t="shared" si="18"/>
        <v>7.08</v>
      </c>
      <c r="J50">
        <f t="shared" si="19"/>
        <v>49</v>
      </c>
      <c r="K50">
        <f t="shared" si="20"/>
        <v>385</v>
      </c>
      <c r="L50">
        <f t="shared" si="21"/>
        <v>49.56</v>
      </c>
      <c r="M50">
        <f t="shared" si="22"/>
        <v>3025</v>
      </c>
      <c r="N50">
        <f t="shared" si="23"/>
        <v>389.4</v>
      </c>
      <c r="O50">
        <f t="shared" si="24"/>
        <v>50.126400000000004</v>
      </c>
      <c r="Q50" s="11">
        <f t="shared" si="25"/>
        <v>50</v>
      </c>
      <c r="R50" s="12">
        <f t="shared" si="26"/>
        <v>0</v>
      </c>
    </row>
    <row r="51" spans="1:18" x14ac:dyDescent="0.25">
      <c r="A51">
        <v>-15</v>
      </c>
      <c r="B51">
        <v>55</v>
      </c>
      <c r="C51" s="2">
        <f t="shared" si="27"/>
        <v>3.27</v>
      </c>
      <c r="E51">
        <v>50</v>
      </c>
      <c r="F51" s="2"/>
      <c r="G51">
        <f t="shared" si="18"/>
        <v>-15</v>
      </c>
      <c r="H51" s="10">
        <f t="shared" si="18"/>
        <v>55</v>
      </c>
      <c r="I51">
        <f t="shared" si="18"/>
        <v>3.27</v>
      </c>
      <c r="J51">
        <f t="shared" si="19"/>
        <v>225</v>
      </c>
      <c r="K51">
        <f t="shared" si="20"/>
        <v>-825</v>
      </c>
      <c r="L51">
        <f t="shared" si="21"/>
        <v>-49.05</v>
      </c>
      <c r="M51">
        <f t="shared" si="22"/>
        <v>3025</v>
      </c>
      <c r="N51">
        <f t="shared" si="23"/>
        <v>179.85</v>
      </c>
      <c r="O51">
        <f t="shared" si="24"/>
        <v>10.6929</v>
      </c>
      <c r="Q51" s="11">
        <f t="shared" si="25"/>
        <v>50</v>
      </c>
      <c r="R51" s="12">
        <f t="shared" si="26"/>
        <v>0</v>
      </c>
    </row>
    <row r="52" spans="1:18" x14ac:dyDescent="0.25">
      <c r="A52">
        <v>7</v>
      </c>
      <c r="B52">
        <v>65</v>
      </c>
      <c r="C52" s="2">
        <f t="shared" si="27"/>
        <v>6.61</v>
      </c>
      <c r="E52">
        <v>50</v>
      </c>
      <c r="F52" s="2"/>
      <c r="G52">
        <f t="shared" si="18"/>
        <v>7</v>
      </c>
      <c r="H52" s="10">
        <f t="shared" si="18"/>
        <v>65</v>
      </c>
      <c r="I52">
        <f t="shared" si="18"/>
        <v>6.61</v>
      </c>
      <c r="J52">
        <f t="shared" si="19"/>
        <v>49</v>
      </c>
      <c r="K52">
        <f t="shared" si="20"/>
        <v>455</v>
      </c>
      <c r="L52">
        <f t="shared" si="21"/>
        <v>46.27</v>
      </c>
      <c r="M52">
        <f t="shared" si="22"/>
        <v>4225</v>
      </c>
      <c r="N52">
        <f t="shared" si="23"/>
        <v>429.65000000000003</v>
      </c>
      <c r="O52">
        <f t="shared" si="24"/>
        <v>43.692100000000003</v>
      </c>
      <c r="Q52" s="11">
        <f t="shared" si="25"/>
        <v>50</v>
      </c>
      <c r="R52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8433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8433" r:id="rId4"/>
      </mc:Fallback>
    </mc:AlternateContent>
    <mc:AlternateContent xmlns:mc="http://schemas.openxmlformats.org/markup-compatibility/2006">
      <mc:Choice Requires="x14">
        <oleObject progId="Equation.3" shapeId="18434" r:id="rId6">
          <objectPr defaultSize="0" autoPict="0" r:id="rId5">
            <anchor moveWithCells="1" sizeWithCells="1">
              <from>
                <xdr:col>6</xdr:col>
                <xdr:colOff>171450</xdr:colOff>
                <xdr:row>20</xdr:row>
                <xdr:rowOff>38100</xdr:rowOff>
              </from>
              <to>
                <xdr:col>14</xdr:col>
                <xdr:colOff>1466850</xdr:colOff>
                <xdr:row>20</xdr:row>
                <xdr:rowOff>647700</xdr:rowOff>
              </to>
            </anchor>
          </objectPr>
        </oleObject>
      </mc:Choice>
      <mc:Fallback>
        <oleObject progId="Equation.3" shapeId="18434" r:id="rId6"/>
      </mc:Fallback>
    </mc:AlternateContent>
    <mc:AlternateContent xmlns:mc="http://schemas.openxmlformats.org/markup-compatibility/2006">
      <mc:Choice Requires="x14">
        <oleObject progId="Equation.3" shapeId="18435" r:id="rId7">
          <objectPr defaultSize="0" autoPict="0" r:id="rId5">
            <anchor moveWithCells="1" sizeWithCells="1">
              <from>
                <xdr:col>6</xdr:col>
                <xdr:colOff>171450</xdr:colOff>
                <xdr:row>38</xdr:row>
                <xdr:rowOff>38100</xdr:rowOff>
              </from>
              <to>
                <xdr:col>14</xdr:col>
                <xdr:colOff>1466850</xdr:colOff>
                <xdr:row>38</xdr:row>
                <xdr:rowOff>647700</xdr:rowOff>
              </to>
            </anchor>
          </objectPr>
        </oleObject>
      </mc:Choice>
      <mc:Fallback>
        <oleObject progId="Equation.3" shapeId="18435" r:id="rId7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8"/>
  <dimension ref="A1:T67"/>
  <sheetViews>
    <sheetView zoomScale="70" zoomScaleNormal="70" workbookViewId="0">
      <selection activeCell="V17" sqref="V17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LINEST(E4:E21,G4:O21)</f>
        <v>0</v>
      </c>
      <c r="H2" s="4">
        <v>-1.3545524484371311E-3</v>
      </c>
      <c r="I2" s="4">
        <v>2.6035018476869743E-4</v>
      </c>
      <c r="J2" s="4">
        <v>7.6335084692299897E-3</v>
      </c>
      <c r="K2" s="4">
        <v>-1.8840308110557443E-3</v>
      </c>
      <c r="L2" s="4">
        <v>6.6477116490573154E-3</v>
      </c>
      <c r="M2" s="4">
        <v>0</v>
      </c>
      <c r="N2" s="4">
        <v>0</v>
      </c>
      <c r="O2" s="4">
        <v>0</v>
      </c>
      <c r="P2" s="4">
        <v>10.80327724379241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5.63</v>
      </c>
      <c r="F4" s="2"/>
      <c r="G4">
        <f t="shared" ref="G4:I21" si="0">A4</f>
        <v>-15</v>
      </c>
      <c r="H4" s="10">
        <f t="shared" si="0"/>
        <v>35</v>
      </c>
      <c r="I4">
        <f t="shared" si="0"/>
        <v>50</v>
      </c>
      <c r="J4">
        <f t="shared" ref="J4:J21" si="1">G4^2</f>
        <v>225</v>
      </c>
      <c r="K4">
        <f t="shared" ref="K4:K21" si="2">G4*H4</f>
        <v>-525</v>
      </c>
      <c r="L4">
        <f t="shared" ref="L4:L21" si="3">G4*I4</f>
        <v>-750</v>
      </c>
      <c r="M4">
        <f t="shared" ref="M4:M21" si="4">H4^2</f>
        <v>1225</v>
      </c>
      <c r="N4">
        <f t="shared" ref="N4:N21" si="5">H4*I4</f>
        <v>1750</v>
      </c>
      <c r="O4">
        <f t="shared" ref="O4:O21" si="6">I4^2</f>
        <v>2500</v>
      </c>
      <c r="Q4" s="11">
        <f t="shared" ref="Q4:Q21" si="7">$P$2+$O$2*G4+$N$2*H4+$M$2*I4+$L$2*J4+$K$2*K4+$J$2*L4+$I$2*M4+$H$2*N4+$G$2*O4</f>
        <v>5.5114593802887546</v>
      </c>
      <c r="R4" s="12">
        <f t="shared" ref="R4:R21" si="8">(Q4-E4)/E4</f>
        <v>-2.1055172240008045E-2</v>
      </c>
      <c r="S4" s="11"/>
      <c r="T4" s="12"/>
    </row>
    <row r="5" spans="1:20" x14ac:dyDescent="0.25">
      <c r="A5">
        <v>-7</v>
      </c>
      <c r="B5">
        <v>35</v>
      </c>
      <c r="C5">
        <v>50</v>
      </c>
      <c r="E5">
        <v>7.07</v>
      </c>
      <c r="F5" s="2"/>
      <c r="G5">
        <f t="shared" si="0"/>
        <v>-7</v>
      </c>
      <c r="H5" s="10">
        <f t="shared" si="0"/>
        <v>35</v>
      </c>
      <c r="I5">
        <f t="shared" si="0"/>
        <v>50</v>
      </c>
      <c r="J5">
        <f t="shared" si="1"/>
        <v>49</v>
      </c>
      <c r="K5">
        <f t="shared" si="2"/>
        <v>-245</v>
      </c>
      <c r="L5">
        <f t="shared" si="3"/>
        <v>-350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6.8673368906510524</v>
      </c>
      <c r="R5" s="12">
        <f t="shared" si="8"/>
        <v>-2.866522055854992E-2</v>
      </c>
      <c r="S5" s="11"/>
      <c r="T5" s="12"/>
    </row>
    <row r="6" spans="1:20" x14ac:dyDescent="0.25">
      <c r="A6">
        <v>2</v>
      </c>
      <c r="B6">
        <v>35</v>
      </c>
      <c r="C6">
        <v>50</v>
      </c>
      <c r="E6">
        <v>8.8000000000000007</v>
      </c>
      <c r="F6" s="2"/>
      <c r="G6">
        <f t="shared" si="0"/>
        <v>2</v>
      </c>
      <c r="H6" s="10">
        <f t="shared" si="0"/>
        <v>35</v>
      </c>
      <c r="I6">
        <f t="shared" si="0"/>
        <v>50</v>
      </c>
      <c r="J6">
        <f t="shared" si="1"/>
        <v>4</v>
      </c>
      <c r="K6">
        <f t="shared" si="2"/>
        <v>70</v>
      </c>
      <c r="L6">
        <f t="shared" si="3"/>
        <v>100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9.4097989721144124</v>
      </c>
      <c r="R6" s="12">
        <f t="shared" si="8"/>
        <v>6.9295337740274049E-2</v>
      </c>
      <c r="S6" s="11"/>
      <c r="T6" s="12"/>
    </row>
    <row r="7" spans="1:20" x14ac:dyDescent="0.25">
      <c r="A7">
        <v>7</v>
      </c>
      <c r="B7">
        <v>35</v>
      </c>
      <c r="C7">
        <v>50</v>
      </c>
      <c r="E7">
        <v>11.45</v>
      </c>
      <c r="F7" s="2"/>
      <c r="G7">
        <f t="shared" si="0"/>
        <v>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245</v>
      </c>
      <c r="L7">
        <f t="shared" si="3"/>
        <v>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11.287617721694733</v>
      </c>
      <c r="R7" s="12">
        <f t="shared" si="8"/>
        <v>-1.4181858367272138E-2</v>
      </c>
      <c r="S7" s="11"/>
      <c r="T7" s="12"/>
    </row>
    <row r="8" spans="1:20" x14ac:dyDescent="0.25">
      <c r="A8">
        <v>12</v>
      </c>
      <c r="B8">
        <v>35</v>
      </c>
      <c r="C8">
        <v>50</v>
      </c>
      <c r="E8">
        <v>13.6</v>
      </c>
      <c r="F8" s="2"/>
      <c r="G8">
        <f t="shared" si="0"/>
        <v>12</v>
      </c>
      <c r="H8" s="10">
        <f t="shared" si="0"/>
        <v>35</v>
      </c>
      <c r="I8">
        <f t="shared" si="0"/>
        <v>50</v>
      </c>
      <c r="J8">
        <f t="shared" si="1"/>
        <v>144</v>
      </c>
      <c r="K8">
        <f t="shared" si="2"/>
        <v>420</v>
      </c>
      <c r="L8">
        <f t="shared" si="3"/>
        <v>600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7"/>
        <v>13.497822053727919</v>
      </c>
      <c r="R8" s="12">
        <f t="shared" si="8"/>
        <v>-7.5130842847117964E-3</v>
      </c>
      <c r="S8" s="11"/>
      <c r="T8" s="12"/>
    </row>
    <row r="9" spans="1:20" x14ac:dyDescent="0.25">
      <c r="A9">
        <v>-15</v>
      </c>
      <c r="B9">
        <v>45</v>
      </c>
      <c r="C9">
        <v>50</v>
      </c>
      <c r="E9">
        <v>5.22</v>
      </c>
      <c r="F9" s="2"/>
      <c r="G9">
        <f t="shared" si="0"/>
        <v>-15</v>
      </c>
      <c r="H9" s="10">
        <f t="shared" si="0"/>
        <v>45</v>
      </c>
      <c r="I9">
        <f t="shared" si="0"/>
        <v>50</v>
      </c>
      <c r="J9">
        <f t="shared" si="1"/>
        <v>225</v>
      </c>
      <c r="K9">
        <f t="shared" si="2"/>
        <v>-675</v>
      </c>
      <c r="L9">
        <f t="shared" si="3"/>
        <v>-750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5.3250679255435092</v>
      </c>
      <c r="R9" s="12">
        <f t="shared" si="8"/>
        <v>2.0127955084963491E-2</v>
      </c>
      <c r="S9" s="11"/>
      <c r="T9" s="12"/>
    </row>
    <row r="10" spans="1:20" x14ac:dyDescent="0.25">
      <c r="A10">
        <v>-7</v>
      </c>
      <c r="B10">
        <v>45</v>
      </c>
      <c r="C10">
        <v>50</v>
      </c>
      <c r="E10">
        <v>6.72</v>
      </c>
      <c r="F10" s="2"/>
      <c r="G10">
        <f t="shared" si="0"/>
        <v>-7</v>
      </c>
      <c r="H10" s="10">
        <f t="shared" si="0"/>
        <v>45</v>
      </c>
      <c r="I10">
        <f t="shared" si="0"/>
        <v>50</v>
      </c>
      <c r="J10">
        <f t="shared" si="1"/>
        <v>49</v>
      </c>
      <c r="K10">
        <f t="shared" si="2"/>
        <v>-315</v>
      </c>
      <c r="L10">
        <f t="shared" si="3"/>
        <v>-350</v>
      </c>
      <c r="M10">
        <f t="shared" si="4"/>
        <v>2025</v>
      </c>
      <c r="N10">
        <f t="shared" si="5"/>
        <v>2250</v>
      </c>
      <c r="O10">
        <f t="shared" si="6"/>
        <v>2500</v>
      </c>
      <c r="Q10" s="11">
        <f t="shared" si="7"/>
        <v>6.5302229710213489</v>
      </c>
      <c r="R10" s="12">
        <f t="shared" si="8"/>
        <v>-2.8240629312299242E-2</v>
      </c>
      <c r="S10" s="11"/>
      <c r="T10" s="12"/>
    </row>
    <row r="11" spans="1:20" x14ac:dyDescent="0.25">
      <c r="A11">
        <v>2</v>
      </c>
      <c r="B11">
        <v>45</v>
      </c>
      <c r="C11">
        <v>50</v>
      </c>
      <c r="E11">
        <v>8.58</v>
      </c>
      <c r="G11">
        <f t="shared" si="0"/>
        <v>2</v>
      </c>
      <c r="H11" s="10">
        <f t="shared" si="0"/>
        <v>45</v>
      </c>
      <c r="I11">
        <f t="shared" si="0"/>
        <v>50</v>
      </c>
      <c r="J11">
        <f t="shared" si="1"/>
        <v>4</v>
      </c>
      <c r="K11">
        <f t="shared" si="2"/>
        <v>90</v>
      </c>
      <c r="L11">
        <f t="shared" si="3"/>
        <v>100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8.9031222794896898</v>
      </c>
      <c r="R11" s="12">
        <f t="shared" si="8"/>
        <v>3.7659939334462676E-2</v>
      </c>
      <c r="S11" s="11"/>
      <c r="T11" s="12"/>
    </row>
    <row r="12" spans="1:20" x14ac:dyDescent="0.25">
      <c r="A12">
        <v>7</v>
      </c>
      <c r="B12">
        <v>45</v>
      </c>
      <c r="C12">
        <v>50</v>
      </c>
      <c r="E12">
        <v>10.89</v>
      </c>
      <c r="G12">
        <f t="shared" si="0"/>
        <v>7</v>
      </c>
      <c r="H12" s="10">
        <f t="shared" si="0"/>
        <v>45</v>
      </c>
      <c r="I12">
        <f t="shared" si="0"/>
        <v>50</v>
      </c>
      <c r="J12">
        <f t="shared" si="1"/>
        <v>49</v>
      </c>
      <c r="K12">
        <f t="shared" si="2"/>
        <v>315</v>
      </c>
      <c r="L12">
        <f t="shared" si="3"/>
        <v>350</v>
      </c>
      <c r="M12">
        <f t="shared" si="4"/>
        <v>2025</v>
      </c>
      <c r="N12">
        <f t="shared" si="5"/>
        <v>2250</v>
      </c>
      <c r="O12">
        <f t="shared" si="6"/>
        <v>2500</v>
      </c>
      <c r="Q12" s="11">
        <f t="shared" si="7"/>
        <v>10.686739488517222</v>
      </c>
      <c r="R12" s="12">
        <f t="shared" si="8"/>
        <v>-1.8664877087491104E-2</v>
      </c>
      <c r="S12" s="11"/>
      <c r="T12" s="12"/>
    </row>
    <row r="13" spans="1:20" x14ac:dyDescent="0.25">
      <c r="A13">
        <v>12</v>
      </c>
      <c r="B13">
        <v>45</v>
      </c>
      <c r="C13">
        <v>50</v>
      </c>
      <c r="E13">
        <v>12.91</v>
      </c>
      <c r="G13">
        <f t="shared" si="0"/>
        <v>12</v>
      </c>
      <c r="H13" s="10">
        <f t="shared" si="0"/>
        <v>45</v>
      </c>
      <c r="I13">
        <f t="shared" si="0"/>
        <v>50</v>
      </c>
      <c r="J13">
        <f t="shared" si="1"/>
        <v>144</v>
      </c>
      <c r="K13">
        <f t="shared" si="2"/>
        <v>540</v>
      </c>
      <c r="L13">
        <f t="shared" si="3"/>
        <v>600</v>
      </c>
      <c r="M13">
        <f t="shared" si="4"/>
        <v>2025</v>
      </c>
      <c r="N13">
        <f t="shared" si="5"/>
        <v>2250</v>
      </c>
      <c r="O13">
        <f t="shared" si="6"/>
        <v>2500</v>
      </c>
      <c r="Q13" s="11">
        <f t="shared" si="7"/>
        <v>12.802742279997624</v>
      </c>
      <c r="R13" s="12">
        <f t="shared" si="8"/>
        <v>-8.3081115416248283E-3</v>
      </c>
      <c r="S13" s="11"/>
      <c r="T13" s="12"/>
    </row>
    <row r="14" spans="1:20" x14ac:dyDescent="0.25">
      <c r="A14">
        <v>-7</v>
      </c>
      <c r="B14">
        <v>55</v>
      </c>
      <c r="C14">
        <v>50</v>
      </c>
      <c r="E14">
        <v>6.63</v>
      </c>
      <c r="G14">
        <f t="shared" si="0"/>
        <v>-7</v>
      </c>
      <c r="H14" s="10">
        <f t="shared" si="0"/>
        <v>55</v>
      </c>
      <c r="I14">
        <f t="shared" si="0"/>
        <v>50</v>
      </c>
      <c r="J14">
        <f t="shared" si="1"/>
        <v>49</v>
      </c>
      <c r="K14">
        <f t="shared" si="2"/>
        <v>-385</v>
      </c>
      <c r="L14">
        <f t="shared" si="3"/>
        <v>-350</v>
      </c>
      <c r="M14">
        <f t="shared" si="4"/>
        <v>3025</v>
      </c>
      <c r="N14">
        <f t="shared" si="5"/>
        <v>2750</v>
      </c>
      <c r="O14">
        <f t="shared" si="6"/>
        <v>2500</v>
      </c>
      <c r="Q14" s="11">
        <f t="shared" si="7"/>
        <v>6.2451790883453819</v>
      </c>
      <c r="R14" s="12">
        <f t="shared" si="8"/>
        <v>-5.8042369781993661E-2</v>
      </c>
      <c r="S14" s="11"/>
      <c r="T14" s="12"/>
    </row>
    <row r="15" spans="1:20" x14ac:dyDescent="0.25">
      <c r="A15">
        <v>2</v>
      </c>
      <c r="B15">
        <v>55</v>
      </c>
      <c r="C15">
        <v>50</v>
      </c>
      <c r="E15">
        <v>8.01</v>
      </c>
      <c r="G15">
        <f t="shared" si="0"/>
        <v>2</v>
      </c>
      <c r="H15" s="10">
        <f t="shared" si="0"/>
        <v>55</v>
      </c>
      <c r="I15">
        <f t="shared" si="0"/>
        <v>50</v>
      </c>
      <c r="J15">
        <f t="shared" si="1"/>
        <v>4</v>
      </c>
      <c r="K15">
        <f t="shared" si="2"/>
        <v>110</v>
      </c>
      <c r="L15">
        <f t="shared" si="3"/>
        <v>100</v>
      </c>
      <c r="M15">
        <f t="shared" si="4"/>
        <v>3025</v>
      </c>
      <c r="N15">
        <f t="shared" si="5"/>
        <v>2750</v>
      </c>
      <c r="O15">
        <f t="shared" si="6"/>
        <v>2500</v>
      </c>
      <c r="Q15" s="11">
        <f t="shared" si="7"/>
        <v>8.4485156238187074</v>
      </c>
      <c r="R15" s="12">
        <f t="shared" si="8"/>
        <v>5.4746020451773729E-2</v>
      </c>
      <c r="S15" s="11"/>
      <c r="T15" s="12"/>
    </row>
    <row r="16" spans="1:20" x14ac:dyDescent="0.25">
      <c r="A16">
        <v>7</v>
      </c>
      <c r="B16">
        <v>55</v>
      </c>
      <c r="C16">
        <v>50</v>
      </c>
      <c r="E16">
        <v>10.48</v>
      </c>
      <c r="G16">
        <f t="shared" si="0"/>
        <v>7</v>
      </c>
      <c r="H16" s="10">
        <f t="shared" si="0"/>
        <v>55</v>
      </c>
      <c r="I16">
        <f t="shared" si="0"/>
        <v>50</v>
      </c>
      <c r="J16">
        <f t="shared" si="1"/>
        <v>49</v>
      </c>
      <c r="K16">
        <f t="shared" si="2"/>
        <v>385</v>
      </c>
      <c r="L16">
        <f t="shared" si="3"/>
        <v>350</v>
      </c>
      <c r="M16">
        <f t="shared" si="4"/>
        <v>3025</v>
      </c>
      <c r="N16">
        <f t="shared" si="5"/>
        <v>2750</v>
      </c>
      <c r="O16">
        <f t="shared" si="6"/>
        <v>2500</v>
      </c>
      <c r="Q16" s="11">
        <f t="shared" si="7"/>
        <v>10.137931292293452</v>
      </c>
      <c r="R16" s="12">
        <f t="shared" si="8"/>
        <v>-3.2640143865128694E-2</v>
      </c>
      <c r="S16" s="11"/>
      <c r="T16" s="12"/>
    </row>
    <row r="17" spans="1:20" x14ac:dyDescent="0.25">
      <c r="A17">
        <v>12</v>
      </c>
      <c r="B17">
        <v>55</v>
      </c>
      <c r="C17">
        <v>50</v>
      </c>
      <c r="E17">
        <v>12.06</v>
      </c>
      <c r="G17">
        <f t="shared" si="0"/>
        <v>12</v>
      </c>
      <c r="H17" s="10">
        <f t="shared" si="0"/>
        <v>55</v>
      </c>
      <c r="I17">
        <f t="shared" si="0"/>
        <v>50</v>
      </c>
      <c r="J17">
        <f t="shared" si="1"/>
        <v>144</v>
      </c>
      <c r="K17">
        <f t="shared" si="2"/>
        <v>660</v>
      </c>
      <c r="L17">
        <f t="shared" si="3"/>
        <v>600</v>
      </c>
      <c r="M17">
        <f t="shared" si="4"/>
        <v>3025</v>
      </c>
      <c r="N17">
        <f t="shared" si="5"/>
        <v>2750</v>
      </c>
      <c r="O17">
        <f t="shared" si="6"/>
        <v>2500</v>
      </c>
      <c r="Q17" s="11">
        <f t="shared" si="7"/>
        <v>12.159732543221065</v>
      </c>
      <c r="R17" s="12">
        <f t="shared" si="8"/>
        <v>8.269696784499507E-3</v>
      </c>
      <c r="S17" s="11"/>
      <c r="T17" s="12"/>
    </row>
    <row r="18" spans="1:20" x14ac:dyDescent="0.25">
      <c r="A18">
        <v>-15</v>
      </c>
      <c r="B18">
        <v>55</v>
      </c>
      <c r="C18">
        <v>50</v>
      </c>
      <c r="E18">
        <v>4.93</v>
      </c>
      <c r="G18">
        <f t="shared" si="0"/>
        <v>-15</v>
      </c>
      <c r="H18" s="10">
        <f t="shared" si="0"/>
        <v>55</v>
      </c>
      <c r="I18">
        <f t="shared" si="0"/>
        <v>50</v>
      </c>
      <c r="J18">
        <f t="shared" si="1"/>
        <v>225</v>
      </c>
      <c r="K18">
        <f t="shared" si="2"/>
        <v>-825</v>
      </c>
      <c r="L18">
        <f t="shared" si="3"/>
        <v>-750</v>
      </c>
      <c r="M18">
        <f t="shared" si="4"/>
        <v>3025</v>
      </c>
      <c r="N18">
        <f t="shared" si="5"/>
        <v>2750</v>
      </c>
      <c r="O18">
        <f t="shared" si="6"/>
        <v>2500</v>
      </c>
      <c r="Q18" s="11">
        <f t="shared" si="7"/>
        <v>5.1907465077520021</v>
      </c>
      <c r="R18" s="12">
        <f t="shared" si="8"/>
        <v>5.2889758164706369E-2</v>
      </c>
      <c r="S18" s="11"/>
      <c r="T18" s="12"/>
    </row>
    <row r="19" spans="1:20" x14ac:dyDescent="0.25">
      <c r="A19">
        <v>2</v>
      </c>
      <c r="B19">
        <v>65</v>
      </c>
      <c r="C19">
        <v>50</v>
      </c>
      <c r="E19">
        <v>8.2200000000000006</v>
      </c>
      <c r="G19">
        <f t="shared" si="0"/>
        <v>2</v>
      </c>
      <c r="H19" s="10">
        <f t="shared" si="0"/>
        <v>65</v>
      </c>
      <c r="I19">
        <f t="shared" si="0"/>
        <v>50</v>
      </c>
      <c r="J19">
        <f t="shared" si="1"/>
        <v>4</v>
      </c>
      <c r="K19">
        <f t="shared" si="2"/>
        <v>130</v>
      </c>
      <c r="L19">
        <f t="shared" si="3"/>
        <v>100</v>
      </c>
      <c r="M19">
        <f t="shared" si="4"/>
        <v>4225</v>
      </c>
      <c r="N19">
        <f t="shared" si="5"/>
        <v>3250</v>
      </c>
      <c r="O19">
        <f t="shared" si="6"/>
        <v>2500</v>
      </c>
      <c r="Q19" s="11">
        <f t="shared" si="7"/>
        <v>8.0459790051014632</v>
      </c>
      <c r="R19" s="12">
        <f t="shared" si="8"/>
        <v>-2.1170437335588488E-2</v>
      </c>
      <c r="S19" s="11"/>
      <c r="T19" s="12"/>
    </row>
    <row r="20" spans="1:20" x14ac:dyDescent="0.25">
      <c r="A20">
        <v>7</v>
      </c>
      <c r="B20">
        <v>65</v>
      </c>
      <c r="C20">
        <v>50</v>
      </c>
      <c r="E20">
        <v>9.7100000000000009</v>
      </c>
      <c r="G20">
        <f t="shared" si="0"/>
        <v>7</v>
      </c>
      <c r="H20" s="10">
        <f t="shared" si="0"/>
        <v>65</v>
      </c>
      <c r="I20">
        <f t="shared" si="0"/>
        <v>50</v>
      </c>
      <c r="J20">
        <f t="shared" si="1"/>
        <v>49</v>
      </c>
      <c r="K20">
        <f t="shared" si="2"/>
        <v>455</v>
      </c>
      <c r="L20">
        <f t="shared" si="3"/>
        <v>350</v>
      </c>
      <c r="M20">
        <f t="shared" si="4"/>
        <v>4225</v>
      </c>
      <c r="N20">
        <f t="shared" si="5"/>
        <v>3250</v>
      </c>
      <c r="O20">
        <f t="shared" si="6"/>
        <v>2500</v>
      </c>
      <c r="Q20" s="11">
        <f t="shared" si="7"/>
        <v>9.6411931330234228</v>
      </c>
      <c r="R20" s="12">
        <f t="shared" si="8"/>
        <v>-7.0861860943952628E-3</v>
      </c>
      <c r="S20" s="11"/>
      <c r="T20" s="12"/>
    </row>
    <row r="21" spans="1:20" x14ac:dyDescent="0.25">
      <c r="A21">
        <v>12</v>
      </c>
      <c r="B21">
        <v>65</v>
      </c>
      <c r="C21">
        <v>50</v>
      </c>
      <c r="E21">
        <v>11.35</v>
      </c>
      <c r="G21">
        <f t="shared" si="0"/>
        <v>12</v>
      </c>
      <c r="H21" s="10">
        <f t="shared" si="0"/>
        <v>65</v>
      </c>
      <c r="I21">
        <f t="shared" si="0"/>
        <v>50</v>
      </c>
      <c r="J21">
        <f t="shared" si="1"/>
        <v>144</v>
      </c>
      <c r="K21">
        <f t="shared" si="2"/>
        <v>780</v>
      </c>
      <c r="L21">
        <f t="shared" si="3"/>
        <v>600</v>
      </c>
      <c r="M21">
        <f t="shared" si="4"/>
        <v>4225</v>
      </c>
      <c r="N21">
        <f t="shared" si="5"/>
        <v>3250</v>
      </c>
      <c r="O21">
        <f t="shared" si="6"/>
        <v>2500</v>
      </c>
      <c r="Q21" s="11">
        <f t="shared" si="7"/>
        <v>11.568792843398249</v>
      </c>
      <c r="R21" s="12">
        <f t="shared" si="8"/>
        <v>1.9276902502048419E-2</v>
      </c>
      <c r="S21" s="11"/>
      <c r="T21" s="12"/>
    </row>
    <row r="24" spans="1:20" x14ac:dyDescent="0.25">
      <c r="A24" t="s">
        <v>27</v>
      </c>
      <c r="G24" s="4" t="s">
        <v>1</v>
      </c>
      <c r="H24" s="4" t="s">
        <v>2</v>
      </c>
      <c r="I24" s="4" t="s">
        <v>3</v>
      </c>
      <c r="J24" s="4" t="s">
        <v>4</v>
      </c>
      <c r="K24" s="4" t="s">
        <v>5</v>
      </c>
      <c r="L24" s="4" t="s">
        <v>6</v>
      </c>
      <c r="M24" s="4" t="s">
        <v>7</v>
      </c>
      <c r="N24" s="4" t="s">
        <v>8</v>
      </c>
      <c r="O24" s="4" t="s">
        <v>9</v>
      </c>
      <c r="P24" s="4" t="s">
        <v>10</v>
      </c>
    </row>
    <row r="25" spans="1:20" x14ac:dyDescent="0.25">
      <c r="A25" s="1"/>
      <c r="C25" s="1"/>
      <c r="D25" s="1"/>
      <c r="E25" s="1"/>
      <c r="F25" s="1"/>
      <c r="G25" s="4">
        <f t="array" ref="G25:P25">LINEST(E27:E44,G27:O44)</f>
        <v>0</v>
      </c>
      <c r="H25" s="4">
        <v>6.6428491202109917E-4</v>
      </c>
      <c r="I25" s="4">
        <v>9.5339321014806808E-5</v>
      </c>
      <c r="J25" s="4">
        <v>-7.7844279512005171E-5</v>
      </c>
      <c r="K25" s="4">
        <v>4.2052925178976498E-4</v>
      </c>
      <c r="L25" s="4">
        <v>-5.8738251188964173E-5</v>
      </c>
      <c r="M25" s="4">
        <v>0</v>
      </c>
      <c r="N25" s="4">
        <v>0</v>
      </c>
      <c r="O25" s="4">
        <v>0</v>
      </c>
      <c r="P25" s="4">
        <v>1.0345159273696429</v>
      </c>
    </row>
    <row r="26" spans="1:20" ht="45" x14ac:dyDescent="0.25">
      <c r="A26" s="5" t="s">
        <v>11</v>
      </c>
      <c r="B26" s="5" t="s">
        <v>12</v>
      </c>
      <c r="C26" s="5" t="s">
        <v>13</v>
      </c>
      <c r="D26" s="6"/>
      <c r="E26" s="7" t="s">
        <v>14</v>
      </c>
      <c r="F26" s="3"/>
      <c r="G26" s="8" t="s">
        <v>17</v>
      </c>
      <c r="H26" s="8" t="s">
        <v>18</v>
      </c>
      <c r="I26" s="8" t="s">
        <v>0</v>
      </c>
      <c r="J26" s="8" t="s">
        <v>19</v>
      </c>
      <c r="K26" s="8" t="s">
        <v>20</v>
      </c>
      <c r="L26" s="8" t="s">
        <v>21</v>
      </c>
      <c r="M26" s="8" t="s">
        <v>22</v>
      </c>
      <c r="N26" s="8" t="s">
        <v>23</v>
      </c>
      <c r="O26" s="8" t="s">
        <v>24</v>
      </c>
      <c r="P26" s="3"/>
      <c r="Q26" s="9" t="s">
        <v>14</v>
      </c>
      <c r="R26" s="9" t="s">
        <v>15</v>
      </c>
    </row>
    <row r="27" spans="1:20" x14ac:dyDescent="0.25">
      <c r="A27">
        <v>-15</v>
      </c>
      <c r="B27">
        <v>35</v>
      </c>
      <c r="C27">
        <v>50</v>
      </c>
      <c r="E27">
        <v>2.13</v>
      </c>
      <c r="F27" s="2"/>
      <c r="G27">
        <f t="shared" ref="G27:I44" si="9">A27</f>
        <v>-15</v>
      </c>
      <c r="H27" s="10">
        <f t="shared" si="9"/>
        <v>35</v>
      </c>
      <c r="I27">
        <f t="shared" si="9"/>
        <v>50</v>
      </c>
      <c r="J27">
        <f t="shared" ref="J27:J44" si="10">G27^2</f>
        <v>225</v>
      </c>
      <c r="K27">
        <f t="shared" ref="K27:K44" si="11">G27*H27</f>
        <v>-525</v>
      </c>
      <c r="L27">
        <f t="shared" ref="L27:L44" si="12">G27*I27</f>
        <v>-750</v>
      </c>
      <c r="M27">
        <f t="shared" ref="M27:M44" si="13">H27^2</f>
        <v>1225</v>
      </c>
      <c r="N27">
        <f t="shared" ref="N27:N44" si="14">H27*I27</f>
        <v>1750</v>
      </c>
      <c r="O27">
        <f t="shared" ref="O27:O44" si="15">I27^2</f>
        <v>2500</v>
      </c>
      <c r="Q27" s="11">
        <f>$P$25+$O$25*G27+$N$25*H27+$M$25*I27+$L$25*J27+$K$25*K27+$J$25*L27+$I$25*M27+$H$25*N27+$G$25*O27</f>
        <v>2.1381944375765651</v>
      </c>
      <c r="R27" s="12">
        <f t="shared" ref="R27:R44" si="16">(Q27-E27)/E27</f>
        <v>3.8471537918146662E-3</v>
      </c>
    </row>
    <row r="28" spans="1:20" x14ac:dyDescent="0.25">
      <c r="A28">
        <v>-7</v>
      </c>
      <c r="B28">
        <v>35</v>
      </c>
      <c r="C28">
        <v>50</v>
      </c>
      <c r="E28">
        <v>2.2400000000000002</v>
      </c>
      <c r="F28" s="2"/>
      <c r="G28">
        <f t="shared" si="9"/>
        <v>-7</v>
      </c>
      <c r="H28" s="10">
        <f t="shared" si="9"/>
        <v>35</v>
      </c>
      <c r="I28">
        <f t="shared" si="9"/>
        <v>50</v>
      </c>
      <c r="J28">
        <f t="shared" si="10"/>
        <v>49</v>
      </c>
      <c r="K28">
        <f t="shared" si="11"/>
        <v>-245</v>
      </c>
      <c r="L28">
        <f t="shared" si="12"/>
        <v>-350</v>
      </c>
      <c r="M28">
        <f t="shared" si="13"/>
        <v>1225</v>
      </c>
      <c r="N28">
        <f t="shared" si="14"/>
        <v>1750</v>
      </c>
      <c r="O28">
        <f t="shared" si="15"/>
        <v>2500</v>
      </c>
      <c r="Q28" s="11">
        <f t="shared" ref="Q28:Q44" si="17">$P$25+$O$25*G28+$N$25*H28+$M$25*I28+$L$25*J28+$K$25*K28+$J$25*L28+$I$25*M28+$H$25*N28+$G$25*O28</f>
        <v>2.2351428484821549</v>
      </c>
      <c r="R28" s="12">
        <f t="shared" si="16"/>
        <v>-2.1683712133237815E-3</v>
      </c>
    </row>
    <row r="29" spans="1:20" x14ac:dyDescent="0.25">
      <c r="A29">
        <v>2</v>
      </c>
      <c r="B29">
        <v>35</v>
      </c>
      <c r="C29">
        <v>50</v>
      </c>
      <c r="E29">
        <v>2.2999999999999998</v>
      </c>
      <c r="F29" s="2"/>
      <c r="G29">
        <f t="shared" si="9"/>
        <v>2</v>
      </c>
      <c r="H29" s="10">
        <f t="shared" si="9"/>
        <v>35</v>
      </c>
      <c r="I29">
        <f t="shared" si="9"/>
        <v>50</v>
      </c>
      <c r="J29">
        <f t="shared" si="10"/>
        <v>4</v>
      </c>
      <c r="K29">
        <f t="shared" si="11"/>
        <v>70</v>
      </c>
      <c r="L29">
        <f t="shared" si="12"/>
        <v>100</v>
      </c>
      <c r="M29">
        <f t="shared" si="13"/>
        <v>1225</v>
      </c>
      <c r="N29">
        <f t="shared" si="14"/>
        <v>1750</v>
      </c>
      <c r="O29">
        <f t="shared" si="15"/>
        <v>2500</v>
      </c>
      <c r="Q29" s="11">
        <f t="shared" si="17"/>
        <v>2.3352228583190322</v>
      </c>
      <c r="R29" s="12">
        <f t="shared" si="16"/>
        <v>1.5314286225666253E-2</v>
      </c>
    </row>
    <row r="30" spans="1:20" x14ac:dyDescent="0.25">
      <c r="A30">
        <v>7</v>
      </c>
      <c r="B30">
        <v>35</v>
      </c>
      <c r="C30">
        <v>50</v>
      </c>
      <c r="E30">
        <v>2.36</v>
      </c>
      <c r="F30" s="2"/>
      <c r="G30">
        <f t="shared" si="9"/>
        <v>7</v>
      </c>
      <c r="H30" s="10">
        <f t="shared" si="9"/>
        <v>35</v>
      </c>
      <c r="I30">
        <f t="shared" si="9"/>
        <v>50</v>
      </c>
      <c r="J30">
        <f t="shared" si="10"/>
        <v>49</v>
      </c>
      <c r="K30">
        <f t="shared" si="11"/>
        <v>245</v>
      </c>
      <c r="L30">
        <f t="shared" si="12"/>
        <v>350</v>
      </c>
      <c r="M30">
        <f t="shared" si="13"/>
        <v>1225</v>
      </c>
      <c r="N30">
        <f t="shared" si="14"/>
        <v>1750</v>
      </c>
      <c r="O30">
        <f t="shared" si="15"/>
        <v>2500</v>
      </c>
      <c r="Q30" s="11">
        <f t="shared" si="17"/>
        <v>2.3867111862007362</v>
      </c>
      <c r="R30" s="12">
        <f t="shared" si="16"/>
        <v>1.1318299237600134E-2</v>
      </c>
    </row>
    <row r="31" spans="1:20" x14ac:dyDescent="0.25">
      <c r="A31">
        <v>12</v>
      </c>
      <c r="B31">
        <v>35</v>
      </c>
      <c r="C31">
        <v>50</v>
      </c>
      <c r="E31">
        <v>2.44</v>
      </c>
      <c r="F31" s="2"/>
      <c r="G31">
        <f t="shared" si="9"/>
        <v>12</v>
      </c>
      <c r="H31" s="10">
        <f t="shared" si="9"/>
        <v>35</v>
      </c>
      <c r="I31">
        <f t="shared" si="9"/>
        <v>50</v>
      </c>
      <c r="J31">
        <f t="shared" si="10"/>
        <v>144</v>
      </c>
      <c r="K31">
        <f t="shared" si="11"/>
        <v>420</v>
      </c>
      <c r="L31">
        <f t="shared" si="12"/>
        <v>600</v>
      </c>
      <c r="M31">
        <f t="shared" si="13"/>
        <v>1225</v>
      </c>
      <c r="N31">
        <f t="shared" si="14"/>
        <v>1750</v>
      </c>
      <c r="O31">
        <f t="shared" si="15"/>
        <v>2500</v>
      </c>
      <c r="Q31" s="11">
        <f t="shared" si="17"/>
        <v>2.4352626015229921</v>
      </c>
      <c r="R31" s="12">
        <f t="shared" si="16"/>
        <v>-1.9415567528720599E-3</v>
      </c>
    </row>
    <row r="32" spans="1:20" x14ac:dyDescent="0.25">
      <c r="A32">
        <v>-15</v>
      </c>
      <c r="B32">
        <v>45</v>
      </c>
      <c r="C32">
        <v>50</v>
      </c>
      <c r="E32">
        <v>2.5099999999999998</v>
      </c>
      <c r="F32" s="2"/>
      <c r="G32">
        <f t="shared" si="9"/>
        <v>-15</v>
      </c>
      <c r="H32" s="10">
        <f t="shared" si="9"/>
        <v>45</v>
      </c>
      <c r="I32">
        <f t="shared" si="9"/>
        <v>50</v>
      </c>
      <c r="J32">
        <f t="shared" si="10"/>
        <v>225</v>
      </c>
      <c r="K32">
        <f t="shared" si="11"/>
        <v>-675</v>
      </c>
      <c r="L32">
        <f t="shared" si="12"/>
        <v>-750</v>
      </c>
      <c r="M32">
        <f t="shared" si="13"/>
        <v>2025</v>
      </c>
      <c r="N32">
        <f t="shared" si="14"/>
        <v>2250</v>
      </c>
      <c r="O32">
        <f t="shared" si="15"/>
        <v>2500</v>
      </c>
      <c r="Q32" s="11">
        <f t="shared" si="17"/>
        <v>2.4835289626304955</v>
      </c>
      <c r="R32" s="12">
        <f t="shared" si="16"/>
        <v>-1.0546230027690954E-2</v>
      </c>
    </row>
    <row r="33" spans="1:18" x14ac:dyDescent="0.25">
      <c r="A33">
        <v>-7</v>
      </c>
      <c r="B33">
        <v>45</v>
      </c>
      <c r="C33">
        <v>50</v>
      </c>
      <c r="E33">
        <v>2.64</v>
      </c>
      <c r="F33" s="2"/>
      <c r="G33">
        <f t="shared" si="9"/>
        <v>-7</v>
      </c>
      <c r="H33" s="10">
        <f t="shared" si="9"/>
        <v>45</v>
      </c>
      <c r="I33">
        <f t="shared" si="9"/>
        <v>50</v>
      </c>
      <c r="J33">
        <f t="shared" si="10"/>
        <v>49</v>
      </c>
      <c r="K33">
        <f t="shared" si="11"/>
        <v>-315</v>
      </c>
      <c r="L33">
        <f t="shared" si="12"/>
        <v>-350</v>
      </c>
      <c r="M33">
        <f t="shared" si="13"/>
        <v>2025</v>
      </c>
      <c r="N33">
        <f t="shared" si="14"/>
        <v>2250</v>
      </c>
      <c r="O33">
        <f t="shared" si="15"/>
        <v>2500</v>
      </c>
      <c r="Q33" s="11">
        <f t="shared" si="17"/>
        <v>2.6141197136792664</v>
      </c>
      <c r="R33" s="12">
        <f t="shared" si="16"/>
        <v>-9.8031387578536699E-3</v>
      </c>
    </row>
    <row r="34" spans="1:18" x14ac:dyDescent="0.25">
      <c r="A34">
        <v>2</v>
      </c>
      <c r="B34">
        <v>45</v>
      </c>
      <c r="C34">
        <v>50</v>
      </c>
      <c r="E34">
        <v>2.79</v>
      </c>
      <c r="F34" s="2"/>
      <c r="G34">
        <f t="shared" si="9"/>
        <v>2</v>
      </c>
      <c r="H34" s="10">
        <f t="shared" si="9"/>
        <v>45</v>
      </c>
      <c r="I34">
        <f t="shared" si="9"/>
        <v>50</v>
      </c>
      <c r="J34">
        <f t="shared" si="10"/>
        <v>4</v>
      </c>
      <c r="K34">
        <f t="shared" si="11"/>
        <v>90</v>
      </c>
      <c r="L34">
        <f t="shared" si="12"/>
        <v>100</v>
      </c>
      <c r="M34">
        <f t="shared" si="13"/>
        <v>2025</v>
      </c>
      <c r="N34">
        <f t="shared" si="14"/>
        <v>2250</v>
      </c>
      <c r="O34">
        <f t="shared" si="15"/>
        <v>2500</v>
      </c>
      <c r="Q34" s="11">
        <f t="shared" si="17"/>
        <v>2.7520473561772221</v>
      </c>
      <c r="R34" s="12">
        <f t="shared" si="16"/>
        <v>-1.3603098144364861E-2</v>
      </c>
    </row>
    <row r="35" spans="1:18" x14ac:dyDescent="0.25">
      <c r="A35">
        <v>7</v>
      </c>
      <c r="B35">
        <v>45</v>
      </c>
      <c r="C35">
        <v>50</v>
      </c>
      <c r="E35">
        <v>2.86</v>
      </c>
      <c r="F35" s="2"/>
      <c r="G35">
        <f t="shared" si="9"/>
        <v>7</v>
      </c>
      <c r="H35" s="10">
        <f t="shared" si="9"/>
        <v>45</v>
      </c>
      <c r="I35">
        <f t="shared" si="9"/>
        <v>50</v>
      </c>
      <c r="J35">
        <f t="shared" si="10"/>
        <v>49</v>
      </c>
      <c r="K35">
        <f t="shared" si="11"/>
        <v>315</v>
      </c>
      <c r="L35">
        <f t="shared" si="12"/>
        <v>350</v>
      </c>
      <c r="M35">
        <f t="shared" si="13"/>
        <v>2025</v>
      </c>
      <c r="N35">
        <f t="shared" si="14"/>
        <v>2250</v>
      </c>
      <c r="O35">
        <f t="shared" si="15"/>
        <v>2500</v>
      </c>
      <c r="Q35" s="11">
        <f t="shared" si="17"/>
        <v>2.8245621466484145</v>
      </c>
      <c r="R35" s="12">
        <f t="shared" si="16"/>
        <v>-1.2390857815239629E-2</v>
      </c>
    </row>
    <row r="36" spans="1:18" x14ac:dyDescent="0.25">
      <c r="A36">
        <v>12</v>
      </c>
      <c r="B36">
        <v>45</v>
      </c>
      <c r="C36">
        <v>50</v>
      </c>
      <c r="E36">
        <v>2.95</v>
      </c>
      <c r="F36" s="2"/>
      <c r="G36">
        <f t="shared" si="9"/>
        <v>12</v>
      </c>
      <c r="H36" s="10">
        <f t="shared" si="9"/>
        <v>45</v>
      </c>
      <c r="I36">
        <f t="shared" si="9"/>
        <v>50</v>
      </c>
      <c r="J36">
        <f t="shared" si="10"/>
        <v>144</v>
      </c>
      <c r="K36">
        <f t="shared" si="11"/>
        <v>540</v>
      </c>
      <c r="L36">
        <f t="shared" si="12"/>
        <v>600</v>
      </c>
      <c r="M36">
        <f t="shared" si="13"/>
        <v>2025</v>
      </c>
      <c r="N36">
        <f t="shared" si="14"/>
        <v>2250</v>
      </c>
      <c r="O36">
        <f t="shared" si="15"/>
        <v>2500</v>
      </c>
      <c r="Q36" s="11">
        <f t="shared" si="17"/>
        <v>2.894140024560159</v>
      </c>
      <c r="R36" s="12">
        <f t="shared" si="16"/>
        <v>-1.893558489486143E-2</v>
      </c>
    </row>
    <row r="37" spans="1:18" x14ac:dyDescent="0.25">
      <c r="A37">
        <v>-7</v>
      </c>
      <c r="B37">
        <v>55</v>
      </c>
      <c r="C37">
        <v>50</v>
      </c>
      <c r="E37">
        <v>3.04</v>
      </c>
      <c r="F37" s="2"/>
      <c r="G37">
        <f t="shared" si="9"/>
        <v>-7</v>
      </c>
      <c r="H37" s="10">
        <f t="shared" si="9"/>
        <v>55</v>
      </c>
      <c r="I37">
        <f t="shared" si="9"/>
        <v>50</v>
      </c>
      <c r="J37">
        <f t="shared" si="10"/>
        <v>49</v>
      </c>
      <c r="K37">
        <f t="shared" si="11"/>
        <v>-385</v>
      </c>
      <c r="L37">
        <f t="shared" si="12"/>
        <v>-350</v>
      </c>
      <c r="M37">
        <f t="shared" si="13"/>
        <v>3025</v>
      </c>
      <c r="N37">
        <f t="shared" si="14"/>
        <v>2750</v>
      </c>
      <c r="O37">
        <f t="shared" si="15"/>
        <v>2500</v>
      </c>
      <c r="Q37" s="11">
        <f t="shared" si="17"/>
        <v>3.0121644430793393</v>
      </c>
      <c r="R37" s="12">
        <f t="shared" si="16"/>
        <v>-9.1564331975857744E-3</v>
      </c>
    </row>
    <row r="38" spans="1:18" x14ac:dyDescent="0.25">
      <c r="A38">
        <v>2</v>
      </c>
      <c r="B38">
        <v>55</v>
      </c>
      <c r="C38">
        <v>50</v>
      </c>
      <c r="E38">
        <v>3.06</v>
      </c>
      <c r="F38" s="2"/>
      <c r="G38">
        <f t="shared" si="9"/>
        <v>2</v>
      </c>
      <c r="H38" s="10">
        <f t="shared" si="9"/>
        <v>55</v>
      </c>
      <c r="I38">
        <f t="shared" si="9"/>
        <v>50</v>
      </c>
      <c r="J38">
        <f t="shared" si="10"/>
        <v>4</v>
      </c>
      <c r="K38">
        <f t="shared" si="11"/>
        <v>110</v>
      </c>
      <c r="L38">
        <f t="shared" si="12"/>
        <v>100</v>
      </c>
      <c r="M38">
        <f t="shared" si="13"/>
        <v>3025</v>
      </c>
      <c r="N38">
        <f t="shared" si="14"/>
        <v>2750</v>
      </c>
      <c r="O38">
        <f t="shared" si="15"/>
        <v>2500</v>
      </c>
      <c r="Q38" s="11">
        <f t="shared" si="17"/>
        <v>3.1879397182383742</v>
      </c>
      <c r="R38" s="12">
        <f t="shared" si="16"/>
        <v>4.1810365437377164E-2</v>
      </c>
    </row>
    <row r="39" spans="1:18" x14ac:dyDescent="0.25">
      <c r="A39">
        <v>7</v>
      </c>
      <c r="B39">
        <v>55</v>
      </c>
      <c r="C39">
        <v>50</v>
      </c>
      <c r="E39">
        <v>3.3</v>
      </c>
      <c r="F39" s="2"/>
      <c r="G39">
        <f t="shared" si="9"/>
        <v>7</v>
      </c>
      <c r="H39" s="10">
        <f t="shared" si="9"/>
        <v>55</v>
      </c>
      <c r="I39">
        <f t="shared" si="9"/>
        <v>50</v>
      </c>
      <c r="J39">
        <f t="shared" si="10"/>
        <v>49</v>
      </c>
      <c r="K39">
        <f t="shared" si="11"/>
        <v>385</v>
      </c>
      <c r="L39">
        <f t="shared" si="12"/>
        <v>350</v>
      </c>
      <c r="M39">
        <f t="shared" si="13"/>
        <v>3025</v>
      </c>
      <c r="N39">
        <f t="shared" si="14"/>
        <v>2750</v>
      </c>
      <c r="O39">
        <f t="shared" si="15"/>
        <v>2500</v>
      </c>
      <c r="Q39" s="11">
        <f t="shared" si="17"/>
        <v>3.2814809712990547</v>
      </c>
      <c r="R39" s="12">
        <f t="shared" si="16"/>
        <v>-5.6118268790742816E-3</v>
      </c>
    </row>
    <row r="40" spans="1:18" x14ac:dyDescent="0.25">
      <c r="A40">
        <v>12</v>
      </c>
      <c r="B40">
        <v>55</v>
      </c>
      <c r="C40">
        <v>50</v>
      </c>
      <c r="E40">
        <v>3.31</v>
      </c>
      <c r="F40" s="2"/>
      <c r="G40">
        <f t="shared" si="9"/>
        <v>12</v>
      </c>
      <c r="H40" s="10">
        <f t="shared" si="9"/>
        <v>55</v>
      </c>
      <c r="I40">
        <f t="shared" si="9"/>
        <v>50</v>
      </c>
      <c r="J40">
        <f t="shared" si="10"/>
        <v>144</v>
      </c>
      <c r="K40">
        <f t="shared" si="11"/>
        <v>660</v>
      </c>
      <c r="L40">
        <f t="shared" si="12"/>
        <v>600</v>
      </c>
      <c r="M40">
        <f t="shared" si="13"/>
        <v>3025</v>
      </c>
      <c r="N40">
        <f t="shared" si="14"/>
        <v>2750</v>
      </c>
      <c r="O40">
        <f t="shared" si="15"/>
        <v>2500</v>
      </c>
      <c r="Q40" s="11">
        <f t="shared" si="17"/>
        <v>3.3720853118002871</v>
      </c>
      <c r="R40" s="12">
        <f t="shared" si="16"/>
        <v>1.8756891782564074E-2</v>
      </c>
    </row>
    <row r="41" spans="1:18" x14ac:dyDescent="0.25">
      <c r="A41">
        <v>-15</v>
      </c>
      <c r="B41">
        <v>55</v>
      </c>
      <c r="C41">
        <v>50</v>
      </c>
      <c r="E41">
        <v>2.81</v>
      </c>
      <c r="F41" s="2"/>
      <c r="G41">
        <f t="shared" si="9"/>
        <v>-15</v>
      </c>
      <c r="H41" s="10">
        <f t="shared" si="9"/>
        <v>55</v>
      </c>
      <c r="I41">
        <f t="shared" si="9"/>
        <v>50</v>
      </c>
      <c r="J41">
        <f t="shared" si="10"/>
        <v>225</v>
      </c>
      <c r="K41">
        <f t="shared" si="11"/>
        <v>-825</v>
      </c>
      <c r="L41">
        <f t="shared" si="12"/>
        <v>-750</v>
      </c>
      <c r="M41">
        <f t="shared" si="13"/>
        <v>3025</v>
      </c>
      <c r="N41">
        <f t="shared" si="14"/>
        <v>2750</v>
      </c>
      <c r="O41">
        <f t="shared" si="15"/>
        <v>2500</v>
      </c>
      <c r="Q41" s="11">
        <f t="shared" si="17"/>
        <v>2.8479313518873868</v>
      </c>
      <c r="R41" s="12">
        <f t="shared" si="16"/>
        <v>1.349870173928353E-2</v>
      </c>
    </row>
    <row r="42" spans="1:18" x14ac:dyDescent="0.25">
      <c r="A42">
        <v>2</v>
      </c>
      <c r="B42">
        <v>65</v>
      </c>
      <c r="C42">
        <v>50</v>
      </c>
      <c r="E42">
        <v>3.69</v>
      </c>
      <c r="F42" s="2"/>
      <c r="G42">
        <f t="shared" si="9"/>
        <v>2</v>
      </c>
      <c r="H42" s="10">
        <f t="shared" si="9"/>
        <v>65</v>
      </c>
      <c r="I42">
        <f t="shared" si="9"/>
        <v>50</v>
      </c>
      <c r="J42">
        <f t="shared" si="10"/>
        <v>4</v>
      </c>
      <c r="K42">
        <f t="shared" si="11"/>
        <v>130</v>
      </c>
      <c r="L42">
        <f t="shared" si="12"/>
        <v>100</v>
      </c>
      <c r="M42">
        <f t="shared" si="13"/>
        <v>4225</v>
      </c>
      <c r="N42">
        <f t="shared" si="14"/>
        <v>3250</v>
      </c>
      <c r="O42">
        <f t="shared" si="15"/>
        <v>2500</v>
      </c>
      <c r="Q42" s="11">
        <f t="shared" si="17"/>
        <v>3.6428999445024872</v>
      </c>
      <c r="R42" s="12">
        <f t="shared" si="16"/>
        <v>-1.2764242682252772E-2</v>
      </c>
    </row>
    <row r="43" spans="1:18" x14ac:dyDescent="0.25">
      <c r="A43">
        <v>7</v>
      </c>
      <c r="B43">
        <v>65</v>
      </c>
      <c r="C43">
        <v>50</v>
      </c>
      <c r="E43">
        <v>3.77</v>
      </c>
      <c r="F43" s="2"/>
      <c r="G43">
        <f t="shared" si="9"/>
        <v>7</v>
      </c>
      <c r="H43" s="10">
        <f t="shared" si="9"/>
        <v>65</v>
      </c>
      <c r="I43">
        <f t="shared" si="9"/>
        <v>50</v>
      </c>
      <c r="J43">
        <f t="shared" si="10"/>
        <v>49</v>
      </c>
      <c r="K43">
        <f t="shared" si="11"/>
        <v>455</v>
      </c>
      <c r="L43">
        <f t="shared" si="12"/>
        <v>350</v>
      </c>
      <c r="M43">
        <f t="shared" si="13"/>
        <v>4225</v>
      </c>
      <c r="N43">
        <f t="shared" si="14"/>
        <v>3250</v>
      </c>
      <c r="O43">
        <f t="shared" si="15"/>
        <v>2500</v>
      </c>
      <c r="Q43" s="11">
        <f t="shared" si="17"/>
        <v>3.7574676601526562</v>
      </c>
      <c r="R43" s="12">
        <f t="shared" si="16"/>
        <v>-3.324228076218517E-3</v>
      </c>
    </row>
    <row r="44" spans="1:18" x14ac:dyDescent="0.25">
      <c r="A44">
        <v>12</v>
      </c>
      <c r="B44">
        <v>65</v>
      </c>
      <c r="C44">
        <v>50</v>
      </c>
      <c r="E44">
        <v>3.87</v>
      </c>
      <c r="G44">
        <f t="shared" si="9"/>
        <v>12</v>
      </c>
      <c r="H44" s="10">
        <f t="shared" si="9"/>
        <v>65</v>
      </c>
      <c r="I44">
        <f t="shared" si="9"/>
        <v>50</v>
      </c>
      <c r="J44">
        <f t="shared" si="10"/>
        <v>144</v>
      </c>
      <c r="K44">
        <f t="shared" si="11"/>
        <v>780</v>
      </c>
      <c r="L44">
        <f t="shared" si="12"/>
        <v>600</v>
      </c>
      <c r="M44">
        <f t="shared" si="13"/>
        <v>4225</v>
      </c>
      <c r="N44">
        <f t="shared" si="14"/>
        <v>3250</v>
      </c>
      <c r="O44">
        <f t="shared" si="15"/>
        <v>2500</v>
      </c>
      <c r="Q44" s="11">
        <f t="shared" si="17"/>
        <v>3.8690984632433771</v>
      </c>
      <c r="R44" s="12">
        <f t="shared" si="16"/>
        <v>-2.3295523426950052E-4</v>
      </c>
    </row>
    <row r="47" spans="1:18" x14ac:dyDescent="0.25">
      <c r="A47" t="s">
        <v>28</v>
      </c>
      <c r="G47" s="4" t="s">
        <v>1</v>
      </c>
      <c r="H47" s="4" t="s">
        <v>2</v>
      </c>
      <c r="I47" s="4" t="s">
        <v>3</v>
      </c>
      <c r="J47" s="4" t="s">
        <v>4</v>
      </c>
      <c r="K47" s="4" t="s">
        <v>5</v>
      </c>
      <c r="L47" s="4" t="s">
        <v>6</v>
      </c>
      <c r="M47" s="4" t="s">
        <v>7</v>
      </c>
      <c r="N47" s="4" t="s">
        <v>8</v>
      </c>
      <c r="O47" s="4" t="s">
        <v>9</v>
      </c>
      <c r="P47" s="4" t="s">
        <v>10</v>
      </c>
    </row>
    <row r="48" spans="1:18" x14ac:dyDescent="0.25">
      <c r="A48" s="1"/>
      <c r="C48" s="1"/>
      <c r="D48" s="1"/>
      <c r="E48" s="1"/>
      <c r="F48" s="1"/>
      <c r="G48" s="4">
        <f t="array" ref="G48:P48">LINEST(E50:E67,G50:O67)</f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50</v>
      </c>
    </row>
    <row r="49" spans="1:18" ht="45" x14ac:dyDescent="0.25">
      <c r="A49" s="5" t="s">
        <v>11</v>
      </c>
      <c r="B49" s="5" t="s">
        <v>12</v>
      </c>
      <c r="C49" s="5" t="s">
        <v>14</v>
      </c>
      <c r="E49" s="7" t="s">
        <v>13</v>
      </c>
      <c r="F49" s="3"/>
      <c r="G49" s="8" t="s">
        <v>17</v>
      </c>
      <c r="H49" s="8" t="s">
        <v>18</v>
      </c>
      <c r="I49" s="8" t="s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3"/>
      <c r="Q49" s="9" t="s">
        <v>16</v>
      </c>
      <c r="R49" s="9" t="s">
        <v>15</v>
      </c>
    </row>
    <row r="50" spans="1:18" x14ac:dyDescent="0.25">
      <c r="A50">
        <v>-15</v>
      </c>
      <c r="B50">
        <v>35</v>
      </c>
      <c r="C50" s="2">
        <f>E4</f>
        <v>5.63</v>
      </c>
      <c r="E50">
        <v>50</v>
      </c>
      <c r="F50" s="2"/>
      <c r="G50">
        <f t="shared" ref="G50:I67" si="18">A50</f>
        <v>-15</v>
      </c>
      <c r="H50" s="10">
        <f t="shared" si="18"/>
        <v>35</v>
      </c>
      <c r="I50">
        <f t="shared" si="18"/>
        <v>5.63</v>
      </c>
      <c r="J50">
        <f t="shared" ref="J50:J67" si="19">G50^2</f>
        <v>225</v>
      </c>
      <c r="K50">
        <f t="shared" ref="K50:K67" si="20">G50*H50</f>
        <v>-525</v>
      </c>
      <c r="L50">
        <f t="shared" ref="L50:L67" si="21">G50*I50</f>
        <v>-84.45</v>
      </c>
      <c r="M50">
        <f t="shared" ref="M50:M67" si="22">H50^2</f>
        <v>1225</v>
      </c>
      <c r="N50">
        <f t="shared" ref="N50:N67" si="23">H50*I50</f>
        <v>197.04999999999998</v>
      </c>
      <c r="O50">
        <f t="shared" ref="O50:O67" si="24">I50^2</f>
        <v>31.696899999999999</v>
      </c>
      <c r="Q50" s="11">
        <f t="shared" ref="Q50:Q67" si="25">$P$48+$O$2*G50+$N$48*H50+$M$48*I50+$L$48*J50+$K$48*K50+$J$48*L50+$I$48*M50+$H$48*N50+$G$48*O50</f>
        <v>50</v>
      </c>
      <c r="R50" s="12">
        <f t="shared" ref="R50:R67" si="26">(Q50-E50)/E50</f>
        <v>0</v>
      </c>
    </row>
    <row r="51" spans="1:18" x14ac:dyDescent="0.25">
      <c r="A51">
        <v>-7</v>
      </c>
      <c r="B51">
        <v>35</v>
      </c>
      <c r="C51" s="2">
        <f t="shared" ref="C51:C67" si="27">E5</f>
        <v>7.07</v>
      </c>
      <c r="E51">
        <v>50</v>
      </c>
      <c r="F51" s="2"/>
      <c r="G51">
        <f t="shared" si="18"/>
        <v>-7</v>
      </c>
      <c r="H51" s="10">
        <f t="shared" si="18"/>
        <v>35</v>
      </c>
      <c r="I51">
        <f t="shared" si="18"/>
        <v>7.07</v>
      </c>
      <c r="J51">
        <f t="shared" si="19"/>
        <v>49</v>
      </c>
      <c r="K51">
        <f t="shared" si="20"/>
        <v>-245</v>
      </c>
      <c r="L51">
        <f t="shared" si="21"/>
        <v>-49.49</v>
      </c>
      <c r="M51">
        <f t="shared" si="22"/>
        <v>1225</v>
      </c>
      <c r="N51">
        <f t="shared" si="23"/>
        <v>247.45000000000002</v>
      </c>
      <c r="O51">
        <f t="shared" si="24"/>
        <v>49.984900000000003</v>
      </c>
      <c r="Q51" s="11">
        <f t="shared" si="25"/>
        <v>50</v>
      </c>
      <c r="R51" s="12">
        <f t="shared" si="26"/>
        <v>0</v>
      </c>
    </row>
    <row r="52" spans="1:18" x14ac:dyDescent="0.25">
      <c r="A52">
        <v>2</v>
      </c>
      <c r="B52">
        <v>35</v>
      </c>
      <c r="C52" s="2">
        <f t="shared" si="27"/>
        <v>8.8000000000000007</v>
      </c>
      <c r="E52">
        <v>50</v>
      </c>
      <c r="F52" s="2"/>
      <c r="G52">
        <f t="shared" si="18"/>
        <v>2</v>
      </c>
      <c r="H52" s="10">
        <f t="shared" si="18"/>
        <v>35</v>
      </c>
      <c r="I52">
        <f t="shared" si="18"/>
        <v>8.8000000000000007</v>
      </c>
      <c r="J52">
        <f t="shared" si="19"/>
        <v>4</v>
      </c>
      <c r="K52">
        <f t="shared" si="20"/>
        <v>70</v>
      </c>
      <c r="L52">
        <f t="shared" si="21"/>
        <v>17.600000000000001</v>
      </c>
      <c r="M52">
        <f t="shared" si="22"/>
        <v>1225</v>
      </c>
      <c r="N52">
        <f t="shared" si="23"/>
        <v>308</v>
      </c>
      <c r="O52">
        <f t="shared" si="24"/>
        <v>77.440000000000012</v>
      </c>
      <c r="Q52" s="11">
        <f t="shared" si="25"/>
        <v>50</v>
      </c>
      <c r="R52" s="12">
        <f t="shared" si="26"/>
        <v>0</v>
      </c>
    </row>
    <row r="53" spans="1:18" x14ac:dyDescent="0.25">
      <c r="A53">
        <v>7</v>
      </c>
      <c r="B53">
        <v>35</v>
      </c>
      <c r="C53" s="2">
        <f t="shared" si="27"/>
        <v>11.45</v>
      </c>
      <c r="E53">
        <v>50</v>
      </c>
      <c r="F53" s="2"/>
      <c r="G53">
        <f t="shared" si="18"/>
        <v>7</v>
      </c>
      <c r="H53" s="10">
        <f t="shared" si="18"/>
        <v>35</v>
      </c>
      <c r="I53">
        <f t="shared" si="18"/>
        <v>11.45</v>
      </c>
      <c r="J53">
        <f t="shared" si="19"/>
        <v>49</v>
      </c>
      <c r="K53">
        <f t="shared" si="20"/>
        <v>245</v>
      </c>
      <c r="L53">
        <f t="shared" si="21"/>
        <v>80.149999999999991</v>
      </c>
      <c r="M53">
        <f t="shared" si="22"/>
        <v>1225</v>
      </c>
      <c r="N53">
        <f t="shared" si="23"/>
        <v>400.75</v>
      </c>
      <c r="O53">
        <f t="shared" si="24"/>
        <v>131.10249999999999</v>
      </c>
      <c r="Q53" s="11">
        <f t="shared" si="25"/>
        <v>50</v>
      </c>
      <c r="R53" s="12">
        <f t="shared" si="26"/>
        <v>0</v>
      </c>
    </row>
    <row r="54" spans="1:18" x14ac:dyDescent="0.25">
      <c r="A54">
        <v>12</v>
      </c>
      <c r="B54">
        <v>35</v>
      </c>
      <c r="C54" s="2">
        <f t="shared" si="27"/>
        <v>13.6</v>
      </c>
      <c r="E54">
        <v>50</v>
      </c>
      <c r="F54" s="2"/>
      <c r="G54">
        <f t="shared" si="18"/>
        <v>12</v>
      </c>
      <c r="H54" s="10">
        <f t="shared" si="18"/>
        <v>35</v>
      </c>
      <c r="I54">
        <f t="shared" si="18"/>
        <v>13.6</v>
      </c>
      <c r="J54">
        <f t="shared" si="19"/>
        <v>144</v>
      </c>
      <c r="K54">
        <f t="shared" si="20"/>
        <v>420</v>
      </c>
      <c r="L54">
        <f t="shared" si="21"/>
        <v>163.19999999999999</v>
      </c>
      <c r="M54">
        <f t="shared" si="22"/>
        <v>1225</v>
      </c>
      <c r="N54">
        <f t="shared" si="23"/>
        <v>476</v>
      </c>
      <c r="O54">
        <f t="shared" si="24"/>
        <v>184.95999999999998</v>
      </c>
      <c r="Q54" s="11">
        <f t="shared" si="25"/>
        <v>50</v>
      </c>
      <c r="R54" s="12">
        <f t="shared" si="26"/>
        <v>0</v>
      </c>
    </row>
    <row r="55" spans="1:18" x14ac:dyDescent="0.25">
      <c r="A55">
        <v>-15</v>
      </c>
      <c r="B55">
        <v>45</v>
      </c>
      <c r="C55" s="2">
        <f t="shared" si="27"/>
        <v>5.22</v>
      </c>
      <c r="E55">
        <v>50</v>
      </c>
      <c r="F55" s="2"/>
      <c r="G55">
        <f t="shared" si="18"/>
        <v>-15</v>
      </c>
      <c r="H55" s="10">
        <f t="shared" si="18"/>
        <v>45</v>
      </c>
      <c r="I55">
        <f t="shared" si="18"/>
        <v>5.22</v>
      </c>
      <c r="J55">
        <f t="shared" si="19"/>
        <v>225</v>
      </c>
      <c r="K55">
        <f t="shared" si="20"/>
        <v>-675</v>
      </c>
      <c r="L55">
        <f t="shared" si="21"/>
        <v>-78.3</v>
      </c>
      <c r="M55">
        <f t="shared" si="22"/>
        <v>2025</v>
      </c>
      <c r="N55">
        <f t="shared" si="23"/>
        <v>234.89999999999998</v>
      </c>
      <c r="O55">
        <f t="shared" si="24"/>
        <v>27.248399999999997</v>
      </c>
      <c r="Q55" s="11">
        <f t="shared" si="25"/>
        <v>50</v>
      </c>
      <c r="R55" s="12">
        <f t="shared" si="26"/>
        <v>0</v>
      </c>
    </row>
    <row r="56" spans="1:18" x14ac:dyDescent="0.25">
      <c r="A56">
        <v>-7</v>
      </c>
      <c r="B56">
        <v>45</v>
      </c>
      <c r="C56" s="2">
        <f t="shared" si="27"/>
        <v>6.72</v>
      </c>
      <c r="E56">
        <v>50</v>
      </c>
      <c r="F56" s="2"/>
      <c r="G56">
        <f t="shared" si="18"/>
        <v>-7</v>
      </c>
      <c r="H56" s="10">
        <f t="shared" si="18"/>
        <v>45</v>
      </c>
      <c r="I56">
        <f t="shared" si="18"/>
        <v>6.72</v>
      </c>
      <c r="J56">
        <f t="shared" si="19"/>
        <v>49</v>
      </c>
      <c r="K56">
        <f t="shared" si="20"/>
        <v>-315</v>
      </c>
      <c r="L56">
        <f t="shared" si="21"/>
        <v>-47.04</v>
      </c>
      <c r="M56">
        <f t="shared" si="22"/>
        <v>2025</v>
      </c>
      <c r="N56">
        <f t="shared" si="23"/>
        <v>302.39999999999998</v>
      </c>
      <c r="O56">
        <f t="shared" si="24"/>
        <v>45.158399999999993</v>
      </c>
      <c r="Q56" s="11">
        <f t="shared" si="25"/>
        <v>50</v>
      </c>
      <c r="R56" s="12">
        <f t="shared" si="26"/>
        <v>0</v>
      </c>
    </row>
    <row r="57" spans="1:18" x14ac:dyDescent="0.25">
      <c r="A57">
        <v>2</v>
      </c>
      <c r="B57">
        <v>45</v>
      </c>
      <c r="C57" s="2">
        <f t="shared" si="27"/>
        <v>8.58</v>
      </c>
      <c r="E57">
        <v>50</v>
      </c>
      <c r="F57" s="2"/>
      <c r="G57">
        <f t="shared" si="18"/>
        <v>2</v>
      </c>
      <c r="H57" s="10">
        <f t="shared" si="18"/>
        <v>45</v>
      </c>
      <c r="I57">
        <f t="shared" si="18"/>
        <v>8.58</v>
      </c>
      <c r="J57">
        <f t="shared" si="19"/>
        <v>4</v>
      </c>
      <c r="K57">
        <f t="shared" si="20"/>
        <v>90</v>
      </c>
      <c r="L57">
        <f t="shared" si="21"/>
        <v>17.16</v>
      </c>
      <c r="M57">
        <f t="shared" si="22"/>
        <v>2025</v>
      </c>
      <c r="N57">
        <f t="shared" si="23"/>
        <v>386.1</v>
      </c>
      <c r="O57">
        <f t="shared" si="24"/>
        <v>73.616399999999999</v>
      </c>
      <c r="Q57" s="11">
        <f t="shared" si="25"/>
        <v>50</v>
      </c>
      <c r="R57" s="12">
        <f t="shared" si="26"/>
        <v>0</v>
      </c>
    </row>
    <row r="58" spans="1:18" x14ac:dyDescent="0.25">
      <c r="A58">
        <v>7</v>
      </c>
      <c r="B58">
        <v>45</v>
      </c>
      <c r="C58" s="2">
        <f t="shared" si="27"/>
        <v>10.89</v>
      </c>
      <c r="E58">
        <v>50</v>
      </c>
      <c r="F58" s="2"/>
      <c r="G58">
        <f t="shared" si="18"/>
        <v>7</v>
      </c>
      <c r="H58" s="10">
        <f t="shared" si="18"/>
        <v>45</v>
      </c>
      <c r="I58">
        <f t="shared" si="18"/>
        <v>10.89</v>
      </c>
      <c r="J58">
        <f t="shared" si="19"/>
        <v>49</v>
      </c>
      <c r="K58">
        <f t="shared" si="20"/>
        <v>315</v>
      </c>
      <c r="L58">
        <f t="shared" si="21"/>
        <v>76.23</v>
      </c>
      <c r="M58">
        <f t="shared" si="22"/>
        <v>2025</v>
      </c>
      <c r="N58">
        <f t="shared" si="23"/>
        <v>490.05</v>
      </c>
      <c r="O58">
        <f t="shared" si="24"/>
        <v>118.59210000000002</v>
      </c>
      <c r="Q58" s="11">
        <f t="shared" si="25"/>
        <v>50</v>
      </c>
      <c r="R58" s="12">
        <f t="shared" si="26"/>
        <v>0</v>
      </c>
    </row>
    <row r="59" spans="1:18" x14ac:dyDescent="0.25">
      <c r="A59">
        <v>12</v>
      </c>
      <c r="B59">
        <v>45</v>
      </c>
      <c r="C59" s="2">
        <f t="shared" si="27"/>
        <v>12.91</v>
      </c>
      <c r="E59">
        <v>50</v>
      </c>
      <c r="F59" s="2"/>
      <c r="G59">
        <f t="shared" si="18"/>
        <v>12</v>
      </c>
      <c r="H59" s="10">
        <f t="shared" si="18"/>
        <v>45</v>
      </c>
      <c r="I59">
        <f t="shared" si="18"/>
        <v>12.91</v>
      </c>
      <c r="J59">
        <f t="shared" si="19"/>
        <v>144</v>
      </c>
      <c r="K59">
        <f t="shared" si="20"/>
        <v>540</v>
      </c>
      <c r="L59">
        <f t="shared" si="21"/>
        <v>154.92000000000002</v>
      </c>
      <c r="M59">
        <f t="shared" si="22"/>
        <v>2025</v>
      </c>
      <c r="N59">
        <f t="shared" si="23"/>
        <v>580.95000000000005</v>
      </c>
      <c r="O59">
        <f t="shared" si="24"/>
        <v>166.66810000000001</v>
      </c>
      <c r="Q59" s="11">
        <f t="shared" si="25"/>
        <v>50</v>
      </c>
      <c r="R59" s="12">
        <f t="shared" si="26"/>
        <v>0</v>
      </c>
    </row>
    <row r="60" spans="1:18" x14ac:dyDescent="0.25">
      <c r="A60">
        <v>-7</v>
      </c>
      <c r="B60">
        <v>55</v>
      </c>
      <c r="C60" s="2">
        <f t="shared" si="27"/>
        <v>6.63</v>
      </c>
      <c r="E60">
        <v>50</v>
      </c>
      <c r="F60" s="2"/>
      <c r="G60">
        <f t="shared" si="18"/>
        <v>-7</v>
      </c>
      <c r="H60" s="10">
        <f t="shared" si="18"/>
        <v>55</v>
      </c>
      <c r="I60">
        <f t="shared" si="18"/>
        <v>6.63</v>
      </c>
      <c r="J60">
        <f t="shared" si="19"/>
        <v>49</v>
      </c>
      <c r="K60">
        <f t="shared" si="20"/>
        <v>-385</v>
      </c>
      <c r="L60">
        <f t="shared" si="21"/>
        <v>-46.41</v>
      </c>
      <c r="M60">
        <f t="shared" si="22"/>
        <v>3025</v>
      </c>
      <c r="N60">
        <f t="shared" si="23"/>
        <v>364.65</v>
      </c>
      <c r="O60">
        <f t="shared" si="24"/>
        <v>43.956899999999997</v>
      </c>
      <c r="Q60" s="11">
        <f t="shared" si="25"/>
        <v>50</v>
      </c>
      <c r="R60" s="12">
        <f t="shared" si="26"/>
        <v>0</v>
      </c>
    </row>
    <row r="61" spans="1:18" x14ac:dyDescent="0.25">
      <c r="A61">
        <v>2</v>
      </c>
      <c r="B61">
        <v>55</v>
      </c>
      <c r="C61" s="2">
        <f t="shared" si="27"/>
        <v>8.01</v>
      </c>
      <c r="E61">
        <v>50</v>
      </c>
      <c r="F61" s="2"/>
      <c r="G61">
        <f t="shared" si="18"/>
        <v>2</v>
      </c>
      <c r="H61" s="10">
        <f t="shared" si="18"/>
        <v>55</v>
      </c>
      <c r="I61">
        <f t="shared" si="18"/>
        <v>8.01</v>
      </c>
      <c r="J61">
        <f t="shared" si="19"/>
        <v>4</v>
      </c>
      <c r="K61">
        <f t="shared" si="20"/>
        <v>110</v>
      </c>
      <c r="L61">
        <f t="shared" si="21"/>
        <v>16.02</v>
      </c>
      <c r="M61">
        <f t="shared" si="22"/>
        <v>3025</v>
      </c>
      <c r="N61">
        <f t="shared" si="23"/>
        <v>440.55</v>
      </c>
      <c r="O61">
        <f t="shared" si="24"/>
        <v>64.1601</v>
      </c>
      <c r="Q61" s="11">
        <f t="shared" si="25"/>
        <v>50</v>
      </c>
      <c r="R61" s="12">
        <f t="shared" si="26"/>
        <v>0</v>
      </c>
    </row>
    <row r="62" spans="1:18" x14ac:dyDescent="0.25">
      <c r="A62">
        <v>7</v>
      </c>
      <c r="B62">
        <v>55</v>
      </c>
      <c r="C62" s="2">
        <f t="shared" si="27"/>
        <v>10.48</v>
      </c>
      <c r="E62">
        <v>50</v>
      </c>
      <c r="F62" s="2"/>
      <c r="G62">
        <f t="shared" si="18"/>
        <v>7</v>
      </c>
      <c r="H62" s="10">
        <f t="shared" si="18"/>
        <v>55</v>
      </c>
      <c r="I62">
        <f t="shared" si="18"/>
        <v>10.48</v>
      </c>
      <c r="J62">
        <f t="shared" si="19"/>
        <v>49</v>
      </c>
      <c r="K62">
        <f t="shared" si="20"/>
        <v>385</v>
      </c>
      <c r="L62">
        <f t="shared" si="21"/>
        <v>73.36</v>
      </c>
      <c r="M62">
        <f t="shared" si="22"/>
        <v>3025</v>
      </c>
      <c r="N62">
        <f t="shared" si="23"/>
        <v>576.4</v>
      </c>
      <c r="O62">
        <f t="shared" si="24"/>
        <v>109.83040000000001</v>
      </c>
      <c r="Q62" s="11">
        <f t="shared" si="25"/>
        <v>50</v>
      </c>
      <c r="R62" s="12">
        <f t="shared" si="26"/>
        <v>0</v>
      </c>
    </row>
    <row r="63" spans="1:18" x14ac:dyDescent="0.25">
      <c r="A63">
        <v>12</v>
      </c>
      <c r="B63">
        <v>55</v>
      </c>
      <c r="C63" s="2">
        <f t="shared" si="27"/>
        <v>12.06</v>
      </c>
      <c r="E63">
        <v>50</v>
      </c>
      <c r="F63" s="2"/>
      <c r="G63">
        <f t="shared" si="18"/>
        <v>12</v>
      </c>
      <c r="H63" s="10">
        <f t="shared" si="18"/>
        <v>55</v>
      </c>
      <c r="I63">
        <f t="shared" si="18"/>
        <v>12.06</v>
      </c>
      <c r="J63">
        <f t="shared" si="19"/>
        <v>144</v>
      </c>
      <c r="K63">
        <f t="shared" si="20"/>
        <v>660</v>
      </c>
      <c r="L63">
        <f t="shared" si="21"/>
        <v>144.72</v>
      </c>
      <c r="M63">
        <f t="shared" si="22"/>
        <v>3025</v>
      </c>
      <c r="N63">
        <f t="shared" si="23"/>
        <v>663.30000000000007</v>
      </c>
      <c r="O63">
        <f t="shared" si="24"/>
        <v>145.4436</v>
      </c>
      <c r="Q63" s="11">
        <f t="shared" si="25"/>
        <v>50</v>
      </c>
      <c r="R63" s="12">
        <f t="shared" si="26"/>
        <v>0</v>
      </c>
    </row>
    <row r="64" spans="1:18" x14ac:dyDescent="0.25">
      <c r="A64">
        <v>-15</v>
      </c>
      <c r="B64">
        <v>55</v>
      </c>
      <c r="C64" s="2">
        <f t="shared" si="27"/>
        <v>4.93</v>
      </c>
      <c r="E64">
        <v>50</v>
      </c>
      <c r="F64" s="2"/>
      <c r="G64">
        <f t="shared" si="18"/>
        <v>-15</v>
      </c>
      <c r="H64" s="10">
        <f t="shared" si="18"/>
        <v>55</v>
      </c>
      <c r="I64">
        <f t="shared" si="18"/>
        <v>4.93</v>
      </c>
      <c r="J64">
        <f t="shared" si="19"/>
        <v>225</v>
      </c>
      <c r="K64">
        <f t="shared" si="20"/>
        <v>-825</v>
      </c>
      <c r="L64">
        <f t="shared" si="21"/>
        <v>-73.949999999999989</v>
      </c>
      <c r="M64">
        <f t="shared" si="22"/>
        <v>3025</v>
      </c>
      <c r="N64">
        <f t="shared" si="23"/>
        <v>271.14999999999998</v>
      </c>
      <c r="O64">
        <f t="shared" si="24"/>
        <v>24.304899999999996</v>
      </c>
      <c r="Q64" s="11">
        <f t="shared" si="25"/>
        <v>50</v>
      </c>
      <c r="R64" s="12">
        <f t="shared" si="26"/>
        <v>0</v>
      </c>
    </row>
    <row r="65" spans="1:18" x14ac:dyDescent="0.25">
      <c r="A65">
        <v>2</v>
      </c>
      <c r="B65">
        <v>65</v>
      </c>
      <c r="C65" s="2">
        <f t="shared" si="27"/>
        <v>8.2200000000000006</v>
      </c>
      <c r="E65">
        <v>50</v>
      </c>
      <c r="F65" s="2"/>
      <c r="G65">
        <f t="shared" si="18"/>
        <v>2</v>
      </c>
      <c r="H65" s="10">
        <f t="shared" si="18"/>
        <v>65</v>
      </c>
      <c r="I65">
        <f t="shared" si="18"/>
        <v>8.2200000000000006</v>
      </c>
      <c r="J65">
        <f t="shared" si="19"/>
        <v>4</v>
      </c>
      <c r="K65">
        <f t="shared" si="20"/>
        <v>130</v>
      </c>
      <c r="L65">
        <f t="shared" si="21"/>
        <v>16.440000000000001</v>
      </c>
      <c r="M65">
        <f t="shared" si="22"/>
        <v>4225</v>
      </c>
      <c r="N65">
        <f t="shared" si="23"/>
        <v>534.30000000000007</v>
      </c>
      <c r="O65">
        <f t="shared" si="24"/>
        <v>67.568400000000011</v>
      </c>
      <c r="Q65" s="11">
        <f t="shared" si="25"/>
        <v>50</v>
      </c>
      <c r="R65" s="12">
        <f t="shared" si="26"/>
        <v>0</v>
      </c>
    </row>
    <row r="66" spans="1:18" x14ac:dyDescent="0.25">
      <c r="A66">
        <v>7</v>
      </c>
      <c r="B66">
        <v>65</v>
      </c>
      <c r="C66" s="2">
        <f t="shared" si="27"/>
        <v>9.7100000000000009</v>
      </c>
      <c r="E66">
        <v>50</v>
      </c>
      <c r="F66" s="2"/>
      <c r="G66">
        <f t="shared" si="18"/>
        <v>7</v>
      </c>
      <c r="H66" s="10">
        <f t="shared" si="18"/>
        <v>65</v>
      </c>
      <c r="I66">
        <f t="shared" si="18"/>
        <v>9.7100000000000009</v>
      </c>
      <c r="J66">
        <f t="shared" si="19"/>
        <v>49</v>
      </c>
      <c r="K66">
        <f t="shared" si="20"/>
        <v>455</v>
      </c>
      <c r="L66">
        <f t="shared" si="21"/>
        <v>67.97</v>
      </c>
      <c r="M66">
        <f t="shared" si="22"/>
        <v>4225</v>
      </c>
      <c r="N66">
        <f t="shared" si="23"/>
        <v>631.15000000000009</v>
      </c>
      <c r="O66">
        <f t="shared" si="24"/>
        <v>94.284100000000024</v>
      </c>
      <c r="Q66" s="11">
        <f t="shared" si="25"/>
        <v>50</v>
      </c>
      <c r="R66" s="12">
        <f t="shared" si="26"/>
        <v>0</v>
      </c>
    </row>
    <row r="67" spans="1:18" x14ac:dyDescent="0.25">
      <c r="A67">
        <v>12</v>
      </c>
      <c r="B67">
        <v>65</v>
      </c>
      <c r="C67" s="2">
        <f t="shared" si="27"/>
        <v>11.35</v>
      </c>
      <c r="E67">
        <v>50</v>
      </c>
      <c r="G67">
        <f t="shared" si="18"/>
        <v>12</v>
      </c>
      <c r="H67" s="10">
        <f t="shared" si="18"/>
        <v>65</v>
      </c>
      <c r="I67">
        <f t="shared" si="18"/>
        <v>11.35</v>
      </c>
      <c r="J67">
        <f t="shared" si="19"/>
        <v>144</v>
      </c>
      <c r="K67">
        <f t="shared" si="20"/>
        <v>780</v>
      </c>
      <c r="L67">
        <f t="shared" si="21"/>
        <v>136.19999999999999</v>
      </c>
      <c r="M67">
        <f t="shared" si="22"/>
        <v>4225</v>
      </c>
      <c r="N67">
        <f t="shared" si="23"/>
        <v>737.75</v>
      </c>
      <c r="O67">
        <f t="shared" si="24"/>
        <v>128.82249999999999</v>
      </c>
      <c r="Q67" s="11">
        <f t="shared" si="25"/>
        <v>50</v>
      </c>
      <c r="R6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5361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15</xdr:col>
                <xdr:colOff>0</xdr:colOff>
                <xdr:row>3</xdr:row>
                <xdr:rowOff>0</xdr:rowOff>
              </to>
            </anchor>
          </objectPr>
        </oleObject>
      </mc:Choice>
      <mc:Fallback>
        <oleObject progId="Equation.3" shapeId="15361" r:id="rId4"/>
      </mc:Fallback>
    </mc:AlternateContent>
    <mc:AlternateContent xmlns:mc="http://schemas.openxmlformats.org/markup-compatibility/2006">
      <mc:Choice Requires="x14">
        <oleObject progId="Equation.3" shapeId="15362" r:id="rId6">
          <objectPr defaultSize="0" autoPict="0" r:id="rId5">
            <anchor moveWithCells="1" sizeWithCells="1">
              <from>
                <xdr:col>6</xdr:col>
                <xdr:colOff>171450</xdr:colOff>
                <xdr:row>25</xdr:row>
                <xdr:rowOff>38100</xdr:rowOff>
              </from>
              <to>
                <xdr:col>14</xdr:col>
                <xdr:colOff>1466850</xdr:colOff>
                <xdr:row>25</xdr:row>
                <xdr:rowOff>647700</xdr:rowOff>
              </to>
            </anchor>
          </objectPr>
        </oleObject>
      </mc:Choice>
      <mc:Fallback>
        <oleObject progId="Equation.3" shapeId="15362" r:id="rId6"/>
      </mc:Fallback>
    </mc:AlternateContent>
    <mc:AlternateContent xmlns:mc="http://schemas.openxmlformats.org/markup-compatibility/2006">
      <mc:Choice Requires="x14">
        <oleObject progId="Equation.3" shapeId="15363" r:id="rId7">
          <objectPr defaultSize="0" autoPict="0" r:id="rId5">
            <anchor moveWithCells="1" sizeWithCells="1">
              <from>
                <xdr:col>6</xdr:col>
                <xdr:colOff>171450</xdr:colOff>
                <xdr:row>48</xdr:row>
                <xdr:rowOff>38100</xdr:rowOff>
              </from>
              <to>
                <xdr:col>14</xdr:col>
                <xdr:colOff>1466850</xdr:colOff>
                <xdr:row>48</xdr:row>
                <xdr:rowOff>647700</xdr:rowOff>
              </to>
            </anchor>
          </objectPr>
        </oleObject>
      </mc:Choice>
      <mc:Fallback>
        <oleObject progId="Equation.3" shapeId="15363" r:id="rId7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ist9"/>
  <dimension ref="A1:T67"/>
  <sheetViews>
    <sheetView topLeftCell="A34" zoomScale="70" zoomScaleNormal="70" workbookViewId="0">
      <selection activeCell="C50" sqref="C50:C67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LINEST(E4:E21,G4:O21)</f>
        <v>0</v>
      </c>
      <c r="H2" s="4">
        <v>-1.3676485699095336E-3</v>
      </c>
      <c r="I2" s="4">
        <v>1.6137061973163654E-4</v>
      </c>
      <c r="J2" s="4">
        <v>9.2798115456630727E-3</v>
      </c>
      <c r="K2" s="4">
        <v>-1.5090697954626895E-3</v>
      </c>
      <c r="L2" s="4">
        <v>9.2986220204873578E-3</v>
      </c>
      <c r="M2" s="4">
        <v>0</v>
      </c>
      <c r="N2" s="4">
        <v>0</v>
      </c>
      <c r="O2" s="4">
        <v>0</v>
      </c>
      <c r="P2" s="4">
        <v>14.185437833123546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7.77</v>
      </c>
      <c r="F4" s="2"/>
      <c r="G4">
        <f t="shared" ref="G4:I21" si="0">A4</f>
        <v>-15</v>
      </c>
      <c r="H4" s="10">
        <f t="shared" si="0"/>
        <v>35</v>
      </c>
      <c r="I4">
        <f t="shared" si="0"/>
        <v>50</v>
      </c>
      <c r="J4">
        <f t="shared" ref="J4:J21" si="1">G4^2</f>
        <v>225</v>
      </c>
      <c r="K4">
        <f t="shared" ref="K4:K21" si="2">G4*H4</f>
        <v>-525</v>
      </c>
      <c r="L4">
        <f t="shared" ref="L4:L21" si="3">G4*I4</f>
        <v>-750</v>
      </c>
      <c r="M4">
        <f t="shared" ref="M4:M21" si="4">H4^2</f>
        <v>1225</v>
      </c>
      <c r="N4">
        <f t="shared" ref="N4:N21" si="5">H4*I4</f>
        <v>1750</v>
      </c>
      <c r="O4">
        <f t="shared" ref="O4:O21" si="6">I4^2</f>
        <v>2500</v>
      </c>
      <c r="Q4" s="11">
        <f t="shared" ref="Q4:Q21" si="7">$P$2+$O$2*G4+$N$2*H4+$M$2*I4+$L$2*J4+$K$2*K4+$J$2*L4+$I$2*M4+$H$2*N4+$G$2*O4</f>
        <v>7.9143247829333809</v>
      </c>
      <c r="R4" s="12">
        <f t="shared" ref="R4:R21" si="8">(Q4-E4)/E4</f>
        <v>1.857461813814432E-2</v>
      </c>
      <c r="S4" s="11"/>
      <c r="T4" s="12"/>
    </row>
    <row r="5" spans="1:20" x14ac:dyDescent="0.25">
      <c r="A5">
        <v>-7</v>
      </c>
      <c r="B5">
        <v>35</v>
      </c>
      <c r="C5">
        <v>50</v>
      </c>
      <c r="E5">
        <v>10.029999999999999</v>
      </c>
      <c r="F5" s="2"/>
      <c r="G5">
        <f t="shared" si="0"/>
        <v>-7</v>
      </c>
      <c r="H5" s="10">
        <f t="shared" si="0"/>
        <v>35</v>
      </c>
      <c r="I5">
        <f t="shared" si="0"/>
        <v>50</v>
      </c>
      <c r="J5">
        <f t="shared" si="1"/>
        <v>49</v>
      </c>
      <c r="K5">
        <f t="shared" si="2"/>
        <v>-245</v>
      </c>
      <c r="L5">
        <f t="shared" si="3"/>
        <v>-350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9.567152382863279</v>
      </c>
      <c r="R5" s="12">
        <f t="shared" si="8"/>
        <v>-4.6146322745435737E-2</v>
      </c>
      <c r="S5" s="11"/>
      <c r="T5" s="12"/>
    </row>
    <row r="6" spans="1:20" x14ac:dyDescent="0.25">
      <c r="A6">
        <v>2</v>
      </c>
      <c r="B6">
        <v>35</v>
      </c>
      <c r="C6">
        <v>50</v>
      </c>
      <c r="E6">
        <v>12.08</v>
      </c>
      <c r="F6" s="2"/>
      <c r="G6">
        <f t="shared" si="0"/>
        <v>2</v>
      </c>
      <c r="H6" s="10">
        <f t="shared" si="0"/>
        <v>35</v>
      </c>
      <c r="I6">
        <f t="shared" si="0"/>
        <v>50</v>
      </c>
      <c r="J6">
        <f t="shared" si="1"/>
        <v>4</v>
      </c>
      <c r="K6">
        <f t="shared" si="2"/>
        <v>70</v>
      </c>
      <c r="L6">
        <f t="shared" si="3"/>
        <v>100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12.849272601918985</v>
      </c>
      <c r="R6" s="12">
        <f t="shared" si="8"/>
        <v>6.368150678137291E-2</v>
      </c>
      <c r="S6" s="11"/>
      <c r="T6" s="12"/>
    </row>
    <row r="7" spans="1:20" x14ac:dyDescent="0.25">
      <c r="A7">
        <v>7</v>
      </c>
      <c r="B7">
        <v>35</v>
      </c>
      <c r="C7">
        <v>50</v>
      </c>
      <c r="E7">
        <v>15.92</v>
      </c>
      <c r="F7" s="2"/>
      <c r="G7">
        <f t="shared" si="0"/>
        <v>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245</v>
      </c>
      <c r="L7">
        <f t="shared" si="3"/>
        <v>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15.323576265050711</v>
      </c>
      <c r="R7" s="12">
        <f t="shared" si="8"/>
        <v>-3.746380244656336E-2</v>
      </c>
      <c r="S7" s="11"/>
      <c r="T7" s="12"/>
    </row>
    <row r="8" spans="1:20" x14ac:dyDescent="0.25">
      <c r="A8">
        <v>12</v>
      </c>
      <c r="B8">
        <v>35</v>
      </c>
      <c r="C8">
        <v>50</v>
      </c>
      <c r="E8">
        <v>18.260000000000002</v>
      </c>
      <c r="F8" s="2"/>
      <c r="G8">
        <f t="shared" si="0"/>
        <v>12</v>
      </c>
      <c r="H8" s="10">
        <f t="shared" si="0"/>
        <v>35</v>
      </c>
      <c r="I8">
        <f t="shared" si="0"/>
        <v>50</v>
      </c>
      <c r="J8">
        <f t="shared" si="1"/>
        <v>144</v>
      </c>
      <c r="K8">
        <f t="shared" si="2"/>
        <v>420</v>
      </c>
      <c r="L8">
        <f t="shared" si="3"/>
        <v>600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7"/>
        <v>18.262811029206809</v>
      </c>
      <c r="R8" s="12">
        <f t="shared" si="8"/>
        <v>1.5394464440345517E-4</v>
      </c>
      <c r="S8" s="11"/>
      <c r="T8" s="12"/>
    </row>
    <row r="9" spans="1:20" x14ac:dyDescent="0.25">
      <c r="A9">
        <v>-15</v>
      </c>
      <c r="B9">
        <v>45</v>
      </c>
      <c r="C9">
        <v>50</v>
      </c>
      <c r="E9">
        <v>7.36</v>
      </c>
      <c r="F9" s="2"/>
      <c r="G9">
        <f t="shared" si="0"/>
        <v>-15</v>
      </c>
      <c r="H9" s="10">
        <f t="shared" si="0"/>
        <v>45</v>
      </c>
      <c r="I9">
        <f t="shared" si="0"/>
        <v>50</v>
      </c>
      <c r="J9">
        <f t="shared" si="1"/>
        <v>225</v>
      </c>
      <c r="K9">
        <f t="shared" si="2"/>
        <v>-675</v>
      </c>
      <c r="L9">
        <f t="shared" si="3"/>
        <v>-750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7.5859574630833251</v>
      </c>
      <c r="R9" s="12">
        <f t="shared" si="8"/>
        <v>3.0700742266756079E-2</v>
      </c>
      <c r="S9" s="11"/>
      <c r="T9" s="12"/>
    </row>
    <row r="10" spans="1:20" x14ac:dyDescent="0.25">
      <c r="A10">
        <v>-7</v>
      </c>
      <c r="B10">
        <v>45</v>
      </c>
      <c r="C10">
        <v>50</v>
      </c>
      <c r="E10">
        <v>9.58</v>
      </c>
      <c r="F10" s="2"/>
      <c r="G10">
        <f t="shared" si="0"/>
        <v>-7</v>
      </c>
      <c r="H10" s="10">
        <f t="shared" si="0"/>
        <v>45</v>
      </c>
      <c r="I10">
        <f t="shared" si="0"/>
        <v>50</v>
      </c>
      <c r="J10">
        <f t="shared" si="1"/>
        <v>49</v>
      </c>
      <c r="K10">
        <f t="shared" si="2"/>
        <v>-315</v>
      </c>
      <c r="L10">
        <f t="shared" si="3"/>
        <v>-350</v>
      </c>
      <c r="M10">
        <f t="shared" si="4"/>
        <v>2025</v>
      </c>
      <c r="N10">
        <f t="shared" si="5"/>
        <v>2250</v>
      </c>
      <c r="O10">
        <f t="shared" si="6"/>
        <v>2500</v>
      </c>
      <c r="Q10" s="11">
        <f t="shared" si="7"/>
        <v>9.1180594793762086</v>
      </c>
      <c r="R10" s="12">
        <f t="shared" si="8"/>
        <v>-4.8219261025447956E-2</v>
      </c>
      <c r="S10" s="11"/>
      <c r="T10" s="12"/>
    </row>
    <row r="11" spans="1:20" x14ac:dyDescent="0.25">
      <c r="A11">
        <v>2</v>
      </c>
      <c r="B11">
        <v>45</v>
      </c>
      <c r="C11">
        <v>50</v>
      </c>
      <c r="E11">
        <v>11.53</v>
      </c>
      <c r="G11">
        <f t="shared" si="0"/>
        <v>2</v>
      </c>
      <c r="H11" s="10">
        <f t="shared" si="0"/>
        <v>45</v>
      </c>
      <c r="I11">
        <f t="shared" si="0"/>
        <v>50</v>
      </c>
      <c r="J11">
        <f t="shared" si="1"/>
        <v>4</v>
      </c>
      <c r="K11">
        <f t="shared" si="2"/>
        <v>90</v>
      </c>
      <c r="L11">
        <f t="shared" si="3"/>
        <v>100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12.264363416840272</v>
      </c>
      <c r="R11" s="12">
        <f t="shared" si="8"/>
        <v>6.3691536586320263E-2</v>
      </c>
      <c r="S11" s="11"/>
      <c r="T11" s="12"/>
    </row>
    <row r="12" spans="1:20" x14ac:dyDescent="0.25">
      <c r="A12">
        <v>7</v>
      </c>
      <c r="B12">
        <v>45</v>
      </c>
      <c r="C12">
        <v>50</v>
      </c>
      <c r="E12">
        <v>14.92</v>
      </c>
      <c r="G12">
        <f t="shared" si="0"/>
        <v>7</v>
      </c>
      <c r="H12" s="10">
        <f t="shared" si="0"/>
        <v>45</v>
      </c>
      <c r="I12">
        <f t="shared" si="0"/>
        <v>50</v>
      </c>
      <c r="J12">
        <f t="shared" si="1"/>
        <v>49</v>
      </c>
      <c r="K12">
        <f t="shared" si="2"/>
        <v>315</v>
      </c>
      <c r="L12">
        <f t="shared" si="3"/>
        <v>350</v>
      </c>
      <c r="M12">
        <f t="shared" si="4"/>
        <v>2025</v>
      </c>
      <c r="N12">
        <f t="shared" si="5"/>
        <v>2250</v>
      </c>
      <c r="O12">
        <f t="shared" si="6"/>
        <v>2500</v>
      </c>
      <c r="Q12" s="11">
        <f t="shared" si="7"/>
        <v>14.663213590198868</v>
      </c>
      <c r="R12" s="12">
        <f t="shared" si="8"/>
        <v>-1.7210885375410968E-2</v>
      </c>
      <c r="S12" s="11"/>
      <c r="T12" s="12"/>
    </row>
    <row r="13" spans="1:20" x14ac:dyDescent="0.25">
      <c r="A13">
        <v>12</v>
      </c>
      <c r="B13">
        <v>45</v>
      </c>
      <c r="C13">
        <v>50</v>
      </c>
      <c r="E13">
        <v>17.34</v>
      </c>
      <c r="G13">
        <f t="shared" si="0"/>
        <v>12</v>
      </c>
      <c r="H13" s="10">
        <f t="shared" si="0"/>
        <v>45</v>
      </c>
      <c r="I13">
        <f t="shared" si="0"/>
        <v>50</v>
      </c>
      <c r="J13">
        <f t="shared" si="1"/>
        <v>144</v>
      </c>
      <c r="K13">
        <f t="shared" si="2"/>
        <v>540</v>
      </c>
      <c r="L13">
        <f t="shared" si="3"/>
        <v>600</v>
      </c>
      <c r="M13">
        <f t="shared" si="4"/>
        <v>2025</v>
      </c>
      <c r="N13">
        <f t="shared" si="5"/>
        <v>2250</v>
      </c>
      <c r="O13">
        <f t="shared" si="6"/>
        <v>2500</v>
      </c>
      <c r="Q13" s="11">
        <f t="shared" si="7"/>
        <v>17.52699486458183</v>
      </c>
      <c r="R13" s="12">
        <f t="shared" si="8"/>
        <v>1.0784017565272806E-2</v>
      </c>
      <c r="S13" s="11"/>
      <c r="T13" s="12"/>
    </row>
    <row r="14" spans="1:20" x14ac:dyDescent="0.25">
      <c r="A14">
        <v>-7</v>
      </c>
      <c r="B14">
        <v>55</v>
      </c>
      <c r="C14">
        <v>50</v>
      </c>
      <c r="E14">
        <v>9.4</v>
      </c>
      <c r="G14">
        <f t="shared" si="0"/>
        <v>-7</v>
      </c>
      <c r="H14" s="10">
        <f t="shared" si="0"/>
        <v>55</v>
      </c>
      <c r="I14">
        <f t="shared" si="0"/>
        <v>50</v>
      </c>
      <c r="J14">
        <f t="shared" si="1"/>
        <v>49</v>
      </c>
      <c r="K14">
        <f t="shared" si="2"/>
        <v>-385</v>
      </c>
      <c r="L14">
        <f t="shared" si="3"/>
        <v>-350</v>
      </c>
      <c r="M14">
        <f t="shared" si="4"/>
        <v>3025</v>
      </c>
      <c r="N14">
        <f t="shared" si="5"/>
        <v>2750</v>
      </c>
      <c r="O14">
        <f t="shared" si="6"/>
        <v>2500</v>
      </c>
      <c r="Q14" s="11">
        <f t="shared" si="7"/>
        <v>8.7012406998354681</v>
      </c>
      <c r="R14" s="12">
        <f t="shared" si="8"/>
        <v>-7.4336095762184279E-2</v>
      </c>
      <c r="S14" s="11"/>
      <c r="T14" s="12"/>
    </row>
    <row r="15" spans="1:20" x14ac:dyDescent="0.25">
      <c r="A15">
        <v>2</v>
      </c>
      <c r="B15">
        <v>55</v>
      </c>
      <c r="C15">
        <v>50</v>
      </c>
      <c r="E15">
        <v>11.17</v>
      </c>
      <c r="G15">
        <f t="shared" si="0"/>
        <v>2</v>
      </c>
      <c r="H15" s="10">
        <f t="shared" si="0"/>
        <v>55</v>
      </c>
      <c r="I15">
        <f t="shared" si="0"/>
        <v>50</v>
      </c>
      <c r="J15">
        <f t="shared" si="1"/>
        <v>4</v>
      </c>
      <c r="K15">
        <f t="shared" si="2"/>
        <v>110</v>
      </c>
      <c r="L15">
        <f t="shared" si="3"/>
        <v>100</v>
      </c>
      <c r="M15">
        <f t="shared" si="4"/>
        <v>3025</v>
      </c>
      <c r="N15">
        <f t="shared" si="5"/>
        <v>2750</v>
      </c>
      <c r="O15">
        <f t="shared" si="6"/>
        <v>2500</v>
      </c>
      <c r="Q15" s="11">
        <f t="shared" si="7"/>
        <v>11.711728355707889</v>
      </c>
      <c r="R15" s="12">
        <f t="shared" si="8"/>
        <v>4.8498509911180744E-2</v>
      </c>
      <c r="S15" s="11"/>
      <c r="T15" s="12"/>
    </row>
    <row r="16" spans="1:20" x14ac:dyDescent="0.25">
      <c r="A16">
        <v>7</v>
      </c>
      <c r="B16">
        <v>55</v>
      </c>
      <c r="C16">
        <v>50</v>
      </c>
      <c r="E16">
        <v>14.46</v>
      </c>
      <c r="G16">
        <f t="shared" si="0"/>
        <v>7</v>
      </c>
      <c r="H16" s="10">
        <f t="shared" si="0"/>
        <v>55</v>
      </c>
      <c r="I16">
        <f t="shared" si="0"/>
        <v>50</v>
      </c>
      <c r="J16">
        <f t="shared" si="1"/>
        <v>49</v>
      </c>
      <c r="K16">
        <f t="shared" si="2"/>
        <v>385</v>
      </c>
      <c r="L16">
        <f t="shared" si="3"/>
        <v>350</v>
      </c>
      <c r="M16">
        <f t="shared" si="4"/>
        <v>3025</v>
      </c>
      <c r="N16">
        <f t="shared" si="5"/>
        <v>2750</v>
      </c>
      <c r="O16">
        <f t="shared" si="6"/>
        <v>2500</v>
      </c>
      <c r="Q16" s="11">
        <f t="shared" si="7"/>
        <v>14.035125039293348</v>
      </c>
      <c r="R16" s="12">
        <f t="shared" si="8"/>
        <v>-2.9382777365605316E-2</v>
      </c>
      <c r="S16" s="11"/>
      <c r="T16" s="12"/>
    </row>
    <row r="17" spans="1:20" x14ac:dyDescent="0.25">
      <c r="A17">
        <v>12</v>
      </c>
      <c r="B17">
        <v>55</v>
      </c>
      <c r="C17">
        <v>50</v>
      </c>
      <c r="E17">
        <v>16.809999999999999</v>
      </c>
      <c r="G17">
        <f t="shared" si="0"/>
        <v>12</v>
      </c>
      <c r="H17" s="10">
        <f t="shared" si="0"/>
        <v>55</v>
      </c>
      <c r="I17">
        <f t="shared" si="0"/>
        <v>50</v>
      </c>
      <c r="J17">
        <f t="shared" si="1"/>
        <v>144</v>
      </c>
      <c r="K17">
        <f t="shared" si="2"/>
        <v>660</v>
      </c>
      <c r="L17">
        <f t="shared" si="3"/>
        <v>600</v>
      </c>
      <c r="M17">
        <f t="shared" si="4"/>
        <v>3025</v>
      </c>
      <c r="N17">
        <f t="shared" si="5"/>
        <v>2750</v>
      </c>
      <c r="O17">
        <f t="shared" si="6"/>
        <v>2500</v>
      </c>
      <c r="Q17" s="11">
        <f t="shared" si="7"/>
        <v>16.823452823903175</v>
      </c>
      <c r="R17" s="12">
        <f t="shared" si="8"/>
        <v>8.0028696628054298E-4</v>
      </c>
      <c r="S17" s="11"/>
      <c r="T17" s="12"/>
    </row>
    <row r="18" spans="1:20" x14ac:dyDescent="0.25">
      <c r="A18">
        <v>-15</v>
      </c>
      <c r="B18">
        <v>55</v>
      </c>
      <c r="C18">
        <v>50</v>
      </c>
      <c r="E18">
        <v>7.15</v>
      </c>
      <c r="G18">
        <f t="shared" si="0"/>
        <v>-15</v>
      </c>
      <c r="H18" s="10">
        <f t="shared" si="0"/>
        <v>55</v>
      </c>
      <c r="I18">
        <f t="shared" si="0"/>
        <v>50</v>
      </c>
      <c r="J18">
        <f t="shared" si="1"/>
        <v>225</v>
      </c>
      <c r="K18">
        <f t="shared" si="2"/>
        <v>-825</v>
      </c>
      <c r="L18">
        <f t="shared" si="3"/>
        <v>-750</v>
      </c>
      <c r="M18">
        <f t="shared" si="4"/>
        <v>3025</v>
      </c>
      <c r="N18">
        <f t="shared" si="5"/>
        <v>2750</v>
      </c>
      <c r="O18">
        <f t="shared" si="6"/>
        <v>2500</v>
      </c>
      <c r="Q18" s="11">
        <f t="shared" si="7"/>
        <v>7.2898642671795972</v>
      </c>
      <c r="R18" s="12">
        <f t="shared" si="8"/>
        <v>1.9561435969174389E-2</v>
      </c>
      <c r="S18" s="11"/>
      <c r="T18" s="12"/>
    </row>
    <row r="19" spans="1:20" x14ac:dyDescent="0.25">
      <c r="A19">
        <v>2</v>
      </c>
      <c r="B19">
        <v>65</v>
      </c>
      <c r="C19">
        <v>50</v>
      </c>
      <c r="E19">
        <v>10.66</v>
      </c>
      <c r="G19">
        <f t="shared" si="0"/>
        <v>2</v>
      </c>
      <c r="H19" s="10">
        <f t="shared" si="0"/>
        <v>65</v>
      </c>
      <c r="I19">
        <f t="shared" si="0"/>
        <v>50</v>
      </c>
      <c r="J19">
        <f t="shared" si="1"/>
        <v>4</v>
      </c>
      <c r="K19">
        <f t="shared" si="2"/>
        <v>130</v>
      </c>
      <c r="L19">
        <f t="shared" si="3"/>
        <v>100</v>
      </c>
      <c r="M19">
        <f t="shared" si="4"/>
        <v>4225</v>
      </c>
      <c r="N19">
        <f t="shared" si="5"/>
        <v>3250</v>
      </c>
      <c r="O19">
        <f t="shared" si="6"/>
        <v>2500</v>
      </c>
      <c r="Q19" s="11">
        <f t="shared" si="7"/>
        <v>11.191367418521832</v>
      </c>
      <c r="R19" s="12">
        <f t="shared" si="8"/>
        <v>4.984684976752643E-2</v>
      </c>
      <c r="S19" s="11"/>
      <c r="T19" s="12"/>
    </row>
    <row r="20" spans="1:20" x14ac:dyDescent="0.25">
      <c r="A20">
        <v>7</v>
      </c>
      <c r="B20">
        <v>65</v>
      </c>
      <c r="C20">
        <v>50</v>
      </c>
      <c r="E20">
        <v>13.9</v>
      </c>
      <c r="G20">
        <f t="shared" si="0"/>
        <v>7</v>
      </c>
      <c r="H20" s="10">
        <f t="shared" si="0"/>
        <v>65</v>
      </c>
      <c r="I20">
        <f t="shared" si="0"/>
        <v>50</v>
      </c>
      <c r="J20">
        <f t="shared" si="1"/>
        <v>49</v>
      </c>
      <c r="K20">
        <f t="shared" si="2"/>
        <v>455</v>
      </c>
      <c r="L20">
        <f t="shared" si="3"/>
        <v>350</v>
      </c>
      <c r="M20">
        <f t="shared" si="4"/>
        <v>4225</v>
      </c>
      <c r="N20">
        <f t="shared" si="5"/>
        <v>3250</v>
      </c>
      <c r="O20">
        <f t="shared" si="6"/>
        <v>2500</v>
      </c>
      <c r="Q20" s="11">
        <f t="shared" si="7"/>
        <v>13.439310612334154</v>
      </c>
      <c r="R20" s="12">
        <f t="shared" si="8"/>
        <v>-3.3143121414809094E-2</v>
      </c>
      <c r="S20" s="11"/>
      <c r="T20" s="12"/>
    </row>
    <row r="21" spans="1:20" x14ac:dyDescent="0.25">
      <c r="A21">
        <v>12</v>
      </c>
      <c r="B21">
        <v>65</v>
      </c>
      <c r="C21">
        <v>50</v>
      </c>
      <c r="E21">
        <v>16.079999999999998</v>
      </c>
      <c r="G21">
        <f t="shared" si="0"/>
        <v>12</v>
      </c>
      <c r="H21" s="10">
        <f t="shared" si="0"/>
        <v>65</v>
      </c>
      <c r="I21">
        <f t="shared" si="0"/>
        <v>50</v>
      </c>
      <c r="J21">
        <f t="shared" si="1"/>
        <v>144</v>
      </c>
      <c r="K21">
        <f t="shared" si="2"/>
        <v>780</v>
      </c>
      <c r="L21">
        <f t="shared" si="3"/>
        <v>600</v>
      </c>
      <c r="M21">
        <f t="shared" si="4"/>
        <v>4225</v>
      </c>
      <c r="N21">
        <f t="shared" si="5"/>
        <v>3250</v>
      </c>
      <c r="O21">
        <f t="shared" si="6"/>
        <v>2500</v>
      </c>
      <c r="Q21" s="11">
        <f t="shared" si="7"/>
        <v>16.152184907170849</v>
      </c>
      <c r="R21" s="12">
        <f t="shared" si="8"/>
        <v>4.4891111424658252E-3</v>
      </c>
      <c r="S21" s="11"/>
      <c r="T21" s="12"/>
    </row>
    <row r="24" spans="1:20" x14ac:dyDescent="0.25">
      <c r="A24" t="s">
        <v>27</v>
      </c>
      <c r="G24" s="4" t="s">
        <v>1</v>
      </c>
      <c r="H24" s="4" t="s">
        <v>2</v>
      </c>
      <c r="I24" s="4" t="s">
        <v>3</v>
      </c>
      <c r="J24" s="4" t="s">
        <v>4</v>
      </c>
      <c r="K24" s="4" t="s">
        <v>5</v>
      </c>
      <c r="L24" s="4" t="s">
        <v>6</v>
      </c>
      <c r="M24" s="4" t="s">
        <v>7</v>
      </c>
      <c r="N24" s="4" t="s">
        <v>8</v>
      </c>
      <c r="O24" s="4" t="s">
        <v>9</v>
      </c>
      <c r="P24" s="4" t="s">
        <v>10</v>
      </c>
    </row>
    <row r="25" spans="1:20" x14ac:dyDescent="0.25">
      <c r="A25" s="1"/>
      <c r="C25" s="1"/>
      <c r="D25" s="1"/>
      <c r="E25" s="1"/>
      <c r="F25" s="1"/>
      <c r="G25" s="4">
        <f t="array" ref="G25:P25">LINEST(E27:E44,G27:O44)</f>
        <v>0</v>
      </c>
      <c r="H25" s="4">
        <v>6.867975404242036E-4</v>
      </c>
      <c r="I25" s="4">
        <v>2.0506686461566631E-4</v>
      </c>
      <c r="J25" s="4">
        <v>-1.9613137033833535E-4</v>
      </c>
      <c r="K25" s="4">
        <v>7.2880553694423312E-4</v>
      </c>
      <c r="L25" s="4">
        <v>9.9345864809871859E-5</v>
      </c>
      <c r="M25" s="4">
        <v>0</v>
      </c>
      <c r="N25" s="4">
        <v>0</v>
      </c>
      <c r="O25" s="4">
        <v>0</v>
      </c>
      <c r="P25" s="4">
        <v>1.9161806769859029</v>
      </c>
    </row>
    <row r="26" spans="1:20" ht="45" x14ac:dyDescent="0.25">
      <c r="A26" s="5" t="s">
        <v>11</v>
      </c>
      <c r="B26" s="5" t="s">
        <v>12</v>
      </c>
      <c r="C26" s="5" t="s">
        <v>13</v>
      </c>
      <c r="D26" s="6"/>
      <c r="E26" s="7" t="s">
        <v>14</v>
      </c>
      <c r="F26" s="3"/>
      <c r="G26" s="8" t="s">
        <v>17</v>
      </c>
      <c r="H26" s="8" t="s">
        <v>18</v>
      </c>
      <c r="I26" s="8" t="s">
        <v>0</v>
      </c>
      <c r="J26" s="8" t="s">
        <v>19</v>
      </c>
      <c r="K26" s="8" t="s">
        <v>20</v>
      </c>
      <c r="L26" s="8" t="s">
        <v>21</v>
      </c>
      <c r="M26" s="8" t="s">
        <v>22</v>
      </c>
      <c r="N26" s="8" t="s">
        <v>23</v>
      </c>
      <c r="O26" s="8" t="s">
        <v>24</v>
      </c>
      <c r="P26" s="3"/>
      <c r="Q26" s="9" t="s">
        <v>14</v>
      </c>
      <c r="R26" s="9" t="s">
        <v>15</v>
      </c>
    </row>
    <row r="27" spans="1:20" x14ac:dyDescent="0.25">
      <c r="A27">
        <v>-15</v>
      </c>
      <c r="B27">
        <v>35</v>
      </c>
      <c r="C27">
        <v>50</v>
      </c>
      <c r="E27">
        <v>3.1</v>
      </c>
      <c r="F27" s="2"/>
      <c r="G27">
        <f t="shared" ref="G27:I44" si="9">A27</f>
        <v>-15</v>
      </c>
      <c r="H27" s="10">
        <f t="shared" si="9"/>
        <v>35</v>
      </c>
      <c r="I27">
        <f t="shared" si="9"/>
        <v>50</v>
      </c>
      <c r="J27">
        <f t="shared" ref="J27:J44" si="10">G27^2</f>
        <v>225</v>
      </c>
      <c r="K27">
        <f t="shared" ref="K27:K44" si="11">G27*H27</f>
        <v>-525</v>
      </c>
      <c r="L27">
        <f t="shared" ref="L27:L44" si="12">G27*I27</f>
        <v>-750</v>
      </c>
      <c r="M27">
        <f t="shared" ref="M27:M44" si="13">H27^2</f>
        <v>1225</v>
      </c>
      <c r="N27">
        <f t="shared" ref="N27:N44" si="14">H27*I27</f>
        <v>1750</v>
      </c>
      <c r="O27">
        <f t="shared" ref="O27:O44" si="15">I27^2</f>
        <v>2500</v>
      </c>
      <c r="Q27" s="11">
        <f>$P$25+$O$25*G27+$N$25*H27+$M$25*I27+$L$25*J27+$K$25*K27+$J$25*L27+$I$25*M27+$H$25*N27+$G$25*O27</f>
        <v>3.1561117223227009</v>
      </c>
      <c r="R27" s="12">
        <f t="shared" ref="R27:R44" si="16">(Q27-E27)/E27</f>
        <v>1.8100555587967995E-2</v>
      </c>
    </row>
    <row r="28" spans="1:20" x14ac:dyDescent="0.25">
      <c r="A28">
        <v>-7</v>
      </c>
      <c r="B28">
        <v>35</v>
      </c>
      <c r="C28">
        <v>50</v>
      </c>
      <c r="E28">
        <v>3.3</v>
      </c>
      <c r="F28" s="2"/>
      <c r="G28">
        <f t="shared" si="9"/>
        <v>-7</v>
      </c>
      <c r="H28" s="10">
        <f t="shared" si="9"/>
        <v>35</v>
      </c>
      <c r="I28">
        <f t="shared" si="9"/>
        <v>50</v>
      </c>
      <c r="J28">
        <f t="shared" si="10"/>
        <v>49</v>
      </c>
      <c r="K28">
        <f t="shared" si="11"/>
        <v>-245</v>
      </c>
      <c r="L28">
        <f t="shared" si="12"/>
        <v>-350</v>
      </c>
      <c r="M28">
        <f t="shared" si="13"/>
        <v>1225</v>
      </c>
      <c r="N28">
        <f t="shared" si="14"/>
        <v>1750</v>
      </c>
      <c r="O28">
        <f t="shared" si="15"/>
        <v>2500</v>
      </c>
      <c r="Q28" s="11">
        <f t="shared" ref="Q28:Q44" si="17">$P$25+$O$25*G28+$N$25*H28+$M$25*I28+$L$25*J28+$K$25*K28+$J$25*L28+$I$25*M28+$H$25*N28+$G$25*O28</f>
        <v>3.2642398523252139</v>
      </c>
      <c r="R28" s="12">
        <f t="shared" si="16"/>
        <v>-1.083640838629878E-2</v>
      </c>
    </row>
    <row r="29" spans="1:20" x14ac:dyDescent="0.25">
      <c r="A29">
        <v>2</v>
      </c>
      <c r="B29">
        <v>35</v>
      </c>
      <c r="C29">
        <v>50</v>
      </c>
      <c r="E29">
        <v>3.39</v>
      </c>
      <c r="F29" s="2"/>
      <c r="G29">
        <f t="shared" si="9"/>
        <v>2</v>
      </c>
      <c r="H29" s="10">
        <f t="shared" si="9"/>
        <v>35</v>
      </c>
      <c r="I29">
        <f t="shared" si="9"/>
        <v>50</v>
      </c>
      <c r="J29">
        <f t="shared" si="10"/>
        <v>4</v>
      </c>
      <c r="K29">
        <f t="shared" si="11"/>
        <v>70</v>
      </c>
      <c r="L29">
        <f t="shared" si="12"/>
        <v>100</v>
      </c>
      <c r="M29">
        <f t="shared" si="13"/>
        <v>1225</v>
      </c>
      <c r="N29">
        <f t="shared" si="14"/>
        <v>1750</v>
      </c>
      <c r="O29">
        <f t="shared" si="15"/>
        <v>2500</v>
      </c>
      <c r="Q29" s="11">
        <f t="shared" si="17"/>
        <v>3.4010839158939525</v>
      </c>
      <c r="R29" s="12">
        <f t="shared" si="16"/>
        <v>3.2695917091305048E-3</v>
      </c>
    </row>
    <row r="30" spans="1:20" x14ac:dyDescent="0.25">
      <c r="A30">
        <v>7</v>
      </c>
      <c r="B30">
        <v>35</v>
      </c>
      <c r="C30">
        <v>50</v>
      </c>
      <c r="E30">
        <v>3.52</v>
      </c>
      <c r="F30" s="2"/>
      <c r="G30">
        <f t="shared" si="9"/>
        <v>7</v>
      </c>
      <c r="H30" s="10">
        <f t="shared" si="9"/>
        <v>35</v>
      </c>
      <c r="I30">
        <f t="shared" si="9"/>
        <v>50</v>
      </c>
      <c r="J30">
        <f t="shared" si="10"/>
        <v>49</v>
      </c>
      <c r="K30">
        <f t="shared" si="11"/>
        <v>245</v>
      </c>
      <c r="L30">
        <f t="shared" si="12"/>
        <v>350</v>
      </c>
      <c r="M30">
        <f t="shared" si="13"/>
        <v>1225</v>
      </c>
      <c r="N30">
        <f t="shared" si="14"/>
        <v>1750</v>
      </c>
      <c r="O30">
        <f t="shared" si="15"/>
        <v>2500</v>
      </c>
      <c r="Q30" s="11">
        <f t="shared" si="17"/>
        <v>3.4840626061910536</v>
      </c>
      <c r="R30" s="12">
        <f t="shared" si="16"/>
        <v>-1.0209486877541606E-2</v>
      </c>
    </row>
    <row r="31" spans="1:20" x14ac:dyDescent="0.25">
      <c r="A31">
        <v>12</v>
      </c>
      <c r="B31">
        <v>35</v>
      </c>
      <c r="C31">
        <v>50</v>
      </c>
      <c r="E31">
        <v>3.55</v>
      </c>
      <c r="F31" s="2"/>
      <c r="G31">
        <f t="shared" si="9"/>
        <v>12</v>
      </c>
      <c r="H31" s="10">
        <f t="shared" si="9"/>
        <v>35</v>
      </c>
      <c r="I31">
        <f t="shared" si="9"/>
        <v>50</v>
      </c>
      <c r="J31">
        <f t="shared" si="10"/>
        <v>144</v>
      </c>
      <c r="K31">
        <f t="shared" si="11"/>
        <v>420</v>
      </c>
      <c r="L31">
        <f t="shared" si="12"/>
        <v>600</v>
      </c>
      <c r="M31">
        <f t="shared" si="13"/>
        <v>1225</v>
      </c>
      <c r="N31">
        <f t="shared" si="14"/>
        <v>1750</v>
      </c>
      <c r="O31">
        <f t="shared" si="15"/>
        <v>2500</v>
      </c>
      <c r="Q31" s="11">
        <f t="shared" si="17"/>
        <v>3.5720085897286484</v>
      </c>
      <c r="R31" s="12">
        <f t="shared" si="16"/>
        <v>6.1996027404643975E-3</v>
      </c>
    </row>
    <row r="32" spans="1:20" x14ac:dyDescent="0.25">
      <c r="A32">
        <v>-15</v>
      </c>
      <c r="B32">
        <v>45</v>
      </c>
      <c r="C32">
        <v>50</v>
      </c>
      <c r="E32">
        <v>3.56</v>
      </c>
      <c r="F32" s="2"/>
      <c r="G32">
        <f t="shared" si="9"/>
        <v>-15</v>
      </c>
      <c r="H32" s="10">
        <f t="shared" si="9"/>
        <v>45</v>
      </c>
      <c r="I32">
        <f t="shared" si="9"/>
        <v>50</v>
      </c>
      <c r="J32">
        <f t="shared" si="10"/>
        <v>225</v>
      </c>
      <c r="K32">
        <f t="shared" si="11"/>
        <v>-675</v>
      </c>
      <c r="L32">
        <f t="shared" si="12"/>
        <v>-750</v>
      </c>
      <c r="M32">
        <f t="shared" si="13"/>
        <v>2025</v>
      </c>
      <c r="N32">
        <f t="shared" si="14"/>
        <v>2250</v>
      </c>
      <c r="O32">
        <f t="shared" si="15"/>
        <v>2500</v>
      </c>
      <c r="Q32" s="11">
        <f t="shared" si="17"/>
        <v>3.5542431536857002</v>
      </c>
      <c r="R32" s="12">
        <f t="shared" si="16"/>
        <v>-1.6170916613201815E-3</v>
      </c>
    </row>
    <row r="33" spans="1:18" x14ac:dyDescent="0.25">
      <c r="A33">
        <v>-7</v>
      </c>
      <c r="B33">
        <v>45</v>
      </c>
      <c r="C33">
        <v>50</v>
      </c>
      <c r="E33">
        <v>3.75</v>
      </c>
      <c r="F33" s="2"/>
      <c r="G33">
        <f t="shared" si="9"/>
        <v>-7</v>
      </c>
      <c r="H33" s="10">
        <f t="shared" si="9"/>
        <v>45</v>
      </c>
      <c r="I33">
        <f t="shared" si="9"/>
        <v>50</v>
      </c>
      <c r="J33">
        <f t="shared" si="10"/>
        <v>49</v>
      </c>
      <c r="K33">
        <f t="shared" si="11"/>
        <v>-315</v>
      </c>
      <c r="L33">
        <f t="shared" si="12"/>
        <v>-350</v>
      </c>
      <c r="M33">
        <f t="shared" si="13"/>
        <v>2025</v>
      </c>
      <c r="N33">
        <f t="shared" si="14"/>
        <v>2250</v>
      </c>
      <c r="O33">
        <f t="shared" si="15"/>
        <v>2500</v>
      </c>
      <c r="Q33" s="11">
        <f t="shared" si="17"/>
        <v>3.7206757266437531</v>
      </c>
      <c r="R33" s="12">
        <f t="shared" si="16"/>
        <v>-7.8198062283325008E-3</v>
      </c>
    </row>
    <row r="34" spans="1:18" x14ac:dyDescent="0.25">
      <c r="A34">
        <v>2</v>
      </c>
      <c r="B34">
        <v>45</v>
      </c>
      <c r="C34">
        <v>50</v>
      </c>
      <c r="E34">
        <v>3.92</v>
      </c>
      <c r="F34" s="2"/>
      <c r="G34">
        <f t="shared" si="9"/>
        <v>2</v>
      </c>
      <c r="H34" s="10">
        <f t="shared" si="9"/>
        <v>45</v>
      </c>
      <c r="I34">
        <f t="shared" si="9"/>
        <v>50</v>
      </c>
      <c r="J34">
        <f t="shared" si="10"/>
        <v>4</v>
      </c>
      <c r="K34">
        <f t="shared" si="11"/>
        <v>90</v>
      </c>
      <c r="L34">
        <f t="shared" si="12"/>
        <v>100</v>
      </c>
      <c r="M34">
        <f t="shared" si="13"/>
        <v>2025</v>
      </c>
      <c r="N34">
        <f t="shared" si="14"/>
        <v>2250</v>
      </c>
      <c r="O34">
        <f t="shared" si="15"/>
        <v>2500</v>
      </c>
      <c r="Q34" s="11">
        <f t="shared" si="17"/>
        <v>3.9231122885374718</v>
      </c>
      <c r="R34" s="12">
        <f t="shared" si="16"/>
        <v>7.9395115751834666E-4</v>
      </c>
    </row>
    <row r="35" spans="1:18" x14ac:dyDescent="0.25">
      <c r="A35">
        <v>7</v>
      </c>
      <c r="B35">
        <v>45</v>
      </c>
      <c r="C35">
        <v>50</v>
      </c>
      <c r="E35">
        <v>4.09</v>
      </c>
      <c r="F35" s="2"/>
      <c r="G35">
        <f t="shared" si="9"/>
        <v>7</v>
      </c>
      <c r="H35" s="10">
        <f t="shared" si="9"/>
        <v>45</v>
      </c>
      <c r="I35">
        <f t="shared" si="9"/>
        <v>50</v>
      </c>
      <c r="J35">
        <f t="shared" si="10"/>
        <v>49</v>
      </c>
      <c r="K35">
        <f t="shared" si="11"/>
        <v>315</v>
      </c>
      <c r="L35">
        <f t="shared" si="12"/>
        <v>350</v>
      </c>
      <c r="M35">
        <f t="shared" si="13"/>
        <v>2025</v>
      </c>
      <c r="N35">
        <f t="shared" si="14"/>
        <v>2250</v>
      </c>
      <c r="O35">
        <f t="shared" si="15"/>
        <v>2500</v>
      </c>
      <c r="Q35" s="11">
        <f t="shared" si="17"/>
        <v>4.0425312556817845</v>
      </c>
      <c r="R35" s="12">
        <f t="shared" si="16"/>
        <v>-1.1606049955553876E-2</v>
      </c>
    </row>
    <row r="36" spans="1:18" x14ac:dyDescent="0.25">
      <c r="A36">
        <v>12</v>
      </c>
      <c r="B36">
        <v>45</v>
      </c>
      <c r="C36">
        <v>50</v>
      </c>
      <c r="E36">
        <v>4.1399999999999997</v>
      </c>
      <c r="F36" s="2"/>
      <c r="G36">
        <f t="shared" si="9"/>
        <v>12</v>
      </c>
      <c r="H36" s="10">
        <f t="shared" si="9"/>
        <v>45</v>
      </c>
      <c r="I36">
        <f t="shared" si="9"/>
        <v>50</v>
      </c>
      <c r="J36">
        <f t="shared" si="10"/>
        <v>144</v>
      </c>
      <c r="K36">
        <f t="shared" si="11"/>
        <v>540</v>
      </c>
      <c r="L36">
        <f t="shared" si="12"/>
        <v>600</v>
      </c>
      <c r="M36">
        <f t="shared" si="13"/>
        <v>2025</v>
      </c>
      <c r="N36">
        <f t="shared" si="14"/>
        <v>2250</v>
      </c>
      <c r="O36">
        <f t="shared" si="15"/>
        <v>2500</v>
      </c>
      <c r="Q36" s="11">
        <f t="shared" si="17"/>
        <v>4.166917516066591</v>
      </c>
      <c r="R36" s="12">
        <f t="shared" si="16"/>
        <v>6.5018154750220583E-3</v>
      </c>
    </row>
    <row r="37" spans="1:18" x14ac:dyDescent="0.25">
      <c r="A37">
        <v>-7</v>
      </c>
      <c r="B37">
        <v>55</v>
      </c>
      <c r="C37">
        <v>50</v>
      </c>
      <c r="E37">
        <v>4.24</v>
      </c>
      <c r="F37" s="2"/>
      <c r="G37">
        <f t="shared" si="9"/>
        <v>-7</v>
      </c>
      <c r="H37" s="10">
        <f t="shared" si="9"/>
        <v>55</v>
      </c>
      <c r="I37">
        <f t="shared" si="9"/>
        <v>50</v>
      </c>
      <c r="J37">
        <f t="shared" si="10"/>
        <v>49</v>
      </c>
      <c r="K37">
        <f t="shared" si="11"/>
        <v>-385</v>
      </c>
      <c r="L37">
        <f t="shared" si="12"/>
        <v>-350</v>
      </c>
      <c r="M37">
        <f t="shared" si="13"/>
        <v>3025</v>
      </c>
      <c r="N37">
        <f t="shared" si="14"/>
        <v>2750</v>
      </c>
      <c r="O37">
        <f t="shared" si="15"/>
        <v>2500</v>
      </c>
      <c r="Q37" s="11">
        <f t="shared" si="17"/>
        <v>4.2181249738854243</v>
      </c>
      <c r="R37" s="12">
        <f t="shared" si="16"/>
        <v>-5.1592042723056421E-3</v>
      </c>
    </row>
    <row r="38" spans="1:18" x14ac:dyDescent="0.25">
      <c r="A38">
        <v>2</v>
      </c>
      <c r="B38">
        <v>55</v>
      </c>
      <c r="C38">
        <v>50</v>
      </c>
      <c r="E38">
        <v>4.41</v>
      </c>
      <c r="F38" s="2"/>
      <c r="G38">
        <f t="shared" si="9"/>
        <v>2</v>
      </c>
      <c r="H38" s="10">
        <f t="shared" si="9"/>
        <v>55</v>
      </c>
      <c r="I38">
        <f t="shared" si="9"/>
        <v>50</v>
      </c>
      <c r="J38">
        <f t="shared" si="10"/>
        <v>4</v>
      </c>
      <c r="K38">
        <f t="shared" si="11"/>
        <v>110</v>
      </c>
      <c r="L38">
        <f t="shared" si="12"/>
        <v>100</v>
      </c>
      <c r="M38">
        <f t="shared" si="13"/>
        <v>3025</v>
      </c>
      <c r="N38">
        <f t="shared" si="14"/>
        <v>2750</v>
      </c>
      <c r="O38">
        <f t="shared" si="15"/>
        <v>2500</v>
      </c>
      <c r="Q38" s="11">
        <f t="shared" si="17"/>
        <v>4.4861540341041248</v>
      </c>
      <c r="R38" s="12">
        <f t="shared" si="16"/>
        <v>1.7268488458985189E-2</v>
      </c>
    </row>
    <row r="39" spans="1:18" x14ac:dyDescent="0.25">
      <c r="A39">
        <v>7</v>
      </c>
      <c r="B39">
        <v>55</v>
      </c>
      <c r="C39">
        <v>50</v>
      </c>
      <c r="E39">
        <v>4.66</v>
      </c>
      <c r="F39" s="2"/>
      <c r="G39">
        <f t="shared" si="9"/>
        <v>7</v>
      </c>
      <c r="H39" s="10">
        <f t="shared" si="9"/>
        <v>55</v>
      </c>
      <c r="I39">
        <f t="shared" si="9"/>
        <v>50</v>
      </c>
      <c r="J39">
        <f t="shared" si="10"/>
        <v>49</v>
      </c>
      <c r="K39">
        <f t="shared" si="11"/>
        <v>385</v>
      </c>
      <c r="L39">
        <f t="shared" si="12"/>
        <v>350</v>
      </c>
      <c r="M39">
        <f t="shared" si="13"/>
        <v>3025</v>
      </c>
      <c r="N39">
        <f t="shared" si="14"/>
        <v>2750</v>
      </c>
      <c r="O39">
        <f t="shared" si="15"/>
        <v>2500</v>
      </c>
      <c r="Q39" s="11">
        <f t="shared" si="17"/>
        <v>4.6420132780956491</v>
      </c>
      <c r="R39" s="12">
        <f t="shared" si="16"/>
        <v>-3.8598115674573007E-3</v>
      </c>
    </row>
    <row r="40" spans="1:18" x14ac:dyDescent="0.25">
      <c r="A40">
        <v>12</v>
      </c>
      <c r="B40">
        <v>55</v>
      </c>
      <c r="C40">
        <v>50</v>
      </c>
      <c r="E40">
        <v>4.76</v>
      </c>
      <c r="F40" s="2"/>
      <c r="G40">
        <f t="shared" si="9"/>
        <v>12</v>
      </c>
      <c r="H40" s="10">
        <f t="shared" si="9"/>
        <v>55</v>
      </c>
      <c r="I40">
        <f t="shared" si="9"/>
        <v>50</v>
      </c>
      <c r="J40">
        <f t="shared" si="10"/>
        <v>144</v>
      </c>
      <c r="K40">
        <f t="shared" si="11"/>
        <v>660</v>
      </c>
      <c r="L40">
        <f t="shared" si="12"/>
        <v>600</v>
      </c>
      <c r="M40">
        <f t="shared" si="13"/>
        <v>3025</v>
      </c>
      <c r="N40">
        <f t="shared" si="14"/>
        <v>2750</v>
      </c>
      <c r="O40">
        <f t="shared" si="15"/>
        <v>2500</v>
      </c>
      <c r="Q40" s="11">
        <f t="shared" si="17"/>
        <v>4.8028398153276672</v>
      </c>
      <c r="R40" s="12">
        <f t="shared" si="16"/>
        <v>8.9999612032914816E-3</v>
      </c>
    </row>
    <row r="41" spans="1:18" x14ac:dyDescent="0.25">
      <c r="A41">
        <v>-15</v>
      </c>
      <c r="B41">
        <v>55</v>
      </c>
      <c r="C41">
        <v>50</v>
      </c>
      <c r="E41">
        <v>4.0199999999999996</v>
      </c>
      <c r="F41" s="2"/>
      <c r="G41">
        <f t="shared" si="9"/>
        <v>-15</v>
      </c>
      <c r="H41" s="10">
        <f t="shared" si="9"/>
        <v>55</v>
      </c>
      <c r="I41">
        <f t="shared" si="9"/>
        <v>50</v>
      </c>
      <c r="J41">
        <f t="shared" si="10"/>
        <v>225</v>
      </c>
      <c r="K41">
        <f t="shared" si="11"/>
        <v>-825</v>
      </c>
      <c r="L41">
        <f t="shared" si="12"/>
        <v>-750</v>
      </c>
      <c r="M41">
        <f t="shared" si="13"/>
        <v>3025</v>
      </c>
      <c r="N41">
        <f t="shared" si="14"/>
        <v>2750</v>
      </c>
      <c r="O41">
        <f t="shared" si="15"/>
        <v>2500</v>
      </c>
      <c r="Q41" s="11">
        <f t="shared" si="17"/>
        <v>3.9933879579718337</v>
      </c>
      <c r="R41" s="12">
        <f t="shared" si="16"/>
        <v>-6.6199109522800791E-3</v>
      </c>
    </row>
    <row r="42" spans="1:18" x14ac:dyDescent="0.25">
      <c r="A42">
        <v>2</v>
      </c>
      <c r="B42">
        <v>65</v>
      </c>
      <c r="C42">
        <v>50</v>
      </c>
      <c r="E42">
        <v>5</v>
      </c>
      <c r="F42" s="2"/>
      <c r="G42">
        <f t="shared" si="9"/>
        <v>2</v>
      </c>
      <c r="H42" s="10">
        <f t="shared" si="9"/>
        <v>65</v>
      </c>
      <c r="I42">
        <f t="shared" si="9"/>
        <v>50</v>
      </c>
      <c r="J42">
        <f t="shared" si="10"/>
        <v>4</v>
      </c>
      <c r="K42">
        <f t="shared" si="11"/>
        <v>130</v>
      </c>
      <c r="L42">
        <f t="shared" si="12"/>
        <v>100</v>
      </c>
      <c r="M42">
        <f t="shared" si="13"/>
        <v>4225</v>
      </c>
      <c r="N42">
        <f t="shared" si="14"/>
        <v>3250</v>
      </c>
      <c r="O42">
        <f t="shared" si="15"/>
        <v>2500</v>
      </c>
      <c r="Q42" s="11">
        <f t="shared" si="17"/>
        <v>5.0902091525939115</v>
      </c>
      <c r="R42" s="12">
        <f t="shared" si="16"/>
        <v>1.8041830518782297E-2</v>
      </c>
    </row>
    <row r="43" spans="1:18" x14ac:dyDescent="0.25">
      <c r="A43">
        <v>7</v>
      </c>
      <c r="B43">
        <v>65</v>
      </c>
      <c r="C43">
        <v>50</v>
      </c>
      <c r="E43">
        <v>5.34</v>
      </c>
      <c r="F43" s="2"/>
      <c r="G43">
        <f t="shared" si="9"/>
        <v>7</v>
      </c>
      <c r="H43" s="10">
        <f t="shared" si="9"/>
        <v>65</v>
      </c>
      <c r="I43">
        <f t="shared" si="9"/>
        <v>50</v>
      </c>
      <c r="J43">
        <f t="shared" si="10"/>
        <v>49</v>
      </c>
      <c r="K43">
        <f t="shared" si="11"/>
        <v>455</v>
      </c>
      <c r="L43">
        <f t="shared" si="12"/>
        <v>350</v>
      </c>
      <c r="M43">
        <f t="shared" si="13"/>
        <v>4225</v>
      </c>
      <c r="N43">
        <f t="shared" si="14"/>
        <v>3250</v>
      </c>
      <c r="O43">
        <f t="shared" si="15"/>
        <v>2500</v>
      </c>
      <c r="Q43" s="11">
        <f t="shared" si="17"/>
        <v>5.2825086734326465</v>
      </c>
      <c r="R43" s="12">
        <f t="shared" si="16"/>
        <v>-1.0766166023848941E-2</v>
      </c>
    </row>
    <row r="44" spans="1:18" x14ac:dyDescent="0.25">
      <c r="A44">
        <v>12</v>
      </c>
      <c r="B44">
        <v>65</v>
      </c>
      <c r="C44">
        <v>50</v>
      </c>
      <c r="E44">
        <v>5.53</v>
      </c>
      <c r="G44">
        <f t="shared" si="9"/>
        <v>12</v>
      </c>
      <c r="H44" s="10">
        <f t="shared" si="9"/>
        <v>65</v>
      </c>
      <c r="I44">
        <f t="shared" si="9"/>
        <v>50</v>
      </c>
      <c r="J44">
        <f t="shared" si="10"/>
        <v>144</v>
      </c>
      <c r="K44">
        <f t="shared" si="11"/>
        <v>780</v>
      </c>
      <c r="L44">
        <f t="shared" si="12"/>
        <v>600</v>
      </c>
      <c r="M44">
        <f t="shared" si="13"/>
        <v>4225</v>
      </c>
      <c r="N44">
        <f t="shared" si="14"/>
        <v>3250</v>
      </c>
      <c r="O44">
        <f t="shared" si="15"/>
        <v>2500</v>
      </c>
      <c r="Q44" s="11">
        <f t="shared" si="17"/>
        <v>5.4797754875118763</v>
      </c>
      <c r="R44" s="12">
        <f t="shared" si="16"/>
        <v>-9.0821903233497259E-3</v>
      </c>
    </row>
    <row r="47" spans="1:18" x14ac:dyDescent="0.25">
      <c r="A47" t="s">
        <v>28</v>
      </c>
      <c r="G47" s="4" t="s">
        <v>1</v>
      </c>
      <c r="H47" s="4" t="s">
        <v>2</v>
      </c>
      <c r="I47" s="4" t="s">
        <v>3</v>
      </c>
      <c r="J47" s="4" t="s">
        <v>4</v>
      </c>
      <c r="K47" s="4" t="s">
        <v>5</v>
      </c>
      <c r="L47" s="4" t="s">
        <v>6</v>
      </c>
      <c r="M47" s="4" t="s">
        <v>7</v>
      </c>
      <c r="N47" s="4" t="s">
        <v>8</v>
      </c>
      <c r="O47" s="4" t="s">
        <v>9</v>
      </c>
      <c r="P47" s="4" t="s">
        <v>10</v>
      </c>
    </row>
    <row r="48" spans="1:18" x14ac:dyDescent="0.25">
      <c r="A48" s="1"/>
      <c r="C48" s="1"/>
      <c r="D48" s="1"/>
      <c r="E48" s="1"/>
      <c r="F48" s="1"/>
      <c r="G48" s="4">
        <f t="array" ref="G48:P48">LINEST(E50:E67,G50:O67)</f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50</v>
      </c>
    </row>
    <row r="49" spans="1:18" ht="45" x14ac:dyDescent="0.25">
      <c r="A49" s="5" t="s">
        <v>11</v>
      </c>
      <c r="B49" s="5" t="s">
        <v>12</v>
      </c>
      <c r="C49" s="5" t="s">
        <v>14</v>
      </c>
      <c r="E49" s="7" t="s">
        <v>13</v>
      </c>
      <c r="F49" s="3"/>
      <c r="G49" s="8" t="s">
        <v>17</v>
      </c>
      <c r="H49" s="8" t="s">
        <v>18</v>
      </c>
      <c r="I49" s="8" t="s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3"/>
      <c r="Q49" s="9" t="s">
        <v>16</v>
      </c>
      <c r="R49" s="9" t="s">
        <v>15</v>
      </c>
    </row>
    <row r="50" spans="1:18" x14ac:dyDescent="0.25">
      <c r="A50">
        <v>-15</v>
      </c>
      <c r="B50">
        <v>35</v>
      </c>
      <c r="C50" s="2">
        <f>E4</f>
        <v>7.77</v>
      </c>
      <c r="E50">
        <v>50</v>
      </c>
      <c r="F50" s="2"/>
      <c r="G50">
        <f t="shared" ref="G50:I67" si="18">A50</f>
        <v>-15</v>
      </c>
      <c r="H50" s="10">
        <f t="shared" si="18"/>
        <v>35</v>
      </c>
      <c r="I50">
        <f t="shared" si="18"/>
        <v>7.77</v>
      </c>
      <c r="J50">
        <f t="shared" ref="J50:J67" si="19">G50^2</f>
        <v>225</v>
      </c>
      <c r="K50">
        <f t="shared" ref="K50:K67" si="20">G50*H50</f>
        <v>-525</v>
      </c>
      <c r="L50">
        <f t="shared" ref="L50:L67" si="21">G50*I50</f>
        <v>-116.55</v>
      </c>
      <c r="M50">
        <f t="shared" ref="M50:M67" si="22">H50^2</f>
        <v>1225</v>
      </c>
      <c r="N50">
        <f t="shared" ref="N50:N67" si="23">H50*I50</f>
        <v>271.95</v>
      </c>
      <c r="O50">
        <f t="shared" ref="O50:O67" si="24">I50^2</f>
        <v>60.372899999999994</v>
      </c>
      <c r="Q50" s="11">
        <f t="shared" ref="Q50:Q67" si="25">$P$48+$O$2*G50+$N$48*H50+$M$48*I50+$L$48*J50+$K$48*K50+$J$48*L50+$I$48*M50+$H$48*N50+$G$48*O50</f>
        <v>50</v>
      </c>
      <c r="R50" s="12">
        <f t="shared" ref="R50:R67" si="26">(Q50-E50)/E50</f>
        <v>0</v>
      </c>
    </row>
    <row r="51" spans="1:18" x14ac:dyDescent="0.25">
      <c r="A51">
        <v>-7</v>
      </c>
      <c r="B51">
        <v>35</v>
      </c>
      <c r="C51" s="2">
        <f t="shared" ref="C51:C67" si="27">E5</f>
        <v>10.029999999999999</v>
      </c>
      <c r="E51">
        <v>50</v>
      </c>
      <c r="F51" s="2"/>
      <c r="G51">
        <f t="shared" si="18"/>
        <v>-7</v>
      </c>
      <c r="H51" s="10">
        <f t="shared" si="18"/>
        <v>35</v>
      </c>
      <c r="I51">
        <f t="shared" si="18"/>
        <v>10.029999999999999</v>
      </c>
      <c r="J51">
        <f t="shared" si="19"/>
        <v>49</v>
      </c>
      <c r="K51">
        <f t="shared" si="20"/>
        <v>-245</v>
      </c>
      <c r="L51">
        <f t="shared" si="21"/>
        <v>-70.209999999999994</v>
      </c>
      <c r="M51">
        <f t="shared" si="22"/>
        <v>1225</v>
      </c>
      <c r="N51">
        <f t="shared" si="23"/>
        <v>351.04999999999995</v>
      </c>
      <c r="O51">
        <f t="shared" si="24"/>
        <v>100.60089999999998</v>
      </c>
      <c r="Q51" s="11">
        <f t="shared" si="25"/>
        <v>50</v>
      </c>
      <c r="R51" s="12">
        <f t="shared" si="26"/>
        <v>0</v>
      </c>
    </row>
    <row r="52" spans="1:18" x14ac:dyDescent="0.25">
      <c r="A52">
        <v>2</v>
      </c>
      <c r="B52">
        <v>35</v>
      </c>
      <c r="C52" s="2">
        <f t="shared" si="27"/>
        <v>12.08</v>
      </c>
      <c r="E52">
        <v>50</v>
      </c>
      <c r="F52" s="2"/>
      <c r="G52">
        <f t="shared" si="18"/>
        <v>2</v>
      </c>
      <c r="H52" s="10">
        <f t="shared" si="18"/>
        <v>35</v>
      </c>
      <c r="I52">
        <f t="shared" si="18"/>
        <v>12.08</v>
      </c>
      <c r="J52">
        <f t="shared" si="19"/>
        <v>4</v>
      </c>
      <c r="K52">
        <f t="shared" si="20"/>
        <v>70</v>
      </c>
      <c r="L52">
        <f t="shared" si="21"/>
        <v>24.16</v>
      </c>
      <c r="M52">
        <f t="shared" si="22"/>
        <v>1225</v>
      </c>
      <c r="N52">
        <f t="shared" si="23"/>
        <v>422.8</v>
      </c>
      <c r="O52">
        <f t="shared" si="24"/>
        <v>145.9264</v>
      </c>
      <c r="Q52" s="11">
        <f t="shared" si="25"/>
        <v>50</v>
      </c>
      <c r="R52" s="12">
        <f t="shared" si="26"/>
        <v>0</v>
      </c>
    </row>
    <row r="53" spans="1:18" x14ac:dyDescent="0.25">
      <c r="A53">
        <v>7</v>
      </c>
      <c r="B53">
        <v>35</v>
      </c>
      <c r="C53" s="2">
        <f t="shared" si="27"/>
        <v>15.92</v>
      </c>
      <c r="E53">
        <v>50</v>
      </c>
      <c r="F53" s="2"/>
      <c r="G53">
        <f t="shared" si="18"/>
        <v>7</v>
      </c>
      <c r="H53" s="10">
        <f t="shared" si="18"/>
        <v>35</v>
      </c>
      <c r="I53">
        <f t="shared" si="18"/>
        <v>15.92</v>
      </c>
      <c r="J53">
        <f t="shared" si="19"/>
        <v>49</v>
      </c>
      <c r="K53">
        <f t="shared" si="20"/>
        <v>245</v>
      </c>
      <c r="L53">
        <f t="shared" si="21"/>
        <v>111.44</v>
      </c>
      <c r="M53">
        <f t="shared" si="22"/>
        <v>1225</v>
      </c>
      <c r="N53">
        <f t="shared" si="23"/>
        <v>557.20000000000005</v>
      </c>
      <c r="O53">
        <f t="shared" si="24"/>
        <v>253.44640000000001</v>
      </c>
      <c r="Q53" s="11">
        <f t="shared" si="25"/>
        <v>50</v>
      </c>
      <c r="R53" s="12">
        <f t="shared" si="26"/>
        <v>0</v>
      </c>
    </row>
    <row r="54" spans="1:18" x14ac:dyDescent="0.25">
      <c r="A54">
        <v>12</v>
      </c>
      <c r="B54">
        <v>35</v>
      </c>
      <c r="C54" s="2">
        <f t="shared" si="27"/>
        <v>18.260000000000002</v>
      </c>
      <c r="E54">
        <v>50</v>
      </c>
      <c r="F54" s="2"/>
      <c r="G54">
        <f t="shared" si="18"/>
        <v>12</v>
      </c>
      <c r="H54" s="10">
        <f t="shared" si="18"/>
        <v>35</v>
      </c>
      <c r="I54">
        <f t="shared" si="18"/>
        <v>18.260000000000002</v>
      </c>
      <c r="J54">
        <f t="shared" si="19"/>
        <v>144</v>
      </c>
      <c r="K54">
        <f t="shared" si="20"/>
        <v>420</v>
      </c>
      <c r="L54">
        <f t="shared" si="21"/>
        <v>219.12</v>
      </c>
      <c r="M54">
        <f t="shared" si="22"/>
        <v>1225</v>
      </c>
      <c r="N54">
        <f t="shared" si="23"/>
        <v>639.1</v>
      </c>
      <c r="O54">
        <f t="shared" si="24"/>
        <v>333.42760000000004</v>
      </c>
      <c r="Q54" s="11">
        <f t="shared" si="25"/>
        <v>50</v>
      </c>
      <c r="R54" s="12">
        <f t="shared" si="26"/>
        <v>0</v>
      </c>
    </row>
    <row r="55" spans="1:18" x14ac:dyDescent="0.25">
      <c r="A55">
        <v>-15</v>
      </c>
      <c r="B55">
        <v>45</v>
      </c>
      <c r="C55" s="2">
        <f t="shared" si="27"/>
        <v>7.36</v>
      </c>
      <c r="E55">
        <v>50</v>
      </c>
      <c r="F55" s="2"/>
      <c r="G55">
        <f t="shared" si="18"/>
        <v>-15</v>
      </c>
      <c r="H55" s="10">
        <f t="shared" si="18"/>
        <v>45</v>
      </c>
      <c r="I55">
        <f t="shared" si="18"/>
        <v>7.36</v>
      </c>
      <c r="J55">
        <f t="shared" si="19"/>
        <v>225</v>
      </c>
      <c r="K55">
        <f t="shared" si="20"/>
        <v>-675</v>
      </c>
      <c r="L55">
        <f t="shared" si="21"/>
        <v>-110.4</v>
      </c>
      <c r="M55">
        <f t="shared" si="22"/>
        <v>2025</v>
      </c>
      <c r="N55">
        <f t="shared" si="23"/>
        <v>331.2</v>
      </c>
      <c r="O55">
        <f t="shared" si="24"/>
        <v>54.169600000000003</v>
      </c>
      <c r="Q55" s="11">
        <f t="shared" si="25"/>
        <v>50</v>
      </c>
      <c r="R55" s="12">
        <f t="shared" si="26"/>
        <v>0</v>
      </c>
    </row>
    <row r="56" spans="1:18" x14ac:dyDescent="0.25">
      <c r="A56">
        <v>-7</v>
      </c>
      <c r="B56">
        <v>45</v>
      </c>
      <c r="C56" s="2">
        <f t="shared" si="27"/>
        <v>9.58</v>
      </c>
      <c r="E56">
        <v>50</v>
      </c>
      <c r="F56" s="2"/>
      <c r="G56">
        <f t="shared" si="18"/>
        <v>-7</v>
      </c>
      <c r="H56" s="10">
        <f t="shared" si="18"/>
        <v>45</v>
      </c>
      <c r="I56">
        <f t="shared" si="18"/>
        <v>9.58</v>
      </c>
      <c r="J56">
        <f t="shared" si="19"/>
        <v>49</v>
      </c>
      <c r="K56">
        <f t="shared" si="20"/>
        <v>-315</v>
      </c>
      <c r="L56">
        <f t="shared" si="21"/>
        <v>-67.06</v>
      </c>
      <c r="M56">
        <f t="shared" si="22"/>
        <v>2025</v>
      </c>
      <c r="N56">
        <f t="shared" si="23"/>
        <v>431.1</v>
      </c>
      <c r="O56">
        <f t="shared" si="24"/>
        <v>91.776399999999995</v>
      </c>
      <c r="Q56" s="11">
        <f t="shared" si="25"/>
        <v>50</v>
      </c>
      <c r="R56" s="12">
        <f t="shared" si="26"/>
        <v>0</v>
      </c>
    </row>
    <row r="57" spans="1:18" x14ac:dyDescent="0.25">
      <c r="A57">
        <v>2</v>
      </c>
      <c r="B57">
        <v>45</v>
      </c>
      <c r="C57" s="2">
        <f t="shared" si="27"/>
        <v>11.53</v>
      </c>
      <c r="E57">
        <v>50</v>
      </c>
      <c r="F57" s="2"/>
      <c r="G57">
        <f t="shared" si="18"/>
        <v>2</v>
      </c>
      <c r="H57" s="10">
        <f t="shared" si="18"/>
        <v>45</v>
      </c>
      <c r="I57">
        <f t="shared" si="18"/>
        <v>11.53</v>
      </c>
      <c r="J57">
        <f t="shared" si="19"/>
        <v>4</v>
      </c>
      <c r="K57">
        <f t="shared" si="20"/>
        <v>90</v>
      </c>
      <c r="L57">
        <f t="shared" si="21"/>
        <v>23.06</v>
      </c>
      <c r="M57">
        <f t="shared" si="22"/>
        <v>2025</v>
      </c>
      <c r="N57">
        <f t="shared" si="23"/>
        <v>518.85</v>
      </c>
      <c r="O57">
        <f t="shared" si="24"/>
        <v>132.9409</v>
      </c>
      <c r="Q57" s="11">
        <f t="shared" si="25"/>
        <v>50</v>
      </c>
      <c r="R57" s="12">
        <f t="shared" si="26"/>
        <v>0</v>
      </c>
    </row>
    <row r="58" spans="1:18" x14ac:dyDescent="0.25">
      <c r="A58">
        <v>7</v>
      </c>
      <c r="B58">
        <v>45</v>
      </c>
      <c r="C58" s="2">
        <f t="shared" si="27"/>
        <v>14.92</v>
      </c>
      <c r="E58">
        <v>50</v>
      </c>
      <c r="F58" s="2"/>
      <c r="G58">
        <f t="shared" si="18"/>
        <v>7</v>
      </c>
      <c r="H58" s="10">
        <f t="shared" si="18"/>
        <v>45</v>
      </c>
      <c r="I58">
        <f t="shared" si="18"/>
        <v>14.92</v>
      </c>
      <c r="J58">
        <f t="shared" si="19"/>
        <v>49</v>
      </c>
      <c r="K58">
        <f t="shared" si="20"/>
        <v>315</v>
      </c>
      <c r="L58">
        <f t="shared" si="21"/>
        <v>104.44</v>
      </c>
      <c r="M58">
        <f t="shared" si="22"/>
        <v>2025</v>
      </c>
      <c r="N58">
        <f t="shared" si="23"/>
        <v>671.4</v>
      </c>
      <c r="O58">
        <f t="shared" si="24"/>
        <v>222.60640000000001</v>
      </c>
      <c r="Q58" s="11">
        <f t="shared" si="25"/>
        <v>50</v>
      </c>
      <c r="R58" s="12">
        <f t="shared" si="26"/>
        <v>0</v>
      </c>
    </row>
    <row r="59" spans="1:18" x14ac:dyDescent="0.25">
      <c r="A59">
        <v>12</v>
      </c>
      <c r="B59">
        <v>45</v>
      </c>
      <c r="C59" s="2">
        <f t="shared" si="27"/>
        <v>17.34</v>
      </c>
      <c r="E59">
        <v>50</v>
      </c>
      <c r="F59" s="2"/>
      <c r="G59">
        <f t="shared" si="18"/>
        <v>12</v>
      </c>
      <c r="H59" s="10">
        <f t="shared" si="18"/>
        <v>45</v>
      </c>
      <c r="I59">
        <f t="shared" si="18"/>
        <v>17.34</v>
      </c>
      <c r="J59">
        <f t="shared" si="19"/>
        <v>144</v>
      </c>
      <c r="K59">
        <f t="shared" si="20"/>
        <v>540</v>
      </c>
      <c r="L59">
        <f t="shared" si="21"/>
        <v>208.07999999999998</v>
      </c>
      <c r="M59">
        <f t="shared" si="22"/>
        <v>2025</v>
      </c>
      <c r="N59">
        <f t="shared" si="23"/>
        <v>780.3</v>
      </c>
      <c r="O59">
        <f t="shared" si="24"/>
        <v>300.67559999999997</v>
      </c>
      <c r="Q59" s="11">
        <f t="shared" si="25"/>
        <v>50</v>
      </c>
      <c r="R59" s="12">
        <f t="shared" si="26"/>
        <v>0</v>
      </c>
    </row>
    <row r="60" spans="1:18" x14ac:dyDescent="0.25">
      <c r="A60">
        <v>-7</v>
      </c>
      <c r="B60">
        <v>55</v>
      </c>
      <c r="C60" s="2">
        <f t="shared" si="27"/>
        <v>9.4</v>
      </c>
      <c r="E60">
        <v>50</v>
      </c>
      <c r="F60" s="2"/>
      <c r="G60">
        <f t="shared" si="18"/>
        <v>-7</v>
      </c>
      <c r="H60" s="10">
        <f t="shared" si="18"/>
        <v>55</v>
      </c>
      <c r="I60">
        <f t="shared" si="18"/>
        <v>9.4</v>
      </c>
      <c r="J60">
        <f t="shared" si="19"/>
        <v>49</v>
      </c>
      <c r="K60">
        <f t="shared" si="20"/>
        <v>-385</v>
      </c>
      <c r="L60">
        <f t="shared" si="21"/>
        <v>-65.8</v>
      </c>
      <c r="M60">
        <f t="shared" si="22"/>
        <v>3025</v>
      </c>
      <c r="N60">
        <f t="shared" si="23"/>
        <v>517</v>
      </c>
      <c r="O60">
        <f t="shared" si="24"/>
        <v>88.360000000000014</v>
      </c>
      <c r="Q60" s="11">
        <f t="shared" si="25"/>
        <v>50</v>
      </c>
      <c r="R60" s="12">
        <f t="shared" si="26"/>
        <v>0</v>
      </c>
    </row>
    <row r="61" spans="1:18" x14ac:dyDescent="0.25">
      <c r="A61">
        <v>2</v>
      </c>
      <c r="B61">
        <v>55</v>
      </c>
      <c r="C61" s="2">
        <f t="shared" si="27"/>
        <v>11.17</v>
      </c>
      <c r="E61">
        <v>50</v>
      </c>
      <c r="F61" s="2"/>
      <c r="G61">
        <f t="shared" si="18"/>
        <v>2</v>
      </c>
      <c r="H61" s="10">
        <f t="shared" si="18"/>
        <v>55</v>
      </c>
      <c r="I61">
        <f t="shared" si="18"/>
        <v>11.17</v>
      </c>
      <c r="J61">
        <f t="shared" si="19"/>
        <v>4</v>
      </c>
      <c r="K61">
        <f t="shared" si="20"/>
        <v>110</v>
      </c>
      <c r="L61">
        <f t="shared" si="21"/>
        <v>22.34</v>
      </c>
      <c r="M61">
        <f t="shared" si="22"/>
        <v>3025</v>
      </c>
      <c r="N61">
        <f t="shared" si="23"/>
        <v>614.35</v>
      </c>
      <c r="O61">
        <f t="shared" si="24"/>
        <v>124.7689</v>
      </c>
      <c r="Q61" s="11">
        <f t="shared" si="25"/>
        <v>50</v>
      </c>
      <c r="R61" s="12">
        <f t="shared" si="26"/>
        <v>0</v>
      </c>
    </row>
    <row r="62" spans="1:18" x14ac:dyDescent="0.25">
      <c r="A62">
        <v>7</v>
      </c>
      <c r="B62">
        <v>55</v>
      </c>
      <c r="C62" s="2">
        <f t="shared" si="27"/>
        <v>14.46</v>
      </c>
      <c r="E62">
        <v>50</v>
      </c>
      <c r="F62" s="2"/>
      <c r="G62">
        <f t="shared" si="18"/>
        <v>7</v>
      </c>
      <c r="H62" s="10">
        <f t="shared" si="18"/>
        <v>55</v>
      </c>
      <c r="I62">
        <f t="shared" si="18"/>
        <v>14.46</v>
      </c>
      <c r="J62">
        <f t="shared" si="19"/>
        <v>49</v>
      </c>
      <c r="K62">
        <f t="shared" si="20"/>
        <v>385</v>
      </c>
      <c r="L62">
        <f t="shared" si="21"/>
        <v>101.22</v>
      </c>
      <c r="M62">
        <f t="shared" si="22"/>
        <v>3025</v>
      </c>
      <c r="N62">
        <f t="shared" si="23"/>
        <v>795.30000000000007</v>
      </c>
      <c r="O62">
        <f t="shared" si="24"/>
        <v>209.09160000000003</v>
      </c>
      <c r="Q62" s="11">
        <f t="shared" si="25"/>
        <v>50</v>
      </c>
      <c r="R62" s="12">
        <f t="shared" si="26"/>
        <v>0</v>
      </c>
    </row>
    <row r="63" spans="1:18" x14ac:dyDescent="0.25">
      <c r="A63">
        <v>12</v>
      </c>
      <c r="B63">
        <v>55</v>
      </c>
      <c r="C63" s="2">
        <f t="shared" si="27"/>
        <v>16.809999999999999</v>
      </c>
      <c r="E63">
        <v>50</v>
      </c>
      <c r="F63" s="2"/>
      <c r="G63">
        <f t="shared" si="18"/>
        <v>12</v>
      </c>
      <c r="H63" s="10">
        <f t="shared" si="18"/>
        <v>55</v>
      </c>
      <c r="I63">
        <f t="shared" si="18"/>
        <v>16.809999999999999</v>
      </c>
      <c r="J63">
        <f t="shared" si="19"/>
        <v>144</v>
      </c>
      <c r="K63">
        <f t="shared" si="20"/>
        <v>660</v>
      </c>
      <c r="L63">
        <f t="shared" si="21"/>
        <v>201.71999999999997</v>
      </c>
      <c r="M63">
        <f t="shared" si="22"/>
        <v>3025</v>
      </c>
      <c r="N63">
        <f t="shared" si="23"/>
        <v>924.55</v>
      </c>
      <c r="O63">
        <f t="shared" si="24"/>
        <v>282.57609999999994</v>
      </c>
      <c r="Q63" s="11">
        <f t="shared" si="25"/>
        <v>50</v>
      </c>
      <c r="R63" s="12">
        <f t="shared" si="26"/>
        <v>0</v>
      </c>
    </row>
    <row r="64" spans="1:18" x14ac:dyDescent="0.25">
      <c r="A64">
        <v>-15</v>
      </c>
      <c r="B64">
        <v>55</v>
      </c>
      <c r="C64" s="2">
        <f t="shared" si="27"/>
        <v>7.15</v>
      </c>
      <c r="E64">
        <v>50</v>
      </c>
      <c r="F64" s="2"/>
      <c r="G64">
        <f t="shared" si="18"/>
        <v>-15</v>
      </c>
      <c r="H64" s="10">
        <f t="shared" si="18"/>
        <v>55</v>
      </c>
      <c r="I64">
        <f t="shared" si="18"/>
        <v>7.15</v>
      </c>
      <c r="J64">
        <f t="shared" si="19"/>
        <v>225</v>
      </c>
      <c r="K64">
        <f t="shared" si="20"/>
        <v>-825</v>
      </c>
      <c r="L64">
        <f t="shared" si="21"/>
        <v>-107.25</v>
      </c>
      <c r="M64">
        <f t="shared" si="22"/>
        <v>3025</v>
      </c>
      <c r="N64">
        <f t="shared" si="23"/>
        <v>393.25</v>
      </c>
      <c r="O64">
        <f t="shared" si="24"/>
        <v>51.122500000000002</v>
      </c>
      <c r="Q64" s="11">
        <f t="shared" si="25"/>
        <v>50</v>
      </c>
      <c r="R64" s="12">
        <f t="shared" si="26"/>
        <v>0</v>
      </c>
    </row>
    <row r="65" spans="1:18" x14ac:dyDescent="0.25">
      <c r="A65">
        <v>2</v>
      </c>
      <c r="B65">
        <v>65</v>
      </c>
      <c r="C65" s="2">
        <f t="shared" si="27"/>
        <v>10.66</v>
      </c>
      <c r="E65">
        <v>50</v>
      </c>
      <c r="F65" s="2"/>
      <c r="G65">
        <f t="shared" si="18"/>
        <v>2</v>
      </c>
      <c r="H65" s="10">
        <f t="shared" si="18"/>
        <v>65</v>
      </c>
      <c r="I65">
        <f t="shared" si="18"/>
        <v>10.66</v>
      </c>
      <c r="J65">
        <f t="shared" si="19"/>
        <v>4</v>
      </c>
      <c r="K65">
        <f t="shared" si="20"/>
        <v>130</v>
      </c>
      <c r="L65">
        <f t="shared" si="21"/>
        <v>21.32</v>
      </c>
      <c r="M65">
        <f t="shared" si="22"/>
        <v>4225</v>
      </c>
      <c r="N65">
        <f t="shared" si="23"/>
        <v>692.9</v>
      </c>
      <c r="O65">
        <f t="shared" si="24"/>
        <v>113.6356</v>
      </c>
      <c r="Q65" s="11">
        <f t="shared" si="25"/>
        <v>50</v>
      </c>
      <c r="R65" s="12">
        <f t="shared" si="26"/>
        <v>0</v>
      </c>
    </row>
    <row r="66" spans="1:18" x14ac:dyDescent="0.25">
      <c r="A66">
        <v>7</v>
      </c>
      <c r="B66">
        <v>65</v>
      </c>
      <c r="C66" s="2">
        <f t="shared" si="27"/>
        <v>13.9</v>
      </c>
      <c r="E66">
        <v>50</v>
      </c>
      <c r="F66" s="2"/>
      <c r="G66">
        <f t="shared" si="18"/>
        <v>7</v>
      </c>
      <c r="H66" s="10">
        <f t="shared" si="18"/>
        <v>65</v>
      </c>
      <c r="I66">
        <f t="shared" si="18"/>
        <v>13.9</v>
      </c>
      <c r="J66">
        <f t="shared" si="19"/>
        <v>49</v>
      </c>
      <c r="K66">
        <f t="shared" si="20"/>
        <v>455</v>
      </c>
      <c r="L66">
        <f t="shared" si="21"/>
        <v>97.3</v>
      </c>
      <c r="M66">
        <f t="shared" si="22"/>
        <v>4225</v>
      </c>
      <c r="N66">
        <f t="shared" si="23"/>
        <v>903.5</v>
      </c>
      <c r="O66">
        <f t="shared" si="24"/>
        <v>193.21</v>
      </c>
      <c r="Q66" s="11">
        <f t="shared" si="25"/>
        <v>50</v>
      </c>
      <c r="R66" s="12">
        <f t="shared" si="26"/>
        <v>0</v>
      </c>
    </row>
    <row r="67" spans="1:18" x14ac:dyDescent="0.25">
      <c r="A67">
        <v>12</v>
      </c>
      <c r="B67">
        <v>65</v>
      </c>
      <c r="C67" s="2">
        <f t="shared" si="27"/>
        <v>16.079999999999998</v>
      </c>
      <c r="E67">
        <v>50</v>
      </c>
      <c r="G67">
        <f t="shared" si="18"/>
        <v>12</v>
      </c>
      <c r="H67" s="10">
        <f t="shared" si="18"/>
        <v>65</v>
      </c>
      <c r="I67">
        <f t="shared" si="18"/>
        <v>16.079999999999998</v>
      </c>
      <c r="J67">
        <f t="shared" si="19"/>
        <v>144</v>
      </c>
      <c r="K67">
        <f t="shared" si="20"/>
        <v>780</v>
      </c>
      <c r="L67">
        <f t="shared" si="21"/>
        <v>192.95999999999998</v>
      </c>
      <c r="M67">
        <f t="shared" si="22"/>
        <v>4225</v>
      </c>
      <c r="N67">
        <f t="shared" si="23"/>
        <v>1045.1999999999998</v>
      </c>
      <c r="O67">
        <f t="shared" si="24"/>
        <v>258.56639999999993</v>
      </c>
      <c r="Q67" s="11">
        <f t="shared" si="25"/>
        <v>50</v>
      </c>
      <c r="R6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7409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7409" r:id="rId4"/>
      </mc:Fallback>
    </mc:AlternateContent>
    <mc:AlternateContent xmlns:mc="http://schemas.openxmlformats.org/markup-compatibility/2006">
      <mc:Choice Requires="x14">
        <oleObject progId="Equation.3" shapeId="17410" r:id="rId6">
          <objectPr defaultSize="0" autoPict="0" r:id="rId5">
            <anchor moveWithCells="1" sizeWithCells="1">
              <from>
                <xdr:col>6</xdr:col>
                <xdr:colOff>171450</xdr:colOff>
                <xdr:row>25</xdr:row>
                <xdr:rowOff>38100</xdr:rowOff>
              </from>
              <to>
                <xdr:col>14</xdr:col>
                <xdr:colOff>1466850</xdr:colOff>
                <xdr:row>25</xdr:row>
                <xdr:rowOff>647700</xdr:rowOff>
              </to>
            </anchor>
          </objectPr>
        </oleObject>
      </mc:Choice>
      <mc:Fallback>
        <oleObject progId="Equation.3" shapeId="17410" r:id="rId6"/>
      </mc:Fallback>
    </mc:AlternateContent>
    <mc:AlternateContent xmlns:mc="http://schemas.openxmlformats.org/markup-compatibility/2006">
      <mc:Choice Requires="x14">
        <oleObject progId="Equation.3" shapeId="17411" r:id="rId7">
          <objectPr defaultSize="0" autoPict="0" r:id="rId5">
            <anchor moveWithCells="1" sizeWithCells="1">
              <from>
                <xdr:col>6</xdr:col>
                <xdr:colOff>171450</xdr:colOff>
                <xdr:row>48</xdr:row>
                <xdr:rowOff>38100</xdr:rowOff>
              </from>
              <to>
                <xdr:col>14</xdr:col>
                <xdr:colOff>1466850</xdr:colOff>
                <xdr:row>48</xdr:row>
                <xdr:rowOff>647700</xdr:rowOff>
              </to>
            </anchor>
          </objectPr>
        </oleObject>
      </mc:Choice>
      <mc:Fallback>
        <oleObject progId="Equation.3" shapeId="17411" r:id="rId7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ist10"/>
  <dimension ref="A1:T67"/>
  <sheetViews>
    <sheetView zoomScale="70" zoomScaleNormal="70" workbookViewId="0">
      <selection activeCell="D50" sqref="D50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LINEST(E4:E21,G4:O21)</f>
        <v>0</v>
      </c>
      <c r="H2" s="4">
        <v>7.4739643623132493E-4</v>
      </c>
      <c r="I2" s="4">
        <v>-1.0978894122454352E-3</v>
      </c>
      <c r="J2" s="4">
        <v>1.129457088007709E-2</v>
      </c>
      <c r="K2" s="4">
        <v>-3.0222323301598922E-3</v>
      </c>
      <c r="L2" s="4">
        <v>9.1908818662899839E-3</v>
      </c>
      <c r="M2" s="4">
        <v>0</v>
      </c>
      <c r="N2" s="4">
        <v>0</v>
      </c>
      <c r="O2" s="4">
        <v>0</v>
      </c>
      <c r="P2" s="4">
        <v>13.768621989036069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8.9600000000000009</v>
      </c>
      <c r="F4" s="2"/>
      <c r="G4">
        <f t="shared" ref="G4:I21" si="0">A4</f>
        <v>-15</v>
      </c>
      <c r="H4" s="10">
        <f t="shared" si="0"/>
        <v>35</v>
      </c>
      <c r="I4">
        <f t="shared" si="0"/>
        <v>50</v>
      </c>
      <c r="J4">
        <f t="shared" ref="J4:J21" si="1">G4^2</f>
        <v>225</v>
      </c>
      <c r="K4">
        <f t="shared" ref="K4:K21" si="2">G4*H4</f>
        <v>-525</v>
      </c>
      <c r="L4">
        <f t="shared" ref="L4:L21" si="3">G4*I4</f>
        <v>-750</v>
      </c>
      <c r="M4">
        <f t="shared" ref="M4:M21" si="4">H4^2</f>
        <v>1225</v>
      </c>
      <c r="N4">
        <f t="shared" ref="N4:N21" si="5">H4*I4</f>
        <v>1750</v>
      </c>
      <c r="O4">
        <f t="shared" ref="O4:O21" si="6">I4^2</f>
        <v>2500</v>
      </c>
      <c r="Q4" s="11">
        <f t="shared" ref="Q4:Q21" si="7">$P$2+$O$2*G4+$N$2*H4+$M$2*I4+$L$2*J4+$K$2*K4+$J$2*L4+$I$2*M4+$H$2*N4+$G$2*O4</f>
        <v>8.9153434556316036</v>
      </c>
      <c r="R4" s="12">
        <f t="shared" ref="R4:R21" si="8">(Q4-E4)/E4</f>
        <v>-4.9839893268300529E-3</v>
      </c>
      <c r="S4" s="11"/>
      <c r="T4" s="12"/>
    </row>
    <row r="5" spans="1:20" x14ac:dyDescent="0.25">
      <c r="A5">
        <v>-7</v>
      </c>
      <c r="B5">
        <v>35</v>
      </c>
      <c r="C5">
        <v>50</v>
      </c>
      <c r="E5">
        <v>11.42</v>
      </c>
      <c r="F5" s="2"/>
      <c r="G5">
        <f t="shared" si="0"/>
        <v>-7</v>
      </c>
      <c r="H5" s="10">
        <f t="shared" si="0"/>
        <v>35</v>
      </c>
      <c r="I5">
        <f t="shared" si="0"/>
        <v>50</v>
      </c>
      <c r="J5">
        <f t="shared" si="1"/>
        <v>49</v>
      </c>
      <c r="K5">
        <f t="shared" si="2"/>
        <v>-245</v>
      </c>
      <c r="L5">
        <f t="shared" si="3"/>
        <v>-350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10.96935154675063</v>
      </c>
      <c r="R5" s="12">
        <f t="shared" si="8"/>
        <v>-3.9461335661065654E-2</v>
      </c>
      <c r="S5" s="11"/>
      <c r="T5" s="12"/>
    </row>
    <row r="6" spans="1:20" x14ac:dyDescent="0.25">
      <c r="A6">
        <v>2</v>
      </c>
      <c r="B6">
        <v>35</v>
      </c>
      <c r="C6">
        <v>50</v>
      </c>
      <c r="E6">
        <v>13.87</v>
      </c>
      <c r="F6" s="2"/>
      <c r="G6">
        <f t="shared" si="0"/>
        <v>2</v>
      </c>
      <c r="H6" s="10">
        <f t="shared" si="0"/>
        <v>35</v>
      </c>
      <c r="I6">
        <f t="shared" si="0"/>
        <v>50</v>
      </c>
      <c r="J6">
        <f t="shared" si="1"/>
        <v>4</v>
      </c>
      <c r="K6">
        <f t="shared" si="2"/>
        <v>70</v>
      </c>
      <c r="L6">
        <f t="shared" si="3"/>
        <v>100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14.686315574801906</v>
      </c>
      <c r="R6" s="12">
        <f t="shared" si="8"/>
        <v>5.8854763864593145E-2</v>
      </c>
      <c r="S6" s="11"/>
      <c r="T6" s="12"/>
    </row>
    <row r="7" spans="1:20" x14ac:dyDescent="0.25">
      <c r="A7">
        <v>7</v>
      </c>
      <c r="B7">
        <v>35</v>
      </c>
      <c r="C7">
        <v>50</v>
      </c>
      <c r="E7">
        <v>17.55</v>
      </c>
      <c r="F7" s="2"/>
      <c r="G7">
        <f t="shared" si="0"/>
        <v>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245</v>
      </c>
      <c r="L7">
        <f t="shared" si="3"/>
        <v>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17.394657321026248</v>
      </c>
      <c r="R7" s="12">
        <f t="shared" si="8"/>
        <v>-8.8514346993591366E-3</v>
      </c>
      <c r="S7" s="11"/>
      <c r="T7" s="12"/>
    </row>
    <row r="8" spans="1:20" x14ac:dyDescent="0.25">
      <c r="A8">
        <v>12</v>
      </c>
      <c r="B8">
        <v>35</v>
      </c>
      <c r="C8">
        <v>50</v>
      </c>
      <c r="E8">
        <v>20.78</v>
      </c>
      <c r="F8" s="2"/>
      <c r="G8">
        <f t="shared" si="0"/>
        <v>12</v>
      </c>
      <c r="H8" s="10">
        <f t="shared" si="0"/>
        <v>35</v>
      </c>
      <c r="I8">
        <f t="shared" si="0"/>
        <v>50</v>
      </c>
      <c r="J8">
        <f t="shared" si="1"/>
        <v>144</v>
      </c>
      <c r="K8">
        <f t="shared" si="2"/>
        <v>420</v>
      </c>
      <c r="L8">
        <f t="shared" si="3"/>
        <v>600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7"/>
        <v>20.562543160565085</v>
      </c>
      <c r="R8" s="12">
        <f t="shared" si="8"/>
        <v>-1.046471797088145E-2</v>
      </c>
      <c r="S8" s="11"/>
      <c r="T8" s="12"/>
    </row>
    <row r="9" spans="1:20" x14ac:dyDescent="0.25">
      <c r="A9">
        <v>-15</v>
      </c>
      <c r="B9">
        <v>45</v>
      </c>
      <c r="C9">
        <v>50</v>
      </c>
      <c r="E9">
        <v>8.5399999999999991</v>
      </c>
      <c r="F9" s="2"/>
      <c r="G9">
        <f t="shared" si="0"/>
        <v>-15</v>
      </c>
      <c r="H9" s="10">
        <f t="shared" si="0"/>
        <v>45</v>
      </c>
      <c r="I9">
        <f t="shared" si="0"/>
        <v>50</v>
      </c>
      <c r="J9">
        <f t="shared" si="1"/>
        <v>225</v>
      </c>
      <c r="K9">
        <f t="shared" si="2"/>
        <v>-675</v>
      </c>
      <c r="L9">
        <f t="shared" si="3"/>
        <v>-750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8.8640649934749014</v>
      </c>
      <c r="R9" s="12">
        <f t="shared" si="8"/>
        <v>3.7946720547412445E-2</v>
      </c>
      <c r="S9" s="11"/>
      <c r="T9" s="12"/>
    </row>
    <row r="10" spans="1:20" x14ac:dyDescent="0.25">
      <c r="A10">
        <v>-7</v>
      </c>
      <c r="B10">
        <v>45</v>
      </c>
      <c r="C10">
        <v>50</v>
      </c>
      <c r="E10">
        <v>11.02</v>
      </c>
      <c r="F10" s="2"/>
      <c r="G10">
        <f t="shared" si="0"/>
        <v>-7</v>
      </c>
      <c r="H10" s="10">
        <f t="shared" si="0"/>
        <v>45</v>
      </c>
      <c r="I10">
        <f t="shared" si="0"/>
        <v>50</v>
      </c>
      <c r="J10">
        <f t="shared" si="1"/>
        <v>49</v>
      </c>
      <c r="K10">
        <f t="shared" si="2"/>
        <v>-315</v>
      </c>
      <c r="L10">
        <f t="shared" si="3"/>
        <v>-350</v>
      </c>
      <c r="M10">
        <f t="shared" si="4"/>
        <v>2025</v>
      </c>
      <c r="N10">
        <f t="shared" si="5"/>
        <v>2250</v>
      </c>
      <c r="O10">
        <f t="shared" si="6"/>
        <v>2500</v>
      </c>
      <c r="Q10" s="11">
        <f t="shared" si="7"/>
        <v>10.676294498181139</v>
      </c>
      <c r="R10" s="12">
        <f t="shared" si="8"/>
        <v>-3.1189246989007276E-2</v>
      </c>
      <c r="S10" s="11"/>
      <c r="T10" s="12"/>
    </row>
    <row r="11" spans="1:20" x14ac:dyDescent="0.25">
      <c r="A11">
        <v>2</v>
      </c>
      <c r="B11">
        <v>45</v>
      </c>
      <c r="C11">
        <v>50</v>
      </c>
      <c r="E11">
        <v>13.43</v>
      </c>
      <c r="G11">
        <f t="shared" si="0"/>
        <v>2</v>
      </c>
      <c r="H11" s="10">
        <f t="shared" si="0"/>
        <v>45</v>
      </c>
      <c r="I11">
        <f t="shared" si="0"/>
        <v>50</v>
      </c>
      <c r="J11">
        <f t="shared" si="1"/>
        <v>4</v>
      </c>
      <c r="K11">
        <f t="shared" si="2"/>
        <v>90</v>
      </c>
      <c r="L11">
        <f t="shared" si="3"/>
        <v>100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14.121257616518022</v>
      </c>
      <c r="R11" s="12">
        <f t="shared" si="8"/>
        <v>5.1471155362473764E-2</v>
      </c>
      <c r="S11" s="11"/>
      <c r="T11" s="12"/>
    </row>
    <row r="12" spans="1:20" x14ac:dyDescent="0.25">
      <c r="A12">
        <v>7</v>
      </c>
      <c r="B12">
        <v>45</v>
      </c>
      <c r="C12">
        <v>50</v>
      </c>
      <c r="E12">
        <v>17.190000000000001</v>
      </c>
      <c r="G12">
        <f t="shared" si="0"/>
        <v>7</v>
      </c>
      <c r="H12" s="10">
        <f t="shared" si="0"/>
        <v>45</v>
      </c>
      <c r="I12">
        <f t="shared" si="0"/>
        <v>50</v>
      </c>
      <c r="J12">
        <f t="shared" si="1"/>
        <v>49</v>
      </c>
      <c r="K12">
        <f t="shared" si="2"/>
        <v>315</v>
      </c>
      <c r="L12">
        <f t="shared" si="3"/>
        <v>350</v>
      </c>
      <c r="M12">
        <f t="shared" si="4"/>
        <v>2025</v>
      </c>
      <c r="N12">
        <f t="shared" si="5"/>
        <v>2250</v>
      </c>
      <c r="O12">
        <f t="shared" si="6"/>
        <v>2500</v>
      </c>
      <c r="Q12" s="11">
        <f t="shared" si="7"/>
        <v>16.678487746234367</v>
      </c>
      <c r="R12" s="12">
        <f t="shared" si="8"/>
        <v>-2.9756384744946712E-2</v>
      </c>
      <c r="S12" s="11"/>
      <c r="T12" s="12"/>
    </row>
    <row r="13" spans="1:20" x14ac:dyDescent="0.25">
      <c r="A13">
        <v>12</v>
      </c>
      <c r="B13">
        <v>45</v>
      </c>
      <c r="C13">
        <v>50</v>
      </c>
      <c r="E13">
        <v>19.7</v>
      </c>
      <c r="G13">
        <f t="shared" si="0"/>
        <v>12</v>
      </c>
      <c r="H13" s="10">
        <f t="shared" si="0"/>
        <v>45</v>
      </c>
      <c r="I13">
        <f t="shared" si="0"/>
        <v>50</v>
      </c>
      <c r="J13">
        <f t="shared" si="1"/>
        <v>144</v>
      </c>
      <c r="K13">
        <f t="shared" si="2"/>
        <v>540</v>
      </c>
      <c r="L13">
        <f t="shared" si="3"/>
        <v>600</v>
      </c>
      <c r="M13">
        <f t="shared" si="4"/>
        <v>2025</v>
      </c>
      <c r="N13">
        <f t="shared" si="5"/>
        <v>2250</v>
      </c>
      <c r="O13">
        <f t="shared" si="6"/>
        <v>2500</v>
      </c>
      <c r="Q13" s="11">
        <f t="shared" si="7"/>
        <v>19.695261969265214</v>
      </c>
      <c r="R13" s="12">
        <f t="shared" si="8"/>
        <v>-2.4050917435457212E-4</v>
      </c>
      <c r="S13" s="11"/>
      <c r="T13" s="12"/>
    </row>
    <row r="14" spans="1:20" x14ac:dyDescent="0.25">
      <c r="A14">
        <v>-7</v>
      </c>
      <c r="B14">
        <v>55</v>
      </c>
      <c r="C14">
        <v>50</v>
      </c>
      <c r="E14">
        <v>10.91</v>
      </c>
      <c r="G14">
        <f t="shared" si="0"/>
        <v>-7</v>
      </c>
      <c r="H14" s="10">
        <f t="shared" si="0"/>
        <v>55</v>
      </c>
      <c r="I14">
        <f t="shared" si="0"/>
        <v>50</v>
      </c>
      <c r="J14">
        <f t="shared" si="1"/>
        <v>49</v>
      </c>
      <c r="K14">
        <f t="shared" si="2"/>
        <v>-385</v>
      </c>
      <c r="L14">
        <f t="shared" si="3"/>
        <v>-350</v>
      </c>
      <c r="M14">
        <f t="shared" si="4"/>
        <v>3025</v>
      </c>
      <c r="N14">
        <f t="shared" si="5"/>
        <v>2750</v>
      </c>
      <c r="O14">
        <f t="shared" si="6"/>
        <v>2500</v>
      </c>
      <c r="Q14" s="11">
        <f t="shared" si="7"/>
        <v>10.163659567162558</v>
      </c>
      <c r="R14" s="12">
        <f t="shared" si="8"/>
        <v>-6.8408838940187192E-2</v>
      </c>
      <c r="S14" s="11"/>
      <c r="T14" s="12"/>
    </row>
    <row r="15" spans="1:20" x14ac:dyDescent="0.25">
      <c r="A15">
        <v>2</v>
      </c>
      <c r="B15">
        <v>55</v>
      </c>
      <c r="C15">
        <v>50</v>
      </c>
      <c r="E15">
        <v>13.05</v>
      </c>
      <c r="G15">
        <f t="shared" si="0"/>
        <v>2</v>
      </c>
      <c r="H15" s="10">
        <f t="shared" si="0"/>
        <v>55</v>
      </c>
      <c r="I15">
        <f t="shared" si="0"/>
        <v>50</v>
      </c>
      <c r="J15">
        <f t="shared" si="1"/>
        <v>4</v>
      </c>
      <c r="K15">
        <f t="shared" si="2"/>
        <v>110</v>
      </c>
      <c r="L15">
        <f t="shared" si="3"/>
        <v>100</v>
      </c>
      <c r="M15">
        <f t="shared" si="4"/>
        <v>3025</v>
      </c>
      <c r="N15">
        <f t="shared" si="5"/>
        <v>2750</v>
      </c>
      <c r="O15">
        <f t="shared" si="6"/>
        <v>2500</v>
      </c>
      <c r="Q15" s="11">
        <f t="shared" si="7"/>
        <v>13.336621775785051</v>
      </c>
      <c r="R15" s="12">
        <f t="shared" si="8"/>
        <v>2.1963354466287405E-2</v>
      </c>
      <c r="S15" s="11"/>
      <c r="T15" s="12"/>
    </row>
    <row r="16" spans="1:20" x14ac:dyDescent="0.25">
      <c r="A16">
        <v>7</v>
      </c>
      <c r="B16">
        <v>55</v>
      </c>
      <c r="C16">
        <v>50</v>
      </c>
      <c r="E16">
        <v>15.94</v>
      </c>
      <c r="G16">
        <f t="shared" si="0"/>
        <v>7</v>
      </c>
      <c r="H16" s="10">
        <f t="shared" si="0"/>
        <v>55</v>
      </c>
      <c r="I16">
        <f t="shared" si="0"/>
        <v>50</v>
      </c>
      <c r="J16">
        <f t="shared" si="1"/>
        <v>49</v>
      </c>
      <c r="K16">
        <f t="shared" si="2"/>
        <v>385</v>
      </c>
      <c r="L16">
        <f t="shared" si="3"/>
        <v>350</v>
      </c>
      <c r="M16">
        <f t="shared" si="4"/>
        <v>3025</v>
      </c>
      <c r="N16">
        <f t="shared" si="5"/>
        <v>2750</v>
      </c>
      <c r="O16">
        <f t="shared" si="6"/>
        <v>2500</v>
      </c>
      <c r="Q16" s="11">
        <f t="shared" si="7"/>
        <v>15.742740288993403</v>
      </c>
      <c r="R16" s="12">
        <f t="shared" si="8"/>
        <v>-1.2375138708067539E-2</v>
      </c>
      <c r="S16" s="11"/>
      <c r="T16" s="12"/>
    </row>
    <row r="17" spans="1:20" x14ac:dyDescent="0.25">
      <c r="A17">
        <v>12</v>
      </c>
      <c r="B17">
        <v>55</v>
      </c>
      <c r="C17">
        <v>50</v>
      </c>
      <c r="E17">
        <v>18.34</v>
      </c>
      <c r="G17">
        <f t="shared" si="0"/>
        <v>12</v>
      </c>
      <c r="H17" s="10">
        <f t="shared" si="0"/>
        <v>55</v>
      </c>
      <c r="I17">
        <f t="shared" si="0"/>
        <v>50</v>
      </c>
      <c r="J17">
        <f t="shared" si="1"/>
        <v>144</v>
      </c>
      <c r="K17">
        <f t="shared" si="2"/>
        <v>660</v>
      </c>
      <c r="L17">
        <f t="shared" si="3"/>
        <v>600</v>
      </c>
      <c r="M17">
        <f t="shared" si="4"/>
        <v>3025</v>
      </c>
      <c r="N17">
        <f t="shared" si="5"/>
        <v>2750</v>
      </c>
      <c r="O17">
        <f t="shared" si="6"/>
        <v>2500</v>
      </c>
      <c r="Q17" s="11">
        <f t="shared" si="7"/>
        <v>18.608402895516253</v>
      </c>
      <c r="R17" s="12">
        <f t="shared" si="8"/>
        <v>1.4634836178639759E-2</v>
      </c>
      <c r="S17" s="11"/>
      <c r="T17" s="12"/>
    </row>
    <row r="18" spans="1:20" x14ac:dyDescent="0.25">
      <c r="A18">
        <v>-15</v>
      </c>
      <c r="B18">
        <v>55</v>
      </c>
      <c r="C18">
        <v>50</v>
      </c>
      <c r="E18">
        <v>8.36</v>
      </c>
      <c r="G18">
        <f t="shared" si="0"/>
        <v>-15</v>
      </c>
      <c r="H18" s="10">
        <f t="shared" si="0"/>
        <v>55</v>
      </c>
      <c r="I18">
        <f t="shared" si="0"/>
        <v>50</v>
      </c>
      <c r="J18">
        <f t="shared" si="1"/>
        <v>225</v>
      </c>
      <c r="K18">
        <f t="shared" si="2"/>
        <v>-825</v>
      </c>
      <c r="L18">
        <f t="shared" si="3"/>
        <v>-750</v>
      </c>
      <c r="M18">
        <f t="shared" si="4"/>
        <v>3025</v>
      </c>
      <c r="N18">
        <f t="shared" si="5"/>
        <v>2750</v>
      </c>
      <c r="O18">
        <f t="shared" si="6"/>
        <v>2500</v>
      </c>
      <c r="Q18" s="11">
        <f t="shared" si="7"/>
        <v>8.593208648869112</v>
      </c>
      <c r="R18" s="12">
        <f t="shared" si="8"/>
        <v>2.7895771395826857E-2</v>
      </c>
      <c r="S18" s="11"/>
      <c r="T18" s="12"/>
    </row>
    <row r="19" spans="1:20" x14ac:dyDescent="0.25">
      <c r="A19">
        <v>2</v>
      </c>
      <c r="B19">
        <v>65</v>
      </c>
      <c r="C19">
        <v>50</v>
      </c>
      <c r="E19">
        <v>12.02</v>
      </c>
      <c r="G19">
        <f t="shared" si="0"/>
        <v>2</v>
      </c>
      <c r="H19" s="10">
        <f t="shared" si="0"/>
        <v>65</v>
      </c>
      <c r="I19">
        <f t="shared" si="0"/>
        <v>50</v>
      </c>
      <c r="J19">
        <f t="shared" si="1"/>
        <v>4</v>
      </c>
      <c r="K19">
        <f t="shared" si="2"/>
        <v>130</v>
      </c>
      <c r="L19">
        <f t="shared" si="3"/>
        <v>100</v>
      </c>
      <c r="M19">
        <f t="shared" si="4"/>
        <v>4225</v>
      </c>
      <c r="N19">
        <f t="shared" si="5"/>
        <v>3250</v>
      </c>
      <c r="O19">
        <f t="shared" si="6"/>
        <v>2500</v>
      </c>
      <c r="Q19" s="11">
        <f t="shared" si="7"/>
        <v>12.332408052602993</v>
      </c>
      <c r="R19" s="12">
        <f t="shared" si="8"/>
        <v>2.5990686572628416E-2</v>
      </c>
      <c r="S19" s="11"/>
      <c r="T19" s="12"/>
    </row>
    <row r="20" spans="1:20" x14ac:dyDescent="0.25">
      <c r="A20">
        <v>7</v>
      </c>
      <c r="B20">
        <v>65</v>
      </c>
      <c r="C20">
        <v>50</v>
      </c>
      <c r="E20">
        <v>14.85</v>
      </c>
      <c r="G20">
        <f t="shared" si="0"/>
        <v>7</v>
      </c>
      <c r="H20" s="10">
        <f t="shared" si="0"/>
        <v>65</v>
      </c>
      <c r="I20">
        <f t="shared" si="0"/>
        <v>50</v>
      </c>
      <c r="J20">
        <f t="shared" si="1"/>
        <v>49</v>
      </c>
      <c r="K20">
        <f t="shared" si="2"/>
        <v>455</v>
      </c>
      <c r="L20">
        <f t="shared" si="3"/>
        <v>350</v>
      </c>
      <c r="M20">
        <f t="shared" si="4"/>
        <v>4225</v>
      </c>
      <c r="N20">
        <f t="shared" si="5"/>
        <v>3250</v>
      </c>
      <c r="O20">
        <f t="shared" si="6"/>
        <v>2500</v>
      </c>
      <c r="Q20" s="11">
        <f t="shared" si="7"/>
        <v>14.587414949303351</v>
      </c>
      <c r="R20" s="12">
        <f t="shared" si="8"/>
        <v>-1.7682494996407293E-2</v>
      </c>
      <c r="S20" s="11"/>
      <c r="T20" s="12"/>
    </row>
    <row r="21" spans="1:20" x14ac:dyDescent="0.25">
      <c r="A21">
        <v>12</v>
      </c>
      <c r="B21">
        <v>65</v>
      </c>
      <c r="C21">
        <v>50</v>
      </c>
      <c r="E21">
        <v>17.3</v>
      </c>
      <c r="G21">
        <f t="shared" si="0"/>
        <v>12</v>
      </c>
      <c r="H21" s="10">
        <f t="shared" si="0"/>
        <v>65</v>
      </c>
      <c r="I21">
        <f t="shared" si="0"/>
        <v>50</v>
      </c>
      <c r="J21">
        <f t="shared" si="1"/>
        <v>144</v>
      </c>
      <c r="K21">
        <f t="shared" si="2"/>
        <v>780</v>
      </c>
      <c r="L21">
        <f t="shared" si="3"/>
        <v>600</v>
      </c>
      <c r="M21">
        <f t="shared" si="4"/>
        <v>4225</v>
      </c>
      <c r="N21">
        <f t="shared" si="5"/>
        <v>3250</v>
      </c>
      <c r="O21">
        <f t="shared" si="6"/>
        <v>2500</v>
      </c>
      <c r="Q21" s="11">
        <f t="shared" si="7"/>
        <v>17.301965939318205</v>
      </c>
      <c r="R21" s="12">
        <f t="shared" si="8"/>
        <v>1.1363811087883698E-4</v>
      </c>
      <c r="S21" s="11"/>
      <c r="T21" s="12"/>
    </row>
    <row r="24" spans="1:20" x14ac:dyDescent="0.25">
      <c r="A24" t="s">
        <v>27</v>
      </c>
      <c r="G24" s="4" t="s">
        <v>1</v>
      </c>
      <c r="H24" s="4" t="s">
        <v>2</v>
      </c>
      <c r="I24" s="4" t="s">
        <v>3</v>
      </c>
      <c r="J24" s="4" t="s">
        <v>4</v>
      </c>
      <c r="K24" s="4" t="s">
        <v>5</v>
      </c>
      <c r="L24" s="4" t="s">
        <v>6</v>
      </c>
      <c r="M24" s="4" t="s">
        <v>7</v>
      </c>
      <c r="N24" s="4" t="s">
        <v>8</v>
      </c>
      <c r="O24" s="4" t="s">
        <v>9</v>
      </c>
      <c r="P24" s="4" t="s">
        <v>10</v>
      </c>
    </row>
    <row r="25" spans="1:20" x14ac:dyDescent="0.25">
      <c r="A25" s="1"/>
      <c r="C25" s="1"/>
      <c r="D25" s="1"/>
      <c r="E25" s="1"/>
      <c r="F25" s="1"/>
      <c r="G25" s="4">
        <f t="array" ref="G25:P25">LINEST(E27:E44,G27:O44)</f>
        <v>0</v>
      </c>
      <c r="H25" s="4">
        <v>3.488948661913677E-3</v>
      </c>
      <c r="I25" s="4">
        <v>-1.2944912211452055E-3</v>
      </c>
      <c r="J25" s="4">
        <v>1.64639818728092E-3</v>
      </c>
      <c r="K25" s="4">
        <v>-1.5389718254719498E-3</v>
      </c>
      <c r="L25" s="4">
        <v>-2.3478448004587015E-3</v>
      </c>
      <c r="M25" s="4">
        <v>0</v>
      </c>
      <c r="N25" s="4">
        <v>0</v>
      </c>
      <c r="O25" s="4">
        <v>0</v>
      </c>
      <c r="P25" s="4">
        <v>-0.41754007757124789</v>
      </c>
    </row>
    <row r="26" spans="1:20" ht="45" x14ac:dyDescent="0.25">
      <c r="A26" s="5" t="s">
        <v>11</v>
      </c>
      <c r="B26" s="5" t="s">
        <v>12</v>
      </c>
      <c r="C26" s="5" t="s">
        <v>13</v>
      </c>
      <c r="D26" s="6"/>
      <c r="E26" s="7" t="s">
        <v>14</v>
      </c>
      <c r="F26" s="3"/>
      <c r="G26" s="8" t="s">
        <v>17</v>
      </c>
      <c r="H26" s="8" t="s">
        <v>18</v>
      </c>
      <c r="I26" s="8" t="s">
        <v>0</v>
      </c>
      <c r="J26" s="8" t="s">
        <v>19</v>
      </c>
      <c r="K26" s="8" t="s">
        <v>20</v>
      </c>
      <c r="L26" s="8" t="s">
        <v>21</v>
      </c>
      <c r="M26" s="8" t="s">
        <v>22</v>
      </c>
      <c r="N26" s="8" t="s">
        <v>23</v>
      </c>
      <c r="O26" s="8" t="s">
        <v>24</v>
      </c>
      <c r="P26" s="3"/>
      <c r="Q26" s="9" t="s">
        <v>14</v>
      </c>
      <c r="R26" s="9" t="s">
        <v>15</v>
      </c>
    </row>
    <row r="27" spans="1:20" x14ac:dyDescent="0.25">
      <c r="A27">
        <v>-15</v>
      </c>
      <c r="B27">
        <v>35</v>
      </c>
      <c r="C27">
        <v>50</v>
      </c>
      <c r="E27">
        <v>3.59</v>
      </c>
      <c r="F27" s="2"/>
      <c r="G27">
        <f t="shared" ref="G27:I44" si="9">A27</f>
        <v>-15</v>
      </c>
      <c r="H27" s="10">
        <f t="shared" si="9"/>
        <v>35</v>
      </c>
      <c r="I27">
        <f t="shared" si="9"/>
        <v>50</v>
      </c>
      <c r="J27">
        <f t="shared" ref="J27:J44" si="10">G27^2</f>
        <v>225</v>
      </c>
      <c r="K27">
        <f t="shared" ref="K27:K44" si="11">G27*H27</f>
        <v>-525</v>
      </c>
      <c r="L27">
        <f t="shared" ref="L27:L44" si="12">G27*I27</f>
        <v>-750</v>
      </c>
      <c r="M27">
        <f t="shared" ref="M27:M44" si="13">H27^2</f>
        <v>1225</v>
      </c>
      <c r="N27">
        <f t="shared" ref="N27:N44" si="14">H27*I27</f>
        <v>1750</v>
      </c>
      <c r="O27">
        <f t="shared" ref="O27:O44" si="15">I27^2</f>
        <v>2500</v>
      </c>
      <c r="Q27" s="11">
        <f>$P$25+$O$25*G27+$N$25*H27+$M$25*I27+$L$25*J27+$K$25*K27+$J$25*L27+$I$25*M27+$H$25*N27+$G$25*O27</f>
        <v>3.1472648226836863</v>
      </c>
      <c r="R27" s="12">
        <f t="shared" ref="R27:R44" si="16">(Q27-E27)/E27</f>
        <v>-0.12332456192654973</v>
      </c>
    </row>
    <row r="28" spans="1:20" x14ac:dyDescent="0.25">
      <c r="A28">
        <v>-7</v>
      </c>
      <c r="B28">
        <v>35</v>
      </c>
      <c r="C28">
        <v>50</v>
      </c>
      <c r="E28">
        <v>3.78</v>
      </c>
      <c r="F28" s="2"/>
      <c r="G28">
        <f t="shared" si="9"/>
        <v>-7</v>
      </c>
      <c r="H28" s="10">
        <f t="shared" si="9"/>
        <v>35</v>
      </c>
      <c r="I28">
        <f t="shared" si="9"/>
        <v>50</v>
      </c>
      <c r="J28">
        <f t="shared" si="10"/>
        <v>49</v>
      </c>
      <c r="K28">
        <f t="shared" si="11"/>
        <v>-245</v>
      </c>
      <c r="L28">
        <f t="shared" si="12"/>
        <v>-350</v>
      </c>
      <c r="M28">
        <f t="shared" si="13"/>
        <v>1225</v>
      </c>
      <c r="N28">
        <f t="shared" si="14"/>
        <v>1750</v>
      </c>
      <c r="O28">
        <f t="shared" si="15"/>
        <v>2500</v>
      </c>
      <c r="Q28" s="11">
        <f t="shared" ref="Q28:Q44" si="17">$P$25+$O$25*G28+$N$25*H28+$M$25*I28+$L$25*J28+$K$25*K28+$J$25*L28+$I$25*M28+$H$25*N28+$G$25*O28</f>
        <v>3.7881326713446399</v>
      </c>
      <c r="R28" s="12">
        <f t="shared" si="16"/>
        <v>2.1515003557249024E-3</v>
      </c>
    </row>
    <row r="29" spans="1:20" x14ac:dyDescent="0.25">
      <c r="A29">
        <v>2</v>
      </c>
      <c r="B29">
        <v>35</v>
      </c>
      <c r="C29">
        <v>50</v>
      </c>
      <c r="E29">
        <v>3.92</v>
      </c>
      <c r="F29" s="2"/>
      <c r="G29">
        <f t="shared" si="9"/>
        <v>2</v>
      </c>
      <c r="H29" s="10">
        <f t="shared" si="9"/>
        <v>35</v>
      </c>
      <c r="I29">
        <f t="shared" si="9"/>
        <v>50</v>
      </c>
      <c r="J29">
        <f t="shared" si="10"/>
        <v>4</v>
      </c>
      <c r="K29">
        <f t="shared" si="11"/>
        <v>70</v>
      </c>
      <c r="L29">
        <f t="shared" si="12"/>
        <v>100</v>
      </c>
      <c r="M29">
        <f t="shared" si="13"/>
        <v>1225</v>
      </c>
      <c r="N29">
        <f t="shared" si="14"/>
        <v>1750</v>
      </c>
      <c r="O29">
        <f t="shared" si="15"/>
        <v>2500</v>
      </c>
      <c r="Q29" s="11">
        <f t="shared" si="17"/>
        <v>4.1498887466180312</v>
      </c>
      <c r="R29" s="12">
        <f t="shared" si="16"/>
        <v>5.8645088422967159E-2</v>
      </c>
    </row>
    <row r="30" spans="1:20" x14ac:dyDescent="0.25">
      <c r="A30">
        <v>7</v>
      </c>
      <c r="B30">
        <v>35</v>
      </c>
      <c r="C30">
        <v>50</v>
      </c>
      <c r="E30">
        <v>4.0599999999999996</v>
      </c>
      <c r="F30" s="2"/>
      <c r="G30">
        <f t="shared" si="9"/>
        <v>7</v>
      </c>
      <c r="H30" s="10">
        <f t="shared" si="9"/>
        <v>35</v>
      </c>
      <c r="I30">
        <f t="shared" si="9"/>
        <v>50</v>
      </c>
      <c r="J30">
        <f t="shared" si="10"/>
        <v>49</v>
      </c>
      <c r="K30">
        <f t="shared" si="11"/>
        <v>245</v>
      </c>
      <c r="L30">
        <f t="shared" si="12"/>
        <v>350</v>
      </c>
      <c r="M30">
        <f t="shared" si="13"/>
        <v>1225</v>
      </c>
      <c r="N30">
        <f t="shared" si="14"/>
        <v>1750</v>
      </c>
      <c r="O30">
        <f t="shared" si="15"/>
        <v>2500</v>
      </c>
      <c r="Q30" s="11">
        <f t="shared" si="17"/>
        <v>4.1865152079600287</v>
      </c>
      <c r="R30" s="12">
        <f t="shared" si="16"/>
        <v>3.1161381270943138E-2</v>
      </c>
    </row>
    <row r="31" spans="1:20" x14ac:dyDescent="0.25">
      <c r="A31">
        <v>12</v>
      </c>
      <c r="B31">
        <v>35</v>
      </c>
      <c r="C31">
        <v>50</v>
      </c>
      <c r="E31">
        <v>4.1399999999999997</v>
      </c>
      <c r="F31" s="2"/>
      <c r="G31">
        <f t="shared" si="9"/>
        <v>12</v>
      </c>
      <c r="H31" s="10">
        <f t="shared" si="9"/>
        <v>35</v>
      </c>
      <c r="I31">
        <f t="shared" si="9"/>
        <v>50</v>
      </c>
      <c r="J31">
        <f t="shared" si="10"/>
        <v>144</v>
      </c>
      <c r="K31">
        <f t="shared" si="11"/>
        <v>420</v>
      </c>
      <c r="L31">
        <f t="shared" si="12"/>
        <v>600</v>
      </c>
      <c r="M31">
        <f t="shared" si="13"/>
        <v>1225</v>
      </c>
      <c r="N31">
        <f t="shared" si="14"/>
        <v>1750</v>
      </c>
      <c r="O31">
        <f t="shared" si="15"/>
        <v>2500</v>
      </c>
      <c r="Q31" s="11">
        <f t="shared" si="17"/>
        <v>4.1057494292790908</v>
      </c>
      <c r="R31" s="12">
        <f t="shared" si="16"/>
        <v>-8.2730847151953786E-3</v>
      </c>
    </row>
    <row r="32" spans="1:20" x14ac:dyDescent="0.25">
      <c r="A32">
        <v>-15</v>
      </c>
      <c r="B32">
        <v>45</v>
      </c>
      <c r="C32">
        <v>50</v>
      </c>
      <c r="E32">
        <v>4.0999999999999996</v>
      </c>
      <c r="F32" s="2"/>
      <c r="G32">
        <f t="shared" si="9"/>
        <v>-15</v>
      </c>
      <c r="H32" s="10">
        <f t="shared" si="9"/>
        <v>45</v>
      </c>
      <c r="I32">
        <f t="shared" si="9"/>
        <v>50</v>
      </c>
      <c r="J32">
        <f t="shared" si="10"/>
        <v>225</v>
      </c>
      <c r="K32">
        <f t="shared" si="11"/>
        <v>-675</v>
      </c>
      <c r="L32">
        <f t="shared" si="12"/>
        <v>-750</v>
      </c>
      <c r="M32">
        <f t="shared" si="13"/>
        <v>2025</v>
      </c>
      <c r="N32">
        <f t="shared" si="14"/>
        <v>2250</v>
      </c>
      <c r="O32">
        <f t="shared" si="15"/>
        <v>2500</v>
      </c>
      <c r="Q32" s="11">
        <f t="shared" si="17"/>
        <v>4.0869919505451522</v>
      </c>
      <c r="R32" s="12">
        <f t="shared" si="16"/>
        <v>-3.1726949889871853E-3</v>
      </c>
    </row>
    <row r="33" spans="1:18" x14ac:dyDescent="0.25">
      <c r="A33">
        <v>-7</v>
      </c>
      <c r="B33">
        <v>45</v>
      </c>
      <c r="C33">
        <v>50</v>
      </c>
      <c r="E33">
        <v>4.32</v>
      </c>
      <c r="F33" s="2"/>
      <c r="G33">
        <f t="shared" si="9"/>
        <v>-7</v>
      </c>
      <c r="H33" s="10">
        <f t="shared" si="9"/>
        <v>45</v>
      </c>
      <c r="I33">
        <f t="shared" si="9"/>
        <v>50</v>
      </c>
      <c r="J33">
        <f t="shared" si="10"/>
        <v>49</v>
      </c>
      <c r="K33">
        <f t="shared" si="11"/>
        <v>-315</v>
      </c>
      <c r="L33">
        <f t="shared" si="12"/>
        <v>-350</v>
      </c>
      <c r="M33">
        <f t="shared" si="13"/>
        <v>2025</v>
      </c>
      <c r="N33">
        <f t="shared" si="14"/>
        <v>2250</v>
      </c>
      <c r="O33">
        <f t="shared" si="15"/>
        <v>2500</v>
      </c>
      <c r="Q33" s="11">
        <f t="shared" si="17"/>
        <v>4.6047420531683496</v>
      </c>
      <c r="R33" s="12">
        <f t="shared" si="16"/>
        <v>6.5912512307488264E-2</v>
      </c>
    </row>
    <row r="34" spans="1:18" x14ac:dyDescent="0.25">
      <c r="A34">
        <v>2</v>
      </c>
      <c r="B34">
        <v>45</v>
      </c>
      <c r="C34">
        <v>50</v>
      </c>
      <c r="E34">
        <v>4.54</v>
      </c>
      <c r="F34" s="2"/>
      <c r="G34">
        <f t="shared" si="9"/>
        <v>2</v>
      </c>
      <c r="H34" s="10">
        <f t="shared" si="9"/>
        <v>45</v>
      </c>
      <c r="I34">
        <f t="shared" si="9"/>
        <v>50</v>
      </c>
      <c r="J34">
        <f t="shared" si="10"/>
        <v>4</v>
      </c>
      <c r="K34">
        <f t="shared" si="11"/>
        <v>90</v>
      </c>
      <c r="L34">
        <f t="shared" si="12"/>
        <v>100</v>
      </c>
      <c r="M34">
        <f t="shared" si="13"/>
        <v>2025</v>
      </c>
      <c r="N34">
        <f t="shared" si="14"/>
        <v>2250</v>
      </c>
      <c r="O34">
        <f t="shared" si="15"/>
        <v>2500</v>
      </c>
      <c r="Q34" s="11">
        <f t="shared" si="17"/>
        <v>4.827990664149266</v>
      </c>
      <c r="R34" s="12">
        <f t="shared" si="16"/>
        <v>6.3434066993230398E-2</v>
      </c>
    </row>
    <row r="35" spans="1:18" x14ac:dyDescent="0.25">
      <c r="A35">
        <v>7</v>
      </c>
      <c r="B35">
        <v>45</v>
      </c>
      <c r="C35">
        <v>50</v>
      </c>
      <c r="E35">
        <v>4.76</v>
      </c>
      <c r="F35" s="2"/>
      <c r="G35">
        <f t="shared" si="9"/>
        <v>7</v>
      </c>
      <c r="H35" s="10">
        <f t="shared" si="9"/>
        <v>45</v>
      </c>
      <c r="I35">
        <f t="shared" si="9"/>
        <v>50</v>
      </c>
      <c r="J35">
        <f t="shared" si="10"/>
        <v>49</v>
      </c>
      <c r="K35">
        <f t="shared" si="11"/>
        <v>315</v>
      </c>
      <c r="L35">
        <f t="shared" si="12"/>
        <v>350</v>
      </c>
      <c r="M35">
        <f t="shared" si="13"/>
        <v>2025</v>
      </c>
      <c r="N35">
        <f t="shared" si="14"/>
        <v>2250</v>
      </c>
      <c r="O35">
        <f t="shared" si="15"/>
        <v>2500</v>
      </c>
      <c r="Q35" s="11">
        <f t="shared" si="17"/>
        <v>4.7876685342176657</v>
      </c>
      <c r="R35" s="12">
        <f t="shared" si="16"/>
        <v>5.8127172726188886E-3</v>
      </c>
    </row>
    <row r="36" spans="1:18" x14ac:dyDescent="0.25">
      <c r="A36">
        <v>12</v>
      </c>
      <c r="B36">
        <v>45</v>
      </c>
      <c r="C36">
        <v>50</v>
      </c>
      <c r="E36">
        <v>4.88</v>
      </c>
      <c r="F36" s="2"/>
      <c r="G36">
        <f t="shared" si="9"/>
        <v>12</v>
      </c>
      <c r="H36" s="10">
        <f t="shared" si="9"/>
        <v>45</v>
      </c>
      <c r="I36">
        <f t="shared" si="9"/>
        <v>50</v>
      </c>
      <c r="J36">
        <f t="shared" si="10"/>
        <v>144</v>
      </c>
      <c r="K36">
        <f t="shared" si="11"/>
        <v>540</v>
      </c>
      <c r="L36">
        <f t="shared" si="12"/>
        <v>600</v>
      </c>
      <c r="M36">
        <f t="shared" si="13"/>
        <v>2025</v>
      </c>
      <c r="N36">
        <f t="shared" si="14"/>
        <v>2250</v>
      </c>
      <c r="O36">
        <f t="shared" si="15"/>
        <v>2500</v>
      </c>
      <c r="Q36" s="11">
        <f t="shared" si="17"/>
        <v>4.6299541642631308</v>
      </c>
      <c r="R36" s="12">
        <f t="shared" si="16"/>
        <v>-5.1238900765751869E-2</v>
      </c>
    </row>
    <row r="37" spans="1:18" x14ac:dyDescent="0.25">
      <c r="A37">
        <v>-7</v>
      </c>
      <c r="B37">
        <v>55</v>
      </c>
      <c r="C37">
        <v>50</v>
      </c>
      <c r="E37">
        <v>4.83</v>
      </c>
      <c r="F37" s="2"/>
      <c r="G37">
        <f t="shared" si="9"/>
        <v>-7</v>
      </c>
      <c r="H37" s="10">
        <f t="shared" si="9"/>
        <v>55</v>
      </c>
      <c r="I37">
        <f t="shared" si="9"/>
        <v>50</v>
      </c>
      <c r="J37">
        <f t="shared" si="10"/>
        <v>49</v>
      </c>
      <c r="K37">
        <f t="shared" si="11"/>
        <v>-385</v>
      </c>
      <c r="L37">
        <f t="shared" si="12"/>
        <v>-350</v>
      </c>
      <c r="M37">
        <f t="shared" si="13"/>
        <v>3025</v>
      </c>
      <c r="N37">
        <f t="shared" si="14"/>
        <v>2750</v>
      </c>
      <c r="O37">
        <f t="shared" si="15"/>
        <v>2500</v>
      </c>
      <c r="Q37" s="11">
        <f t="shared" si="17"/>
        <v>5.1624531907630207</v>
      </c>
      <c r="R37" s="12">
        <f t="shared" si="16"/>
        <v>6.8830888356733039E-2</v>
      </c>
    </row>
    <row r="38" spans="1:18" x14ac:dyDescent="0.25">
      <c r="A38">
        <v>2</v>
      </c>
      <c r="B38">
        <v>55</v>
      </c>
      <c r="C38">
        <v>50</v>
      </c>
      <c r="E38">
        <v>5.0999999999999996</v>
      </c>
      <c r="F38" s="2"/>
      <c r="G38">
        <f t="shared" si="9"/>
        <v>2</v>
      </c>
      <c r="H38" s="10">
        <f t="shared" si="9"/>
        <v>55</v>
      </c>
      <c r="I38">
        <f t="shared" si="9"/>
        <v>50</v>
      </c>
      <c r="J38">
        <f t="shared" si="10"/>
        <v>4</v>
      </c>
      <c r="K38">
        <f t="shared" si="11"/>
        <v>110</v>
      </c>
      <c r="L38">
        <f t="shared" si="12"/>
        <v>100</v>
      </c>
      <c r="M38">
        <f t="shared" si="13"/>
        <v>3025</v>
      </c>
      <c r="N38">
        <f t="shared" si="14"/>
        <v>2750</v>
      </c>
      <c r="O38">
        <f t="shared" si="15"/>
        <v>2500</v>
      </c>
      <c r="Q38" s="11">
        <f t="shared" si="17"/>
        <v>5.2471943374514609</v>
      </c>
      <c r="R38" s="12">
        <f t="shared" si="16"/>
        <v>2.8861634794404172E-2</v>
      </c>
    </row>
    <row r="39" spans="1:18" x14ac:dyDescent="0.25">
      <c r="A39">
        <v>7</v>
      </c>
      <c r="B39">
        <v>55</v>
      </c>
      <c r="C39">
        <v>50</v>
      </c>
      <c r="E39">
        <v>5.45</v>
      </c>
      <c r="F39" s="2"/>
      <c r="G39">
        <f t="shared" si="9"/>
        <v>7</v>
      </c>
      <c r="H39" s="10">
        <f t="shared" si="9"/>
        <v>55</v>
      </c>
      <c r="I39">
        <f t="shared" si="9"/>
        <v>50</v>
      </c>
      <c r="J39">
        <f t="shared" si="10"/>
        <v>49</v>
      </c>
      <c r="K39">
        <f t="shared" si="11"/>
        <v>385</v>
      </c>
      <c r="L39">
        <f t="shared" si="12"/>
        <v>350</v>
      </c>
      <c r="M39">
        <f t="shared" si="13"/>
        <v>3025</v>
      </c>
      <c r="N39">
        <f t="shared" si="14"/>
        <v>2750</v>
      </c>
      <c r="O39">
        <f t="shared" si="15"/>
        <v>2500</v>
      </c>
      <c r="Q39" s="11">
        <f t="shared" si="17"/>
        <v>5.1299236162462627</v>
      </c>
      <c r="R39" s="12">
        <f t="shared" si="16"/>
        <v>-5.8729611697933483E-2</v>
      </c>
    </row>
    <row r="40" spans="1:18" x14ac:dyDescent="0.25">
      <c r="A40">
        <v>12</v>
      </c>
      <c r="B40">
        <v>55</v>
      </c>
      <c r="C40">
        <v>50</v>
      </c>
      <c r="E40">
        <v>5.55</v>
      </c>
      <c r="F40" s="2"/>
      <c r="G40">
        <f t="shared" si="9"/>
        <v>12</v>
      </c>
      <c r="H40" s="10">
        <f t="shared" si="9"/>
        <v>55</v>
      </c>
      <c r="I40">
        <f t="shared" si="9"/>
        <v>50</v>
      </c>
      <c r="J40">
        <f t="shared" si="10"/>
        <v>144</v>
      </c>
      <c r="K40">
        <f t="shared" si="11"/>
        <v>660</v>
      </c>
      <c r="L40">
        <f t="shared" si="12"/>
        <v>600</v>
      </c>
      <c r="M40">
        <f t="shared" si="13"/>
        <v>3025</v>
      </c>
      <c r="N40">
        <f t="shared" si="14"/>
        <v>2750</v>
      </c>
      <c r="O40">
        <f t="shared" si="15"/>
        <v>2500</v>
      </c>
      <c r="Q40" s="11">
        <f t="shared" si="17"/>
        <v>4.8952606550181299</v>
      </c>
      <c r="R40" s="12">
        <f t="shared" si="16"/>
        <v>-0.11797105314988647</v>
      </c>
    </row>
    <row r="41" spans="1:18" x14ac:dyDescent="0.25">
      <c r="A41">
        <v>-15</v>
      </c>
      <c r="B41">
        <v>55</v>
      </c>
      <c r="C41">
        <v>50</v>
      </c>
      <c r="E41">
        <v>4.6100000000000003</v>
      </c>
      <c r="F41" s="2"/>
      <c r="G41">
        <f t="shared" si="9"/>
        <v>-15</v>
      </c>
      <c r="H41" s="10">
        <f t="shared" si="9"/>
        <v>55</v>
      </c>
      <c r="I41">
        <f t="shared" si="9"/>
        <v>50</v>
      </c>
      <c r="J41">
        <f t="shared" si="10"/>
        <v>225</v>
      </c>
      <c r="K41">
        <f t="shared" si="11"/>
        <v>-825</v>
      </c>
      <c r="L41">
        <f t="shared" si="12"/>
        <v>-750</v>
      </c>
      <c r="M41">
        <f t="shared" si="13"/>
        <v>3025</v>
      </c>
      <c r="N41">
        <f t="shared" si="14"/>
        <v>2750</v>
      </c>
      <c r="O41">
        <f t="shared" si="15"/>
        <v>2500</v>
      </c>
      <c r="Q41" s="11">
        <f t="shared" si="17"/>
        <v>4.767820834177579</v>
      </c>
      <c r="R41" s="12">
        <f t="shared" si="16"/>
        <v>3.4234454268455235E-2</v>
      </c>
    </row>
    <row r="42" spans="1:18" x14ac:dyDescent="0.25">
      <c r="A42">
        <v>2</v>
      </c>
      <c r="B42">
        <v>65</v>
      </c>
      <c r="C42">
        <v>50</v>
      </c>
      <c r="E42">
        <v>5.86</v>
      </c>
      <c r="F42" s="2"/>
      <c r="G42">
        <f t="shared" si="9"/>
        <v>2</v>
      </c>
      <c r="H42" s="10">
        <f t="shared" si="9"/>
        <v>65</v>
      </c>
      <c r="I42">
        <f t="shared" si="9"/>
        <v>50</v>
      </c>
      <c r="J42">
        <f t="shared" si="10"/>
        <v>4</v>
      </c>
      <c r="K42">
        <f t="shared" si="11"/>
        <v>130</v>
      </c>
      <c r="L42">
        <f t="shared" si="12"/>
        <v>100</v>
      </c>
      <c r="M42">
        <f t="shared" si="13"/>
        <v>4225</v>
      </c>
      <c r="N42">
        <f t="shared" si="14"/>
        <v>3250</v>
      </c>
      <c r="O42">
        <f t="shared" si="15"/>
        <v>2500</v>
      </c>
      <c r="Q42" s="11">
        <f t="shared" si="17"/>
        <v>5.4074997665246123</v>
      </c>
      <c r="R42" s="12">
        <f t="shared" si="16"/>
        <v>-7.7218469876346077E-2</v>
      </c>
    </row>
    <row r="43" spans="1:18" x14ac:dyDescent="0.25">
      <c r="A43">
        <v>7</v>
      </c>
      <c r="B43">
        <v>65</v>
      </c>
      <c r="C43">
        <v>50</v>
      </c>
      <c r="E43">
        <v>6.24</v>
      </c>
      <c r="F43" s="2"/>
      <c r="G43">
        <f t="shared" si="9"/>
        <v>7</v>
      </c>
      <c r="H43" s="10">
        <f t="shared" si="9"/>
        <v>65</v>
      </c>
      <c r="I43">
        <f t="shared" si="9"/>
        <v>50</v>
      </c>
      <c r="J43">
        <f t="shared" si="10"/>
        <v>49</v>
      </c>
      <c r="K43">
        <f t="shared" si="11"/>
        <v>455</v>
      </c>
      <c r="L43">
        <f t="shared" si="12"/>
        <v>350</v>
      </c>
      <c r="M43">
        <f t="shared" si="13"/>
        <v>4225</v>
      </c>
      <c r="N43">
        <f t="shared" si="14"/>
        <v>3250</v>
      </c>
      <c r="O43">
        <f t="shared" si="15"/>
        <v>2500</v>
      </c>
      <c r="Q43" s="11">
        <f t="shared" si="17"/>
        <v>5.2132804540458171</v>
      </c>
      <c r="R43" s="12">
        <f t="shared" si="16"/>
        <v>-0.16453838877470883</v>
      </c>
    </row>
    <row r="44" spans="1:18" x14ac:dyDescent="0.25">
      <c r="A44">
        <v>12</v>
      </c>
      <c r="B44">
        <v>65</v>
      </c>
      <c r="C44">
        <v>50</v>
      </c>
      <c r="E44">
        <v>3.31</v>
      </c>
      <c r="G44">
        <f t="shared" si="9"/>
        <v>12</v>
      </c>
      <c r="H44" s="10">
        <f t="shared" si="9"/>
        <v>65</v>
      </c>
      <c r="I44">
        <f t="shared" si="9"/>
        <v>50</v>
      </c>
      <c r="J44">
        <f t="shared" si="10"/>
        <v>144</v>
      </c>
      <c r="K44">
        <f t="shared" si="11"/>
        <v>780</v>
      </c>
      <c r="L44">
        <f t="shared" si="12"/>
        <v>600</v>
      </c>
      <c r="M44">
        <f t="shared" si="13"/>
        <v>4225</v>
      </c>
      <c r="N44">
        <f t="shared" si="14"/>
        <v>3250</v>
      </c>
      <c r="O44">
        <f t="shared" si="15"/>
        <v>2500</v>
      </c>
      <c r="Q44" s="11">
        <f t="shared" si="17"/>
        <v>4.9016689015440864</v>
      </c>
      <c r="R44" s="12">
        <f t="shared" si="16"/>
        <v>0.4808667376266122</v>
      </c>
    </row>
    <row r="47" spans="1:18" x14ac:dyDescent="0.25">
      <c r="A47" t="s">
        <v>28</v>
      </c>
      <c r="G47" s="4" t="s">
        <v>1</v>
      </c>
      <c r="H47" s="4" t="s">
        <v>2</v>
      </c>
      <c r="I47" s="4" t="s">
        <v>3</v>
      </c>
      <c r="J47" s="4" t="s">
        <v>4</v>
      </c>
      <c r="K47" s="4" t="s">
        <v>5</v>
      </c>
      <c r="L47" s="4" t="s">
        <v>6</v>
      </c>
      <c r="M47" s="4" t="s">
        <v>7</v>
      </c>
      <c r="N47" s="4" t="s">
        <v>8</v>
      </c>
      <c r="O47" s="4" t="s">
        <v>9</v>
      </c>
      <c r="P47" s="4" t="s">
        <v>10</v>
      </c>
    </row>
    <row r="48" spans="1:18" x14ac:dyDescent="0.25">
      <c r="A48" s="1"/>
      <c r="C48" s="1"/>
      <c r="D48" s="1"/>
      <c r="E48" s="1"/>
      <c r="F48" s="1"/>
      <c r="G48" s="4">
        <f t="array" ref="G48:P48">LINEST(E50:E67,G50:O67)</f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50</v>
      </c>
    </row>
    <row r="49" spans="1:18" ht="45" x14ac:dyDescent="0.25">
      <c r="A49" s="5" t="s">
        <v>11</v>
      </c>
      <c r="B49" s="5" t="s">
        <v>12</v>
      </c>
      <c r="C49" s="5" t="s">
        <v>14</v>
      </c>
      <c r="E49" s="7" t="s">
        <v>13</v>
      </c>
      <c r="F49" s="3"/>
      <c r="G49" s="8" t="s">
        <v>17</v>
      </c>
      <c r="H49" s="8" t="s">
        <v>18</v>
      </c>
      <c r="I49" s="8" t="s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3"/>
      <c r="Q49" s="9" t="s">
        <v>16</v>
      </c>
      <c r="R49" s="9" t="s">
        <v>15</v>
      </c>
    </row>
    <row r="50" spans="1:18" x14ac:dyDescent="0.25">
      <c r="A50">
        <v>-15</v>
      </c>
      <c r="B50">
        <v>35</v>
      </c>
      <c r="C50" s="2">
        <f>E4</f>
        <v>8.9600000000000009</v>
      </c>
      <c r="E50">
        <v>50</v>
      </c>
      <c r="F50" s="2"/>
      <c r="G50">
        <f t="shared" ref="G50:I67" si="18">A50</f>
        <v>-15</v>
      </c>
      <c r="H50" s="10">
        <f t="shared" si="18"/>
        <v>35</v>
      </c>
      <c r="I50">
        <f t="shared" si="18"/>
        <v>8.9600000000000009</v>
      </c>
      <c r="J50">
        <f t="shared" ref="J50:J67" si="19">G50^2</f>
        <v>225</v>
      </c>
      <c r="K50">
        <f t="shared" ref="K50:K67" si="20">G50*H50</f>
        <v>-525</v>
      </c>
      <c r="L50">
        <f t="shared" ref="L50:L67" si="21">G50*I50</f>
        <v>-134.4</v>
      </c>
      <c r="M50">
        <f t="shared" ref="M50:M67" si="22">H50^2</f>
        <v>1225</v>
      </c>
      <c r="N50">
        <f t="shared" ref="N50:N67" si="23">H50*I50</f>
        <v>313.60000000000002</v>
      </c>
      <c r="O50">
        <f t="shared" ref="O50:O67" si="24">I50^2</f>
        <v>80.281600000000012</v>
      </c>
      <c r="Q50" s="11">
        <f t="shared" ref="Q50:Q67" si="25">$P$48+$O$2*G50+$N$48*H50+$M$48*I50+$L$48*J50+$K$48*K50+$J$48*L50+$I$48*M50+$H$48*N50+$G$48*O50</f>
        <v>50</v>
      </c>
      <c r="R50" s="12">
        <f t="shared" ref="R50:R67" si="26">(Q50-E50)/E50</f>
        <v>0</v>
      </c>
    </row>
    <row r="51" spans="1:18" x14ac:dyDescent="0.25">
      <c r="A51">
        <v>-7</v>
      </c>
      <c r="B51">
        <v>35</v>
      </c>
      <c r="C51" s="2">
        <f t="shared" ref="C51:C67" si="27">E5</f>
        <v>11.42</v>
      </c>
      <c r="E51">
        <v>50</v>
      </c>
      <c r="F51" s="2"/>
      <c r="G51">
        <f t="shared" si="18"/>
        <v>-7</v>
      </c>
      <c r="H51" s="10">
        <f t="shared" si="18"/>
        <v>35</v>
      </c>
      <c r="I51">
        <f t="shared" si="18"/>
        <v>11.42</v>
      </c>
      <c r="J51">
        <f t="shared" si="19"/>
        <v>49</v>
      </c>
      <c r="K51">
        <f t="shared" si="20"/>
        <v>-245</v>
      </c>
      <c r="L51">
        <f t="shared" si="21"/>
        <v>-79.94</v>
      </c>
      <c r="M51">
        <f t="shared" si="22"/>
        <v>1225</v>
      </c>
      <c r="N51">
        <f t="shared" si="23"/>
        <v>399.7</v>
      </c>
      <c r="O51">
        <f t="shared" si="24"/>
        <v>130.41640000000001</v>
      </c>
      <c r="Q51" s="11">
        <f t="shared" si="25"/>
        <v>50</v>
      </c>
      <c r="R51" s="12">
        <f t="shared" si="26"/>
        <v>0</v>
      </c>
    </row>
    <row r="52" spans="1:18" x14ac:dyDescent="0.25">
      <c r="A52">
        <v>2</v>
      </c>
      <c r="B52">
        <v>35</v>
      </c>
      <c r="C52" s="2">
        <f t="shared" si="27"/>
        <v>13.87</v>
      </c>
      <c r="E52">
        <v>50</v>
      </c>
      <c r="F52" s="2"/>
      <c r="G52">
        <f t="shared" si="18"/>
        <v>2</v>
      </c>
      <c r="H52" s="10">
        <f t="shared" si="18"/>
        <v>35</v>
      </c>
      <c r="I52">
        <f t="shared" si="18"/>
        <v>13.87</v>
      </c>
      <c r="J52">
        <f t="shared" si="19"/>
        <v>4</v>
      </c>
      <c r="K52">
        <f t="shared" si="20"/>
        <v>70</v>
      </c>
      <c r="L52">
        <f t="shared" si="21"/>
        <v>27.74</v>
      </c>
      <c r="M52">
        <f t="shared" si="22"/>
        <v>1225</v>
      </c>
      <c r="N52">
        <f t="shared" si="23"/>
        <v>485.45</v>
      </c>
      <c r="O52">
        <f t="shared" si="24"/>
        <v>192.37689999999998</v>
      </c>
      <c r="Q52" s="11">
        <f t="shared" si="25"/>
        <v>50</v>
      </c>
      <c r="R52" s="12">
        <f t="shared" si="26"/>
        <v>0</v>
      </c>
    </row>
    <row r="53" spans="1:18" x14ac:dyDescent="0.25">
      <c r="A53">
        <v>7</v>
      </c>
      <c r="B53">
        <v>35</v>
      </c>
      <c r="C53" s="2">
        <f t="shared" si="27"/>
        <v>17.55</v>
      </c>
      <c r="E53">
        <v>50</v>
      </c>
      <c r="F53" s="2"/>
      <c r="G53">
        <f t="shared" si="18"/>
        <v>7</v>
      </c>
      <c r="H53" s="10">
        <f t="shared" si="18"/>
        <v>35</v>
      </c>
      <c r="I53">
        <f t="shared" si="18"/>
        <v>17.55</v>
      </c>
      <c r="J53">
        <f t="shared" si="19"/>
        <v>49</v>
      </c>
      <c r="K53">
        <f t="shared" si="20"/>
        <v>245</v>
      </c>
      <c r="L53">
        <f t="shared" si="21"/>
        <v>122.85000000000001</v>
      </c>
      <c r="M53">
        <f t="shared" si="22"/>
        <v>1225</v>
      </c>
      <c r="N53">
        <f t="shared" si="23"/>
        <v>614.25</v>
      </c>
      <c r="O53">
        <f t="shared" si="24"/>
        <v>308.0025</v>
      </c>
      <c r="Q53" s="11">
        <f t="shared" si="25"/>
        <v>50</v>
      </c>
      <c r="R53" s="12">
        <f t="shared" si="26"/>
        <v>0</v>
      </c>
    </row>
    <row r="54" spans="1:18" x14ac:dyDescent="0.25">
      <c r="A54">
        <v>12</v>
      </c>
      <c r="B54">
        <v>35</v>
      </c>
      <c r="C54" s="2">
        <f t="shared" si="27"/>
        <v>20.78</v>
      </c>
      <c r="E54">
        <v>50</v>
      </c>
      <c r="F54" s="2"/>
      <c r="G54">
        <f t="shared" si="18"/>
        <v>12</v>
      </c>
      <c r="H54" s="10">
        <f t="shared" si="18"/>
        <v>35</v>
      </c>
      <c r="I54">
        <f t="shared" si="18"/>
        <v>20.78</v>
      </c>
      <c r="J54">
        <f t="shared" si="19"/>
        <v>144</v>
      </c>
      <c r="K54">
        <f t="shared" si="20"/>
        <v>420</v>
      </c>
      <c r="L54">
        <f t="shared" si="21"/>
        <v>249.36</v>
      </c>
      <c r="M54">
        <f t="shared" si="22"/>
        <v>1225</v>
      </c>
      <c r="N54">
        <f t="shared" si="23"/>
        <v>727.30000000000007</v>
      </c>
      <c r="O54">
        <f t="shared" si="24"/>
        <v>431.80840000000006</v>
      </c>
      <c r="Q54" s="11">
        <f t="shared" si="25"/>
        <v>50</v>
      </c>
      <c r="R54" s="12">
        <f t="shared" si="26"/>
        <v>0</v>
      </c>
    </row>
    <row r="55" spans="1:18" x14ac:dyDescent="0.25">
      <c r="A55">
        <v>-15</v>
      </c>
      <c r="B55">
        <v>45</v>
      </c>
      <c r="C55" s="2">
        <f t="shared" si="27"/>
        <v>8.5399999999999991</v>
      </c>
      <c r="E55">
        <v>50</v>
      </c>
      <c r="F55" s="2"/>
      <c r="G55">
        <f t="shared" si="18"/>
        <v>-15</v>
      </c>
      <c r="H55" s="10">
        <f t="shared" si="18"/>
        <v>45</v>
      </c>
      <c r="I55">
        <f t="shared" si="18"/>
        <v>8.5399999999999991</v>
      </c>
      <c r="J55">
        <f t="shared" si="19"/>
        <v>225</v>
      </c>
      <c r="K55">
        <f t="shared" si="20"/>
        <v>-675</v>
      </c>
      <c r="L55">
        <f t="shared" si="21"/>
        <v>-128.1</v>
      </c>
      <c r="M55">
        <f t="shared" si="22"/>
        <v>2025</v>
      </c>
      <c r="N55">
        <f t="shared" si="23"/>
        <v>384.29999999999995</v>
      </c>
      <c r="O55">
        <f t="shared" si="24"/>
        <v>72.931599999999989</v>
      </c>
      <c r="Q55" s="11">
        <f t="shared" si="25"/>
        <v>50</v>
      </c>
      <c r="R55" s="12">
        <f t="shared" si="26"/>
        <v>0</v>
      </c>
    </row>
    <row r="56" spans="1:18" x14ac:dyDescent="0.25">
      <c r="A56">
        <v>-7</v>
      </c>
      <c r="B56">
        <v>45</v>
      </c>
      <c r="C56" s="2">
        <f t="shared" si="27"/>
        <v>11.02</v>
      </c>
      <c r="E56">
        <v>50</v>
      </c>
      <c r="F56" s="2"/>
      <c r="G56">
        <f t="shared" si="18"/>
        <v>-7</v>
      </c>
      <c r="H56" s="10">
        <f t="shared" si="18"/>
        <v>45</v>
      </c>
      <c r="I56">
        <f t="shared" si="18"/>
        <v>11.02</v>
      </c>
      <c r="J56">
        <f t="shared" si="19"/>
        <v>49</v>
      </c>
      <c r="K56">
        <f t="shared" si="20"/>
        <v>-315</v>
      </c>
      <c r="L56">
        <f t="shared" si="21"/>
        <v>-77.14</v>
      </c>
      <c r="M56">
        <f t="shared" si="22"/>
        <v>2025</v>
      </c>
      <c r="N56">
        <f t="shared" si="23"/>
        <v>495.9</v>
      </c>
      <c r="O56">
        <f t="shared" si="24"/>
        <v>121.4404</v>
      </c>
      <c r="Q56" s="11">
        <f t="shared" si="25"/>
        <v>50</v>
      </c>
      <c r="R56" s="12">
        <f t="shared" si="26"/>
        <v>0</v>
      </c>
    </row>
    <row r="57" spans="1:18" x14ac:dyDescent="0.25">
      <c r="A57">
        <v>2</v>
      </c>
      <c r="B57">
        <v>45</v>
      </c>
      <c r="C57" s="2">
        <f t="shared" si="27"/>
        <v>13.43</v>
      </c>
      <c r="E57">
        <v>50</v>
      </c>
      <c r="F57" s="2"/>
      <c r="G57">
        <f t="shared" si="18"/>
        <v>2</v>
      </c>
      <c r="H57" s="10">
        <f t="shared" si="18"/>
        <v>45</v>
      </c>
      <c r="I57">
        <f t="shared" si="18"/>
        <v>13.43</v>
      </c>
      <c r="J57">
        <f t="shared" si="19"/>
        <v>4</v>
      </c>
      <c r="K57">
        <f t="shared" si="20"/>
        <v>90</v>
      </c>
      <c r="L57">
        <f t="shared" si="21"/>
        <v>26.86</v>
      </c>
      <c r="M57">
        <f t="shared" si="22"/>
        <v>2025</v>
      </c>
      <c r="N57">
        <f t="shared" si="23"/>
        <v>604.35</v>
      </c>
      <c r="O57">
        <f t="shared" si="24"/>
        <v>180.36490000000001</v>
      </c>
      <c r="Q57" s="11">
        <f t="shared" si="25"/>
        <v>50</v>
      </c>
      <c r="R57" s="12">
        <f t="shared" si="26"/>
        <v>0</v>
      </c>
    </row>
    <row r="58" spans="1:18" x14ac:dyDescent="0.25">
      <c r="A58">
        <v>7</v>
      </c>
      <c r="B58">
        <v>45</v>
      </c>
      <c r="C58" s="2">
        <f t="shared" si="27"/>
        <v>17.190000000000001</v>
      </c>
      <c r="E58">
        <v>50</v>
      </c>
      <c r="F58" s="2"/>
      <c r="G58">
        <f t="shared" si="18"/>
        <v>7</v>
      </c>
      <c r="H58" s="10">
        <f t="shared" si="18"/>
        <v>45</v>
      </c>
      <c r="I58">
        <f t="shared" si="18"/>
        <v>17.190000000000001</v>
      </c>
      <c r="J58">
        <f t="shared" si="19"/>
        <v>49</v>
      </c>
      <c r="K58">
        <f t="shared" si="20"/>
        <v>315</v>
      </c>
      <c r="L58">
        <f t="shared" si="21"/>
        <v>120.33000000000001</v>
      </c>
      <c r="M58">
        <f t="shared" si="22"/>
        <v>2025</v>
      </c>
      <c r="N58">
        <f t="shared" si="23"/>
        <v>773.55000000000007</v>
      </c>
      <c r="O58">
        <f t="shared" si="24"/>
        <v>295.49610000000007</v>
      </c>
      <c r="Q58" s="11">
        <f t="shared" si="25"/>
        <v>50</v>
      </c>
      <c r="R58" s="12">
        <f t="shared" si="26"/>
        <v>0</v>
      </c>
    </row>
    <row r="59" spans="1:18" x14ac:dyDescent="0.25">
      <c r="A59">
        <v>12</v>
      </c>
      <c r="B59">
        <v>45</v>
      </c>
      <c r="C59" s="2">
        <f t="shared" si="27"/>
        <v>19.7</v>
      </c>
      <c r="E59">
        <v>50</v>
      </c>
      <c r="F59" s="2"/>
      <c r="G59">
        <f t="shared" si="18"/>
        <v>12</v>
      </c>
      <c r="H59" s="10">
        <f t="shared" si="18"/>
        <v>45</v>
      </c>
      <c r="I59">
        <f t="shared" si="18"/>
        <v>19.7</v>
      </c>
      <c r="J59">
        <f t="shared" si="19"/>
        <v>144</v>
      </c>
      <c r="K59">
        <f t="shared" si="20"/>
        <v>540</v>
      </c>
      <c r="L59">
        <f t="shared" si="21"/>
        <v>236.39999999999998</v>
      </c>
      <c r="M59">
        <f t="shared" si="22"/>
        <v>2025</v>
      </c>
      <c r="N59">
        <f t="shared" si="23"/>
        <v>886.5</v>
      </c>
      <c r="O59">
        <f t="shared" si="24"/>
        <v>388.09</v>
      </c>
      <c r="Q59" s="11">
        <f t="shared" si="25"/>
        <v>50</v>
      </c>
      <c r="R59" s="12">
        <f t="shared" si="26"/>
        <v>0</v>
      </c>
    </row>
    <row r="60" spans="1:18" x14ac:dyDescent="0.25">
      <c r="A60">
        <v>-7</v>
      </c>
      <c r="B60">
        <v>55</v>
      </c>
      <c r="C60" s="2">
        <f t="shared" si="27"/>
        <v>10.91</v>
      </c>
      <c r="E60">
        <v>50</v>
      </c>
      <c r="F60" s="2"/>
      <c r="G60">
        <f t="shared" si="18"/>
        <v>-7</v>
      </c>
      <c r="H60" s="10">
        <f t="shared" si="18"/>
        <v>55</v>
      </c>
      <c r="I60">
        <f t="shared" si="18"/>
        <v>10.91</v>
      </c>
      <c r="J60">
        <f t="shared" si="19"/>
        <v>49</v>
      </c>
      <c r="K60">
        <f t="shared" si="20"/>
        <v>-385</v>
      </c>
      <c r="L60">
        <f t="shared" si="21"/>
        <v>-76.37</v>
      </c>
      <c r="M60">
        <f t="shared" si="22"/>
        <v>3025</v>
      </c>
      <c r="N60">
        <f t="shared" si="23"/>
        <v>600.04999999999995</v>
      </c>
      <c r="O60">
        <f t="shared" si="24"/>
        <v>119.02810000000001</v>
      </c>
      <c r="Q60" s="11">
        <f t="shared" si="25"/>
        <v>50</v>
      </c>
      <c r="R60" s="12">
        <f t="shared" si="26"/>
        <v>0</v>
      </c>
    </row>
    <row r="61" spans="1:18" x14ac:dyDescent="0.25">
      <c r="A61">
        <v>2</v>
      </c>
      <c r="B61">
        <v>55</v>
      </c>
      <c r="C61" s="2">
        <f t="shared" si="27"/>
        <v>13.05</v>
      </c>
      <c r="E61">
        <v>50</v>
      </c>
      <c r="F61" s="2"/>
      <c r="G61">
        <f t="shared" si="18"/>
        <v>2</v>
      </c>
      <c r="H61" s="10">
        <f t="shared" si="18"/>
        <v>55</v>
      </c>
      <c r="I61">
        <f t="shared" si="18"/>
        <v>13.05</v>
      </c>
      <c r="J61">
        <f t="shared" si="19"/>
        <v>4</v>
      </c>
      <c r="K61">
        <f t="shared" si="20"/>
        <v>110</v>
      </c>
      <c r="L61">
        <f t="shared" si="21"/>
        <v>26.1</v>
      </c>
      <c r="M61">
        <f t="shared" si="22"/>
        <v>3025</v>
      </c>
      <c r="N61">
        <f t="shared" si="23"/>
        <v>717.75</v>
      </c>
      <c r="O61">
        <f t="shared" si="24"/>
        <v>170.30250000000001</v>
      </c>
      <c r="Q61" s="11">
        <f t="shared" si="25"/>
        <v>50</v>
      </c>
      <c r="R61" s="12">
        <f t="shared" si="26"/>
        <v>0</v>
      </c>
    </row>
    <row r="62" spans="1:18" x14ac:dyDescent="0.25">
      <c r="A62">
        <v>7</v>
      </c>
      <c r="B62">
        <v>55</v>
      </c>
      <c r="C62" s="2">
        <f t="shared" si="27"/>
        <v>15.94</v>
      </c>
      <c r="E62">
        <v>50</v>
      </c>
      <c r="F62" s="2"/>
      <c r="G62">
        <f t="shared" si="18"/>
        <v>7</v>
      </c>
      <c r="H62" s="10">
        <f t="shared" si="18"/>
        <v>55</v>
      </c>
      <c r="I62">
        <f t="shared" si="18"/>
        <v>15.94</v>
      </c>
      <c r="J62">
        <f t="shared" si="19"/>
        <v>49</v>
      </c>
      <c r="K62">
        <f t="shared" si="20"/>
        <v>385</v>
      </c>
      <c r="L62">
        <f t="shared" si="21"/>
        <v>111.58</v>
      </c>
      <c r="M62">
        <f t="shared" si="22"/>
        <v>3025</v>
      </c>
      <c r="N62">
        <f t="shared" si="23"/>
        <v>876.69999999999993</v>
      </c>
      <c r="O62">
        <f t="shared" si="24"/>
        <v>254.08359999999999</v>
      </c>
      <c r="Q62" s="11">
        <f t="shared" si="25"/>
        <v>50</v>
      </c>
      <c r="R62" s="12">
        <f t="shared" si="26"/>
        <v>0</v>
      </c>
    </row>
    <row r="63" spans="1:18" x14ac:dyDescent="0.25">
      <c r="A63">
        <v>12</v>
      </c>
      <c r="B63">
        <v>55</v>
      </c>
      <c r="C63" s="2">
        <f t="shared" si="27"/>
        <v>18.34</v>
      </c>
      <c r="E63">
        <v>50</v>
      </c>
      <c r="F63" s="2"/>
      <c r="G63">
        <f t="shared" si="18"/>
        <v>12</v>
      </c>
      <c r="H63" s="10">
        <f t="shared" si="18"/>
        <v>55</v>
      </c>
      <c r="I63">
        <f t="shared" si="18"/>
        <v>18.34</v>
      </c>
      <c r="J63">
        <f t="shared" si="19"/>
        <v>144</v>
      </c>
      <c r="K63">
        <f t="shared" si="20"/>
        <v>660</v>
      </c>
      <c r="L63">
        <f t="shared" si="21"/>
        <v>220.07999999999998</v>
      </c>
      <c r="M63">
        <f t="shared" si="22"/>
        <v>3025</v>
      </c>
      <c r="N63">
        <f t="shared" si="23"/>
        <v>1008.7</v>
      </c>
      <c r="O63">
        <f t="shared" si="24"/>
        <v>336.35559999999998</v>
      </c>
      <c r="Q63" s="11">
        <f t="shared" si="25"/>
        <v>50</v>
      </c>
      <c r="R63" s="12">
        <f t="shared" si="26"/>
        <v>0</v>
      </c>
    </row>
    <row r="64" spans="1:18" x14ac:dyDescent="0.25">
      <c r="A64">
        <v>-15</v>
      </c>
      <c r="B64">
        <v>55</v>
      </c>
      <c r="C64" s="2">
        <f t="shared" si="27"/>
        <v>8.36</v>
      </c>
      <c r="E64">
        <v>50</v>
      </c>
      <c r="F64" s="2"/>
      <c r="G64">
        <f t="shared" si="18"/>
        <v>-15</v>
      </c>
      <c r="H64" s="10">
        <f t="shared" si="18"/>
        <v>55</v>
      </c>
      <c r="I64">
        <f t="shared" si="18"/>
        <v>8.36</v>
      </c>
      <c r="J64">
        <f t="shared" si="19"/>
        <v>225</v>
      </c>
      <c r="K64">
        <f t="shared" si="20"/>
        <v>-825</v>
      </c>
      <c r="L64">
        <f t="shared" si="21"/>
        <v>-125.39999999999999</v>
      </c>
      <c r="M64">
        <f t="shared" si="22"/>
        <v>3025</v>
      </c>
      <c r="N64">
        <f t="shared" si="23"/>
        <v>459.79999999999995</v>
      </c>
      <c r="O64">
        <f t="shared" si="24"/>
        <v>69.889599999999987</v>
      </c>
      <c r="Q64" s="11">
        <f t="shared" si="25"/>
        <v>50</v>
      </c>
      <c r="R64" s="12">
        <f t="shared" si="26"/>
        <v>0</v>
      </c>
    </row>
    <row r="65" spans="1:18" x14ac:dyDescent="0.25">
      <c r="A65">
        <v>2</v>
      </c>
      <c r="B65">
        <v>65</v>
      </c>
      <c r="C65" s="2">
        <f t="shared" si="27"/>
        <v>12.02</v>
      </c>
      <c r="E65">
        <v>50</v>
      </c>
      <c r="F65" s="2"/>
      <c r="G65">
        <f t="shared" si="18"/>
        <v>2</v>
      </c>
      <c r="H65" s="10">
        <f t="shared" si="18"/>
        <v>65</v>
      </c>
      <c r="I65">
        <f t="shared" si="18"/>
        <v>12.02</v>
      </c>
      <c r="J65">
        <f t="shared" si="19"/>
        <v>4</v>
      </c>
      <c r="K65">
        <f t="shared" si="20"/>
        <v>130</v>
      </c>
      <c r="L65">
        <f t="shared" si="21"/>
        <v>24.04</v>
      </c>
      <c r="M65">
        <f t="shared" si="22"/>
        <v>4225</v>
      </c>
      <c r="N65">
        <f t="shared" si="23"/>
        <v>781.3</v>
      </c>
      <c r="O65">
        <f t="shared" si="24"/>
        <v>144.4804</v>
      </c>
      <c r="Q65" s="11">
        <f t="shared" si="25"/>
        <v>50</v>
      </c>
      <c r="R65" s="12">
        <f t="shared" si="26"/>
        <v>0</v>
      </c>
    </row>
    <row r="66" spans="1:18" x14ac:dyDescent="0.25">
      <c r="A66">
        <v>7</v>
      </c>
      <c r="B66">
        <v>65</v>
      </c>
      <c r="C66" s="2">
        <f t="shared" si="27"/>
        <v>14.85</v>
      </c>
      <c r="E66">
        <v>50</v>
      </c>
      <c r="F66" s="2"/>
      <c r="G66">
        <f t="shared" si="18"/>
        <v>7</v>
      </c>
      <c r="H66" s="10">
        <f t="shared" si="18"/>
        <v>65</v>
      </c>
      <c r="I66">
        <f t="shared" si="18"/>
        <v>14.85</v>
      </c>
      <c r="J66">
        <f t="shared" si="19"/>
        <v>49</v>
      </c>
      <c r="K66">
        <f t="shared" si="20"/>
        <v>455</v>
      </c>
      <c r="L66">
        <f t="shared" si="21"/>
        <v>103.95</v>
      </c>
      <c r="M66">
        <f t="shared" si="22"/>
        <v>4225</v>
      </c>
      <c r="N66">
        <f t="shared" si="23"/>
        <v>965.25</v>
      </c>
      <c r="O66">
        <f t="shared" si="24"/>
        <v>220.52249999999998</v>
      </c>
      <c r="Q66" s="11">
        <f t="shared" si="25"/>
        <v>50</v>
      </c>
      <c r="R66" s="12">
        <f t="shared" si="26"/>
        <v>0</v>
      </c>
    </row>
    <row r="67" spans="1:18" x14ac:dyDescent="0.25">
      <c r="A67">
        <v>12</v>
      </c>
      <c r="B67">
        <v>65</v>
      </c>
      <c r="C67" s="2">
        <f t="shared" si="27"/>
        <v>17.3</v>
      </c>
      <c r="E67">
        <v>50</v>
      </c>
      <c r="G67">
        <f t="shared" si="18"/>
        <v>12</v>
      </c>
      <c r="H67" s="10">
        <f t="shared" si="18"/>
        <v>65</v>
      </c>
      <c r="I67">
        <f t="shared" si="18"/>
        <v>17.3</v>
      </c>
      <c r="J67">
        <f t="shared" si="19"/>
        <v>144</v>
      </c>
      <c r="K67">
        <f t="shared" si="20"/>
        <v>780</v>
      </c>
      <c r="L67">
        <f t="shared" si="21"/>
        <v>207.60000000000002</v>
      </c>
      <c r="M67">
        <f t="shared" si="22"/>
        <v>4225</v>
      </c>
      <c r="N67">
        <f t="shared" si="23"/>
        <v>1124.5</v>
      </c>
      <c r="O67">
        <f t="shared" si="24"/>
        <v>299.29000000000002</v>
      </c>
      <c r="Q67" s="11">
        <f t="shared" si="25"/>
        <v>50</v>
      </c>
      <c r="R6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638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6385" r:id="rId4"/>
      </mc:Fallback>
    </mc:AlternateContent>
    <mc:AlternateContent xmlns:mc="http://schemas.openxmlformats.org/markup-compatibility/2006">
      <mc:Choice Requires="x14">
        <oleObject progId="Equation.3" shapeId="16386" r:id="rId6">
          <objectPr defaultSize="0" autoPict="0" r:id="rId5">
            <anchor moveWithCells="1" sizeWithCells="1">
              <from>
                <xdr:col>6</xdr:col>
                <xdr:colOff>171450</xdr:colOff>
                <xdr:row>25</xdr:row>
                <xdr:rowOff>38100</xdr:rowOff>
              </from>
              <to>
                <xdr:col>14</xdr:col>
                <xdr:colOff>1466850</xdr:colOff>
                <xdr:row>25</xdr:row>
                <xdr:rowOff>647700</xdr:rowOff>
              </to>
            </anchor>
          </objectPr>
        </oleObject>
      </mc:Choice>
      <mc:Fallback>
        <oleObject progId="Equation.3" shapeId="16386" r:id="rId6"/>
      </mc:Fallback>
    </mc:AlternateContent>
    <mc:AlternateContent xmlns:mc="http://schemas.openxmlformats.org/markup-compatibility/2006">
      <mc:Choice Requires="x14">
        <oleObject progId="Equation.3" shapeId="16387" r:id="rId7">
          <objectPr defaultSize="0" autoPict="0" r:id="rId5">
            <anchor moveWithCells="1" sizeWithCells="1">
              <from>
                <xdr:col>6</xdr:col>
                <xdr:colOff>171450</xdr:colOff>
                <xdr:row>48</xdr:row>
                <xdr:rowOff>38100</xdr:rowOff>
              </from>
              <to>
                <xdr:col>14</xdr:col>
                <xdr:colOff>1466850</xdr:colOff>
                <xdr:row>48</xdr:row>
                <xdr:rowOff>647700</xdr:rowOff>
              </to>
            </anchor>
          </objectPr>
        </oleObject>
      </mc:Choice>
      <mc:Fallback>
        <oleObject progId="Equation.3" shapeId="16387" r:id="rId7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ist11"/>
  <dimension ref="A1:T124"/>
  <sheetViews>
    <sheetView zoomScale="70" zoomScaleNormal="70" workbookViewId="0">
      <selection activeCell="H2" sqref="H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LINEST(E4:E40,G4:O40)</f>
        <v>-3.4928857013980885E-4</v>
      </c>
      <c r="H2" s="4">
        <v>2.3751872924730242E-4</v>
      </c>
      <c r="I2" s="4">
        <v>4.2475889299166929E-5</v>
      </c>
      <c r="J2" s="4">
        <v>1.1309538161601018E-3</v>
      </c>
      <c r="K2" s="4">
        <v>1.5894105039979882E-3</v>
      </c>
      <c r="L2" s="4">
        <v>3.2806395408054444E-3</v>
      </c>
      <c r="M2" s="4">
        <v>0.12239309534706141</v>
      </c>
      <c r="N2" s="4">
        <v>-3.4031892896422181E-2</v>
      </c>
      <c r="O2" s="4">
        <v>2.2482500084272706E-2</v>
      </c>
      <c r="P2" s="4">
        <v>0.3781471170488242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3.15</v>
      </c>
      <c r="F4" s="2"/>
      <c r="G4">
        <f t="shared" ref="G4:I40" si="0">A4</f>
        <v>-15</v>
      </c>
      <c r="H4" s="10">
        <f t="shared" si="0"/>
        <v>35</v>
      </c>
      <c r="I4">
        <f t="shared" si="0"/>
        <v>50</v>
      </c>
      <c r="J4">
        <f t="shared" ref="J4:J40" si="1">G4^2</f>
        <v>225</v>
      </c>
      <c r="K4">
        <f t="shared" ref="K4:K40" si="2">G4*H4</f>
        <v>-525</v>
      </c>
      <c r="L4">
        <f t="shared" ref="L4:L40" si="3">G4*I4</f>
        <v>-750</v>
      </c>
      <c r="M4">
        <f t="shared" ref="M4:M40" si="4">H4^2</f>
        <v>1225</v>
      </c>
      <c r="N4">
        <f t="shared" ref="N4:N40" si="5">H4*I4</f>
        <v>1750</v>
      </c>
      <c r="O4">
        <f t="shared" ref="O4:O40" si="6">I4^2</f>
        <v>2500</v>
      </c>
      <c r="Q4" s="11">
        <f t="shared" ref="Q4:Q40" si="7">$P$2+$O$2*G4+$N$2*H4+$M$2*I4+$L$2*J4+$K$2*K4+$J$2*L4+$I$2*M4+$H$2*N4+$G$2*O4</f>
        <v>3.6194054669499693</v>
      </c>
      <c r="R4" s="12">
        <f t="shared" ref="R4:R40" si="8">(Q4-E4)/E4</f>
        <v>0.14901760855554586</v>
      </c>
      <c r="S4" s="11"/>
      <c r="T4" s="12"/>
    </row>
    <row r="5" spans="1:20" x14ac:dyDescent="0.25">
      <c r="A5">
        <v>-15</v>
      </c>
      <c r="B5">
        <v>35</v>
      </c>
      <c r="C5">
        <v>120</v>
      </c>
      <c r="E5">
        <v>7.57</v>
      </c>
      <c r="F5" s="2"/>
      <c r="G5">
        <f t="shared" si="0"/>
        <v>-15</v>
      </c>
      <c r="H5" s="10">
        <f t="shared" si="0"/>
        <v>35</v>
      </c>
      <c r="I5">
        <f t="shared" si="0"/>
        <v>120</v>
      </c>
      <c r="J5">
        <f t="shared" si="1"/>
        <v>225</v>
      </c>
      <c r="K5">
        <f t="shared" si="2"/>
        <v>-525</v>
      </c>
      <c r="L5">
        <f t="shared" si="3"/>
        <v>-1800</v>
      </c>
      <c r="M5">
        <f t="shared" si="4"/>
        <v>1225</v>
      </c>
      <c r="N5">
        <f t="shared" si="5"/>
        <v>4200</v>
      </c>
      <c r="O5">
        <f t="shared" si="6"/>
        <v>14400</v>
      </c>
      <c r="Q5" s="11">
        <f t="shared" si="7"/>
        <v>7.4248075362683261</v>
      </c>
      <c r="R5" s="12">
        <f t="shared" si="8"/>
        <v>-1.9179981998900152E-2</v>
      </c>
      <c r="S5" s="11"/>
      <c r="T5" s="12"/>
    </row>
    <row r="6" spans="1:20" x14ac:dyDescent="0.25">
      <c r="A6">
        <v>-7</v>
      </c>
      <c r="B6">
        <v>35</v>
      </c>
      <c r="C6">
        <v>50</v>
      </c>
      <c r="E6">
        <v>4.1100000000000003</v>
      </c>
      <c r="F6" s="2"/>
      <c r="G6">
        <f t="shared" si="0"/>
        <v>-7</v>
      </c>
      <c r="H6" s="10">
        <f t="shared" si="0"/>
        <v>35</v>
      </c>
      <c r="I6">
        <f t="shared" si="0"/>
        <v>50</v>
      </c>
      <c r="J6">
        <f t="shared" si="1"/>
        <v>49</v>
      </c>
      <c r="K6">
        <f t="shared" si="2"/>
        <v>-245</v>
      </c>
      <c r="L6">
        <f t="shared" si="3"/>
        <v>-350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4.1192893760258693</v>
      </c>
      <c r="R6" s="12">
        <f t="shared" si="8"/>
        <v>2.2601888140800458E-3</v>
      </c>
      <c r="S6" s="11"/>
      <c r="T6" s="12"/>
    </row>
    <row r="7" spans="1:20" x14ac:dyDescent="0.25">
      <c r="A7">
        <v>-7</v>
      </c>
      <c r="B7">
        <v>35</v>
      </c>
      <c r="C7">
        <v>120</v>
      </c>
      <c r="E7">
        <v>9.3000000000000007</v>
      </c>
      <c r="F7" s="2"/>
      <c r="G7">
        <f t="shared" si="0"/>
        <v>-7</v>
      </c>
      <c r="H7" s="10">
        <f t="shared" si="0"/>
        <v>35</v>
      </c>
      <c r="I7">
        <f t="shared" si="0"/>
        <v>120</v>
      </c>
      <c r="J7">
        <f t="shared" si="1"/>
        <v>49</v>
      </c>
      <c r="K7">
        <f t="shared" si="2"/>
        <v>-245</v>
      </c>
      <c r="L7">
        <f t="shared" si="3"/>
        <v>-840</v>
      </c>
      <c r="M7">
        <f t="shared" si="4"/>
        <v>1225</v>
      </c>
      <c r="N7">
        <f t="shared" si="5"/>
        <v>4200</v>
      </c>
      <c r="O7">
        <f t="shared" si="6"/>
        <v>14400</v>
      </c>
      <c r="Q7" s="11">
        <f t="shared" si="7"/>
        <v>8.5580255823938849</v>
      </c>
      <c r="R7" s="12">
        <f t="shared" si="8"/>
        <v>-7.9782195441517822E-2</v>
      </c>
      <c r="S7" s="11"/>
      <c r="T7" s="12"/>
    </row>
    <row r="8" spans="1:20" x14ac:dyDescent="0.25">
      <c r="A8">
        <v>2</v>
      </c>
      <c r="B8">
        <v>35</v>
      </c>
      <c r="C8">
        <v>20</v>
      </c>
      <c r="E8">
        <v>2.17</v>
      </c>
      <c r="F8" s="2"/>
      <c r="G8">
        <f t="shared" si="0"/>
        <v>2</v>
      </c>
      <c r="H8" s="10">
        <f t="shared" si="0"/>
        <v>35</v>
      </c>
      <c r="I8">
        <f t="shared" si="0"/>
        <v>20</v>
      </c>
      <c r="J8">
        <f t="shared" si="1"/>
        <v>4</v>
      </c>
      <c r="K8">
        <f t="shared" si="2"/>
        <v>70</v>
      </c>
      <c r="L8">
        <f t="shared" si="3"/>
        <v>40</v>
      </c>
      <c r="M8">
        <f t="shared" si="4"/>
        <v>1225</v>
      </c>
      <c r="N8">
        <f t="shared" si="5"/>
        <v>700</v>
      </c>
      <c r="O8">
        <f t="shared" si="6"/>
        <v>400</v>
      </c>
      <c r="Q8" s="11">
        <f t="shared" si="7"/>
        <v>1.9280578656819738</v>
      </c>
      <c r="R8" s="12">
        <f t="shared" si="8"/>
        <v>-0.11149407111429777</v>
      </c>
      <c r="S8" s="11"/>
      <c r="T8" s="12"/>
    </row>
    <row r="9" spans="1:20" x14ac:dyDescent="0.25">
      <c r="A9">
        <v>2</v>
      </c>
      <c r="B9">
        <v>35</v>
      </c>
      <c r="C9">
        <v>50</v>
      </c>
      <c r="E9">
        <v>5.31</v>
      </c>
      <c r="F9" s="2"/>
      <c r="G9">
        <f t="shared" si="0"/>
        <v>2</v>
      </c>
      <c r="H9" s="10">
        <f t="shared" si="0"/>
        <v>35</v>
      </c>
      <c r="I9">
        <f t="shared" si="0"/>
        <v>50</v>
      </c>
      <c r="J9">
        <f t="shared" si="1"/>
        <v>4</v>
      </c>
      <c r="K9">
        <f t="shared" si="2"/>
        <v>70</v>
      </c>
      <c r="L9">
        <f t="shared" si="3"/>
        <v>100</v>
      </c>
      <c r="M9">
        <f t="shared" si="4"/>
        <v>1225</v>
      </c>
      <c r="N9">
        <f t="shared" si="5"/>
        <v>1750</v>
      </c>
      <c r="O9">
        <f t="shared" si="6"/>
        <v>2500</v>
      </c>
      <c r="Q9" s="11">
        <f t="shared" si="7"/>
        <v>5.1835966234794917</v>
      </c>
      <c r="R9" s="12">
        <f t="shared" si="8"/>
        <v>-2.3804779005745375E-2</v>
      </c>
      <c r="S9" s="11"/>
      <c r="T9" s="12"/>
    </row>
    <row r="10" spans="1:20" x14ac:dyDescent="0.25">
      <c r="A10">
        <v>2</v>
      </c>
      <c r="B10">
        <v>35</v>
      </c>
      <c r="C10">
        <v>120</v>
      </c>
      <c r="E10">
        <v>9.66</v>
      </c>
      <c r="F10" s="2"/>
      <c r="G10">
        <f t="shared" si="0"/>
        <v>2</v>
      </c>
      <c r="H10" s="10">
        <f t="shared" si="0"/>
        <v>35</v>
      </c>
      <c r="I10">
        <f t="shared" si="0"/>
        <v>120</v>
      </c>
      <c r="J10">
        <f t="shared" si="1"/>
        <v>4</v>
      </c>
      <c r="K10">
        <f t="shared" si="2"/>
        <v>70</v>
      </c>
      <c r="L10">
        <f t="shared" si="3"/>
        <v>240</v>
      </c>
      <c r="M10">
        <f t="shared" si="4"/>
        <v>1225</v>
      </c>
      <c r="N10">
        <f t="shared" si="5"/>
        <v>4200</v>
      </c>
      <c r="O10">
        <f t="shared" si="6"/>
        <v>14400</v>
      </c>
      <c r="Q10" s="11">
        <f t="shared" si="7"/>
        <v>10.334833734028372</v>
      </c>
      <c r="R10" s="12">
        <f t="shared" si="8"/>
        <v>6.9858564599210332E-2</v>
      </c>
      <c r="S10" s="11"/>
      <c r="T10" s="12"/>
    </row>
    <row r="11" spans="1:20" x14ac:dyDescent="0.25">
      <c r="A11">
        <v>7</v>
      </c>
      <c r="B11">
        <v>35</v>
      </c>
      <c r="C11">
        <v>20</v>
      </c>
      <c r="E11">
        <v>2.54</v>
      </c>
      <c r="F11" s="2"/>
      <c r="G11">
        <f t="shared" si="0"/>
        <v>7</v>
      </c>
      <c r="H11" s="10">
        <f t="shared" si="0"/>
        <v>35</v>
      </c>
      <c r="I11">
        <f t="shared" si="0"/>
        <v>20</v>
      </c>
      <c r="J11">
        <f t="shared" si="1"/>
        <v>49</v>
      </c>
      <c r="K11">
        <f t="shared" si="2"/>
        <v>245</v>
      </c>
      <c r="L11">
        <f t="shared" si="3"/>
        <v>140</v>
      </c>
      <c r="M11">
        <f t="shared" si="4"/>
        <v>1225</v>
      </c>
      <c r="N11">
        <f t="shared" si="5"/>
        <v>700</v>
      </c>
      <c r="O11">
        <f t="shared" si="6"/>
        <v>400</v>
      </c>
      <c r="Q11" s="11">
        <f t="shared" si="7"/>
        <v>2.579341365255241</v>
      </c>
      <c r="R11" s="12">
        <f t="shared" si="8"/>
        <v>1.5488726478441343E-2</v>
      </c>
      <c r="S11" s="11"/>
      <c r="T11" s="12"/>
    </row>
    <row r="12" spans="1:20" x14ac:dyDescent="0.25">
      <c r="A12">
        <v>7</v>
      </c>
      <c r="B12">
        <v>35</v>
      </c>
      <c r="C12">
        <v>50</v>
      </c>
      <c r="E12">
        <v>6.42</v>
      </c>
      <c r="F12" s="2"/>
      <c r="G12">
        <f t="shared" si="0"/>
        <v>7</v>
      </c>
      <c r="H12" s="10">
        <f t="shared" si="0"/>
        <v>35</v>
      </c>
      <c r="I12">
        <f t="shared" si="0"/>
        <v>50</v>
      </c>
      <c r="J12">
        <f t="shared" si="1"/>
        <v>49</v>
      </c>
      <c r="K12">
        <f t="shared" si="2"/>
        <v>245</v>
      </c>
      <c r="L12">
        <f t="shared" si="3"/>
        <v>350</v>
      </c>
      <c r="M12">
        <f t="shared" si="4"/>
        <v>1225</v>
      </c>
      <c r="N12">
        <f t="shared" si="5"/>
        <v>1750</v>
      </c>
      <c r="O12">
        <f t="shared" si="6"/>
        <v>2500</v>
      </c>
      <c r="Q12" s="11">
        <f t="shared" si="7"/>
        <v>6.0045231954767733</v>
      </c>
      <c r="R12" s="12">
        <f t="shared" si="8"/>
        <v>-6.4716013165611624E-2</v>
      </c>
      <c r="S12" s="11"/>
      <c r="T12" s="12"/>
    </row>
    <row r="13" spans="1:20" x14ac:dyDescent="0.25">
      <c r="A13">
        <v>7</v>
      </c>
      <c r="B13">
        <v>35</v>
      </c>
      <c r="C13">
        <v>120</v>
      </c>
      <c r="E13">
        <v>10.79</v>
      </c>
      <c r="F13" s="2"/>
      <c r="G13">
        <f t="shared" si="0"/>
        <v>7</v>
      </c>
      <c r="H13" s="10">
        <f t="shared" si="0"/>
        <v>35</v>
      </c>
      <c r="I13">
        <f t="shared" si="0"/>
        <v>120</v>
      </c>
      <c r="J13">
        <f t="shared" si="1"/>
        <v>49</v>
      </c>
      <c r="K13">
        <f t="shared" si="2"/>
        <v>245</v>
      </c>
      <c r="L13">
        <f t="shared" si="3"/>
        <v>840</v>
      </c>
      <c r="M13">
        <f t="shared" si="4"/>
        <v>1225</v>
      </c>
      <c r="N13">
        <f t="shared" si="5"/>
        <v>4200</v>
      </c>
      <c r="O13">
        <f t="shared" si="6"/>
        <v>14400</v>
      </c>
      <c r="Q13" s="11">
        <f t="shared" si="7"/>
        <v>11.55159414168169</v>
      </c>
      <c r="R13" s="12">
        <f t="shared" si="8"/>
        <v>7.0583331017765621E-2</v>
      </c>
      <c r="S13" s="11"/>
      <c r="T13" s="12"/>
    </row>
    <row r="14" spans="1:20" x14ac:dyDescent="0.25">
      <c r="A14">
        <v>12</v>
      </c>
      <c r="B14">
        <v>35</v>
      </c>
      <c r="C14">
        <v>20</v>
      </c>
      <c r="E14">
        <v>2.92</v>
      </c>
      <c r="F14" s="2"/>
      <c r="G14">
        <f t="shared" si="0"/>
        <v>12</v>
      </c>
      <c r="H14" s="10">
        <f t="shared" si="0"/>
        <v>35</v>
      </c>
      <c r="I14">
        <f t="shared" si="0"/>
        <v>20</v>
      </c>
      <c r="J14">
        <f t="shared" si="1"/>
        <v>144</v>
      </c>
      <c r="K14">
        <f t="shared" si="2"/>
        <v>420</v>
      </c>
      <c r="L14">
        <f t="shared" si="3"/>
        <v>240</v>
      </c>
      <c r="M14">
        <f t="shared" si="4"/>
        <v>1225</v>
      </c>
      <c r="N14">
        <f t="shared" si="5"/>
        <v>700</v>
      </c>
      <c r="O14">
        <f t="shared" si="6"/>
        <v>400</v>
      </c>
      <c r="Q14" s="11">
        <f t="shared" si="7"/>
        <v>3.3946568418687804</v>
      </c>
      <c r="R14" s="12">
        <f t="shared" si="8"/>
        <v>0.16255371296876042</v>
      </c>
      <c r="S14" s="11"/>
      <c r="T14" s="12"/>
    </row>
    <row r="15" spans="1:20" x14ac:dyDescent="0.25">
      <c r="A15">
        <v>12</v>
      </c>
      <c r="B15">
        <v>35</v>
      </c>
      <c r="C15">
        <v>50</v>
      </c>
      <c r="E15">
        <v>7.34</v>
      </c>
      <c r="F15" s="2"/>
      <c r="G15">
        <f t="shared" si="0"/>
        <v>12</v>
      </c>
      <c r="H15" s="10">
        <f t="shared" si="0"/>
        <v>35</v>
      </c>
      <c r="I15">
        <f t="shared" si="0"/>
        <v>50</v>
      </c>
      <c r="J15">
        <f t="shared" si="1"/>
        <v>144</v>
      </c>
      <c r="K15">
        <f t="shared" si="2"/>
        <v>420</v>
      </c>
      <c r="L15">
        <f t="shared" si="3"/>
        <v>600</v>
      </c>
      <c r="M15">
        <f t="shared" si="4"/>
        <v>1225</v>
      </c>
      <c r="N15">
        <f t="shared" si="5"/>
        <v>1750</v>
      </c>
      <c r="O15">
        <f t="shared" si="6"/>
        <v>2500</v>
      </c>
      <c r="Q15" s="11">
        <f t="shared" si="7"/>
        <v>6.9894817445143271</v>
      </c>
      <c r="R15" s="12">
        <f t="shared" si="8"/>
        <v>-4.7754530720118898E-2</v>
      </c>
      <c r="S15" s="11"/>
      <c r="T15" s="12"/>
    </row>
    <row r="16" spans="1:20" x14ac:dyDescent="0.25">
      <c r="A16">
        <v>12</v>
      </c>
      <c r="B16">
        <v>35</v>
      </c>
      <c r="C16">
        <v>120</v>
      </c>
      <c r="E16">
        <v>13.34</v>
      </c>
      <c r="F16" s="2"/>
      <c r="G16">
        <f t="shared" si="0"/>
        <v>12</v>
      </c>
      <c r="H16" s="10">
        <f t="shared" si="0"/>
        <v>35</v>
      </c>
      <c r="I16">
        <f t="shared" si="0"/>
        <v>120</v>
      </c>
      <c r="J16">
        <f t="shared" si="1"/>
        <v>144</v>
      </c>
      <c r="K16">
        <f t="shared" si="2"/>
        <v>420</v>
      </c>
      <c r="L16">
        <f t="shared" si="3"/>
        <v>1440</v>
      </c>
      <c r="M16">
        <f t="shared" si="4"/>
        <v>1225</v>
      </c>
      <c r="N16">
        <f t="shared" si="5"/>
        <v>4200</v>
      </c>
      <c r="O16">
        <f t="shared" si="6"/>
        <v>14400</v>
      </c>
      <c r="Q16" s="11">
        <f t="shared" si="7"/>
        <v>12.932386526375279</v>
      </c>
      <c r="R16" s="12">
        <f t="shared" si="8"/>
        <v>-3.055573265552633E-2</v>
      </c>
      <c r="S16" s="11"/>
      <c r="T16" s="12"/>
    </row>
    <row r="17" spans="1:20" x14ac:dyDescent="0.25">
      <c r="A17">
        <v>-15</v>
      </c>
      <c r="B17">
        <v>45</v>
      </c>
      <c r="C17">
        <v>50</v>
      </c>
      <c r="E17">
        <v>2.99</v>
      </c>
      <c r="F17" s="2"/>
      <c r="G17">
        <f t="shared" si="0"/>
        <v>-15</v>
      </c>
      <c r="H17" s="10">
        <f t="shared" si="0"/>
        <v>45</v>
      </c>
      <c r="I17">
        <f t="shared" si="0"/>
        <v>50</v>
      </c>
      <c r="J17">
        <f t="shared" si="1"/>
        <v>225</v>
      </c>
      <c r="K17">
        <f t="shared" si="2"/>
        <v>-675</v>
      </c>
      <c r="L17">
        <f t="shared" si="3"/>
        <v>-750</v>
      </c>
      <c r="M17">
        <f t="shared" si="4"/>
        <v>2025</v>
      </c>
      <c r="N17">
        <f t="shared" si="5"/>
        <v>2250</v>
      </c>
      <c r="O17">
        <f t="shared" si="6"/>
        <v>2500</v>
      </c>
      <c r="Q17" s="11">
        <f t="shared" si="7"/>
        <v>3.1934150384490345</v>
      </c>
      <c r="R17" s="12">
        <f t="shared" si="8"/>
        <v>6.8031785434459632E-2</v>
      </c>
      <c r="S17" s="11"/>
      <c r="T17" s="12"/>
    </row>
    <row r="18" spans="1:20" x14ac:dyDescent="0.25">
      <c r="A18">
        <v>-15</v>
      </c>
      <c r="B18">
        <v>45</v>
      </c>
      <c r="C18">
        <v>120</v>
      </c>
      <c r="E18">
        <v>7.17</v>
      </c>
      <c r="F18" s="2"/>
      <c r="G18">
        <f t="shared" si="0"/>
        <v>-15</v>
      </c>
      <c r="H18" s="10">
        <f t="shared" si="0"/>
        <v>45</v>
      </c>
      <c r="I18">
        <f t="shared" si="0"/>
        <v>120</v>
      </c>
      <c r="J18">
        <f t="shared" si="1"/>
        <v>225</v>
      </c>
      <c r="K18">
        <f t="shared" si="2"/>
        <v>-675</v>
      </c>
      <c r="L18">
        <f t="shared" si="3"/>
        <v>-1800</v>
      </c>
      <c r="M18">
        <f t="shared" si="4"/>
        <v>2025</v>
      </c>
      <c r="N18">
        <f t="shared" si="5"/>
        <v>5400</v>
      </c>
      <c r="O18">
        <f t="shared" si="6"/>
        <v>14400</v>
      </c>
      <c r="Q18" s="11">
        <f t="shared" si="7"/>
        <v>7.1650802182405036</v>
      </c>
      <c r="R18" s="12">
        <f t="shared" si="8"/>
        <v>-6.8616203061316135E-4</v>
      </c>
      <c r="S18" s="11"/>
      <c r="T18" s="12"/>
    </row>
    <row r="19" spans="1:20" x14ac:dyDescent="0.25">
      <c r="A19">
        <v>-7</v>
      </c>
      <c r="B19">
        <v>45</v>
      </c>
      <c r="C19">
        <v>50</v>
      </c>
      <c r="E19">
        <v>3.93</v>
      </c>
      <c r="F19" s="2"/>
      <c r="G19">
        <f t="shared" si="0"/>
        <v>-7</v>
      </c>
      <c r="H19" s="10">
        <f t="shared" si="0"/>
        <v>45</v>
      </c>
      <c r="I19">
        <f t="shared" si="0"/>
        <v>50</v>
      </c>
      <c r="J19">
        <f t="shared" si="1"/>
        <v>49</v>
      </c>
      <c r="K19">
        <f t="shared" si="2"/>
        <v>-315</v>
      </c>
      <c r="L19">
        <f t="shared" si="3"/>
        <v>-350</v>
      </c>
      <c r="M19">
        <f t="shared" si="4"/>
        <v>2025</v>
      </c>
      <c r="N19">
        <f t="shared" si="5"/>
        <v>2250</v>
      </c>
      <c r="O19">
        <f t="shared" si="6"/>
        <v>2500</v>
      </c>
      <c r="Q19" s="11">
        <f t="shared" si="7"/>
        <v>3.8204517878447741</v>
      </c>
      <c r="R19" s="12">
        <f t="shared" si="8"/>
        <v>-2.7874863143823418E-2</v>
      </c>
      <c r="S19" s="11"/>
      <c r="T19" s="12"/>
    </row>
    <row r="20" spans="1:20" x14ac:dyDescent="0.25">
      <c r="A20">
        <v>-7</v>
      </c>
      <c r="B20">
        <v>45</v>
      </c>
      <c r="C20">
        <v>120</v>
      </c>
      <c r="E20">
        <v>8.85</v>
      </c>
      <c r="F20" s="2"/>
      <c r="G20">
        <f t="shared" si="0"/>
        <v>-7</v>
      </c>
      <c r="H20" s="10">
        <f t="shared" si="0"/>
        <v>45</v>
      </c>
      <c r="I20">
        <f t="shared" si="0"/>
        <v>120</v>
      </c>
      <c r="J20">
        <f t="shared" si="1"/>
        <v>49</v>
      </c>
      <c r="K20">
        <f t="shared" si="2"/>
        <v>-315</v>
      </c>
      <c r="L20">
        <f t="shared" si="3"/>
        <v>-840</v>
      </c>
      <c r="M20">
        <f t="shared" si="4"/>
        <v>2025</v>
      </c>
      <c r="N20">
        <f t="shared" si="5"/>
        <v>5400</v>
      </c>
      <c r="O20">
        <f t="shared" si="6"/>
        <v>14400</v>
      </c>
      <c r="Q20" s="11">
        <f t="shared" si="7"/>
        <v>8.4254511046859015</v>
      </c>
      <c r="R20" s="12">
        <f t="shared" si="8"/>
        <v>-4.7971626589163631E-2</v>
      </c>
      <c r="S20" s="11"/>
      <c r="T20" s="12"/>
    </row>
    <row r="21" spans="1:20" x14ac:dyDescent="0.25">
      <c r="A21">
        <v>2</v>
      </c>
      <c r="B21">
        <v>45</v>
      </c>
      <c r="C21">
        <v>50</v>
      </c>
      <c r="E21">
        <v>5.0999999999999996</v>
      </c>
      <c r="G21">
        <f t="shared" si="0"/>
        <v>2</v>
      </c>
      <c r="H21" s="10">
        <f t="shared" si="0"/>
        <v>45</v>
      </c>
      <c r="I21">
        <f t="shared" si="0"/>
        <v>50</v>
      </c>
      <c r="J21">
        <f t="shared" si="1"/>
        <v>4</v>
      </c>
      <c r="K21">
        <f t="shared" si="2"/>
        <v>90</v>
      </c>
      <c r="L21">
        <f t="shared" si="3"/>
        <v>100</v>
      </c>
      <c r="M21">
        <f t="shared" si="4"/>
        <v>2025</v>
      </c>
      <c r="N21">
        <f t="shared" si="5"/>
        <v>2250</v>
      </c>
      <c r="O21">
        <f t="shared" si="6"/>
        <v>2500</v>
      </c>
      <c r="Q21" s="11">
        <f t="shared" si="7"/>
        <v>5.0278059806582149</v>
      </c>
      <c r="R21" s="12">
        <f t="shared" si="8"/>
        <v>-1.4155690067016611E-2</v>
      </c>
      <c r="S21" s="11"/>
      <c r="T21" s="12"/>
    </row>
    <row r="22" spans="1:20" x14ac:dyDescent="0.25">
      <c r="A22">
        <v>2</v>
      </c>
      <c r="B22">
        <v>45</v>
      </c>
      <c r="C22">
        <v>120</v>
      </c>
      <c r="E22">
        <v>9.83</v>
      </c>
      <c r="G22">
        <f t="shared" si="0"/>
        <v>2</v>
      </c>
      <c r="H22" s="10">
        <f t="shared" si="0"/>
        <v>45</v>
      </c>
      <c r="I22">
        <f t="shared" si="0"/>
        <v>120</v>
      </c>
      <c r="J22">
        <f t="shared" si="1"/>
        <v>4</v>
      </c>
      <c r="K22">
        <f t="shared" si="2"/>
        <v>90</v>
      </c>
      <c r="L22">
        <f t="shared" si="3"/>
        <v>240</v>
      </c>
      <c r="M22">
        <f t="shared" si="4"/>
        <v>2025</v>
      </c>
      <c r="N22">
        <f t="shared" si="5"/>
        <v>5400</v>
      </c>
      <c r="O22">
        <f t="shared" si="6"/>
        <v>14400</v>
      </c>
      <c r="Q22" s="11">
        <f t="shared" si="7"/>
        <v>10.345306201680206</v>
      </c>
      <c r="R22" s="12">
        <f t="shared" si="8"/>
        <v>5.2421790608362738E-2</v>
      </c>
      <c r="S22" s="11"/>
      <c r="T22" s="12"/>
    </row>
    <row r="23" spans="1:20" x14ac:dyDescent="0.25">
      <c r="A23">
        <v>7</v>
      </c>
      <c r="B23">
        <v>45</v>
      </c>
      <c r="C23">
        <v>20</v>
      </c>
      <c r="E23">
        <v>2.62</v>
      </c>
      <c r="G23">
        <f t="shared" si="0"/>
        <v>7</v>
      </c>
      <c r="H23" s="10">
        <f t="shared" si="0"/>
        <v>45</v>
      </c>
      <c r="I23">
        <f t="shared" si="0"/>
        <v>20</v>
      </c>
      <c r="J23">
        <f t="shared" si="1"/>
        <v>49</v>
      </c>
      <c r="K23">
        <f t="shared" si="2"/>
        <v>315</v>
      </c>
      <c r="L23">
        <f t="shared" si="3"/>
        <v>140</v>
      </c>
      <c r="M23">
        <f t="shared" si="4"/>
        <v>2025</v>
      </c>
      <c r="N23">
        <f t="shared" si="5"/>
        <v>900</v>
      </c>
      <c r="O23">
        <f t="shared" si="6"/>
        <v>400</v>
      </c>
      <c r="Q23" s="11">
        <f t="shared" si="7"/>
        <v>2.4317656288596723</v>
      </c>
      <c r="R23" s="12">
        <f t="shared" si="8"/>
        <v>-7.1845179824552602E-2</v>
      </c>
      <c r="S23" s="11"/>
      <c r="T23" s="12"/>
    </row>
    <row r="24" spans="1:20" x14ac:dyDescent="0.25">
      <c r="A24">
        <v>7</v>
      </c>
      <c r="B24">
        <v>45</v>
      </c>
      <c r="C24">
        <v>50</v>
      </c>
      <c r="E24">
        <v>6.01</v>
      </c>
      <c r="G24">
        <f t="shared" si="0"/>
        <v>7</v>
      </c>
      <c r="H24" s="10">
        <f t="shared" si="0"/>
        <v>45</v>
      </c>
      <c r="I24">
        <f t="shared" si="0"/>
        <v>50</v>
      </c>
      <c r="J24">
        <f t="shared" si="1"/>
        <v>49</v>
      </c>
      <c r="K24">
        <f t="shared" si="2"/>
        <v>315</v>
      </c>
      <c r="L24">
        <f t="shared" si="3"/>
        <v>350</v>
      </c>
      <c r="M24">
        <f t="shared" si="4"/>
        <v>2025</v>
      </c>
      <c r="N24">
        <f t="shared" si="5"/>
        <v>2250</v>
      </c>
      <c r="O24">
        <f t="shared" si="6"/>
        <v>2500</v>
      </c>
      <c r="Q24" s="11">
        <f t="shared" si="7"/>
        <v>5.9282030778553949</v>
      </c>
      <c r="R24" s="12">
        <f t="shared" si="8"/>
        <v>-1.3610136796107302E-2</v>
      </c>
      <c r="S24" s="11"/>
      <c r="T24" s="12"/>
    </row>
    <row r="25" spans="1:20" x14ac:dyDescent="0.25">
      <c r="A25">
        <v>7</v>
      </c>
      <c r="B25">
        <v>45</v>
      </c>
      <c r="C25">
        <v>120</v>
      </c>
      <c r="E25">
        <v>11.23</v>
      </c>
      <c r="G25">
        <f t="shared" si="0"/>
        <v>7</v>
      </c>
      <c r="H25" s="10">
        <f t="shared" si="0"/>
        <v>45</v>
      </c>
      <c r="I25">
        <f t="shared" si="0"/>
        <v>120</v>
      </c>
      <c r="J25">
        <f t="shared" si="1"/>
        <v>49</v>
      </c>
      <c r="K25">
        <f t="shared" si="2"/>
        <v>315</v>
      </c>
      <c r="L25">
        <f t="shared" si="3"/>
        <v>840</v>
      </c>
      <c r="M25">
        <f t="shared" si="4"/>
        <v>2025</v>
      </c>
      <c r="N25">
        <f t="shared" si="5"/>
        <v>5400</v>
      </c>
      <c r="O25">
        <f t="shared" si="6"/>
        <v>14400</v>
      </c>
      <c r="Q25" s="11">
        <f t="shared" si="7"/>
        <v>11.641537134533422</v>
      </c>
      <c r="R25" s="12">
        <f t="shared" si="8"/>
        <v>3.6646227474035772E-2</v>
      </c>
      <c r="S25" s="11"/>
      <c r="T25" s="12"/>
    </row>
    <row r="26" spans="1:20" x14ac:dyDescent="0.25">
      <c r="A26">
        <v>12</v>
      </c>
      <c r="B26">
        <v>45</v>
      </c>
      <c r="C26">
        <v>20</v>
      </c>
      <c r="E26">
        <v>3.07</v>
      </c>
      <c r="G26">
        <f t="shared" si="0"/>
        <v>12</v>
      </c>
      <c r="H26" s="10">
        <f t="shared" si="0"/>
        <v>45</v>
      </c>
      <c r="I26">
        <f t="shared" si="0"/>
        <v>20</v>
      </c>
      <c r="J26">
        <f t="shared" si="1"/>
        <v>144</v>
      </c>
      <c r="K26">
        <f t="shared" si="2"/>
        <v>540</v>
      </c>
      <c r="L26">
        <f t="shared" si="3"/>
        <v>240</v>
      </c>
      <c r="M26">
        <f t="shared" si="4"/>
        <v>2025</v>
      </c>
      <c r="N26">
        <f t="shared" si="5"/>
        <v>900</v>
      </c>
      <c r="O26">
        <f t="shared" si="6"/>
        <v>400</v>
      </c>
      <c r="Q26" s="11">
        <f t="shared" si="7"/>
        <v>3.3265516306731109</v>
      </c>
      <c r="R26" s="12">
        <f t="shared" si="8"/>
        <v>8.3567306408179498E-2</v>
      </c>
      <c r="S26" s="11"/>
      <c r="T26" s="12"/>
    </row>
    <row r="27" spans="1:20" x14ac:dyDescent="0.25">
      <c r="A27">
        <v>12</v>
      </c>
      <c r="B27">
        <v>45</v>
      </c>
      <c r="C27">
        <v>50</v>
      </c>
      <c r="E27">
        <v>6.98</v>
      </c>
      <c r="G27">
        <f t="shared" si="0"/>
        <v>12</v>
      </c>
      <c r="H27" s="10">
        <f t="shared" si="0"/>
        <v>45</v>
      </c>
      <c r="I27">
        <f t="shared" si="0"/>
        <v>50</v>
      </c>
      <c r="J27">
        <f t="shared" si="1"/>
        <v>144</v>
      </c>
      <c r="K27">
        <f t="shared" si="2"/>
        <v>540</v>
      </c>
      <c r="L27">
        <f t="shared" si="3"/>
        <v>600</v>
      </c>
      <c r="M27">
        <f t="shared" si="4"/>
        <v>2025</v>
      </c>
      <c r="N27">
        <f t="shared" si="5"/>
        <v>2250</v>
      </c>
      <c r="O27">
        <f t="shared" si="6"/>
        <v>2500</v>
      </c>
      <c r="Q27" s="11">
        <f t="shared" si="7"/>
        <v>6.9926321520928489</v>
      </c>
      <c r="R27" s="12">
        <f t="shared" si="8"/>
        <v>1.8097639101502167E-3</v>
      </c>
      <c r="S27" s="11"/>
      <c r="T27" s="12"/>
    </row>
    <row r="28" spans="1:20" x14ac:dyDescent="0.25">
      <c r="A28">
        <v>12</v>
      </c>
      <c r="B28">
        <v>45</v>
      </c>
      <c r="C28">
        <v>120</v>
      </c>
      <c r="E28">
        <v>13.62</v>
      </c>
      <c r="G28">
        <f t="shared" si="0"/>
        <v>12</v>
      </c>
      <c r="H28" s="10">
        <f t="shared" si="0"/>
        <v>45</v>
      </c>
      <c r="I28">
        <f t="shared" si="0"/>
        <v>120</v>
      </c>
      <c r="J28">
        <f t="shared" si="1"/>
        <v>144</v>
      </c>
      <c r="K28">
        <f t="shared" si="2"/>
        <v>540</v>
      </c>
      <c r="L28">
        <f t="shared" si="3"/>
        <v>1440</v>
      </c>
      <c r="M28">
        <f t="shared" si="4"/>
        <v>2025</v>
      </c>
      <c r="N28">
        <f t="shared" si="5"/>
        <v>5400</v>
      </c>
      <c r="O28">
        <f t="shared" si="6"/>
        <v>14400</v>
      </c>
      <c r="Q28" s="11">
        <f t="shared" si="7"/>
        <v>13.101800044426913</v>
      </c>
      <c r="R28" s="12">
        <f t="shared" si="8"/>
        <v>-3.8046986459110615E-2</v>
      </c>
      <c r="S28" s="11"/>
      <c r="T28" s="12"/>
    </row>
    <row r="29" spans="1:20" x14ac:dyDescent="0.25">
      <c r="A29">
        <v>-7</v>
      </c>
      <c r="B29">
        <v>55</v>
      </c>
      <c r="C29">
        <v>50</v>
      </c>
      <c r="E29">
        <v>3.75</v>
      </c>
      <c r="G29">
        <f t="shared" si="0"/>
        <v>-7</v>
      </c>
      <c r="H29" s="10">
        <f t="shared" si="0"/>
        <v>55</v>
      </c>
      <c r="I29">
        <f t="shared" si="0"/>
        <v>50</v>
      </c>
      <c r="J29">
        <f t="shared" si="1"/>
        <v>49</v>
      </c>
      <c r="K29">
        <f t="shared" si="2"/>
        <v>-385</v>
      </c>
      <c r="L29">
        <f t="shared" si="3"/>
        <v>-350</v>
      </c>
      <c r="M29">
        <f t="shared" si="4"/>
        <v>3025</v>
      </c>
      <c r="N29">
        <f t="shared" si="5"/>
        <v>2750</v>
      </c>
      <c r="O29">
        <f t="shared" si="6"/>
        <v>2500</v>
      </c>
      <c r="Q29" s="11">
        <f t="shared" si="7"/>
        <v>3.5301093775235102</v>
      </c>
      <c r="R29" s="12">
        <f t="shared" si="8"/>
        <v>-5.8637499327063955E-2</v>
      </c>
      <c r="S29" s="11"/>
      <c r="T29" s="12"/>
    </row>
    <row r="30" spans="1:20" x14ac:dyDescent="0.25">
      <c r="A30">
        <v>-7</v>
      </c>
      <c r="B30">
        <v>55</v>
      </c>
      <c r="C30">
        <v>120</v>
      </c>
      <c r="E30">
        <v>8.39</v>
      </c>
      <c r="G30">
        <f t="shared" si="0"/>
        <v>-7</v>
      </c>
      <c r="H30" s="10">
        <f t="shared" si="0"/>
        <v>55</v>
      </c>
      <c r="I30">
        <f t="shared" si="0"/>
        <v>120</v>
      </c>
      <c r="J30">
        <f t="shared" si="1"/>
        <v>49</v>
      </c>
      <c r="K30">
        <f t="shared" si="2"/>
        <v>-385</v>
      </c>
      <c r="L30">
        <f t="shared" si="3"/>
        <v>-840</v>
      </c>
      <c r="M30">
        <f t="shared" si="4"/>
        <v>3025</v>
      </c>
      <c r="N30">
        <f t="shared" si="5"/>
        <v>6600</v>
      </c>
      <c r="O30">
        <f t="shared" si="6"/>
        <v>14400</v>
      </c>
      <c r="Q30" s="11">
        <f t="shared" si="7"/>
        <v>8.3013718048377498</v>
      </c>
      <c r="R30" s="12">
        <f t="shared" si="8"/>
        <v>-1.0563551270828454E-2</v>
      </c>
      <c r="S30" s="11"/>
      <c r="T30" s="12"/>
    </row>
    <row r="31" spans="1:20" x14ac:dyDescent="0.25">
      <c r="A31">
        <v>2</v>
      </c>
      <c r="B31">
        <v>55</v>
      </c>
      <c r="C31">
        <v>50</v>
      </c>
      <c r="E31">
        <v>4.8899999999999997</v>
      </c>
      <c r="G31">
        <f t="shared" si="0"/>
        <v>2</v>
      </c>
      <c r="H31" s="10">
        <f t="shared" si="0"/>
        <v>55</v>
      </c>
      <c r="I31">
        <f t="shared" si="0"/>
        <v>50</v>
      </c>
      <c r="J31">
        <f t="shared" si="1"/>
        <v>4</v>
      </c>
      <c r="K31">
        <f t="shared" si="2"/>
        <v>110</v>
      </c>
      <c r="L31">
        <f t="shared" si="3"/>
        <v>100</v>
      </c>
      <c r="M31">
        <f t="shared" si="4"/>
        <v>3025</v>
      </c>
      <c r="N31">
        <f t="shared" si="5"/>
        <v>2750</v>
      </c>
      <c r="O31">
        <f t="shared" si="6"/>
        <v>2500</v>
      </c>
      <c r="Q31" s="11">
        <f t="shared" si="7"/>
        <v>4.8805105156967716</v>
      </c>
      <c r="R31" s="12">
        <f t="shared" si="8"/>
        <v>-1.9405898370609502E-3</v>
      </c>
      <c r="S31" s="11"/>
      <c r="T31" s="12"/>
    </row>
    <row r="32" spans="1:20" x14ac:dyDescent="0.25">
      <c r="A32">
        <v>2</v>
      </c>
      <c r="B32">
        <v>55</v>
      </c>
      <c r="C32">
        <v>120</v>
      </c>
      <c r="E32">
        <v>10</v>
      </c>
      <c r="G32">
        <f t="shared" si="0"/>
        <v>2</v>
      </c>
      <c r="H32" s="10">
        <f t="shared" si="0"/>
        <v>55</v>
      </c>
      <c r="I32">
        <f t="shared" si="0"/>
        <v>120</v>
      </c>
      <c r="J32">
        <f t="shared" si="1"/>
        <v>4</v>
      </c>
      <c r="K32">
        <f t="shared" si="2"/>
        <v>110</v>
      </c>
      <c r="L32">
        <f t="shared" si="3"/>
        <v>240</v>
      </c>
      <c r="M32">
        <f t="shared" si="4"/>
        <v>3025</v>
      </c>
      <c r="N32">
        <f t="shared" si="5"/>
        <v>6600</v>
      </c>
      <c r="O32">
        <f t="shared" si="6"/>
        <v>14400</v>
      </c>
      <c r="Q32" s="11">
        <f t="shared" si="7"/>
        <v>10.364273847191871</v>
      </c>
      <c r="R32" s="12">
        <f t="shared" si="8"/>
        <v>3.642738471918712E-2</v>
      </c>
      <c r="S32" s="11"/>
      <c r="T32" s="12"/>
    </row>
    <row r="33" spans="1:20" x14ac:dyDescent="0.25">
      <c r="A33">
        <v>7</v>
      </c>
      <c r="B33">
        <v>55</v>
      </c>
      <c r="C33">
        <v>20</v>
      </c>
      <c r="E33">
        <v>2.69</v>
      </c>
      <c r="G33">
        <f t="shared" si="0"/>
        <v>7</v>
      </c>
      <c r="H33" s="10">
        <f t="shared" si="0"/>
        <v>55</v>
      </c>
      <c r="I33">
        <f t="shared" si="0"/>
        <v>20</v>
      </c>
      <c r="J33">
        <f t="shared" si="1"/>
        <v>49</v>
      </c>
      <c r="K33">
        <f t="shared" si="2"/>
        <v>385</v>
      </c>
      <c r="L33">
        <f t="shared" si="3"/>
        <v>140</v>
      </c>
      <c r="M33">
        <f t="shared" si="4"/>
        <v>3025</v>
      </c>
      <c r="N33">
        <f t="shared" si="5"/>
        <v>1100</v>
      </c>
      <c r="O33">
        <f t="shared" si="6"/>
        <v>400</v>
      </c>
      <c r="Q33" s="11">
        <f t="shared" si="7"/>
        <v>2.292685070323937</v>
      </c>
      <c r="R33" s="12">
        <f t="shared" si="8"/>
        <v>-0.14770071735169626</v>
      </c>
      <c r="S33" s="11"/>
      <c r="T33" s="12"/>
    </row>
    <row r="34" spans="1:20" x14ac:dyDescent="0.25">
      <c r="A34">
        <v>7</v>
      </c>
      <c r="B34">
        <v>55</v>
      </c>
      <c r="C34">
        <v>50</v>
      </c>
      <c r="E34">
        <v>5.6</v>
      </c>
      <c r="G34">
        <f t="shared" si="0"/>
        <v>7</v>
      </c>
      <c r="H34" s="10">
        <f t="shared" si="0"/>
        <v>55</v>
      </c>
      <c r="I34">
        <f t="shared" si="0"/>
        <v>50</v>
      </c>
      <c r="J34">
        <f t="shared" si="1"/>
        <v>49</v>
      </c>
      <c r="K34">
        <f t="shared" si="2"/>
        <v>385</v>
      </c>
      <c r="L34">
        <f t="shared" si="3"/>
        <v>350</v>
      </c>
      <c r="M34">
        <f t="shared" si="4"/>
        <v>3025</v>
      </c>
      <c r="N34">
        <f t="shared" si="5"/>
        <v>2750</v>
      </c>
      <c r="O34">
        <f t="shared" si="6"/>
        <v>2500</v>
      </c>
      <c r="Q34" s="11">
        <f t="shared" si="7"/>
        <v>5.8603781380938527</v>
      </c>
      <c r="R34" s="12">
        <f t="shared" si="8"/>
        <v>4.6496096088188041E-2</v>
      </c>
      <c r="S34" s="11"/>
      <c r="T34" s="12"/>
    </row>
    <row r="35" spans="1:20" x14ac:dyDescent="0.25">
      <c r="A35">
        <v>7</v>
      </c>
      <c r="B35">
        <v>55</v>
      </c>
      <c r="C35">
        <v>120</v>
      </c>
      <c r="E35">
        <v>11.66</v>
      </c>
      <c r="G35">
        <f t="shared" si="0"/>
        <v>7</v>
      </c>
      <c r="H35" s="10">
        <f t="shared" si="0"/>
        <v>55</v>
      </c>
      <c r="I35">
        <f t="shared" si="0"/>
        <v>120</v>
      </c>
      <c r="J35">
        <f t="shared" si="1"/>
        <v>49</v>
      </c>
      <c r="K35">
        <f t="shared" si="2"/>
        <v>385</v>
      </c>
      <c r="L35">
        <f t="shared" si="3"/>
        <v>840</v>
      </c>
      <c r="M35">
        <f t="shared" si="4"/>
        <v>3025</v>
      </c>
      <c r="N35">
        <f t="shared" si="5"/>
        <v>6600</v>
      </c>
      <c r="O35">
        <f t="shared" si="6"/>
        <v>14400</v>
      </c>
      <c r="Q35" s="11">
        <f t="shared" si="7"/>
        <v>11.73997530524499</v>
      </c>
      <c r="R35" s="12">
        <f t="shared" si="8"/>
        <v>6.8589455613198465E-3</v>
      </c>
      <c r="S35" s="11"/>
      <c r="T35" s="12"/>
    </row>
    <row r="36" spans="1:20" x14ac:dyDescent="0.25">
      <c r="A36">
        <v>12</v>
      </c>
      <c r="B36">
        <v>55</v>
      </c>
      <c r="C36">
        <v>20</v>
      </c>
      <c r="E36">
        <v>3.21</v>
      </c>
      <c r="G36">
        <f t="shared" si="0"/>
        <v>12</v>
      </c>
      <c r="H36" s="10">
        <f t="shared" si="0"/>
        <v>55</v>
      </c>
      <c r="I36">
        <f t="shared" si="0"/>
        <v>20</v>
      </c>
      <c r="J36">
        <f t="shared" si="1"/>
        <v>144</v>
      </c>
      <c r="K36">
        <f t="shared" si="2"/>
        <v>660</v>
      </c>
      <c r="L36">
        <f t="shared" si="3"/>
        <v>240</v>
      </c>
      <c r="M36">
        <f t="shared" si="4"/>
        <v>3025</v>
      </c>
      <c r="N36">
        <f t="shared" si="5"/>
        <v>1100</v>
      </c>
      <c r="O36">
        <f t="shared" si="6"/>
        <v>400</v>
      </c>
      <c r="Q36" s="11">
        <f t="shared" si="7"/>
        <v>3.2669415973372748</v>
      </c>
      <c r="R36" s="12">
        <f t="shared" si="8"/>
        <v>1.7738815369867565E-2</v>
      </c>
      <c r="S36" s="11"/>
      <c r="T36" s="12"/>
    </row>
    <row r="37" spans="1:20" x14ac:dyDescent="0.25">
      <c r="A37">
        <v>12</v>
      </c>
      <c r="B37">
        <v>55</v>
      </c>
      <c r="C37">
        <v>50</v>
      </c>
      <c r="E37">
        <v>6.52</v>
      </c>
      <c r="G37">
        <f t="shared" si="0"/>
        <v>12</v>
      </c>
      <c r="H37" s="10">
        <f t="shared" si="0"/>
        <v>55</v>
      </c>
      <c r="I37">
        <f t="shared" si="0"/>
        <v>50</v>
      </c>
      <c r="J37">
        <f t="shared" si="1"/>
        <v>144</v>
      </c>
      <c r="K37">
        <f t="shared" si="2"/>
        <v>660</v>
      </c>
      <c r="L37">
        <f t="shared" si="3"/>
        <v>600</v>
      </c>
      <c r="M37">
        <f t="shared" si="4"/>
        <v>3025</v>
      </c>
      <c r="N37">
        <f t="shared" si="5"/>
        <v>2750</v>
      </c>
      <c r="O37">
        <f t="shared" si="6"/>
        <v>2500</v>
      </c>
      <c r="Q37" s="11">
        <f t="shared" si="7"/>
        <v>7.0042777375312042</v>
      </c>
      <c r="R37" s="12">
        <f t="shared" si="8"/>
        <v>7.4275726615215434E-2</v>
      </c>
      <c r="S37" s="11"/>
      <c r="T37" s="12"/>
    </row>
    <row r="38" spans="1:20" x14ac:dyDescent="0.25">
      <c r="A38">
        <v>12</v>
      </c>
      <c r="B38">
        <v>55</v>
      </c>
      <c r="C38">
        <v>120</v>
      </c>
      <c r="E38">
        <v>13.9</v>
      </c>
      <c r="G38">
        <f t="shared" si="0"/>
        <v>12</v>
      </c>
      <c r="H38" s="10">
        <f t="shared" si="0"/>
        <v>55</v>
      </c>
      <c r="I38">
        <f t="shared" si="0"/>
        <v>120</v>
      </c>
      <c r="J38">
        <f t="shared" si="1"/>
        <v>144</v>
      </c>
      <c r="K38">
        <f t="shared" si="2"/>
        <v>660</v>
      </c>
      <c r="L38">
        <f t="shared" si="3"/>
        <v>1440</v>
      </c>
      <c r="M38">
        <f t="shared" si="4"/>
        <v>3025</v>
      </c>
      <c r="N38">
        <f t="shared" si="5"/>
        <v>6600</v>
      </c>
      <c r="O38">
        <f t="shared" si="6"/>
        <v>14400</v>
      </c>
      <c r="Q38" s="11">
        <f t="shared" si="7"/>
        <v>13.279708740338378</v>
      </c>
      <c r="R38" s="12">
        <f t="shared" si="8"/>
        <v>-4.4625270479253375E-2</v>
      </c>
      <c r="S38" s="11"/>
      <c r="T38" s="12"/>
    </row>
    <row r="39" spans="1:20" x14ac:dyDescent="0.25">
      <c r="A39">
        <v>-15</v>
      </c>
      <c r="B39">
        <v>55</v>
      </c>
      <c r="C39">
        <v>50</v>
      </c>
      <c r="E39">
        <v>2.83</v>
      </c>
      <c r="G39">
        <f t="shared" si="0"/>
        <v>-15</v>
      </c>
      <c r="H39" s="10">
        <f t="shared" si="0"/>
        <v>55</v>
      </c>
      <c r="I39">
        <f t="shared" si="0"/>
        <v>50</v>
      </c>
      <c r="J39">
        <f t="shared" si="1"/>
        <v>225</v>
      </c>
      <c r="K39">
        <f t="shared" si="2"/>
        <v>-825</v>
      </c>
      <c r="L39">
        <f t="shared" si="3"/>
        <v>-750</v>
      </c>
      <c r="M39">
        <f t="shared" si="4"/>
        <v>3025</v>
      </c>
      <c r="N39">
        <f t="shared" si="5"/>
        <v>2750</v>
      </c>
      <c r="O39">
        <f t="shared" si="6"/>
        <v>2500</v>
      </c>
      <c r="Q39" s="11">
        <f t="shared" si="7"/>
        <v>2.7759197878079318</v>
      </c>
      <c r="R39" s="12">
        <f t="shared" si="8"/>
        <v>-1.9109615615571826E-2</v>
      </c>
      <c r="S39" s="11"/>
      <c r="T39" s="12"/>
    </row>
    <row r="40" spans="1:20" x14ac:dyDescent="0.25">
      <c r="A40">
        <v>-15</v>
      </c>
      <c r="B40">
        <v>55</v>
      </c>
      <c r="C40">
        <v>120</v>
      </c>
      <c r="E40">
        <v>6.77</v>
      </c>
      <c r="G40">
        <f t="shared" si="0"/>
        <v>-15</v>
      </c>
      <c r="H40" s="10">
        <f t="shared" si="0"/>
        <v>55</v>
      </c>
      <c r="I40">
        <f t="shared" si="0"/>
        <v>120</v>
      </c>
      <c r="J40">
        <f t="shared" si="1"/>
        <v>225</v>
      </c>
      <c r="K40">
        <f t="shared" si="2"/>
        <v>-825</v>
      </c>
      <c r="L40">
        <f t="shared" si="3"/>
        <v>-1800</v>
      </c>
      <c r="M40">
        <f t="shared" si="4"/>
        <v>3025</v>
      </c>
      <c r="N40">
        <f t="shared" si="5"/>
        <v>6600</v>
      </c>
      <c r="O40">
        <f t="shared" si="6"/>
        <v>14400</v>
      </c>
      <c r="Q40" s="11">
        <f t="shared" si="7"/>
        <v>6.9138480780725127</v>
      </c>
      <c r="R40" s="12">
        <f t="shared" si="8"/>
        <v>2.1247869730061021E-2</v>
      </c>
      <c r="S40" s="11"/>
      <c r="T40" s="12"/>
    </row>
    <row r="43" spans="1:20" x14ac:dyDescent="0.25">
      <c r="A43" t="s">
        <v>27</v>
      </c>
      <c r="G43" s="4" t="s">
        <v>1</v>
      </c>
      <c r="H43" s="4" t="s">
        <v>2</v>
      </c>
      <c r="I43" s="4" t="s">
        <v>3</v>
      </c>
      <c r="J43" s="4" t="s">
        <v>4</v>
      </c>
      <c r="K43" s="4" t="s">
        <v>5</v>
      </c>
      <c r="L43" s="4" t="s">
        <v>6</v>
      </c>
      <c r="M43" s="4" t="s">
        <v>7</v>
      </c>
      <c r="N43" s="4" t="s">
        <v>8</v>
      </c>
      <c r="O43" s="4" t="s">
        <v>9</v>
      </c>
      <c r="P43" s="4" t="s">
        <v>10</v>
      </c>
    </row>
    <row r="44" spans="1:20" x14ac:dyDescent="0.25">
      <c r="A44" s="1"/>
      <c r="C44" s="1"/>
      <c r="D44" s="1"/>
      <c r="E44" s="1"/>
      <c r="F44" s="1"/>
      <c r="G44" s="4">
        <f t="array" ref="G44:P44">LINEST(E46:E82,G46:O82)</f>
        <v>1.4376812245459522E-4</v>
      </c>
      <c r="H44" s="4">
        <v>7.0568678763024127E-4</v>
      </c>
      <c r="I44" s="4">
        <v>-2.9633543936121509E-5</v>
      </c>
      <c r="J44" s="4">
        <v>9.019040831784304E-5</v>
      </c>
      <c r="K44" s="4">
        <v>5.6684439043760222E-4</v>
      </c>
      <c r="L44" s="4">
        <v>5.3488252371619994E-4</v>
      </c>
      <c r="M44" s="4">
        <v>-1.1759400559930893E-2</v>
      </c>
      <c r="N44" s="4">
        <v>-2.5947785754173625E-3</v>
      </c>
      <c r="O44" s="4">
        <v>-2.3306642798387872E-2</v>
      </c>
      <c r="P44" s="4">
        <v>0.32312588962222344</v>
      </c>
    </row>
    <row r="45" spans="1:20" ht="45" x14ac:dyDescent="0.25">
      <c r="A45" s="5" t="s">
        <v>11</v>
      </c>
      <c r="B45" s="5" t="s">
        <v>12</v>
      </c>
      <c r="C45" s="5" t="s">
        <v>13</v>
      </c>
      <c r="D45" s="6"/>
      <c r="E45" s="7" t="s">
        <v>14</v>
      </c>
      <c r="F45" s="3"/>
      <c r="G45" s="8" t="s">
        <v>17</v>
      </c>
      <c r="H45" s="8" t="s">
        <v>18</v>
      </c>
      <c r="I45" s="8" t="s">
        <v>0</v>
      </c>
      <c r="J45" s="8" t="s">
        <v>19</v>
      </c>
      <c r="K45" s="8" t="s">
        <v>20</v>
      </c>
      <c r="L45" s="8" t="s">
        <v>21</v>
      </c>
      <c r="M45" s="8" t="s">
        <v>22</v>
      </c>
      <c r="N45" s="8" t="s">
        <v>23</v>
      </c>
      <c r="O45" s="8" t="s">
        <v>24</v>
      </c>
      <c r="P45" s="3"/>
      <c r="Q45" s="9" t="s">
        <v>14</v>
      </c>
      <c r="R45" s="9" t="s">
        <v>15</v>
      </c>
    </row>
    <row r="46" spans="1:20" x14ac:dyDescent="0.25">
      <c r="A46">
        <v>-15</v>
      </c>
      <c r="B46">
        <v>35</v>
      </c>
      <c r="C46">
        <v>50</v>
      </c>
      <c r="E46">
        <v>1.21</v>
      </c>
      <c r="F46" s="2"/>
      <c r="G46">
        <f t="shared" ref="G46:I82" si="9">A46</f>
        <v>-15</v>
      </c>
      <c r="H46" s="10">
        <f t="shared" si="9"/>
        <v>35</v>
      </c>
      <c r="I46">
        <f t="shared" si="9"/>
        <v>50</v>
      </c>
      <c r="J46">
        <f t="shared" ref="J46:J82" si="10">G46^2</f>
        <v>225</v>
      </c>
      <c r="K46">
        <f t="shared" ref="K46:K82" si="11">G46*H46</f>
        <v>-525</v>
      </c>
      <c r="L46">
        <f t="shared" ref="L46:L82" si="12">G46*I46</f>
        <v>-750</v>
      </c>
      <c r="M46">
        <f t="shared" ref="M46:M82" si="13">H46^2</f>
        <v>1225</v>
      </c>
      <c r="N46">
        <f t="shared" ref="N46:N82" si="14">H46*I46</f>
        <v>1750</v>
      </c>
      <c r="O46">
        <f t="shared" ref="O46:O82" si="15">I46^2</f>
        <v>2500</v>
      </c>
      <c r="Q46" s="11">
        <f>$P$44+$O$44*G46+$N$44*H46+$M$44*I46+$L$44*J46+$K$44*K46+$J$44*L46+$I$44*M46+$H$44*N46+$G$44*O46</f>
        <v>1.3071218032475722</v>
      </c>
      <c r="R46" s="12">
        <f t="shared" ref="R46:R82" si="16">(Q46-E46)/E46</f>
        <v>8.026595309716715E-2</v>
      </c>
    </row>
    <row r="47" spans="1:20" x14ac:dyDescent="0.25">
      <c r="A47">
        <v>-15</v>
      </c>
      <c r="B47">
        <v>35</v>
      </c>
      <c r="C47">
        <v>120</v>
      </c>
      <c r="E47">
        <v>3.82</v>
      </c>
      <c r="F47" s="2"/>
      <c r="G47">
        <f t="shared" si="9"/>
        <v>-15</v>
      </c>
      <c r="H47" s="10">
        <f t="shared" si="9"/>
        <v>35</v>
      </c>
      <c r="I47">
        <f t="shared" si="9"/>
        <v>120</v>
      </c>
      <c r="J47">
        <f t="shared" si="10"/>
        <v>225</v>
      </c>
      <c r="K47">
        <f t="shared" si="11"/>
        <v>-525</v>
      </c>
      <c r="L47">
        <f t="shared" si="12"/>
        <v>-1800</v>
      </c>
      <c r="M47">
        <f t="shared" si="13"/>
        <v>1225</v>
      </c>
      <c r="N47">
        <f t="shared" si="14"/>
        <v>4200</v>
      </c>
      <c r="O47">
        <f t="shared" si="15"/>
        <v>14400</v>
      </c>
      <c r="Q47" s="11">
        <f t="shared" ref="Q47:Q82" si="17">$P$44+$O$44*G47+$N$44*H47+$M$44*I47+$L$44*J47+$K$44*K47+$J$44*L47+$I$44*M47+$H$44*N47+$G$44*O47</f>
        <v>3.8290371222224486</v>
      </c>
      <c r="R47" s="12">
        <f t="shared" si="16"/>
        <v>2.3657388016881651E-3</v>
      </c>
    </row>
    <row r="48" spans="1:20" x14ac:dyDescent="0.25">
      <c r="A48">
        <v>-7</v>
      </c>
      <c r="B48">
        <v>35</v>
      </c>
      <c r="C48">
        <v>50</v>
      </c>
      <c r="E48">
        <v>1.26</v>
      </c>
      <c r="F48" s="2"/>
      <c r="G48">
        <f t="shared" si="9"/>
        <v>-7</v>
      </c>
      <c r="H48" s="10">
        <f t="shared" si="9"/>
        <v>35</v>
      </c>
      <c r="I48">
        <f t="shared" si="9"/>
        <v>50</v>
      </c>
      <c r="J48">
        <f t="shared" si="10"/>
        <v>49</v>
      </c>
      <c r="K48">
        <f t="shared" si="11"/>
        <v>-245</v>
      </c>
      <c r="L48">
        <f t="shared" si="12"/>
        <v>-350</v>
      </c>
      <c r="M48">
        <f t="shared" si="13"/>
        <v>1225</v>
      </c>
      <c r="N48">
        <f t="shared" si="14"/>
        <v>1750</v>
      </c>
      <c r="O48">
        <f t="shared" si="15"/>
        <v>2500</v>
      </c>
      <c r="Q48" s="11">
        <f t="shared" si="17"/>
        <v>1.221321929336084</v>
      </c>
      <c r="R48" s="12">
        <f t="shared" si="16"/>
        <v>-3.0696881479298447E-2</v>
      </c>
    </row>
    <row r="49" spans="1:18" x14ac:dyDescent="0.25">
      <c r="A49">
        <v>-7</v>
      </c>
      <c r="B49">
        <v>35</v>
      </c>
      <c r="C49">
        <v>120</v>
      </c>
      <c r="E49">
        <v>3.98</v>
      </c>
      <c r="F49" s="2"/>
      <c r="G49">
        <f t="shared" si="9"/>
        <v>-7</v>
      </c>
      <c r="H49" s="10">
        <f t="shared" si="9"/>
        <v>35</v>
      </c>
      <c r="I49">
        <f t="shared" si="9"/>
        <v>120</v>
      </c>
      <c r="J49">
        <f t="shared" si="10"/>
        <v>49</v>
      </c>
      <c r="K49">
        <f t="shared" si="11"/>
        <v>-245</v>
      </c>
      <c r="L49">
        <f t="shared" si="12"/>
        <v>-840</v>
      </c>
      <c r="M49">
        <f t="shared" si="13"/>
        <v>1225</v>
      </c>
      <c r="N49">
        <f t="shared" si="14"/>
        <v>4200</v>
      </c>
      <c r="O49">
        <f t="shared" si="15"/>
        <v>14400</v>
      </c>
      <c r="Q49" s="11">
        <f t="shared" si="17"/>
        <v>3.7937438769689527</v>
      </c>
      <c r="R49" s="12">
        <f t="shared" si="16"/>
        <v>-4.6798020862072194E-2</v>
      </c>
    </row>
    <row r="50" spans="1:18" x14ac:dyDescent="0.25">
      <c r="A50">
        <v>2</v>
      </c>
      <c r="B50">
        <v>35</v>
      </c>
      <c r="C50">
        <v>20</v>
      </c>
      <c r="E50">
        <v>0.5</v>
      </c>
      <c r="F50" s="2"/>
      <c r="G50">
        <f t="shared" si="9"/>
        <v>2</v>
      </c>
      <c r="H50" s="10">
        <f t="shared" si="9"/>
        <v>35</v>
      </c>
      <c r="I50">
        <f t="shared" si="9"/>
        <v>20</v>
      </c>
      <c r="J50">
        <f t="shared" si="10"/>
        <v>4</v>
      </c>
      <c r="K50">
        <f t="shared" si="11"/>
        <v>70</v>
      </c>
      <c r="L50">
        <f t="shared" si="12"/>
        <v>40</v>
      </c>
      <c r="M50">
        <f t="shared" si="13"/>
        <v>1225</v>
      </c>
      <c r="N50">
        <f t="shared" si="14"/>
        <v>700</v>
      </c>
      <c r="O50">
        <f t="shared" si="15"/>
        <v>400</v>
      </c>
      <c r="Q50" s="11">
        <f t="shared" si="17"/>
        <v>0.51112050544669096</v>
      </c>
      <c r="R50" s="12">
        <f t="shared" si="16"/>
        <v>2.2241010893381929E-2</v>
      </c>
    </row>
    <row r="51" spans="1:18" x14ac:dyDescent="0.25">
      <c r="A51">
        <v>2</v>
      </c>
      <c r="B51">
        <v>35</v>
      </c>
      <c r="C51">
        <v>50</v>
      </c>
      <c r="E51">
        <v>1.31</v>
      </c>
      <c r="F51" s="2"/>
      <c r="G51">
        <f t="shared" si="9"/>
        <v>2</v>
      </c>
      <c r="H51" s="10">
        <f t="shared" si="9"/>
        <v>35</v>
      </c>
      <c r="I51">
        <f t="shared" si="9"/>
        <v>50</v>
      </c>
      <c r="J51">
        <f t="shared" si="10"/>
        <v>4</v>
      </c>
      <c r="K51">
        <f t="shared" si="11"/>
        <v>70</v>
      </c>
      <c r="L51">
        <f t="shared" si="12"/>
        <v>100</v>
      </c>
      <c r="M51">
        <f t="shared" si="13"/>
        <v>1225</v>
      </c>
      <c r="N51">
        <f t="shared" si="14"/>
        <v>1750</v>
      </c>
      <c r="O51">
        <f t="shared" si="15"/>
        <v>2500</v>
      </c>
      <c r="Q51" s="11">
        <f t="shared" si="17"/>
        <v>1.2066340973142382</v>
      </c>
      <c r="R51" s="12">
        <f t="shared" si="16"/>
        <v>-7.8905269225772401E-2</v>
      </c>
    </row>
    <row r="52" spans="1:18" x14ac:dyDescent="0.25">
      <c r="A52">
        <v>2</v>
      </c>
      <c r="B52">
        <v>35</v>
      </c>
      <c r="C52">
        <v>120</v>
      </c>
      <c r="E52">
        <v>3.67</v>
      </c>
      <c r="F52" s="2"/>
      <c r="G52">
        <f t="shared" si="9"/>
        <v>2</v>
      </c>
      <c r="H52" s="10">
        <f t="shared" si="9"/>
        <v>35</v>
      </c>
      <c r="I52">
        <f t="shared" si="9"/>
        <v>120</v>
      </c>
      <c r="J52">
        <f t="shared" si="10"/>
        <v>4</v>
      </c>
      <c r="K52">
        <f t="shared" si="11"/>
        <v>70</v>
      </c>
      <c r="L52">
        <f t="shared" si="12"/>
        <v>240</v>
      </c>
      <c r="M52">
        <f t="shared" si="13"/>
        <v>1225</v>
      </c>
      <c r="N52">
        <f t="shared" si="14"/>
        <v>4200</v>
      </c>
      <c r="O52">
        <f t="shared" si="15"/>
        <v>14400</v>
      </c>
      <c r="Q52" s="11">
        <f t="shared" si="17"/>
        <v>3.8358760021873479</v>
      </c>
      <c r="R52" s="12">
        <f t="shared" si="16"/>
        <v>4.5197820759495369E-2</v>
      </c>
    </row>
    <row r="53" spans="1:18" x14ac:dyDescent="0.25">
      <c r="A53">
        <v>7</v>
      </c>
      <c r="B53">
        <v>35</v>
      </c>
      <c r="C53">
        <v>20</v>
      </c>
      <c r="E53">
        <v>0.5</v>
      </c>
      <c r="F53" s="2"/>
      <c r="G53">
        <f t="shared" si="9"/>
        <v>7</v>
      </c>
      <c r="H53" s="10">
        <f t="shared" si="9"/>
        <v>35</v>
      </c>
      <c r="I53">
        <f t="shared" si="9"/>
        <v>20</v>
      </c>
      <c r="J53">
        <f t="shared" si="10"/>
        <v>49</v>
      </c>
      <c r="K53">
        <f t="shared" si="11"/>
        <v>245</v>
      </c>
      <c r="L53">
        <f t="shared" si="12"/>
        <v>140</v>
      </c>
      <c r="M53">
        <f t="shared" si="13"/>
        <v>1225</v>
      </c>
      <c r="N53">
        <f t="shared" si="14"/>
        <v>700</v>
      </c>
      <c r="O53">
        <f t="shared" si="15"/>
        <v>400</v>
      </c>
      <c r="Q53" s="11">
        <f t="shared" si="17"/>
        <v>0.52687381418034518</v>
      </c>
      <c r="R53" s="12">
        <f t="shared" si="16"/>
        <v>5.3747628360690358E-2</v>
      </c>
    </row>
    <row r="54" spans="1:18" x14ac:dyDescent="0.25">
      <c r="A54">
        <v>7</v>
      </c>
      <c r="B54">
        <v>35</v>
      </c>
      <c r="C54">
        <v>50</v>
      </c>
      <c r="E54">
        <v>1.32</v>
      </c>
      <c r="F54" s="2"/>
      <c r="G54">
        <f t="shared" si="9"/>
        <v>7</v>
      </c>
      <c r="H54" s="10">
        <f t="shared" si="9"/>
        <v>35</v>
      </c>
      <c r="I54">
        <f t="shared" si="9"/>
        <v>50</v>
      </c>
      <c r="J54">
        <f t="shared" si="10"/>
        <v>49</v>
      </c>
      <c r="K54">
        <f t="shared" si="11"/>
        <v>245</v>
      </c>
      <c r="L54">
        <f t="shared" si="12"/>
        <v>350</v>
      </c>
      <c r="M54">
        <f t="shared" si="13"/>
        <v>1225</v>
      </c>
      <c r="N54">
        <f t="shared" si="14"/>
        <v>1750</v>
      </c>
      <c r="O54">
        <f t="shared" si="15"/>
        <v>2500</v>
      </c>
      <c r="Q54" s="11">
        <f t="shared" si="17"/>
        <v>1.2359159672955689</v>
      </c>
      <c r="R54" s="12">
        <f t="shared" si="16"/>
        <v>-6.3700024776084246E-2</v>
      </c>
    </row>
    <row r="55" spans="1:18" x14ac:dyDescent="0.25">
      <c r="A55">
        <v>7</v>
      </c>
      <c r="B55">
        <v>35</v>
      </c>
      <c r="C55">
        <v>120</v>
      </c>
      <c r="E55">
        <v>3.7</v>
      </c>
      <c r="F55" s="2"/>
      <c r="G55">
        <f t="shared" si="9"/>
        <v>7</v>
      </c>
      <c r="H55" s="10">
        <f t="shared" si="9"/>
        <v>35</v>
      </c>
      <c r="I55">
        <f t="shared" si="9"/>
        <v>120</v>
      </c>
      <c r="J55">
        <f t="shared" si="10"/>
        <v>49</v>
      </c>
      <c r="K55">
        <f t="shared" si="11"/>
        <v>245</v>
      </c>
      <c r="L55">
        <f t="shared" si="12"/>
        <v>840</v>
      </c>
      <c r="M55">
        <f t="shared" si="13"/>
        <v>1225</v>
      </c>
      <c r="N55">
        <f t="shared" si="14"/>
        <v>4200</v>
      </c>
      <c r="O55">
        <f t="shared" si="15"/>
        <v>14400</v>
      </c>
      <c r="Q55" s="11">
        <f t="shared" si="17"/>
        <v>3.8967245150799235</v>
      </c>
      <c r="R55" s="12">
        <f t="shared" si="16"/>
        <v>5.3168787859438724E-2</v>
      </c>
    </row>
    <row r="56" spans="1:18" x14ac:dyDescent="0.25">
      <c r="A56">
        <v>12</v>
      </c>
      <c r="B56">
        <v>35</v>
      </c>
      <c r="C56">
        <v>20</v>
      </c>
      <c r="E56">
        <v>0.49</v>
      </c>
      <c r="F56" s="2"/>
      <c r="G56">
        <f t="shared" si="9"/>
        <v>12</v>
      </c>
      <c r="H56" s="10">
        <f t="shared" si="9"/>
        <v>35</v>
      </c>
      <c r="I56">
        <f t="shared" si="9"/>
        <v>20</v>
      </c>
      <c r="J56">
        <f t="shared" si="10"/>
        <v>144</v>
      </c>
      <c r="K56">
        <f t="shared" si="11"/>
        <v>420</v>
      </c>
      <c r="L56">
        <f t="shared" si="12"/>
        <v>240</v>
      </c>
      <c r="M56">
        <f t="shared" si="13"/>
        <v>1225</v>
      </c>
      <c r="N56">
        <f t="shared" si="14"/>
        <v>700</v>
      </c>
      <c r="O56">
        <f t="shared" si="15"/>
        <v>400</v>
      </c>
      <c r="Q56" s="11">
        <f t="shared" si="17"/>
        <v>0.56937124909980963</v>
      </c>
      <c r="R56" s="12">
        <f t="shared" si="16"/>
        <v>0.16198214102001968</v>
      </c>
    </row>
    <row r="57" spans="1:18" x14ac:dyDescent="0.25">
      <c r="A57">
        <v>12</v>
      </c>
      <c r="B57">
        <v>35</v>
      </c>
      <c r="C57">
        <v>50</v>
      </c>
      <c r="E57">
        <v>1.33</v>
      </c>
      <c r="F57" s="2"/>
      <c r="G57">
        <f t="shared" si="9"/>
        <v>12</v>
      </c>
      <c r="H57" s="10">
        <f t="shared" si="9"/>
        <v>35</v>
      </c>
      <c r="I57">
        <f t="shared" si="9"/>
        <v>50</v>
      </c>
      <c r="J57">
        <f t="shared" si="10"/>
        <v>144</v>
      </c>
      <c r="K57">
        <f t="shared" si="11"/>
        <v>420</v>
      </c>
      <c r="L57">
        <f t="shared" si="12"/>
        <v>600</v>
      </c>
      <c r="M57">
        <f t="shared" si="13"/>
        <v>1225</v>
      </c>
      <c r="N57">
        <f t="shared" si="14"/>
        <v>1750</v>
      </c>
      <c r="O57">
        <f t="shared" si="15"/>
        <v>2500</v>
      </c>
      <c r="Q57" s="11">
        <f t="shared" si="17"/>
        <v>1.2919419634627096</v>
      </c>
      <c r="R57" s="12">
        <f t="shared" si="16"/>
        <v>-2.8615065065631919E-2</v>
      </c>
    </row>
    <row r="58" spans="1:18" x14ac:dyDescent="0.25">
      <c r="A58">
        <v>12</v>
      </c>
      <c r="B58">
        <v>35</v>
      </c>
      <c r="C58">
        <v>120</v>
      </c>
      <c r="E58">
        <v>4.12</v>
      </c>
      <c r="F58" s="2"/>
      <c r="G58">
        <f t="shared" si="9"/>
        <v>12</v>
      </c>
      <c r="H58" s="10">
        <f t="shared" si="9"/>
        <v>35</v>
      </c>
      <c r="I58">
        <f t="shared" si="9"/>
        <v>120</v>
      </c>
      <c r="J58">
        <f t="shared" si="10"/>
        <v>144</v>
      </c>
      <c r="K58">
        <f t="shared" si="11"/>
        <v>420</v>
      </c>
      <c r="L58">
        <f t="shared" si="12"/>
        <v>1440</v>
      </c>
      <c r="M58">
        <f t="shared" si="13"/>
        <v>1225</v>
      </c>
      <c r="N58">
        <f t="shared" si="14"/>
        <v>4200</v>
      </c>
      <c r="O58">
        <f t="shared" si="15"/>
        <v>14400</v>
      </c>
      <c r="Q58" s="11">
        <f t="shared" si="17"/>
        <v>3.9843171541583096</v>
      </c>
      <c r="R58" s="12">
        <f t="shared" si="16"/>
        <v>-3.2932729573225863E-2</v>
      </c>
    </row>
    <row r="59" spans="1:18" x14ac:dyDescent="0.25">
      <c r="A59">
        <v>-15</v>
      </c>
      <c r="B59">
        <v>45</v>
      </c>
      <c r="C59">
        <v>50</v>
      </c>
      <c r="E59">
        <v>1.47</v>
      </c>
      <c r="F59" s="2"/>
      <c r="G59">
        <f t="shared" si="9"/>
        <v>-15</v>
      </c>
      <c r="H59" s="10">
        <f t="shared" si="9"/>
        <v>45</v>
      </c>
      <c r="I59">
        <f t="shared" si="9"/>
        <v>50</v>
      </c>
      <c r="J59">
        <f t="shared" si="10"/>
        <v>225</v>
      </c>
      <c r="K59">
        <f t="shared" si="11"/>
        <v>-675</v>
      </c>
      <c r="L59">
        <f t="shared" si="12"/>
        <v>-750</v>
      </c>
      <c r="M59">
        <f t="shared" si="13"/>
        <v>2025</v>
      </c>
      <c r="N59">
        <f t="shared" si="14"/>
        <v>2250</v>
      </c>
      <c r="O59">
        <f t="shared" si="15"/>
        <v>2500</v>
      </c>
      <c r="Q59" s="11">
        <f t="shared" si="17"/>
        <v>1.5252839175939816</v>
      </c>
      <c r="R59" s="12">
        <f t="shared" si="16"/>
        <v>3.7608107206790246E-2</v>
      </c>
    </row>
    <row r="60" spans="1:18" x14ac:dyDescent="0.25">
      <c r="A60">
        <v>-15</v>
      </c>
      <c r="B60">
        <v>45</v>
      </c>
      <c r="C60">
        <v>120</v>
      </c>
      <c r="E60">
        <v>4.53</v>
      </c>
      <c r="F60" s="2"/>
      <c r="G60">
        <f t="shared" si="9"/>
        <v>-15</v>
      </c>
      <c r="H60" s="10">
        <f t="shared" si="9"/>
        <v>45</v>
      </c>
      <c r="I60">
        <f t="shared" si="9"/>
        <v>120</v>
      </c>
      <c r="J60">
        <f t="shared" si="10"/>
        <v>225</v>
      </c>
      <c r="K60">
        <f t="shared" si="11"/>
        <v>-675</v>
      </c>
      <c r="L60">
        <f t="shared" si="12"/>
        <v>-1800</v>
      </c>
      <c r="M60">
        <f t="shared" si="13"/>
        <v>2025</v>
      </c>
      <c r="N60">
        <f t="shared" si="14"/>
        <v>5400</v>
      </c>
      <c r="O60">
        <f t="shared" si="15"/>
        <v>14400</v>
      </c>
      <c r="Q60" s="11">
        <f t="shared" si="17"/>
        <v>4.5411799879100272</v>
      </c>
      <c r="R60" s="12">
        <f t="shared" si="16"/>
        <v>2.4679885011097006E-3</v>
      </c>
    </row>
    <row r="61" spans="1:18" x14ac:dyDescent="0.25">
      <c r="A61">
        <v>-7</v>
      </c>
      <c r="B61">
        <v>45</v>
      </c>
      <c r="C61">
        <v>50</v>
      </c>
      <c r="E61">
        <v>1.52</v>
      </c>
      <c r="F61" s="2"/>
      <c r="G61">
        <f t="shared" si="9"/>
        <v>-7</v>
      </c>
      <c r="H61" s="10">
        <f t="shared" si="9"/>
        <v>45</v>
      </c>
      <c r="I61">
        <f t="shared" si="9"/>
        <v>50</v>
      </c>
      <c r="J61">
        <f t="shared" si="10"/>
        <v>49</v>
      </c>
      <c r="K61">
        <f t="shared" si="11"/>
        <v>-315</v>
      </c>
      <c r="L61">
        <f t="shared" si="12"/>
        <v>-350</v>
      </c>
      <c r="M61">
        <f t="shared" si="13"/>
        <v>2025</v>
      </c>
      <c r="N61">
        <f t="shared" si="14"/>
        <v>2250</v>
      </c>
      <c r="O61">
        <f t="shared" si="15"/>
        <v>2500</v>
      </c>
      <c r="Q61" s="11">
        <f t="shared" si="17"/>
        <v>1.4848315949175015</v>
      </c>
      <c r="R61" s="12">
        <f t="shared" si="16"/>
        <v>-2.3137108606906921E-2</v>
      </c>
    </row>
    <row r="62" spans="1:18" x14ac:dyDescent="0.25">
      <c r="A62">
        <v>-7</v>
      </c>
      <c r="B62">
        <v>45</v>
      </c>
      <c r="C62">
        <v>120</v>
      </c>
      <c r="E62">
        <v>4.6900000000000004</v>
      </c>
      <c r="F62" s="2"/>
      <c r="G62">
        <f t="shared" si="9"/>
        <v>-7</v>
      </c>
      <c r="H62" s="10">
        <f t="shared" si="9"/>
        <v>45</v>
      </c>
      <c r="I62">
        <f t="shared" si="9"/>
        <v>120</v>
      </c>
      <c r="J62">
        <f t="shared" si="10"/>
        <v>49</v>
      </c>
      <c r="K62">
        <f t="shared" si="11"/>
        <v>-315</v>
      </c>
      <c r="L62">
        <f t="shared" si="12"/>
        <v>-840</v>
      </c>
      <c r="M62">
        <f t="shared" si="13"/>
        <v>2025</v>
      </c>
      <c r="N62">
        <f t="shared" si="14"/>
        <v>5400</v>
      </c>
      <c r="O62">
        <f t="shared" si="15"/>
        <v>14400</v>
      </c>
      <c r="Q62" s="11">
        <f t="shared" si="17"/>
        <v>4.5512342938915387</v>
      </c>
      <c r="R62" s="12">
        <f t="shared" si="16"/>
        <v>-2.958757059881913E-2</v>
      </c>
    </row>
    <row r="63" spans="1:18" x14ac:dyDescent="0.25">
      <c r="A63">
        <v>2</v>
      </c>
      <c r="B63">
        <v>45</v>
      </c>
      <c r="C63">
        <v>50</v>
      </c>
      <c r="E63">
        <v>1.57</v>
      </c>
      <c r="G63">
        <f t="shared" si="9"/>
        <v>2</v>
      </c>
      <c r="H63" s="10">
        <f t="shared" si="9"/>
        <v>45</v>
      </c>
      <c r="I63">
        <f t="shared" si="9"/>
        <v>50</v>
      </c>
      <c r="J63">
        <f t="shared" si="10"/>
        <v>4</v>
      </c>
      <c r="K63">
        <f t="shared" si="11"/>
        <v>90</v>
      </c>
      <c r="L63">
        <f t="shared" si="12"/>
        <v>100</v>
      </c>
      <c r="M63">
        <f t="shared" si="13"/>
        <v>2025</v>
      </c>
      <c r="N63">
        <f t="shared" si="14"/>
        <v>2250</v>
      </c>
      <c r="O63">
        <f t="shared" si="15"/>
        <v>2500</v>
      </c>
      <c r="Q63" s="11">
        <f t="shared" si="17"/>
        <v>1.5211597580350398</v>
      </c>
      <c r="R63" s="12">
        <f t="shared" si="16"/>
        <v>-3.1108434372586168E-2</v>
      </c>
    </row>
    <row r="64" spans="1:18" x14ac:dyDescent="0.25">
      <c r="A64">
        <v>2</v>
      </c>
      <c r="B64">
        <v>45</v>
      </c>
      <c r="C64">
        <v>120</v>
      </c>
      <c r="E64">
        <v>4.47</v>
      </c>
      <c r="G64">
        <f t="shared" si="9"/>
        <v>2</v>
      </c>
      <c r="H64" s="10">
        <f t="shared" si="9"/>
        <v>45</v>
      </c>
      <c r="I64">
        <f t="shared" si="9"/>
        <v>120</v>
      </c>
      <c r="J64">
        <f t="shared" si="10"/>
        <v>4</v>
      </c>
      <c r="K64">
        <f t="shared" si="11"/>
        <v>90</v>
      </c>
      <c r="L64">
        <f t="shared" si="12"/>
        <v>240</v>
      </c>
      <c r="M64">
        <f t="shared" si="13"/>
        <v>2025</v>
      </c>
      <c r="N64">
        <f t="shared" si="14"/>
        <v>5400</v>
      </c>
      <c r="O64">
        <f t="shared" si="15"/>
        <v>14400</v>
      </c>
      <c r="Q64" s="11">
        <f t="shared" si="17"/>
        <v>4.6443824142493186</v>
      </c>
      <c r="R64" s="12">
        <f t="shared" si="16"/>
        <v>3.901172578284539E-2</v>
      </c>
    </row>
    <row r="65" spans="1:18" x14ac:dyDescent="0.25">
      <c r="A65">
        <v>7</v>
      </c>
      <c r="B65">
        <v>45</v>
      </c>
      <c r="C65">
        <v>20</v>
      </c>
      <c r="E65">
        <v>0.69</v>
      </c>
      <c r="G65">
        <f t="shared" si="9"/>
        <v>7</v>
      </c>
      <c r="H65" s="10">
        <f t="shared" si="9"/>
        <v>45</v>
      </c>
      <c r="I65">
        <f t="shared" si="9"/>
        <v>20</v>
      </c>
      <c r="J65">
        <f t="shared" si="10"/>
        <v>49</v>
      </c>
      <c r="K65">
        <f t="shared" si="11"/>
        <v>315</v>
      </c>
      <c r="L65">
        <f t="shared" si="12"/>
        <v>140</v>
      </c>
      <c r="M65">
        <f t="shared" si="13"/>
        <v>2025</v>
      </c>
      <c r="N65">
        <f t="shared" si="14"/>
        <v>900</v>
      </c>
      <c r="O65">
        <f t="shared" si="15"/>
        <v>400</v>
      </c>
      <c r="Q65" s="11">
        <f t="shared" si="17"/>
        <v>0.65803565813395481</v>
      </c>
      <c r="R65" s="12">
        <f t="shared" si="16"/>
        <v>-4.6325133139195847E-2</v>
      </c>
    </row>
    <row r="66" spans="1:18" x14ac:dyDescent="0.25">
      <c r="A66">
        <v>7</v>
      </c>
      <c r="B66">
        <v>45</v>
      </c>
      <c r="C66">
        <v>50</v>
      </c>
      <c r="E66">
        <v>1.6</v>
      </c>
      <c r="G66">
        <f t="shared" si="9"/>
        <v>7</v>
      </c>
      <c r="H66" s="10">
        <f t="shared" si="9"/>
        <v>45</v>
      </c>
      <c r="I66">
        <f t="shared" si="9"/>
        <v>50</v>
      </c>
      <c r="J66">
        <f t="shared" si="10"/>
        <v>49</v>
      </c>
      <c r="K66">
        <f t="shared" si="11"/>
        <v>315</v>
      </c>
      <c r="L66">
        <f t="shared" si="12"/>
        <v>350</v>
      </c>
      <c r="M66">
        <f t="shared" si="13"/>
        <v>2025</v>
      </c>
      <c r="N66">
        <f t="shared" si="14"/>
        <v>2250</v>
      </c>
      <c r="O66">
        <f t="shared" si="15"/>
        <v>2500</v>
      </c>
      <c r="Q66" s="11">
        <f t="shared" si="17"/>
        <v>1.5787838475382507</v>
      </c>
      <c r="R66" s="12">
        <f t="shared" si="16"/>
        <v>-1.3260095288593343E-2</v>
      </c>
    </row>
    <row r="67" spans="1:18" x14ac:dyDescent="0.25">
      <c r="A67">
        <v>7</v>
      </c>
      <c r="B67">
        <v>45</v>
      </c>
      <c r="C67">
        <v>120</v>
      </c>
      <c r="E67">
        <v>4.6399999999999997</v>
      </c>
      <c r="G67">
        <f t="shared" si="9"/>
        <v>7</v>
      </c>
      <c r="H67" s="10">
        <f t="shared" si="9"/>
        <v>45</v>
      </c>
      <c r="I67">
        <f t="shared" si="9"/>
        <v>120</v>
      </c>
      <c r="J67">
        <f t="shared" si="10"/>
        <v>49</v>
      </c>
      <c r="K67">
        <f t="shared" si="11"/>
        <v>315</v>
      </c>
      <c r="L67">
        <f t="shared" si="12"/>
        <v>840</v>
      </c>
      <c r="M67">
        <f t="shared" si="13"/>
        <v>2025</v>
      </c>
      <c r="N67">
        <f t="shared" si="14"/>
        <v>5400</v>
      </c>
      <c r="O67">
        <f t="shared" si="15"/>
        <v>14400</v>
      </c>
      <c r="Q67" s="11">
        <f t="shared" si="17"/>
        <v>4.7335731466637743</v>
      </c>
      <c r="R67" s="12">
        <f t="shared" si="16"/>
        <v>2.0166626436158318E-2</v>
      </c>
    </row>
    <row r="68" spans="1:18" x14ac:dyDescent="0.25">
      <c r="A68">
        <v>12</v>
      </c>
      <c r="B68">
        <v>45</v>
      </c>
      <c r="C68">
        <v>20</v>
      </c>
      <c r="E68">
        <v>0.7</v>
      </c>
      <c r="G68">
        <f t="shared" si="9"/>
        <v>12</v>
      </c>
      <c r="H68" s="10">
        <f t="shared" si="9"/>
        <v>45</v>
      </c>
      <c r="I68">
        <f t="shared" si="9"/>
        <v>20</v>
      </c>
      <c r="J68">
        <f t="shared" si="10"/>
        <v>144</v>
      </c>
      <c r="K68">
        <f t="shared" si="11"/>
        <v>540</v>
      </c>
      <c r="L68">
        <f t="shared" si="12"/>
        <v>240</v>
      </c>
      <c r="M68">
        <f t="shared" si="13"/>
        <v>2025</v>
      </c>
      <c r="N68">
        <f t="shared" si="14"/>
        <v>900</v>
      </c>
      <c r="O68">
        <f t="shared" si="15"/>
        <v>400</v>
      </c>
      <c r="Q68" s="11">
        <f t="shared" si="17"/>
        <v>0.72887531257529925</v>
      </c>
      <c r="R68" s="12">
        <f t="shared" si="16"/>
        <v>4.1250446536141849E-2</v>
      </c>
    </row>
    <row r="69" spans="1:18" x14ac:dyDescent="0.25">
      <c r="A69">
        <v>12</v>
      </c>
      <c r="B69">
        <v>45</v>
      </c>
      <c r="C69">
        <v>50</v>
      </c>
      <c r="E69">
        <v>1.61</v>
      </c>
      <c r="G69">
        <f t="shared" si="9"/>
        <v>12</v>
      </c>
      <c r="H69" s="10">
        <f t="shared" si="9"/>
        <v>45</v>
      </c>
      <c r="I69">
        <f t="shared" si="9"/>
        <v>50</v>
      </c>
      <c r="J69">
        <f t="shared" si="10"/>
        <v>144</v>
      </c>
      <c r="K69">
        <f t="shared" si="11"/>
        <v>540</v>
      </c>
      <c r="L69">
        <f t="shared" si="12"/>
        <v>600</v>
      </c>
      <c r="M69">
        <f t="shared" si="13"/>
        <v>2025</v>
      </c>
      <c r="N69">
        <f t="shared" si="14"/>
        <v>2250</v>
      </c>
      <c r="O69">
        <f t="shared" si="15"/>
        <v>2500</v>
      </c>
      <c r="Q69" s="11">
        <f t="shared" si="17"/>
        <v>1.6631520632272716</v>
      </c>
      <c r="R69" s="12">
        <f t="shared" si="16"/>
        <v>3.3013703867870496E-2</v>
      </c>
    </row>
    <row r="70" spans="1:18" x14ac:dyDescent="0.25">
      <c r="A70">
        <v>12</v>
      </c>
      <c r="B70">
        <v>45</v>
      </c>
      <c r="C70">
        <v>120</v>
      </c>
      <c r="E70">
        <v>4.99</v>
      </c>
      <c r="G70">
        <f t="shared" si="9"/>
        <v>12</v>
      </c>
      <c r="H70" s="10">
        <f t="shared" si="9"/>
        <v>45</v>
      </c>
      <c r="I70">
        <f t="shared" si="9"/>
        <v>120</v>
      </c>
      <c r="J70">
        <f t="shared" si="10"/>
        <v>144</v>
      </c>
      <c r="K70">
        <f t="shared" si="11"/>
        <v>540</v>
      </c>
      <c r="L70">
        <f t="shared" si="12"/>
        <v>1440</v>
      </c>
      <c r="M70">
        <f t="shared" si="13"/>
        <v>2025</v>
      </c>
      <c r="N70">
        <f t="shared" si="14"/>
        <v>5400</v>
      </c>
      <c r="O70">
        <f t="shared" si="15"/>
        <v>14400</v>
      </c>
      <c r="Q70" s="11">
        <f t="shared" si="17"/>
        <v>4.84950800526404</v>
      </c>
      <c r="R70" s="12">
        <f t="shared" si="16"/>
        <v>-2.8154708363919877E-2</v>
      </c>
    </row>
    <row r="71" spans="1:18" x14ac:dyDescent="0.25">
      <c r="A71">
        <v>-7</v>
      </c>
      <c r="B71">
        <v>55</v>
      </c>
      <c r="C71">
        <v>50</v>
      </c>
      <c r="E71">
        <v>1.77</v>
      </c>
      <c r="G71">
        <f t="shared" si="9"/>
        <v>-7</v>
      </c>
      <c r="H71" s="10">
        <f t="shared" si="9"/>
        <v>55</v>
      </c>
      <c r="I71">
        <f t="shared" si="9"/>
        <v>50</v>
      </c>
      <c r="J71">
        <f t="shared" si="10"/>
        <v>49</v>
      </c>
      <c r="K71">
        <f t="shared" si="11"/>
        <v>-385</v>
      </c>
      <c r="L71">
        <f t="shared" si="12"/>
        <v>-350</v>
      </c>
      <c r="M71">
        <f t="shared" si="13"/>
        <v>3025</v>
      </c>
      <c r="N71">
        <f t="shared" si="14"/>
        <v>2750</v>
      </c>
      <c r="O71">
        <f t="shared" si="15"/>
        <v>2500</v>
      </c>
      <c r="Q71" s="11">
        <f t="shared" si="17"/>
        <v>1.7424145517116949</v>
      </c>
      <c r="R71" s="12">
        <f t="shared" si="16"/>
        <v>-1.5584999032940743E-2</v>
      </c>
    </row>
    <row r="72" spans="1:18" x14ac:dyDescent="0.25">
      <c r="A72">
        <v>-7</v>
      </c>
      <c r="B72">
        <v>55</v>
      </c>
      <c r="C72">
        <v>120</v>
      </c>
      <c r="E72">
        <v>5.39</v>
      </c>
      <c r="G72">
        <f t="shared" si="9"/>
        <v>-7</v>
      </c>
      <c r="H72" s="10">
        <f t="shared" si="9"/>
        <v>55</v>
      </c>
      <c r="I72">
        <f t="shared" si="9"/>
        <v>120</v>
      </c>
      <c r="J72">
        <f t="shared" si="10"/>
        <v>49</v>
      </c>
      <c r="K72">
        <f t="shared" si="11"/>
        <v>-385</v>
      </c>
      <c r="L72">
        <f t="shared" si="12"/>
        <v>-840</v>
      </c>
      <c r="M72">
        <f t="shared" si="13"/>
        <v>3025</v>
      </c>
      <c r="N72">
        <f t="shared" si="14"/>
        <v>6600</v>
      </c>
      <c r="O72">
        <f t="shared" si="15"/>
        <v>14400</v>
      </c>
      <c r="Q72" s="11">
        <f t="shared" si="17"/>
        <v>5.3027980020269005</v>
      </c>
      <c r="R72" s="12">
        <f t="shared" si="16"/>
        <v>-1.6178478288144553E-2</v>
      </c>
    </row>
    <row r="73" spans="1:18" x14ac:dyDescent="0.25">
      <c r="A73">
        <v>2</v>
      </c>
      <c r="B73">
        <v>55</v>
      </c>
      <c r="C73">
        <v>50</v>
      </c>
      <c r="E73">
        <v>1.83</v>
      </c>
      <c r="G73">
        <f t="shared" si="9"/>
        <v>2</v>
      </c>
      <c r="H73" s="10">
        <f t="shared" si="9"/>
        <v>55</v>
      </c>
      <c r="I73">
        <f t="shared" si="9"/>
        <v>50</v>
      </c>
      <c r="J73">
        <f t="shared" si="10"/>
        <v>4</v>
      </c>
      <c r="K73">
        <f t="shared" si="11"/>
        <v>110</v>
      </c>
      <c r="L73">
        <f t="shared" si="12"/>
        <v>100</v>
      </c>
      <c r="M73">
        <f t="shared" si="13"/>
        <v>3025</v>
      </c>
      <c r="N73">
        <f t="shared" si="14"/>
        <v>2750</v>
      </c>
      <c r="O73">
        <f t="shared" si="15"/>
        <v>2500</v>
      </c>
      <c r="Q73" s="11">
        <f t="shared" si="17"/>
        <v>1.8297587099686174</v>
      </c>
      <c r="R73" s="12">
        <f t="shared" si="16"/>
        <v>-1.3185247616536821E-4</v>
      </c>
    </row>
    <row r="74" spans="1:18" x14ac:dyDescent="0.25">
      <c r="A74">
        <v>2</v>
      </c>
      <c r="B74">
        <v>55</v>
      </c>
      <c r="C74">
        <v>120</v>
      </c>
      <c r="E74">
        <v>5.26</v>
      </c>
      <c r="G74">
        <f t="shared" si="9"/>
        <v>2</v>
      </c>
      <c r="H74" s="10">
        <f t="shared" si="9"/>
        <v>55</v>
      </c>
      <c r="I74">
        <f t="shared" si="9"/>
        <v>120</v>
      </c>
      <c r="J74">
        <f t="shared" si="10"/>
        <v>4</v>
      </c>
      <c r="K74">
        <f t="shared" si="11"/>
        <v>110</v>
      </c>
      <c r="L74">
        <f t="shared" si="12"/>
        <v>240</v>
      </c>
      <c r="M74">
        <f t="shared" si="13"/>
        <v>3025</v>
      </c>
      <c r="N74">
        <f t="shared" si="14"/>
        <v>6600</v>
      </c>
      <c r="O74">
        <f t="shared" si="15"/>
        <v>14400</v>
      </c>
      <c r="Q74" s="11">
        <f t="shared" si="17"/>
        <v>5.4469621175240643</v>
      </c>
      <c r="R74" s="12">
        <f t="shared" si="16"/>
        <v>3.5544128806856382E-2</v>
      </c>
    </row>
    <row r="75" spans="1:18" x14ac:dyDescent="0.25">
      <c r="A75">
        <v>7</v>
      </c>
      <c r="B75">
        <v>55</v>
      </c>
      <c r="C75">
        <v>20</v>
      </c>
      <c r="E75">
        <v>0.88</v>
      </c>
      <c r="G75">
        <f t="shared" si="9"/>
        <v>7</v>
      </c>
      <c r="H75" s="10">
        <f t="shared" si="9"/>
        <v>55</v>
      </c>
      <c r="I75">
        <f t="shared" si="9"/>
        <v>20</v>
      </c>
      <c r="J75">
        <f t="shared" si="10"/>
        <v>49</v>
      </c>
      <c r="K75">
        <f t="shared" si="11"/>
        <v>385</v>
      </c>
      <c r="L75">
        <f t="shared" si="12"/>
        <v>140</v>
      </c>
      <c r="M75">
        <f t="shared" si="13"/>
        <v>3025</v>
      </c>
      <c r="N75">
        <f t="shared" si="14"/>
        <v>1100</v>
      </c>
      <c r="O75">
        <f t="shared" si="15"/>
        <v>400</v>
      </c>
      <c r="Q75" s="11">
        <f t="shared" si="17"/>
        <v>0.78327079330034011</v>
      </c>
      <c r="R75" s="12">
        <f t="shared" si="16"/>
        <v>-0.10991955306779534</v>
      </c>
    </row>
    <row r="76" spans="1:18" x14ac:dyDescent="0.25">
      <c r="A76">
        <v>7</v>
      </c>
      <c r="B76">
        <v>55</v>
      </c>
      <c r="C76">
        <v>50</v>
      </c>
      <c r="E76">
        <v>1.87</v>
      </c>
      <c r="G76">
        <f t="shared" si="9"/>
        <v>7</v>
      </c>
      <c r="H76" s="10">
        <f t="shared" si="9"/>
        <v>55</v>
      </c>
      <c r="I76">
        <f t="shared" si="9"/>
        <v>50</v>
      </c>
      <c r="J76">
        <f t="shared" si="10"/>
        <v>49</v>
      </c>
      <c r="K76">
        <f t="shared" si="11"/>
        <v>385</v>
      </c>
      <c r="L76">
        <f t="shared" si="12"/>
        <v>350</v>
      </c>
      <c r="M76">
        <f t="shared" si="13"/>
        <v>3025</v>
      </c>
      <c r="N76">
        <f t="shared" si="14"/>
        <v>2750</v>
      </c>
      <c r="O76">
        <f t="shared" si="15"/>
        <v>2500</v>
      </c>
      <c r="Q76" s="11">
        <f t="shared" si="17"/>
        <v>1.9157250189937085</v>
      </c>
      <c r="R76" s="12">
        <f t="shared" si="16"/>
        <v>2.4451881814817323E-2</v>
      </c>
    </row>
    <row r="77" spans="1:18" x14ac:dyDescent="0.25">
      <c r="A77">
        <v>7</v>
      </c>
      <c r="B77">
        <v>55</v>
      </c>
      <c r="C77">
        <v>120</v>
      </c>
      <c r="E77">
        <v>5.58</v>
      </c>
      <c r="G77">
        <f t="shared" si="9"/>
        <v>7</v>
      </c>
      <c r="H77" s="10">
        <f t="shared" si="9"/>
        <v>55</v>
      </c>
      <c r="I77">
        <f t="shared" si="9"/>
        <v>120</v>
      </c>
      <c r="J77">
        <f t="shared" si="10"/>
        <v>49</v>
      </c>
      <c r="K77">
        <f t="shared" si="11"/>
        <v>385</v>
      </c>
      <c r="L77">
        <f t="shared" si="12"/>
        <v>840</v>
      </c>
      <c r="M77">
        <f t="shared" si="13"/>
        <v>3025</v>
      </c>
      <c r="N77">
        <f t="shared" si="14"/>
        <v>6600</v>
      </c>
      <c r="O77">
        <f t="shared" si="15"/>
        <v>14400</v>
      </c>
      <c r="Q77" s="11">
        <f t="shared" si="17"/>
        <v>5.564495069460401</v>
      </c>
      <c r="R77" s="12">
        <f t="shared" si="16"/>
        <v>-2.7786613870249312E-3</v>
      </c>
    </row>
    <row r="78" spans="1:18" x14ac:dyDescent="0.25">
      <c r="A78">
        <v>12</v>
      </c>
      <c r="B78">
        <v>55</v>
      </c>
      <c r="C78">
        <v>20</v>
      </c>
      <c r="E78">
        <v>0.9</v>
      </c>
      <c r="G78">
        <f t="shared" si="9"/>
        <v>12</v>
      </c>
      <c r="H78" s="10">
        <f t="shared" si="9"/>
        <v>55</v>
      </c>
      <c r="I78">
        <f t="shared" si="9"/>
        <v>20</v>
      </c>
      <c r="J78">
        <f t="shared" si="10"/>
        <v>144</v>
      </c>
      <c r="K78">
        <f t="shared" si="11"/>
        <v>660</v>
      </c>
      <c r="L78">
        <f t="shared" si="12"/>
        <v>240</v>
      </c>
      <c r="M78">
        <f t="shared" si="13"/>
        <v>3025</v>
      </c>
      <c r="N78">
        <f t="shared" si="14"/>
        <v>1100</v>
      </c>
      <c r="O78">
        <f t="shared" si="15"/>
        <v>400</v>
      </c>
      <c r="Q78" s="11">
        <f t="shared" si="17"/>
        <v>0.88245266726356464</v>
      </c>
      <c r="R78" s="12">
        <f t="shared" si="16"/>
        <v>-1.9497036373817094E-2</v>
      </c>
    </row>
    <row r="79" spans="1:18" x14ac:dyDescent="0.25">
      <c r="A79">
        <v>12</v>
      </c>
      <c r="B79">
        <v>55</v>
      </c>
      <c r="C79">
        <v>50</v>
      </c>
      <c r="E79">
        <v>1.89</v>
      </c>
      <c r="G79">
        <f t="shared" si="9"/>
        <v>12</v>
      </c>
      <c r="H79" s="10">
        <f t="shared" si="9"/>
        <v>55</v>
      </c>
      <c r="I79">
        <f t="shared" si="9"/>
        <v>50</v>
      </c>
      <c r="J79">
        <f t="shared" si="10"/>
        <v>144</v>
      </c>
      <c r="K79">
        <f t="shared" si="11"/>
        <v>660</v>
      </c>
      <c r="L79">
        <f t="shared" si="12"/>
        <v>600</v>
      </c>
      <c r="M79">
        <f t="shared" si="13"/>
        <v>3025</v>
      </c>
      <c r="N79">
        <f t="shared" si="14"/>
        <v>2750</v>
      </c>
      <c r="O79">
        <f t="shared" si="15"/>
        <v>2500</v>
      </c>
      <c r="Q79" s="11">
        <f t="shared" si="17"/>
        <v>2.0284354542046095</v>
      </c>
      <c r="R79" s="12">
        <f t="shared" si="16"/>
        <v>7.3246272065930984E-2</v>
      </c>
    </row>
    <row r="80" spans="1:18" x14ac:dyDescent="0.25">
      <c r="A80">
        <v>12</v>
      </c>
      <c r="B80">
        <v>55</v>
      </c>
      <c r="C80">
        <v>120</v>
      </c>
      <c r="E80">
        <v>5.86</v>
      </c>
      <c r="G80">
        <f t="shared" si="9"/>
        <v>12</v>
      </c>
      <c r="H80" s="10">
        <f t="shared" si="9"/>
        <v>55</v>
      </c>
      <c r="I80">
        <f t="shared" si="9"/>
        <v>120</v>
      </c>
      <c r="J80">
        <f t="shared" si="10"/>
        <v>144</v>
      </c>
      <c r="K80">
        <f t="shared" si="11"/>
        <v>660</v>
      </c>
      <c r="L80">
        <f t="shared" si="12"/>
        <v>1440</v>
      </c>
      <c r="M80">
        <f t="shared" si="13"/>
        <v>3025</v>
      </c>
      <c r="N80">
        <f t="shared" si="14"/>
        <v>6600</v>
      </c>
      <c r="O80">
        <f t="shared" si="15"/>
        <v>14400</v>
      </c>
      <c r="Q80" s="11">
        <f t="shared" si="17"/>
        <v>5.7087721475825468</v>
      </c>
      <c r="R80" s="12">
        <f t="shared" si="16"/>
        <v>-2.5806800753831655E-2</v>
      </c>
    </row>
    <row r="81" spans="1:18" x14ac:dyDescent="0.25">
      <c r="A81">
        <v>-15</v>
      </c>
      <c r="B81">
        <v>55</v>
      </c>
      <c r="C81">
        <v>50</v>
      </c>
      <c r="E81">
        <v>1.73</v>
      </c>
      <c r="G81">
        <f t="shared" si="9"/>
        <v>-15</v>
      </c>
      <c r="H81" s="10">
        <f t="shared" si="9"/>
        <v>55</v>
      </c>
      <c r="I81">
        <f t="shared" si="9"/>
        <v>50</v>
      </c>
      <c r="J81">
        <f t="shared" si="10"/>
        <v>225</v>
      </c>
      <c r="K81">
        <f t="shared" si="11"/>
        <v>-825</v>
      </c>
      <c r="L81">
        <f t="shared" si="12"/>
        <v>-750</v>
      </c>
      <c r="M81">
        <f t="shared" si="13"/>
        <v>3025</v>
      </c>
      <c r="N81">
        <f t="shared" si="14"/>
        <v>2750</v>
      </c>
      <c r="O81">
        <f t="shared" si="15"/>
        <v>2500</v>
      </c>
      <c r="Q81" s="11">
        <f t="shared" si="17"/>
        <v>1.7375193231531669</v>
      </c>
      <c r="R81" s="12">
        <f t="shared" si="16"/>
        <v>4.3464295683045932E-3</v>
      </c>
    </row>
    <row r="82" spans="1:18" x14ac:dyDescent="0.25">
      <c r="A82">
        <v>-15</v>
      </c>
      <c r="B82">
        <v>55</v>
      </c>
      <c r="C82">
        <v>120</v>
      </c>
      <c r="E82">
        <v>5.23</v>
      </c>
      <c r="G82">
        <f t="shared" si="9"/>
        <v>-15</v>
      </c>
      <c r="H82" s="10">
        <f t="shared" si="9"/>
        <v>55</v>
      </c>
      <c r="I82">
        <f t="shared" si="9"/>
        <v>120</v>
      </c>
      <c r="J82">
        <f t="shared" si="10"/>
        <v>225</v>
      </c>
      <c r="K82">
        <f t="shared" si="11"/>
        <v>-825</v>
      </c>
      <c r="L82">
        <f t="shared" si="12"/>
        <v>-1800</v>
      </c>
      <c r="M82">
        <f t="shared" si="13"/>
        <v>3025</v>
      </c>
      <c r="N82">
        <f t="shared" si="14"/>
        <v>6600</v>
      </c>
      <c r="O82">
        <f t="shared" si="15"/>
        <v>14400</v>
      </c>
      <c r="Q82" s="11">
        <f t="shared" si="17"/>
        <v>5.2473961448103807</v>
      </c>
      <c r="R82" s="12">
        <f t="shared" si="16"/>
        <v>3.3262227170899271E-3</v>
      </c>
    </row>
    <row r="85" spans="1:18" x14ac:dyDescent="0.25">
      <c r="A85" t="s">
        <v>28</v>
      </c>
      <c r="G85" s="4" t="s">
        <v>1</v>
      </c>
      <c r="H85" s="4" t="s">
        <v>2</v>
      </c>
      <c r="I85" s="4" t="s">
        <v>3</v>
      </c>
      <c r="J85" s="4" t="s">
        <v>4</v>
      </c>
      <c r="K85" s="4" t="s">
        <v>5</v>
      </c>
      <c r="L85" s="4" t="s">
        <v>6</v>
      </c>
      <c r="M85" s="4" t="s">
        <v>7</v>
      </c>
      <c r="N85" s="4" t="s">
        <v>8</v>
      </c>
      <c r="O85" s="4" t="s">
        <v>9</v>
      </c>
      <c r="P85" s="4" t="s">
        <v>10</v>
      </c>
    </row>
    <row r="86" spans="1:18" x14ac:dyDescent="0.25">
      <c r="A86" s="1"/>
      <c r="C86" s="1"/>
      <c r="D86" s="1"/>
      <c r="E86" s="1"/>
      <c r="F86" s="1"/>
      <c r="G86" s="4">
        <f t="array" ref="G86:P86">LINEST(E88:E124,G88:O124)</f>
        <v>0.22687668232094504</v>
      </c>
      <c r="H86" s="4">
        <v>-1.5979540146598293E-2</v>
      </c>
      <c r="I86" s="4">
        <v>8.8464852694096691E-4</v>
      </c>
      <c r="J86" s="4">
        <v>-0.31374862068470205</v>
      </c>
      <c r="K86" s="4">
        <v>-2.2228846926202646E-2</v>
      </c>
      <c r="L86" s="4">
        <v>-2.7478048679508414E-4</v>
      </c>
      <c r="M86" s="4">
        <v>10.691751379509405</v>
      </c>
      <c r="N86" s="4">
        <v>0.19529103916008014</v>
      </c>
      <c r="O86" s="4">
        <v>0.82097019514243463</v>
      </c>
      <c r="P86" s="4">
        <v>-11.298450811263727</v>
      </c>
    </row>
    <row r="87" spans="1:18" ht="45" x14ac:dyDescent="0.25">
      <c r="A87" s="5" t="s">
        <v>11</v>
      </c>
      <c r="B87" s="5" t="s">
        <v>12</v>
      </c>
      <c r="C87" s="5" t="s">
        <v>62</v>
      </c>
      <c r="E87" s="7" t="s">
        <v>13</v>
      </c>
      <c r="F87" s="3"/>
      <c r="G87" s="8" t="s">
        <v>17</v>
      </c>
      <c r="H87" s="8" t="s">
        <v>18</v>
      </c>
      <c r="I87" s="8" t="s">
        <v>0</v>
      </c>
      <c r="J87" s="8" t="s">
        <v>19</v>
      </c>
      <c r="K87" s="8" t="s">
        <v>20</v>
      </c>
      <c r="L87" s="8" t="s">
        <v>21</v>
      </c>
      <c r="M87" s="8" t="s">
        <v>22</v>
      </c>
      <c r="N87" s="8" t="s">
        <v>23</v>
      </c>
      <c r="O87" s="8" t="s">
        <v>24</v>
      </c>
      <c r="P87" s="3"/>
      <c r="Q87" s="9" t="s">
        <v>16</v>
      </c>
      <c r="R87" s="9" t="s">
        <v>15</v>
      </c>
    </row>
    <row r="88" spans="1:18" x14ac:dyDescent="0.25">
      <c r="A88">
        <v>-15</v>
      </c>
      <c r="B88">
        <v>35</v>
      </c>
      <c r="C88" s="2">
        <f>E4</f>
        <v>3.15</v>
      </c>
      <c r="E88">
        <v>50</v>
      </c>
      <c r="F88" s="2"/>
      <c r="G88">
        <f t="shared" ref="G88:I124" si="18">A88</f>
        <v>-15</v>
      </c>
      <c r="H88" s="10">
        <f t="shared" si="18"/>
        <v>35</v>
      </c>
      <c r="I88">
        <f t="shared" si="18"/>
        <v>3.15</v>
      </c>
      <c r="J88">
        <f t="shared" ref="J88:J124" si="19">G88^2</f>
        <v>225</v>
      </c>
      <c r="K88">
        <f t="shared" ref="K88:K124" si="20">G88*H88</f>
        <v>-525</v>
      </c>
      <c r="L88">
        <f t="shared" ref="L88:L124" si="21">G88*I88</f>
        <v>-47.25</v>
      </c>
      <c r="M88">
        <f t="shared" ref="M88:M124" si="22">H88^2</f>
        <v>1225</v>
      </c>
      <c r="N88">
        <f t="shared" ref="N88:N124" si="23">H88*I88</f>
        <v>110.25</v>
      </c>
      <c r="O88">
        <f t="shared" ref="O88:O124" si="24">I88^2</f>
        <v>9.9224999999999994</v>
      </c>
      <c r="Q88" s="11">
        <f>$P$86+$O$2*G88+$N$86*H88+$M$86*I88+$L$86*J88+$K$86*K88+$J$86*L88+$I$86*M88+$H$86*N88+$G$86*O88</f>
        <v>56.884590282279085</v>
      </c>
      <c r="R88" s="12">
        <f t="shared" ref="R88:R124" si="25">(Q88-E88)/E88</f>
        <v>0.1376918056455817</v>
      </c>
    </row>
    <row r="89" spans="1:18" x14ac:dyDescent="0.25">
      <c r="A89">
        <v>-15</v>
      </c>
      <c r="B89">
        <v>35</v>
      </c>
      <c r="C89" s="2">
        <f t="shared" ref="C89:C124" si="26">E5</f>
        <v>7.57</v>
      </c>
      <c r="E89">
        <v>120</v>
      </c>
      <c r="F89" s="2"/>
      <c r="G89">
        <f t="shared" si="18"/>
        <v>-15</v>
      </c>
      <c r="H89" s="10">
        <f t="shared" si="18"/>
        <v>35</v>
      </c>
      <c r="I89">
        <f t="shared" si="18"/>
        <v>7.57</v>
      </c>
      <c r="J89">
        <f t="shared" si="19"/>
        <v>225</v>
      </c>
      <c r="K89">
        <f t="shared" si="20"/>
        <v>-525</v>
      </c>
      <c r="L89">
        <f t="shared" si="21"/>
        <v>-113.55000000000001</v>
      </c>
      <c r="M89">
        <f t="shared" si="22"/>
        <v>1225</v>
      </c>
      <c r="N89">
        <f t="shared" si="23"/>
        <v>264.95</v>
      </c>
      <c r="O89">
        <f t="shared" si="24"/>
        <v>57.304900000000004</v>
      </c>
      <c r="Q89" s="11">
        <f t="shared" ref="Q89:Q124" si="27">$P$86+$O$2*G89+$N$86*H89+$M$86*I89+$L$86*J89+$K$86*K89+$J$86*L89+$I$86*M89+$H$86*N89+$G$86*O89</f>
        <v>133.22159178283161</v>
      </c>
      <c r="R89" s="12">
        <f t="shared" si="25"/>
        <v>0.11017993152359674</v>
      </c>
    </row>
    <row r="90" spans="1:18" x14ac:dyDescent="0.25">
      <c r="A90">
        <v>-7</v>
      </c>
      <c r="B90">
        <v>35</v>
      </c>
      <c r="C90" s="2">
        <f t="shared" si="26"/>
        <v>4.1100000000000003</v>
      </c>
      <c r="E90">
        <v>50</v>
      </c>
      <c r="F90" s="2"/>
      <c r="G90">
        <f t="shared" si="18"/>
        <v>-7</v>
      </c>
      <c r="H90" s="10">
        <f t="shared" si="18"/>
        <v>35</v>
      </c>
      <c r="I90">
        <f t="shared" si="18"/>
        <v>4.1100000000000003</v>
      </c>
      <c r="J90">
        <f t="shared" si="19"/>
        <v>49</v>
      </c>
      <c r="K90">
        <f t="shared" si="20"/>
        <v>-245</v>
      </c>
      <c r="L90">
        <f t="shared" si="21"/>
        <v>-28.770000000000003</v>
      </c>
      <c r="M90">
        <f t="shared" si="22"/>
        <v>1225</v>
      </c>
      <c r="N90">
        <f t="shared" si="23"/>
        <v>143.85000000000002</v>
      </c>
      <c r="O90">
        <f t="shared" si="24"/>
        <v>16.892100000000003</v>
      </c>
      <c r="Q90" s="11">
        <f t="shared" si="27"/>
        <v>56.399068499546559</v>
      </c>
      <c r="R90" s="12">
        <f t="shared" si="25"/>
        <v>0.12798136999093118</v>
      </c>
    </row>
    <row r="91" spans="1:18" x14ac:dyDescent="0.25">
      <c r="A91">
        <v>-7</v>
      </c>
      <c r="B91">
        <v>35</v>
      </c>
      <c r="C91" s="2">
        <f t="shared" si="26"/>
        <v>9.3000000000000007</v>
      </c>
      <c r="E91">
        <v>120</v>
      </c>
      <c r="F91" s="2"/>
      <c r="G91">
        <f t="shared" si="18"/>
        <v>-7</v>
      </c>
      <c r="H91" s="10">
        <f t="shared" si="18"/>
        <v>35</v>
      </c>
      <c r="I91">
        <f t="shared" si="18"/>
        <v>9.3000000000000007</v>
      </c>
      <c r="J91">
        <f t="shared" si="19"/>
        <v>49</v>
      </c>
      <c r="K91">
        <f t="shared" si="20"/>
        <v>-245</v>
      </c>
      <c r="L91">
        <f t="shared" si="21"/>
        <v>-65.100000000000009</v>
      </c>
      <c r="M91">
        <f t="shared" si="22"/>
        <v>1225</v>
      </c>
      <c r="N91">
        <f t="shared" si="23"/>
        <v>325.5</v>
      </c>
      <c r="O91">
        <f t="shared" si="24"/>
        <v>86.490000000000009</v>
      </c>
      <c r="Q91" s="11">
        <f t="shared" si="27"/>
        <v>136.1752027295509</v>
      </c>
      <c r="R91" s="12">
        <f t="shared" si="25"/>
        <v>0.13479335607959086</v>
      </c>
    </row>
    <row r="92" spans="1:18" x14ac:dyDescent="0.25">
      <c r="A92">
        <v>2</v>
      </c>
      <c r="B92">
        <v>35</v>
      </c>
      <c r="C92" s="2">
        <f t="shared" si="26"/>
        <v>2.17</v>
      </c>
      <c r="E92">
        <v>20</v>
      </c>
      <c r="F92" s="2"/>
      <c r="G92">
        <f t="shared" si="18"/>
        <v>2</v>
      </c>
      <c r="H92" s="10">
        <f t="shared" si="18"/>
        <v>35</v>
      </c>
      <c r="I92">
        <f t="shared" si="18"/>
        <v>2.17</v>
      </c>
      <c r="J92">
        <f t="shared" si="19"/>
        <v>4</v>
      </c>
      <c r="K92">
        <f t="shared" si="20"/>
        <v>70</v>
      </c>
      <c r="L92">
        <f t="shared" si="21"/>
        <v>4.34</v>
      </c>
      <c r="M92">
        <f t="shared" si="22"/>
        <v>1225</v>
      </c>
      <c r="N92">
        <f t="shared" si="23"/>
        <v>75.95</v>
      </c>
      <c r="O92">
        <f t="shared" si="24"/>
        <v>4.7088999999999999</v>
      </c>
      <c r="Q92" s="11">
        <f t="shared" si="27"/>
        <v>16.802401613239702</v>
      </c>
      <c r="R92" s="12">
        <f t="shared" si="25"/>
        <v>-0.15987991933801488</v>
      </c>
    </row>
    <row r="93" spans="1:18" x14ac:dyDescent="0.25">
      <c r="A93">
        <v>2</v>
      </c>
      <c r="B93">
        <v>35</v>
      </c>
      <c r="C93" s="2">
        <f t="shared" si="26"/>
        <v>5.31</v>
      </c>
      <c r="E93">
        <v>50</v>
      </c>
      <c r="F93" s="2"/>
      <c r="G93">
        <f t="shared" si="18"/>
        <v>2</v>
      </c>
      <c r="H93" s="10">
        <f t="shared" si="18"/>
        <v>35</v>
      </c>
      <c r="I93">
        <f t="shared" si="18"/>
        <v>5.31</v>
      </c>
      <c r="J93">
        <f t="shared" si="19"/>
        <v>4</v>
      </c>
      <c r="K93">
        <f t="shared" si="20"/>
        <v>70</v>
      </c>
      <c r="L93">
        <f t="shared" si="21"/>
        <v>10.62</v>
      </c>
      <c r="M93">
        <f t="shared" si="22"/>
        <v>1225</v>
      </c>
      <c r="N93">
        <f t="shared" si="23"/>
        <v>185.85</v>
      </c>
      <c r="O93">
        <f t="shared" si="24"/>
        <v>28.196099999999994</v>
      </c>
      <c r="Q93" s="11">
        <f t="shared" si="27"/>
        <v>51.97670615789665</v>
      </c>
      <c r="R93" s="12">
        <f t="shared" si="25"/>
        <v>3.9534123157933011E-2</v>
      </c>
    </row>
    <row r="94" spans="1:18" x14ac:dyDescent="0.25">
      <c r="A94">
        <v>2</v>
      </c>
      <c r="B94">
        <v>35</v>
      </c>
      <c r="C94" s="2">
        <f t="shared" si="26"/>
        <v>9.66</v>
      </c>
      <c r="E94">
        <v>120</v>
      </c>
      <c r="F94" s="2"/>
      <c r="G94">
        <f t="shared" si="18"/>
        <v>2</v>
      </c>
      <c r="H94" s="10">
        <f t="shared" si="18"/>
        <v>35</v>
      </c>
      <c r="I94">
        <f t="shared" si="18"/>
        <v>9.66</v>
      </c>
      <c r="J94">
        <f t="shared" si="19"/>
        <v>4</v>
      </c>
      <c r="K94">
        <f t="shared" si="20"/>
        <v>70</v>
      </c>
      <c r="L94">
        <f t="shared" si="21"/>
        <v>19.32</v>
      </c>
      <c r="M94">
        <f t="shared" si="22"/>
        <v>1225</v>
      </c>
      <c r="N94">
        <f t="shared" si="23"/>
        <v>338.1</v>
      </c>
      <c r="O94">
        <f t="shared" si="24"/>
        <v>93.315600000000003</v>
      </c>
      <c r="Q94" s="11">
        <f t="shared" si="27"/>
        <v>108.09742278588487</v>
      </c>
      <c r="R94" s="12">
        <f t="shared" si="25"/>
        <v>-9.9188143450959387E-2</v>
      </c>
    </row>
    <row r="95" spans="1:18" x14ac:dyDescent="0.25">
      <c r="A95">
        <v>7</v>
      </c>
      <c r="B95">
        <v>35</v>
      </c>
      <c r="C95" s="2">
        <f t="shared" si="26"/>
        <v>2.54</v>
      </c>
      <c r="E95">
        <v>20</v>
      </c>
      <c r="F95" s="2"/>
      <c r="G95">
        <f t="shared" si="18"/>
        <v>7</v>
      </c>
      <c r="H95" s="10">
        <f t="shared" si="18"/>
        <v>35</v>
      </c>
      <c r="I95">
        <f t="shared" si="18"/>
        <v>2.54</v>
      </c>
      <c r="J95">
        <f t="shared" si="19"/>
        <v>49</v>
      </c>
      <c r="K95">
        <f t="shared" si="20"/>
        <v>245</v>
      </c>
      <c r="L95">
        <f t="shared" si="21"/>
        <v>17.78</v>
      </c>
      <c r="M95">
        <f t="shared" si="22"/>
        <v>1225</v>
      </c>
      <c r="N95">
        <f t="shared" si="23"/>
        <v>88.9</v>
      </c>
      <c r="O95">
        <f t="shared" si="24"/>
        <v>6.4516</v>
      </c>
      <c r="Q95" s="11">
        <f t="shared" si="27"/>
        <v>12.940010277468176</v>
      </c>
      <c r="R95" s="12">
        <f t="shared" si="25"/>
        <v>-0.35299948612659121</v>
      </c>
    </row>
    <row r="96" spans="1:18" x14ac:dyDescent="0.25">
      <c r="A96">
        <v>7</v>
      </c>
      <c r="B96">
        <v>35</v>
      </c>
      <c r="C96" s="2">
        <f t="shared" si="26"/>
        <v>6.42</v>
      </c>
      <c r="E96">
        <v>50</v>
      </c>
      <c r="F96" s="2"/>
      <c r="G96">
        <f t="shared" si="18"/>
        <v>7</v>
      </c>
      <c r="H96" s="10">
        <f t="shared" si="18"/>
        <v>35</v>
      </c>
      <c r="I96">
        <f t="shared" si="18"/>
        <v>6.42</v>
      </c>
      <c r="J96">
        <f t="shared" si="19"/>
        <v>49</v>
      </c>
      <c r="K96">
        <f t="shared" si="20"/>
        <v>245</v>
      </c>
      <c r="L96">
        <f t="shared" si="21"/>
        <v>44.94</v>
      </c>
      <c r="M96">
        <f t="shared" si="22"/>
        <v>1225</v>
      </c>
      <c r="N96">
        <f t="shared" si="23"/>
        <v>224.7</v>
      </c>
      <c r="O96">
        <f t="shared" si="24"/>
        <v>41.2164</v>
      </c>
      <c r="Q96" s="11">
        <f t="shared" si="27"/>
        <v>51.619894025811298</v>
      </c>
      <c r="R96" s="12">
        <f t="shared" si="25"/>
        <v>3.2397880516225969E-2</v>
      </c>
    </row>
    <row r="97" spans="1:18" x14ac:dyDescent="0.25">
      <c r="A97">
        <v>7</v>
      </c>
      <c r="B97">
        <v>35</v>
      </c>
      <c r="C97" s="2">
        <f t="shared" si="26"/>
        <v>10.79</v>
      </c>
      <c r="E97">
        <v>120</v>
      </c>
      <c r="F97" s="2"/>
      <c r="G97">
        <f t="shared" si="18"/>
        <v>7</v>
      </c>
      <c r="H97" s="10">
        <f t="shared" si="18"/>
        <v>35</v>
      </c>
      <c r="I97">
        <f t="shared" si="18"/>
        <v>10.79</v>
      </c>
      <c r="J97">
        <f t="shared" si="19"/>
        <v>49</v>
      </c>
      <c r="K97">
        <f t="shared" si="20"/>
        <v>245</v>
      </c>
      <c r="L97">
        <f t="shared" si="21"/>
        <v>75.53</v>
      </c>
      <c r="M97">
        <f t="shared" si="22"/>
        <v>1225</v>
      </c>
      <c r="N97">
        <f t="shared" si="23"/>
        <v>377.65</v>
      </c>
      <c r="O97">
        <f t="shared" si="24"/>
        <v>116.42409999999998</v>
      </c>
      <c r="Q97" s="11">
        <f t="shared" si="27"/>
        <v>103.36408004308907</v>
      </c>
      <c r="R97" s="12">
        <f t="shared" si="25"/>
        <v>-0.13863266630759105</v>
      </c>
    </row>
    <row r="98" spans="1:18" x14ac:dyDescent="0.25">
      <c r="A98">
        <v>12</v>
      </c>
      <c r="B98">
        <v>35</v>
      </c>
      <c r="C98" s="2">
        <f t="shared" si="26"/>
        <v>2.92</v>
      </c>
      <c r="E98">
        <v>20</v>
      </c>
      <c r="F98" s="2"/>
      <c r="G98">
        <f t="shared" si="18"/>
        <v>12</v>
      </c>
      <c r="H98" s="10">
        <f t="shared" si="18"/>
        <v>35</v>
      </c>
      <c r="I98">
        <f t="shared" si="18"/>
        <v>2.92</v>
      </c>
      <c r="J98">
        <f t="shared" si="19"/>
        <v>144</v>
      </c>
      <c r="K98">
        <f t="shared" si="20"/>
        <v>420</v>
      </c>
      <c r="L98">
        <f t="shared" si="21"/>
        <v>35.04</v>
      </c>
      <c r="M98">
        <f t="shared" si="22"/>
        <v>1225</v>
      </c>
      <c r="N98">
        <f t="shared" si="23"/>
        <v>102.2</v>
      </c>
      <c r="O98">
        <f t="shared" si="24"/>
        <v>8.5263999999999989</v>
      </c>
      <c r="Q98" s="11">
        <f t="shared" si="27"/>
        <v>8.042030607283893</v>
      </c>
      <c r="R98" s="12">
        <f t="shared" si="25"/>
        <v>-0.5978984696358054</v>
      </c>
    </row>
    <row r="99" spans="1:18" x14ac:dyDescent="0.25">
      <c r="A99">
        <v>12</v>
      </c>
      <c r="B99">
        <v>35</v>
      </c>
      <c r="C99" s="2">
        <f t="shared" si="26"/>
        <v>7.34</v>
      </c>
      <c r="E99">
        <v>50</v>
      </c>
      <c r="F99" s="2"/>
      <c r="G99">
        <f t="shared" si="18"/>
        <v>12</v>
      </c>
      <c r="H99" s="10">
        <f t="shared" si="18"/>
        <v>35</v>
      </c>
      <c r="I99">
        <f t="shared" si="18"/>
        <v>7.34</v>
      </c>
      <c r="J99">
        <f t="shared" si="19"/>
        <v>144</v>
      </c>
      <c r="K99">
        <f t="shared" si="20"/>
        <v>420</v>
      </c>
      <c r="L99">
        <f t="shared" si="21"/>
        <v>88.08</v>
      </c>
      <c r="M99">
        <f t="shared" si="22"/>
        <v>1225</v>
      </c>
      <c r="N99">
        <f t="shared" si="23"/>
        <v>256.89999999999998</v>
      </c>
      <c r="O99">
        <f t="shared" si="24"/>
        <v>53.875599999999999</v>
      </c>
      <c r="Q99" s="11">
        <f t="shared" si="27"/>
        <v>46.474986044829116</v>
      </c>
      <c r="R99" s="12">
        <f t="shared" si="25"/>
        <v>-7.0500279103417676E-2</v>
      </c>
    </row>
    <row r="100" spans="1:18" x14ac:dyDescent="0.25">
      <c r="A100">
        <v>12</v>
      </c>
      <c r="B100">
        <v>35</v>
      </c>
      <c r="C100" s="2">
        <f t="shared" si="26"/>
        <v>13.34</v>
      </c>
      <c r="E100">
        <v>120</v>
      </c>
      <c r="F100" s="2"/>
      <c r="G100">
        <f t="shared" si="18"/>
        <v>12</v>
      </c>
      <c r="H100" s="10">
        <f t="shared" si="18"/>
        <v>35</v>
      </c>
      <c r="I100">
        <f t="shared" si="18"/>
        <v>13.34</v>
      </c>
      <c r="J100">
        <f t="shared" si="19"/>
        <v>144</v>
      </c>
      <c r="K100">
        <f t="shared" si="20"/>
        <v>420</v>
      </c>
      <c r="L100">
        <f t="shared" si="21"/>
        <v>160.07999999999998</v>
      </c>
      <c r="M100">
        <f t="shared" si="22"/>
        <v>1225</v>
      </c>
      <c r="N100">
        <f t="shared" si="23"/>
        <v>466.9</v>
      </c>
      <c r="O100">
        <f t="shared" si="24"/>
        <v>177.9556</v>
      </c>
      <c r="Q100" s="11">
        <f t="shared" si="27"/>
        <v>112.83074894418425</v>
      </c>
      <c r="R100" s="12">
        <f t="shared" si="25"/>
        <v>-5.974375879846458E-2</v>
      </c>
    </row>
    <row r="101" spans="1:18" x14ac:dyDescent="0.25">
      <c r="A101">
        <v>-15</v>
      </c>
      <c r="B101">
        <v>45</v>
      </c>
      <c r="C101" s="2">
        <f t="shared" si="26"/>
        <v>2.99</v>
      </c>
      <c r="E101">
        <v>50</v>
      </c>
      <c r="F101" s="2"/>
      <c r="G101">
        <f t="shared" si="18"/>
        <v>-15</v>
      </c>
      <c r="H101" s="10">
        <f t="shared" si="18"/>
        <v>45</v>
      </c>
      <c r="I101">
        <f t="shared" si="18"/>
        <v>2.99</v>
      </c>
      <c r="J101">
        <f t="shared" si="19"/>
        <v>225</v>
      </c>
      <c r="K101">
        <f t="shared" si="20"/>
        <v>-675</v>
      </c>
      <c r="L101">
        <f t="shared" si="21"/>
        <v>-44.85</v>
      </c>
      <c r="M101">
        <f t="shared" si="22"/>
        <v>2025</v>
      </c>
      <c r="N101">
        <f t="shared" si="23"/>
        <v>134.55000000000001</v>
      </c>
      <c r="O101">
        <f t="shared" si="24"/>
        <v>8.940100000000001</v>
      </c>
      <c r="Q101" s="11">
        <f t="shared" si="27"/>
        <v>59.804683145723828</v>
      </c>
      <c r="R101" s="12">
        <f t="shared" si="25"/>
        <v>0.19609366291447658</v>
      </c>
    </row>
    <row r="102" spans="1:18" x14ac:dyDescent="0.25">
      <c r="A102">
        <v>-15</v>
      </c>
      <c r="B102">
        <v>45</v>
      </c>
      <c r="C102" s="2">
        <f t="shared" si="26"/>
        <v>7.17</v>
      </c>
      <c r="E102">
        <v>120</v>
      </c>
      <c r="F102" s="2"/>
      <c r="G102">
        <f t="shared" si="18"/>
        <v>-15</v>
      </c>
      <c r="H102" s="10">
        <f t="shared" si="18"/>
        <v>45</v>
      </c>
      <c r="I102">
        <f t="shared" si="18"/>
        <v>7.17</v>
      </c>
      <c r="J102">
        <f t="shared" si="19"/>
        <v>225</v>
      </c>
      <c r="K102">
        <f t="shared" si="20"/>
        <v>-675</v>
      </c>
      <c r="L102">
        <f t="shared" si="21"/>
        <v>-107.55</v>
      </c>
      <c r="M102">
        <f t="shared" si="22"/>
        <v>2025</v>
      </c>
      <c r="N102">
        <f t="shared" si="23"/>
        <v>322.64999999999998</v>
      </c>
      <c r="O102">
        <f t="shared" si="24"/>
        <v>51.408899999999996</v>
      </c>
      <c r="Q102" s="11">
        <f t="shared" si="27"/>
        <v>130.79767137358058</v>
      </c>
      <c r="R102" s="12">
        <f t="shared" si="25"/>
        <v>8.9980594779838205E-2</v>
      </c>
    </row>
    <row r="103" spans="1:18" x14ac:dyDescent="0.25">
      <c r="A103">
        <v>-7</v>
      </c>
      <c r="B103">
        <v>45</v>
      </c>
      <c r="C103" s="2">
        <f t="shared" si="26"/>
        <v>3.93</v>
      </c>
      <c r="E103">
        <v>50</v>
      </c>
      <c r="F103" s="2"/>
      <c r="G103">
        <f t="shared" si="18"/>
        <v>-7</v>
      </c>
      <c r="H103" s="10">
        <f t="shared" si="18"/>
        <v>45</v>
      </c>
      <c r="I103">
        <f t="shared" si="18"/>
        <v>3.93</v>
      </c>
      <c r="J103">
        <f t="shared" si="19"/>
        <v>49</v>
      </c>
      <c r="K103">
        <f t="shared" si="20"/>
        <v>-315</v>
      </c>
      <c r="L103">
        <f t="shared" si="21"/>
        <v>-27.51</v>
      </c>
      <c r="M103">
        <f t="shared" si="22"/>
        <v>2025</v>
      </c>
      <c r="N103">
        <f t="shared" si="23"/>
        <v>176.85</v>
      </c>
      <c r="O103">
        <f t="shared" si="24"/>
        <v>15.444900000000001</v>
      </c>
      <c r="Q103" s="11">
        <f t="shared" si="27"/>
        <v>57.440217727667289</v>
      </c>
      <c r="R103" s="12">
        <f t="shared" si="25"/>
        <v>0.14880435455334579</v>
      </c>
    </row>
    <row r="104" spans="1:18" x14ac:dyDescent="0.25">
      <c r="A104">
        <v>-7</v>
      </c>
      <c r="B104">
        <v>45</v>
      </c>
      <c r="C104" s="2">
        <f t="shared" si="26"/>
        <v>8.85</v>
      </c>
      <c r="E104">
        <v>120</v>
      </c>
      <c r="F104" s="2"/>
      <c r="G104">
        <f t="shared" si="18"/>
        <v>-7</v>
      </c>
      <c r="H104" s="10">
        <f t="shared" si="18"/>
        <v>45</v>
      </c>
      <c r="I104">
        <f t="shared" si="18"/>
        <v>8.85</v>
      </c>
      <c r="J104">
        <f t="shared" si="19"/>
        <v>49</v>
      </c>
      <c r="K104">
        <f t="shared" si="20"/>
        <v>-315</v>
      </c>
      <c r="L104">
        <f t="shared" si="21"/>
        <v>-61.949999999999996</v>
      </c>
      <c r="M104">
        <f t="shared" si="22"/>
        <v>2025</v>
      </c>
      <c r="N104">
        <f t="shared" si="23"/>
        <v>398.25</v>
      </c>
      <c r="O104">
        <f t="shared" si="24"/>
        <v>78.322499999999991</v>
      </c>
      <c r="Q104" s="11">
        <f t="shared" si="27"/>
        <v>131.57672810308128</v>
      </c>
      <c r="R104" s="12">
        <f t="shared" si="25"/>
        <v>9.6472734192343992E-2</v>
      </c>
    </row>
    <row r="105" spans="1:18" x14ac:dyDescent="0.25">
      <c r="A105">
        <v>2</v>
      </c>
      <c r="B105">
        <v>45</v>
      </c>
      <c r="C105" s="2">
        <f t="shared" si="26"/>
        <v>5.0999999999999996</v>
      </c>
      <c r="E105">
        <v>50</v>
      </c>
      <c r="G105">
        <f t="shared" si="18"/>
        <v>2</v>
      </c>
      <c r="H105" s="10">
        <f t="shared" si="18"/>
        <v>45</v>
      </c>
      <c r="I105">
        <f t="shared" si="18"/>
        <v>5.0999999999999996</v>
      </c>
      <c r="J105">
        <f t="shared" si="19"/>
        <v>4</v>
      </c>
      <c r="K105">
        <f t="shared" si="20"/>
        <v>90</v>
      </c>
      <c r="L105">
        <f t="shared" si="21"/>
        <v>10.199999999999999</v>
      </c>
      <c r="M105">
        <f t="shared" si="22"/>
        <v>2025</v>
      </c>
      <c r="N105">
        <f t="shared" si="23"/>
        <v>229.49999999999997</v>
      </c>
      <c r="O105">
        <f t="shared" si="24"/>
        <v>26.009999999999998</v>
      </c>
      <c r="Q105" s="11">
        <f t="shared" si="27"/>
        <v>50.88578302089595</v>
      </c>
      <c r="R105" s="12">
        <f t="shared" si="25"/>
        <v>1.7715660417918996E-2</v>
      </c>
    </row>
    <row r="106" spans="1:18" x14ac:dyDescent="0.25">
      <c r="A106">
        <v>2</v>
      </c>
      <c r="B106">
        <v>45</v>
      </c>
      <c r="C106" s="2">
        <f t="shared" si="26"/>
        <v>9.83</v>
      </c>
      <c r="E106">
        <v>120</v>
      </c>
      <c r="G106">
        <f t="shared" si="18"/>
        <v>2</v>
      </c>
      <c r="H106" s="10">
        <f t="shared" si="18"/>
        <v>45</v>
      </c>
      <c r="I106">
        <f t="shared" si="18"/>
        <v>9.83</v>
      </c>
      <c r="J106">
        <f t="shared" si="19"/>
        <v>4</v>
      </c>
      <c r="K106">
        <f t="shared" si="20"/>
        <v>90</v>
      </c>
      <c r="L106">
        <f t="shared" si="21"/>
        <v>19.66</v>
      </c>
      <c r="M106">
        <f t="shared" si="22"/>
        <v>2025</v>
      </c>
      <c r="N106">
        <f t="shared" si="23"/>
        <v>442.35</v>
      </c>
      <c r="O106">
        <f t="shared" si="24"/>
        <v>96.628900000000002</v>
      </c>
      <c r="Q106" s="11">
        <f t="shared" si="27"/>
        <v>111.11024171524929</v>
      </c>
      <c r="R106" s="12">
        <f t="shared" si="25"/>
        <v>-7.4081319039589269E-2</v>
      </c>
    </row>
    <row r="107" spans="1:18" x14ac:dyDescent="0.25">
      <c r="A107">
        <v>7</v>
      </c>
      <c r="B107">
        <v>45</v>
      </c>
      <c r="C107" s="2">
        <f t="shared" si="26"/>
        <v>2.62</v>
      </c>
      <c r="E107">
        <v>20</v>
      </c>
      <c r="G107">
        <f t="shared" si="18"/>
        <v>7</v>
      </c>
      <c r="H107" s="10">
        <f t="shared" si="18"/>
        <v>45</v>
      </c>
      <c r="I107">
        <f t="shared" si="18"/>
        <v>2.62</v>
      </c>
      <c r="J107">
        <f t="shared" si="19"/>
        <v>49</v>
      </c>
      <c r="K107">
        <f t="shared" si="20"/>
        <v>315</v>
      </c>
      <c r="L107">
        <f t="shared" si="21"/>
        <v>18.34</v>
      </c>
      <c r="M107">
        <f t="shared" si="22"/>
        <v>2025</v>
      </c>
      <c r="N107">
        <f t="shared" si="23"/>
        <v>117.9</v>
      </c>
      <c r="O107">
        <f t="shared" si="24"/>
        <v>6.8644000000000007</v>
      </c>
      <c r="Q107" s="11">
        <f t="shared" si="27"/>
        <v>14.354509118775617</v>
      </c>
      <c r="R107" s="12">
        <f t="shared" si="25"/>
        <v>-0.28227454406121916</v>
      </c>
    </row>
    <row r="108" spans="1:18" x14ac:dyDescent="0.25">
      <c r="A108">
        <v>7</v>
      </c>
      <c r="B108">
        <v>45</v>
      </c>
      <c r="C108" s="2">
        <f t="shared" si="26"/>
        <v>6.01</v>
      </c>
      <c r="E108">
        <v>50</v>
      </c>
      <c r="G108">
        <f t="shared" si="18"/>
        <v>7</v>
      </c>
      <c r="H108" s="10">
        <f t="shared" si="18"/>
        <v>45</v>
      </c>
      <c r="I108">
        <f t="shared" si="18"/>
        <v>6.01</v>
      </c>
      <c r="J108">
        <f t="shared" si="19"/>
        <v>49</v>
      </c>
      <c r="K108">
        <f t="shared" si="20"/>
        <v>315</v>
      </c>
      <c r="L108">
        <f t="shared" si="21"/>
        <v>42.07</v>
      </c>
      <c r="M108">
        <f t="shared" si="22"/>
        <v>2025</v>
      </c>
      <c r="N108">
        <f t="shared" si="23"/>
        <v>270.45</v>
      </c>
      <c r="O108">
        <f t="shared" si="24"/>
        <v>36.120100000000001</v>
      </c>
      <c r="Q108" s="11">
        <f t="shared" si="27"/>
        <v>47.354048832077837</v>
      </c>
      <c r="R108" s="12">
        <f t="shared" si="25"/>
        <v>-5.2919023358443271E-2</v>
      </c>
    </row>
    <row r="109" spans="1:18" x14ac:dyDescent="0.25">
      <c r="A109">
        <v>7</v>
      </c>
      <c r="B109">
        <v>45</v>
      </c>
      <c r="C109" s="2">
        <f t="shared" si="26"/>
        <v>11.23</v>
      </c>
      <c r="E109">
        <v>120</v>
      </c>
      <c r="G109">
        <f t="shared" si="18"/>
        <v>7</v>
      </c>
      <c r="H109" s="10">
        <f t="shared" si="18"/>
        <v>45</v>
      </c>
      <c r="I109">
        <f t="shared" si="18"/>
        <v>11.23</v>
      </c>
      <c r="J109">
        <f t="shared" si="19"/>
        <v>49</v>
      </c>
      <c r="K109">
        <f t="shared" si="20"/>
        <v>315</v>
      </c>
      <c r="L109">
        <f t="shared" si="21"/>
        <v>78.61</v>
      </c>
      <c r="M109">
        <f t="shared" si="22"/>
        <v>2025</v>
      </c>
      <c r="N109">
        <f t="shared" si="23"/>
        <v>505.35</v>
      </c>
      <c r="O109">
        <f t="shared" si="24"/>
        <v>126.11290000000001</v>
      </c>
      <c r="Q109" s="11">
        <f t="shared" si="27"/>
        <v>108.36429034963433</v>
      </c>
      <c r="R109" s="12">
        <f t="shared" si="25"/>
        <v>-9.6964247086380573E-2</v>
      </c>
    </row>
    <row r="110" spans="1:18" x14ac:dyDescent="0.25">
      <c r="A110">
        <v>12</v>
      </c>
      <c r="B110">
        <v>45</v>
      </c>
      <c r="C110" s="2">
        <f t="shared" si="26"/>
        <v>3.07</v>
      </c>
      <c r="E110">
        <v>20</v>
      </c>
      <c r="G110">
        <f t="shared" si="18"/>
        <v>12</v>
      </c>
      <c r="H110" s="10">
        <f t="shared" si="18"/>
        <v>45</v>
      </c>
      <c r="I110">
        <f t="shared" si="18"/>
        <v>3.07</v>
      </c>
      <c r="J110">
        <f t="shared" si="19"/>
        <v>144</v>
      </c>
      <c r="K110">
        <f t="shared" si="20"/>
        <v>540</v>
      </c>
      <c r="L110">
        <f t="shared" si="21"/>
        <v>36.839999999999996</v>
      </c>
      <c r="M110">
        <f t="shared" si="22"/>
        <v>2025</v>
      </c>
      <c r="N110">
        <f t="shared" si="23"/>
        <v>138.15</v>
      </c>
      <c r="O110">
        <f t="shared" si="24"/>
        <v>9.4248999999999992</v>
      </c>
      <c r="Q110" s="11">
        <f t="shared" si="27"/>
        <v>8.7035976097822569</v>
      </c>
      <c r="R110" s="12">
        <f t="shared" si="25"/>
        <v>-0.56482011951088718</v>
      </c>
    </row>
    <row r="111" spans="1:18" x14ac:dyDescent="0.25">
      <c r="A111">
        <v>12</v>
      </c>
      <c r="B111">
        <v>45</v>
      </c>
      <c r="C111" s="2">
        <f t="shared" si="26"/>
        <v>6.98</v>
      </c>
      <c r="E111">
        <v>50</v>
      </c>
      <c r="G111">
        <f t="shared" si="18"/>
        <v>12</v>
      </c>
      <c r="H111" s="10">
        <f t="shared" si="18"/>
        <v>45</v>
      </c>
      <c r="I111">
        <f t="shared" si="18"/>
        <v>6.98</v>
      </c>
      <c r="J111">
        <f t="shared" si="19"/>
        <v>144</v>
      </c>
      <c r="K111">
        <f t="shared" si="20"/>
        <v>540</v>
      </c>
      <c r="L111">
        <f t="shared" si="21"/>
        <v>83.76</v>
      </c>
      <c r="M111">
        <f t="shared" si="22"/>
        <v>2025</v>
      </c>
      <c r="N111">
        <f t="shared" si="23"/>
        <v>314.10000000000002</v>
      </c>
      <c r="O111">
        <f t="shared" si="24"/>
        <v>48.720400000000005</v>
      </c>
      <c r="Q111" s="11">
        <f t="shared" si="27"/>
        <v>41.89089280248654</v>
      </c>
      <c r="R111" s="12">
        <f t="shared" si="25"/>
        <v>-0.1621821439502692</v>
      </c>
    </row>
    <row r="112" spans="1:18" x14ac:dyDescent="0.25">
      <c r="A112">
        <v>12</v>
      </c>
      <c r="B112">
        <v>45</v>
      </c>
      <c r="C112" s="2">
        <f t="shared" si="26"/>
        <v>13.62</v>
      </c>
      <c r="E112">
        <v>120</v>
      </c>
      <c r="G112">
        <f t="shared" si="18"/>
        <v>12</v>
      </c>
      <c r="H112" s="10">
        <f t="shared" si="18"/>
        <v>45</v>
      </c>
      <c r="I112">
        <f t="shared" si="18"/>
        <v>13.62</v>
      </c>
      <c r="J112">
        <f t="shared" si="19"/>
        <v>144</v>
      </c>
      <c r="K112">
        <f t="shared" si="20"/>
        <v>540</v>
      </c>
      <c r="L112">
        <f t="shared" si="21"/>
        <v>163.44</v>
      </c>
      <c r="M112">
        <f t="shared" si="22"/>
        <v>2025</v>
      </c>
      <c r="N112">
        <f t="shared" si="23"/>
        <v>612.9</v>
      </c>
      <c r="O112">
        <f t="shared" si="24"/>
        <v>185.50439999999998</v>
      </c>
      <c r="Q112" s="11">
        <f t="shared" si="27"/>
        <v>114.1430453850565</v>
      </c>
      <c r="R112" s="12">
        <f t="shared" si="25"/>
        <v>-4.88079551245292E-2</v>
      </c>
    </row>
    <row r="113" spans="1:18" x14ac:dyDescent="0.25">
      <c r="A113">
        <v>-7</v>
      </c>
      <c r="B113">
        <v>55</v>
      </c>
      <c r="C113" s="2">
        <f t="shared" si="26"/>
        <v>3.75</v>
      </c>
      <c r="E113">
        <v>50</v>
      </c>
      <c r="G113">
        <f t="shared" si="18"/>
        <v>-7</v>
      </c>
      <c r="H113" s="10">
        <f t="shared" si="18"/>
        <v>55</v>
      </c>
      <c r="I113">
        <f t="shared" si="18"/>
        <v>3.75</v>
      </c>
      <c r="J113">
        <f t="shared" si="19"/>
        <v>49</v>
      </c>
      <c r="K113">
        <f t="shared" si="20"/>
        <v>-385</v>
      </c>
      <c r="L113">
        <f t="shared" si="21"/>
        <v>-26.25</v>
      </c>
      <c r="M113">
        <f t="shared" si="22"/>
        <v>3025</v>
      </c>
      <c r="N113">
        <f t="shared" si="23"/>
        <v>206.25</v>
      </c>
      <c r="O113">
        <f t="shared" si="24"/>
        <v>14.0625</v>
      </c>
      <c r="Q113" s="11">
        <f t="shared" si="27"/>
        <v>58.730524614718341</v>
      </c>
      <c r="R113" s="12">
        <f t="shared" si="25"/>
        <v>0.17461049229436681</v>
      </c>
    </row>
    <row r="114" spans="1:18" x14ac:dyDescent="0.25">
      <c r="A114">
        <v>-7</v>
      </c>
      <c r="B114">
        <v>55</v>
      </c>
      <c r="C114" s="2">
        <f t="shared" si="26"/>
        <v>8.39</v>
      </c>
      <c r="E114">
        <v>120</v>
      </c>
      <c r="G114">
        <f t="shared" si="18"/>
        <v>-7</v>
      </c>
      <c r="H114" s="10">
        <f t="shared" si="18"/>
        <v>55</v>
      </c>
      <c r="I114">
        <f t="shared" si="18"/>
        <v>8.39</v>
      </c>
      <c r="J114">
        <f t="shared" si="19"/>
        <v>49</v>
      </c>
      <c r="K114">
        <f t="shared" si="20"/>
        <v>-385</v>
      </c>
      <c r="L114">
        <f t="shared" si="21"/>
        <v>-58.730000000000004</v>
      </c>
      <c r="M114">
        <f t="shared" si="22"/>
        <v>3025</v>
      </c>
      <c r="N114">
        <f t="shared" si="23"/>
        <v>461.45000000000005</v>
      </c>
      <c r="O114">
        <f t="shared" si="24"/>
        <v>70.392100000000013</v>
      </c>
      <c r="Q114" s="11">
        <f t="shared" si="27"/>
        <v>127.23270033453514</v>
      </c>
      <c r="R114" s="12">
        <f t="shared" si="25"/>
        <v>6.0272502787792823E-2</v>
      </c>
    </row>
    <row r="115" spans="1:18" x14ac:dyDescent="0.25">
      <c r="A115">
        <v>2</v>
      </c>
      <c r="B115">
        <v>55</v>
      </c>
      <c r="C115" s="2">
        <f t="shared" si="26"/>
        <v>4.8899999999999997</v>
      </c>
      <c r="E115">
        <v>50</v>
      </c>
      <c r="G115">
        <f t="shared" si="18"/>
        <v>2</v>
      </c>
      <c r="H115" s="10">
        <f t="shared" si="18"/>
        <v>55</v>
      </c>
      <c r="I115">
        <f t="shared" si="18"/>
        <v>4.8899999999999997</v>
      </c>
      <c r="J115">
        <f t="shared" si="19"/>
        <v>4</v>
      </c>
      <c r="K115">
        <f t="shared" si="20"/>
        <v>110</v>
      </c>
      <c r="L115">
        <f t="shared" si="21"/>
        <v>9.7799999999999994</v>
      </c>
      <c r="M115">
        <f t="shared" si="22"/>
        <v>3025</v>
      </c>
      <c r="N115">
        <f t="shared" si="23"/>
        <v>268.95</v>
      </c>
      <c r="O115">
        <f t="shared" si="24"/>
        <v>23.912099999999995</v>
      </c>
      <c r="Q115" s="11">
        <f t="shared" si="27"/>
        <v>50.058914181279839</v>
      </c>
      <c r="R115" s="12">
        <f t="shared" si="25"/>
        <v>1.1782836255967767E-3</v>
      </c>
    </row>
    <row r="116" spans="1:18" x14ac:dyDescent="0.25">
      <c r="A116">
        <v>2</v>
      </c>
      <c r="B116">
        <v>55</v>
      </c>
      <c r="C116" s="2">
        <f t="shared" si="26"/>
        <v>10</v>
      </c>
      <c r="E116">
        <v>120</v>
      </c>
      <c r="G116">
        <f t="shared" si="18"/>
        <v>2</v>
      </c>
      <c r="H116" s="10">
        <f t="shared" si="18"/>
        <v>55</v>
      </c>
      <c r="I116">
        <f t="shared" si="18"/>
        <v>10</v>
      </c>
      <c r="J116">
        <f t="shared" si="19"/>
        <v>4</v>
      </c>
      <c r="K116">
        <f t="shared" si="20"/>
        <v>110</v>
      </c>
      <c r="L116">
        <f t="shared" si="21"/>
        <v>20</v>
      </c>
      <c r="M116">
        <f t="shared" si="22"/>
        <v>3025</v>
      </c>
      <c r="N116">
        <f t="shared" si="23"/>
        <v>550</v>
      </c>
      <c r="O116">
        <f t="shared" si="24"/>
        <v>100</v>
      </c>
      <c r="Q116" s="11">
        <f t="shared" si="27"/>
        <v>114.25877338574163</v>
      </c>
      <c r="R116" s="12">
        <f t="shared" si="25"/>
        <v>-4.7843555118819721E-2</v>
      </c>
    </row>
    <row r="117" spans="1:18" x14ac:dyDescent="0.25">
      <c r="A117">
        <v>7</v>
      </c>
      <c r="B117">
        <v>55</v>
      </c>
      <c r="C117" s="2">
        <f t="shared" si="26"/>
        <v>2.69</v>
      </c>
      <c r="E117">
        <v>20</v>
      </c>
      <c r="G117">
        <f t="shared" si="18"/>
        <v>7</v>
      </c>
      <c r="H117" s="10">
        <f t="shared" si="18"/>
        <v>55</v>
      </c>
      <c r="I117">
        <f t="shared" si="18"/>
        <v>2.69</v>
      </c>
      <c r="J117">
        <f t="shared" si="19"/>
        <v>49</v>
      </c>
      <c r="K117">
        <f t="shared" si="20"/>
        <v>385</v>
      </c>
      <c r="L117">
        <f t="shared" si="21"/>
        <v>18.829999999999998</v>
      </c>
      <c r="M117">
        <f t="shared" si="22"/>
        <v>3025</v>
      </c>
      <c r="N117">
        <f t="shared" si="23"/>
        <v>147.94999999999999</v>
      </c>
      <c r="O117">
        <f t="shared" si="24"/>
        <v>7.2360999999999995</v>
      </c>
      <c r="Q117" s="11">
        <f t="shared" si="27"/>
        <v>15.834879406326765</v>
      </c>
      <c r="R117" s="12">
        <f t="shared" si="25"/>
        <v>-0.20825602968366175</v>
      </c>
    </row>
    <row r="118" spans="1:18" x14ac:dyDescent="0.25">
      <c r="A118">
        <v>7</v>
      </c>
      <c r="B118">
        <v>55</v>
      </c>
      <c r="C118" s="2">
        <f t="shared" si="26"/>
        <v>5.6</v>
      </c>
      <c r="E118">
        <v>50</v>
      </c>
      <c r="G118">
        <f t="shared" si="18"/>
        <v>7</v>
      </c>
      <c r="H118" s="10">
        <f t="shared" si="18"/>
        <v>55</v>
      </c>
      <c r="I118">
        <f t="shared" si="18"/>
        <v>5.6</v>
      </c>
      <c r="J118">
        <f t="shared" si="19"/>
        <v>49</v>
      </c>
      <c r="K118">
        <f t="shared" si="20"/>
        <v>385</v>
      </c>
      <c r="L118">
        <f t="shared" si="21"/>
        <v>39.199999999999996</v>
      </c>
      <c r="M118">
        <f t="shared" si="22"/>
        <v>3025</v>
      </c>
      <c r="N118">
        <f t="shared" si="23"/>
        <v>308</v>
      </c>
      <c r="O118">
        <f t="shared" si="24"/>
        <v>31.359999999999996</v>
      </c>
      <c r="Q118" s="11">
        <f t="shared" si="27"/>
        <v>43.472441513530953</v>
      </c>
      <c r="R118" s="12">
        <f t="shared" si="25"/>
        <v>-0.13055116972938094</v>
      </c>
    </row>
    <row r="119" spans="1:18" x14ac:dyDescent="0.25">
      <c r="A119">
        <v>7</v>
      </c>
      <c r="B119">
        <v>55</v>
      </c>
      <c r="C119" s="2">
        <f t="shared" si="26"/>
        <v>11.66</v>
      </c>
      <c r="E119">
        <v>120</v>
      </c>
      <c r="G119">
        <f t="shared" si="18"/>
        <v>7</v>
      </c>
      <c r="H119" s="10">
        <f t="shared" si="18"/>
        <v>55</v>
      </c>
      <c r="I119">
        <f t="shared" si="18"/>
        <v>11.66</v>
      </c>
      <c r="J119">
        <f t="shared" si="19"/>
        <v>49</v>
      </c>
      <c r="K119">
        <f t="shared" si="20"/>
        <v>385</v>
      </c>
      <c r="L119">
        <f t="shared" si="21"/>
        <v>81.62</v>
      </c>
      <c r="M119">
        <f t="shared" si="22"/>
        <v>3025</v>
      </c>
      <c r="N119">
        <f t="shared" si="23"/>
        <v>641.29999999999995</v>
      </c>
      <c r="O119">
        <f t="shared" si="24"/>
        <v>135.9556</v>
      </c>
      <c r="Q119" s="11">
        <f t="shared" si="27"/>
        <v>113.3595603664203</v>
      </c>
      <c r="R119" s="12">
        <f t="shared" si="25"/>
        <v>-5.5336996946497526E-2</v>
      </c>
    </row>
    <row r="120" spans="1:18" x14ac:dyDescent="0.25">
      <c r="A120">
        <v>12</v>
      </c>
      <c r="B120">
        <v>55</v>
      </c>
      <c r="C120" s="2">
        <f t="shared" si="26"/>
        <v>3.21</v>
      </c>
      <c r="E120">
        <v>20</v>
      </c>
      <c r="G120">
        <f t="shared" si="18"/>
        <v>12</v>
      </c>
      <c r="H120" s="10">
        <f t="shared" si="18"/>
        <v>55</v>
      </c>
      <c r="I120">
        <f t="shared" si="18"/>
        <v>3.21</v>
      </c>
      <c r="J120">
        <f t="shared" si="19"/>
        <v>144</v>
      </c>
      <c r="K120">
        <f t="shared" si="20"/>
        <v>660</v>
      </c>
      <c r="L120">
        <f t="shared" si="21"/>
        <v>38.519999999999996</v>
      </c>
      <c r="M120">
        <f t="shared" si="22"/>
        <v>3025</v>
      </c>
      <c r="N120">
        <f t="shared" si="23"/>
        <v>176.55</v>
      </c>
      <c r="O120">
        <f t="shared" si="24"/>
        <v>10.3041</v>
      </c>
      <c r="Q120" s="11">
        <f t="shared" si="27"/>
        <v>9.4292980450279291</v>
      </c>
      <c r="R120" s="12">
        <f t="shared" si="25"/>
        <v>-0.52853509774860352</v>
      </c>
    </row>
    <row r="121" spans="1:18" x14ac:dyDescent="0.25">
      <c r="A121">
        <v>12</v>
      </c>
      <c r="B121">
        <v>55</v>
      </c>
      <c r="C121" s="2">
        <f t="shared" si="26"/>
        <v>6.52</v>
      </c>
      <c r="E121">
        <v>50</v>
      </c>
      <c r="G121">
        <f t="shared" si="18"/>
        <v>12</v>
      </c>
      <c r="H121" s="10">
        <f t="shared" si="18"/>
        <v>55</v>
      </c>
      <c r="I121">
        <f t="shared" si="18"/>
        <v>6.52</v>
      </c>
      <c r="J121">
        <f t="shared" si="19"/>
        <v>144</v>
      </c>
      <c r="K121">
        <f t="shared" si="20"/>
        <v>660</v>
      </c>
      <c r="L121">
        <f t="shared" si="21"/>
        <v>78.239999999999995</v>
      </c>
      <c r="M121">
        <f t="shared" si="22"/>
        <v>3025</v>
      </c>
      <c r="N121">
        <f t="shared" si="23"/>
        <v>358.59999999999997</v>
      </c>
      <c r="O121">
        <f t="shared" si="24"/>
        <v>42.510399999999997</v>
      </c>
      <c r="Q121" s="11">
        <f t="shared" si="27"/>
        <v>36.754683107752527</v>
      </c>
      <c r="R121" s="12">
        <f t="shared" si="25"/>
        <v>-0.26490633784494944</v>
      </c>
    </row>
    <row r="122" spans="1:18" x14ac:dyDescent="0.25">
      <c r="A122">
        <v>12</v>
      </c>
      <c r="B122">
        <v>55</v>
      </c>
      <c r="C122" s="2">
        <f t="shared" si="26"/>
        <v>13.9</v>
      </c>
      <c r="E122">
        <v>120</v>
      </c>
      <c r="G122">
        <f t="shared" si="18"/>
        <v>12</v>
      </c>
      <c r="H122" s="10">
        <f t="shared" si="18"/>
        <v>55</v>
      </c>
      <c r="I122">
        <f t="shared" si="18"/>
        <v>13.9</v>
      </c>
      <c r="J122">
        <f t="shared" si="19"/>
        <v>144</v>
      </c>
      <c r="K122">
        <f t="shared" si="20"/>
        <v>660</v>
      </c>
      <c r="L122">
        <f t="shared" si="21"/>
        <v>166.8</v>
      </c>
      <c r="M122">
        <f t="shared" si="22"/>
        <v>3025</v>
      </c>
      <c r="N122">
        <f t="shared" si="23"/>
        <v>764.5</v>
      </c>
      <c r="O122">
        <f t="shared" si="24"/>
        <v>193.21</v>
      </c>
      <c r="Q122" s="11">
        <f t="shared" si="27"/>
        <v>115.57836037028397</v>
      </c>
      <c r="R122" s="12">
        <f t="shared" si="25"/>
        <v>-3.6846996914300219E-2</v>
      </c>
    </row>
    <row r="123" spans="1:18" x14ac:dyDescent="0.25">
      <c r="A123">
        <v>-15</v>
      </c>
      <c r="B123">
        <v>55</v>
      </c>
      <c r="C123" s="2">
        <f t="shared" si="26"/>
        <v>2.83</v>
      </c>
      <c r="E123">
        <v>50</v>
      </c>
      <c r="G123">
        <f t="shared" si="18"/>
        <v>-15</v>
      </c>
      <c r="H123" s="10">
        <f t="shared" si="18"/>
        <v>55</v>
      </c>
      <c r="I123">
        <f t="shared" si="18"/>
        <v>2.83</v>
      </c>
      <c r="J123">
        <f t="shared" si="19"/>
        <v>225</v>
      </c>
      <c r="K123">
        <f t="shared" si="20"/>
        <v>-825</v>
      </c>
      <c r="L123">
        <f t="shared" si="21"/>
        <v>-42.45</v>
      </c>
      <c r="M123">
        <f t="shared" si="22"/>
        <v>3025</v>
      </c>
      <c r="N123">
        <f t="shared" si="23"/>
        <v>155.65</v>
      </c>
      <c r="O123">
        <f t="shared" si="24"/>
        <v>8.0089000000000006</v>
      </c>
      <c r="Q123" s="11">
        <f t="shared" si="27"/>
        <v>62.964456329160711</v>
      </c>
      <c r="R123" s="12">
        <f t="shared" si="25"/>
        <v>0.25928912658321424</v>
      </c>
    </row>
    <row r="124" spans="1:18" x14ac:dyDescent="0.25">
      <c r="A124">
        <v>-15</v>
      </c>
      <c r="B124">
        <v>55</v>
      </c>
      <c r="C124" s="2">
        <f t="shared" si="26"/>
        <v>6.77</v>
      </c>
      <c r="E124">
        <v>120</v>
      </c>
      <c r="G124">
        <f t="shared" si="18"/>
        <v>-15</v>
      </c>
      <c r="H124" s="10">
        <f t="shared" si="18"/>
        <v>55</v>
      </c>
      <c r="I124">
        <f t="shared" si="18"/>
        <v>6.77</v>
      </c>
      <c r="J124">
        <f t="shared" si="19"/>
        <v>225</v>
      </c>
      <c r="K124">
        <f t="shared" si="20"/>
        <v>-825</v>
      </c>
      <c r="L124">
        <f t="shared" si="21"/>
        <v>-101.55</v>
      </c>
      <c r="M124">
        <f t="shared" si="22"/>
        <v>3025</v>
      </c>
      <c r="N124">
        <f t="shared" si="23"/>
        <v>372.34999999999997</v>
      </c>
      <c r="O124">
        <f t="shared" si="24"/>
        <v>45.832899999999995</v>
      </c>
      <c r="Q124" s="11">
        <f t="shared" si="27"/>
        <v>128.75111752923323</v>
      </c>
      <c r="R124" s="12">
        <f t="shared" si="25"/>
        <v>7.2925979410276884E-2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710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47105" r:id="rId4"/>
      </mc:Fallback>
    </mc:AlternateContent>
    <mc:AlternateContent xmlns:mc="http://schemas.openxmlformats.org/markup-compatibility/2006">
      <mc:Choice Requires="x14">
        <oleObject progId="Equation.3" shapeId="47106" r:id="rId6">
          <objectPr defaultSize="0" autoPict="0" r:id="rId5">
            <anchor moveWithCells="1" sizeWithCells="1">
              <from>
                <xdr:col>6</xdr:col>
                <xdr:colOff>171450</xdr:colOff>
                <xdr:row>44</xdr:row>
                <xdr:rowOff>38100</xdr:rowOff>
              </from>
              <to>
                <xdr:col>14</xdr:col>
                <xdr:colOff>1466850</xdr:colOff>
                <xdr:row>44</xdr:row>
                <xdr:rowOff>647700</xdr:rowOff>
              </to>
            </anchor>
          </objectPr>
        </oleObject>
      </mc:Choice>
      <mc:Fallback>
        <oleObject progId="Equation.3" shapeId="47106" r:id="rId6"/>
      </mc:Fallback>
    </mc:AlternateContent>
    <mc:AlternateContent xmlns:mc="http://schemas.openxmlformats.org/markup-compatibility/2006">
      <mc:Choice Requires="x14">
        <oleObject progId="Equation.3" shapeId="47107" r:id="rId7">
          <objectPr defaultSize="0" autoPict="0" r:id="rId5">
            <anchor moveWithCells="1" sizeWithCells="1">
              <from>
                <xdr:col>6</xdr:col>
                <xdr:colOff>171450</xdr:colOff>
                <xdr:row>86</xdr:row>
                <xdr:rowOff>38100</xdr:rowOff>
              </from>
              <to>
                <xdr:col>14</xdr:col>
                <xdr:colOff>1466850</xdr:colOff>
                <xdr:row>86</xdr:row>
                <xdr:rowOff>647700</xdr:rowOff>
              </to>
            </anchor>
          </objectPr>
        </oleObject>
      </mc:Choice>
      <mc:Fallback>
        <oleObject progId="Equation.3" shapeId="47107" r:id="rId7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ist12"/>
  <dimension ref="A1:T124"/>
  <sheetViews>
    <sheetView topLeftCell="A10" zoomScale="70" zoomScaleNormal="70" workbookViewId="0">
      <selection activeCell="Q4" sqref="Q4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LINEST(E4:E40,G4:O40)</f>
        <v>-3.4928857013980885E-4</v>
      </c>
      <c r="H2" s="4">
        <v>2.3751872924730242E-4</v>
      </c>
      <c r="I2" s="4">
        <v>4.2475889299166929E-5</v>
      </c>
      <c r="J2" s="4">
        <v>1.1309538161601018E-3</v>
      </c>
      <c r="K2" s="4">
        <v>1.5894105039979882E-3</v>
      </c>
      <c r="L2" s="4">
        <v>3.2806395408054444E-3</v>
      </c>
      <c r="M2" s="4">
        <v>0.12239309534706141</v>
      </c>
      <c r="N2" s="4">
        <v>-3.4031892896422181E-2</v>
      </c>
      <c r="O2" s="4">
        <v>2.2482500084272706E-2</v>
      </c>
      <c r="P2" s="4">
        <v>0.3781471170488242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3.15</v>
      </c>
      <c r="F4" s="2"/>
      <c r="G4">
        <f t="shared" ref="G4:I40" si="0">A4</f>
        <v>-15</v>
      </c>
      <c r="H4" s="10">
        <f t="shared" si="0"/>
        <v>35</v>
      </c>
      <c r="I4">
        <f t="shared" si="0"/>
        <v>50</v>
      </c>
      <c r="J4">
        <f t="shared" ref="J4:J40" si="1">G4^2</f>
        <v>225</v>
      </c>
      <c r="K4">
        <f t="shared" ref="K4:K40" si="2">G4*H4</f>
        <v>-525</v>
      </c>
      <c r="L4">
        <f t="shared" ref="L4:L40" si="3">G4*I4</f>
        <v>-750</v>
      </c>
      <c r="M4">
        <f t="shared" ref="M4:M40" si="4">H4^2</f>
        <v>1225</v>
      </c>
      <c r="N4">
        <f t="shared" ref="N4:N40" si="5">H4*I4</f>
        <v>1750</v>
      </c>
      <c r="O4">
        <f t="shared" ref="O4:O40" si="6">I4^2</f>
        <v>2500</v>
      </c>
      <c r="Q4" s="11">
        <f t="shared" ref="Q4:Q40" si="7">$P$2+$O$2*G4+$N$2*H4+$M$2*I4+$L$2*J4+$K$2*K4+$J$2*L4+$I$2*M4+$H$2*N4+$G$2*O4</f>
        <v>3.6194054669499693</v>
      </c>
      <c r="R4" s="12">
        <f t="shared" ref="R4:R40" si="8">(Q4-E4)/E4</f>
        <v>0.14901760855554586</v>
      </c>
      <c r="S4" s="11"/>
      <c r="T4" s="12"/>
    </row>
    <row r="5" spans="1:20" x14ac:dyDescent="0.25">
      <c r="A5">
        <v>-15</v>
      </c>
      <c r="B5">
        <v>35</v>
      </c>
      <c r="C5">
        <v>120</v>
      </c>
      <c r="E5">
        <v>7.57</v>
      </c>
      <c r="F5" s="2"/>
      <c r="G5">
        <f t="shared" si="0"/>
        <v>-15</v>
      </c>
      <c r="H5" s="10">
        <f t="shared" si="0"/>
        <v>35</v>
      </c>
      <c r="I5">
        <f t="shared" si="0"/>
        <v>120</v>
      </c>
      <c r="J5">
        <f t="shared" si="1"/>
        <v>225</v>
      </c>
      <c r="K5">
        <f t="shared" si="2"/>
        <v>-525</v>
      </c>
      <c r="L5">
        <f t="shared" si="3"/>
        <v>-1800</v>
      </c>
      <c r="M5">
        <f t="shared" si="4"/>
        <v>1225</v>
      </c>
      <c r="N5">
        <f t="shared" si="5"/>
        <v>4200</v>
      </c>
      <c r="O5">
        <f t="shared" si="6"/>
        <v>14400</v>
      </c>
      <c r="Q5" s="11">
        <f t="shared" si="7"/>
        <v>7.4248075362683261</v>
      </c>
      <c r="R5" s="12">
        <f t="shared" si="8"/>
        <v>-1.9179981998900152E-2</v>
      </c>
      <c r="S5" s="11"/>
      <c r="T5" s="12"/>
    </row>
    <row r="6" spans="1:20" x14ac:dyDescent="0.25">
      <c r="A6">
        <v>-7</v>
      </c>
      <c r="B6">
        <v>35</v>
      </c>
      <c r="C6">
        <v>50</v>
      </c>
      <c r="E6">
        <v>4.1100000000000003</v>
      </c>
      <c r="F6" s="2"/>
      <c r="G6">
        <f t="shared" si="0"/>
        <v>-7</v>
      </c>
      <c r="H6" s="10">
        <f t="shared" si="0"/>
        <v>35</v>
      </c>
      <c r="I6">
        <f t="shared" si="0"/>
        <v>50</v>
      </c>
      <c r="J6">
        <f t="shared" si="1"/>
        <v>49</v>
      </c>
      <c r="K6">
        <f t="shared" si="2"/>
        <v>-245</v>
      </c>
      <c r="L6">
        <f t="shared" si="3"/>
        <v>-350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4.1192893760258693</v>
      </c>
      <c r="R6" s="12">
        <f t="shared" si="8"/>
        <v>2.2601888140800458E-3</v>
      </c>
      <c r="S6" s="11"/>
      <c r="T6" s="12"/>
    </row>
    <row r="7" spans="1:20" x14ac:dyDescent="0.25">
      <c r="A7">
        <v>-7</v>
      </c>
      <c r="B7">
        <v>35</v>
      </c>
      <c r="C7">
        <v>120</v>
      </c>
      <c r="E7">
        <v>9.3000000000000007</v>
      </c>
      <c r="F7" s="2"/>
      <c r="G7">
        <f t="shared" si="0"/>
        <v>-7</v>
      </c>
      <c r="H7" s="10">
        <f t="shared" si="0"/>
        <v>35</v>
      </c>
      <c r="I7">
        <f t="shared" si="0"/>
        <v>120</v>
      </c>
      <c r="J7">
        <f t="shared" si="1"/>
        <v>49</v>
      </c>
      <c r="K7">
        <f t="shared" si="2"/>
        <v>-245</v>
      </c>
      <c r="L7">
        <f t="shared" si="3"/>
        <v>-840</v>
      </c>
      <c r="M7">
        <f t="shared" si="4"/>
        <v>1225</v>
      </c>
      <c r="N7">
        <f t="shared" si="5"/>
        <v>4200</v>
      </c>
      <c r="O7">
        <f t="shared" si="6"/>
        <v>14400</v>
      </c>
      <c r="Q7" s="11">
        <f t="shared" si="7"/>
        <v>8.5580255823938849</v>
      </c>
      <c r="R7" s="12">
        <f t="shared" si="8"/>
        <v>-7.9782195441517822E-2</v>
      </c>
      <c r="S7" s="11"/>
      <c r="T7" s="12"/>
    </row>
    <row r="8" spans="1:20" x14ac:dyDescent="0.25">
      <c r="A8">
        <v>2</v>
      </c>
      <c r="B8">
        <v>35</v>
      </c>
      <c r="C8">
        <v>20</v>
      </c>
      <c r="E8">
        <v>2.17</v>
      </c>
      <c r="F8" s="2"/>
      <c r="G8">
        <f t="shared" si="0"/>
        <v>2</v>
      </c>
      <c r="H8" s="10">
        <f t="shared" si="0"/>
        <v>35</v>
      </c>
      <c r="I8">
        <f t="shared" si="0"/>
        <v>20</v>
      </c>
      <c r="J8">
        <f t="shared" si="1"/>
        <v>4</v>
      </c>
      <c r="K8">
        <f t="shared" si="2"/>
        <v>70</v>
      </c>
      <c r="L8">
        <f t="shared" si="3"/>
        <v>40</v>
      </c>
      <c r="M8">
        <f t="shared" si="4"/>
        <v>1225</v>
      </c>
      <c r="N8">
        <f t="shared" si="5"/>
        <v>700</v>
      </c>
      <c r="O8">
        <f t="shared" si="6"/>
        <v>400</v>
      </c>
      <c r="Q8" s="11">
        <f t="shared" si="7"/>
        <v>1.9280578656819738</v>
      </c>
      <c r="R8" s="12">
        <f t="shared" si="8"/>
        <v>-0.11149407111429777</v>
      </c>
      <c r="S8" s="11"/>
      <c r="T8" s="12"/>
    </row>
    <row r="9" spans="1:20" x14ac:dyDescent="0.25">
      <c r="A9">
        <v>2</v>
      </c>
      <c r="B9">
        <v>35</v>
      </c>
      <c r="C9">
        <v>50</v>
      </c>
      <c r="E9">
        <v>5.31</v>
      </c>
      <c r="F9" s="2"/>
      <c r="G9">
        <f t="shared" si="0"/>
        <v>2</v>
      </c>
      <c r="H9" s="10">
        <f t="shared" si="0"/>
        <v>35</v>
      </c>
      <c r="I9">
        <f t="shared" si="0"/>
        <v>50</v>
      </c>
      <c r="J9">
        <f t="shared" si="1"/>
        <v>4</v>
      </c>
      <c r="K9">
        <f t="shared" si="2"/>
        <v>70</v>
      </c>
      <c r="L9">
        <f t="shared" si="3"/>
        <v>100</v>
      </c>
      <c r="M9">
        <f t="shared" si="4"/>
        <v>1225</v>
      </c>
      <c r="N9">
        <f t="shared" si="5"/>
        <v>1750</v>
      </c>
      <c r="O9">
        <f t="shared" si="6"/>
        <v>2500</v>
      </c>
      <c r="Q9" s="11">
        <f t="shared" si="7"/>
        <v>5.1835966234794917</v>
      </c>
      <c r="R9" s="12">
        <f t="shared" si="8"/>
        <v>-2.3804779005745375E-2</v>
      </c>
      <c r="S9" s="11"/>
      <c r="T9" s="12"/>
    </row>
    <row r="10" spans="1:20" x14ac:dyDescent="0.25">
      <c r="A10">
        <v>2</v>
      </c>
      <c r="B10">
        <v>35</v>
      </c>
      <c r="C10">
        <v>120</v>
      </c>
      <c r="E10">
        <v>9.66</v>
      </c>
      <c r="F10" s="2"/>
      <c r="G10">
        <f t="shared" si="0"/>
        <v>2</v>
      </c>
      <c r="H10" s="10">
        <f t="shared" si="0"/>
        <v>35</v>
      </c>
      <c r="I10">
        <f t="shared" si="0"/>
        <v>120</v>
      </c>
      <c r="J10">
        <f t="shared" si="1"/>
        <v>4</v>
      </c>
      <c r="K10">
        <f t="shared" si="2"/>
        <v>70</v>
      </c>
      <c r="L10">
        <f t="shared" si="3"/>
        <v>240</v>
      </c>
      <c r="M10">
        <f t="shared" si="4"/>
        <v>1225</v>
      </c>
      <c r="N10">
        <f t="shared" si="5"/>
        <v>4200</v>
      </c>
      <c r="O10">
        <f t="shared" si="6"/>
        <v>14400</v>
      </c>
      <c r="Q10" s="11">
        <f t="shared" si="7"/>
        <v>10.334833734028372</v>
      </c>
      <c r="R10" s="12">
        <f t="shared" si="8"/>
        <v>6.9858564599210332E-2</v>
      </c>
      <c r="S10" s="11"/>
      <c r="T10" s="12"/>
    </row>
    <row r="11" spans="1:20" x14ac:dyDescent="0.25">
      <c r="A11">
        <v>7</v>
      </c>
      <c r="B11">
        <v>35</v>
      </c>
      <c r="C11">
        <v>20</v>
      </c>
      <c r="E11">
        <v>2.54</v>
      </c>
      <c r="F11" s="2"/>
      <c r="G11">
        <f t="shared" si="0"/>
        <v>7</v>
      </c>
      <c r="H11" s="10">
        <f t="shared" si="0"/>
        <v>35</v>
      </c>
      <c r="I11">
        <f t="shared" si="0"/>
        <v>20</v>
      </c>
      <c r="J11">
        <f t="shared" si="1"/>
        <v>49</v>
      </c>
      <c r="K11">
        <f t="shared" si="2"/>
        <v>245</v>
      </c>
      <c r="L11">
        <f t="shared" si="3"/>
        <v>140</v>
      </c>
      <c r="M11">
        <f t="shared" si="4"/>
        <v>1225</v>
      </c>
      <c r="N11">
        <f t="shared" si="5"/>
        <v>700</v>
      </c>
      <c r="O11">
        <f t="shared" si="6"/>
        <v>400</v>
      </c>
      <c r="Q11" s="11">
        <f t="shared" si="7"/>
        <v>2.579341365255241</v>
      </c>
      <c r="R11" s="12">
        <f t="shared" si="8"/>
        <v>1.5488726478441343E-2</v>
      </c>
      <c r="S11" s="11"/>
      <c r="T11" s="12"/>
    </row>
    <row r="12" spans="1:20" x14ac:dyDescent="0.25">
      <c r="A12">
        <v>7</v>
      </c>
      <c r="B12">
        <v>35</v>
      </c>
      <c r="C12">
        <v>50</v>
      </c>
      <c r="E12">
        <v>6.42</v>
      </c>
      <c r="F12" s="2"/>
      <c r="G12">
        <f t="shared" si="0"/>
        <v>7</v>
      </c>
      <c r="H12" s="10">
        <f t="shared" si="0"/>
        <v>35</v>
      </c>
      <c r="I12">
        <f t="shared" si="0"/>
        <v>50</v>
      </c>
      <c r="J12">
        <f t="shared" si="1"/>
        <v>49</v>
      </c>
      <c r="K12">
        <f t="shared" si="2"/>
        <v>245</v>
      </c>
      <c r="L12">
        <f t="shared" si="3"/>
        <v>350</v>
      </c>
      <c r="M12">
        <f t="shared" si="4"/>
        <v>1225</v>
      </c>
      <c r="N12">
        <f t="shared" si="5"/>
        <v>1750</v>
      </c>
      <c r="O12">
        <f t="shared" si="6"/>
        <v>2500</v>
      </c>
      <c r="Q12" s="11">
        <f t="shared" si="7"/>
        <v>6.0045231954767733</v>
      </c>
      <c r="R12" s="12">
        <f t="shared" si="8"/>
        <v>-6.4716013165611624E-2</v>
      </c>
      <c r="S12" s="11"/>
      <c r="T12" s="12"/>
    </row>
    <row r="13" spans="1:20" x14ac:dyDescent="0.25">
      <c r="A13">
        <v>7</v>
      </c>
      <c r="B13">
        <v>35</v>
      </c>
      <c r="C13">
        <v>120</v>
      </c>
      <c r="E13">
        <v>10.79</v>
      </c>
      <c r="F13" s="2"/>
      <c r="G13">
        <f t="shared" si="0"/>
        <v>7</v>
      </c>
      <c r="H13" s="10">
        <f t="shared" si="0"/>
        <v>35</v>
      </c>
      <c r="I13">
        <f t="shared" si="0"/>
        <v>120</v>
      </c>
      <c r="J13">
        <f t="shared" si="1"/>
        <v>49</v>
      </c>
      <c r="K13">
        <f t="shared" si="2"/>
        <v>245</v>
      </c>
      <c r="L13">
        <f t="shared" si="3"/>
        <v>840</v>
      </c>
      <c r="M13">
        <f t="shared" si="4"/>
        <v>1225</v>
      </c>
      <c r="N13">
        <f t="shared" si="5"/>
        <v>4200</v>
      </c>
      <c r="O13">
        <f t="shared" si="6"/>
        <v>14400</v>
      </c>
      <c r="Q13" s="11">
        <f t="shared" si="7"/>
        <v>11.55159414168169</v>
      </c>
      <c r="R13" s="12">
        <f t="shared" si="8"/>
        <v>7.0583331017765621E-2</v>
      </c>
      <c r="S13" s="11"/>
      <c r="T13" s="12"/>
    </row>
    <row r="14" spans="1:20" x14ac:dyDescent="0.25">
      <c r="A14">
        <v>12</v>
      </c>
      <c r="B14">
        <v>35</v>
      </c>
      <c r="C14">
        <v>20</v>
      </c>
      <c r="E14">
        <v>2.92</v>
      </c>
      <c r="F14" s="2"/>
      <c r="G14">
        <f t="shared" si="0"/>
        <v>12</v>
      </c>
      <c r="H14" s="10">
        <f t="shared" si="0"/>
        <v>35</v>
      </c>
      <c r="I14">
        <f t="shared" si="0"/>
        <v>20</v>
      </c>
      <c r="J14">
        <f t="shared" si="1"/>
        <v>144</v>
      </c>
      <c r="K14">
        <f t="shared" si="2"/>
        <v>420</v>
      </c>
      <c r="L14">
        <f t="shared" si="3"/>
        <v>240</v>
      </c>
      <c r="M14">
        <f t="shared" si="4"/>
        <v>1225</v>
      </c>
      <c r="N14">
        <f t="shared" si="5"/>
        <v>700</v>
      </c>
      <c r="O14">
        <f t="shared" si="6"/>
        <v>400</v>
      </c>
      <c r="Q14" s="11">
        <f t="shared" si="7"/>
        <v>3.3946568418687804</v>
      </c>
      <c r="R14" s="12">
        <f t="shared" si="8"/>
        <v>0.16255371296876042</v>
      </c>
      <c r="S14" s="11"/>
      <c r="T14" s="12"/>
    </row>
    <row r="15" spans="1:20" x14ac:dyDescent="0.25">
      <c r="A15">
        <v>12</v>
      </c>
      <c r="B15">
        <v>35</v>
      </c>
      <c r="C15">
        <v>50</v>
      </c>
      <c r="E15">
        <v>7.34</v>
      </c>
      <c r="F15" s="2"/>
      <c r="G15">
        <f t="shared" si="0"/>
        <v>12</v>
      </c>
      <c r="H15" s="10">
        <f t="shared" si="0"/>
        <v>35</v>
      </c>
      <c r="I15">
        <f t="shared" si="0"/>
        <v>50</v>
      </c>
      <c r="J15">
        <f t="shared" si="1"/>
        <v>144</v>
      </c>
      <c r="K15">
        <f t="shared" si="2"/>
        <v>420</v>
      </c>
      <c r="L15">
        <f t="shared" si="3"/>
        <v>600</v>
      </c>
      <c r="M15">
        <f t="shared" si="4"/>
        <v>1225</v>
      </c>
      <c r="N15">
        <f t="shared" si="5"/>
        <v>1750</v>
      </c>
      <c r="O15">
        <f t="shared" si="6"/>
        <v>2500</v>
      </c>
      <c r="Q15" s="11">
        <f t="shared" si="7"/>
        <v>6.9894817445143271</v>
      </c>
      <c r="R15" s="12">
        <f t="shared" si="8"/>
        <v>-4.7754530720118898E-2</v>
      </c>
      <c r="S15" s="11"/>
      <c r="T15" s="12"/>
    </row>
    <row r="16" spans="1:20" x14ac:dyDescent="0.25">
      <c r="A16">
        <v>12</v>
      </c>
      <c r="B16">
        <v>35</v>
      </c>
      <c r="C16">
        <v>120</v>
      </c>
      <c r="E16">
        <v>13.34</v>
      </c>
      <c r="F16" s="2"/>
      <c r="G16">
        <f t="shared" si="0"/>
        <v>12</v>
      </c>
      <c r="H16" s="10">
        <f t="shared" si="0"/>
        <v>35</v>
      </c>
      <c r="I16">
        <f t="shared" si="0"/>
        <v>120</v>
      </c>
      <c r="J16">
        <f t="shared" si="1"/>
        <v>144</v>
      </c>
      <c r="K16">
        <f t="shared" si="2"/>
        <v>420</v>
      </c>
      <c r="L16">
        <f t="shared" si="3"/>
        <v>1440</v>
      </c>
      <c r="M16">
        <f t="shared" si="4"/>
        <v>1225</v>
      </c>
      <c r="N16">
        <f t="shared" si="5"/>
        <v>4200</v>
      </c>
      <c r="O16">
        <f t="shared" si="6"/>
        <v>14400</v>
      </c>
      <c r="Q16" s="11">
        <f t="shared" si="7"/>
        <v>12.932386526375279</v>
      </c>
      <c r="R16" s="12">
        <f t="shared" si="8"/>
        <v>-3.055573265552633E-2</v>
      </c>
      <c r="S16" s="11"/>
      <c r="T16" s="12"/>
    </row>
    <row r="17" spans="1:20" x14ac:dyDescent="0.25">
      <c r="A17">
        <v>-15</v>
      </c>
      <c r="B17">
        <v>45</v>
      </c>
      <c r="C17">
        <v>50</v>
      </c>
      <c r="E17">
        <v>2.99</v>
      </c>
      <c r="F17" s="2"/>
      <c r="G17">
        <f t="shared" si="0"/>
        <v>-15</v>
      </c>
      <c r="H17" s="10">
        <f t="shared" si="0"/>
        <v>45</v>
      </c>
      <c r="I17">
        <f t="shared" si="0"/>
        <v>50</v>
      </c>
      <c r="J17">
        <f t="shared" si="1"/>
        <v>225</v>
      </c>
      <c r="K17">
        <f t="shared" si="2"/>
        <v>-675</v>
      </c>
      <c r="L17">
        <f t="shared" si="3"/>
        <v>-750</v>
      </c>
      <c r="M17">
        <f t="shared" si="4"/>
        <v>2025</v>
      </c>
      <c r="N17">
        <f t="shared" si="5"/>
        <v>2250</v>
      </c>
      <c r="O17">
        <f t="shared" si="6"/>
        <v>2500</v>
      </c>
      <c r="Q17" s="11">
        <f t="shared" si="7"/>
        <v>3.1934150384490345</v>
      </c>
      <c r="R17" s="12">
        <f t="shared" si="8"/>
        <v>6.8031785434459632E-2</v>
      </c>
      <c r="S17" s="11"/>
      <c r="T17" s="12"/>
    </row>
    <row r="18" spans="1:20" x14ac:dyDescent="0.25">
      <c r="A18">
        <v>-15</v>
      </c>
      <c r="B18">
        <v>45</v>
      </c>
      <c r="C18">
        <v>120</v>
      </c>
      <c r="E18">
        <v>7.17</v>
      </c>
      <c r="F18" s="2"/>
      <c r="G18">
        <f t="shared" si="0"/>
        <v>-15</v>
      </c>
      <c r="H18" s="10">
        <f t="shared" si="0"/>
        <v>45</v>
      </c>
      <c r="I18">
        <f t="shared" si="0"/>
        <v>120</v>
      </c>
      <c r="J18">
        <f t="shared" si="1"/>
        <v>225</v>
      </c>
      <c r="K18">
        <f t="shared" si="2"/>
        <v>-675</v>
      </c>
      <c r="L18">
        <f t="shared" si="3"/>
        <v>-1800</v>
      </c>
      <c r="M18">
        <f t="shared" si="4"/>
        <v>2025</v>
      </c>
      <c r="N18">
        <f t="shared" si="5"/>
        <v>5400</v>
      </c>
      <c r="O18">
        <f t="shared" si="6"/>
        <v>14400</v>
      </c>
      <c r="Q18" s="11">
        <f t="shared" si="7"/>
        <v>7.1650802182405036</v>
      </c>
      <c r="R18" s="12">
        <f t="shared" si="8"/>
        <v>-6.8616203061316135E-4</v>
      </c>
      <c r="S18" s="11"/>
      <c r="T18" s="12"/>
    </row>
    <row r="19" spans="1:20" x14ac:dyDescent="0.25">
      <c r="A19">
        <v>-7</v>
      </c>
      <c r="B19">
        <v>45</v>
      </c>
      <c r="C19">
        <v>50</v>
      </c>
      <c r="E19">
        <v>3.93</v>
      </c>
      <c r="F19" s="2"/>
      <c r="G19">
        <f t="shared" si="0"/>
        <v>-7</v>
      </c>
      <c r="H19" s="10">
        <f t="shared" si="0"/>
        <v>45</v>
      </c>
      <c r="I19">
        <f t="shared" si="0"/>
        <v>50</v>
      </c>
      <c r="J19">
        <f t="shared" si="1"/>
        <v>49</v>
      </c>
      <c r="K19">
        <f t="shared" si="2"/>
        <v>-315</v>
      </c>
      <c r="L19">
        <f t="shared" si="3"/>
        <v>-350</v>
      </c>
      <c r="M19">
        <f t="shared" si="4"/>
        <v>2025</v>
      </c>
      <c r="N19">
        <f t="shared" si="5"/>
        <v>2250</v>
      </c>
      <c r="O19">
        <f t="shared" si="6"/>
        <v>2500</v>
      </c>
      <c r="Q19" s="11">
        <f t="shared" si="7"/>
        <v>3.8204517878447741</v>
      </c>
      <c r="R19" s="12">
        <f t="shared" si="8"/>
        <v>-2.7874863143823418E-2</v>
      </c>
      <c r="S19" s="11"/>
      <c r="T19" s="12"/>
    </row>
    <row r="20" spans="1:20" x14ac:dyDescent="0.25">
      <c r="A20">
        <v>-7</v>
      </c>
      <c r="B20">
        <v>45</v>
      </c>
      <c r="C20">
        <v>120</v>
      </c>
      <c r="E20">
        <v>8.85</v>
      </c>
      <c r="F20" s="2"/>
      <c r="G20">
        <f t="shared" si="0"/>
        <v>-7</v>
      </c>
      <c r="H20" s="10">
        <f t="shared" si="0"/>
        <v>45</v>
      </c>
      <c r="I20">
        <f t="shared" si="0"/>
        <v>120</v>
      </c>
      <c r="J20">
        <f t="shared" si="1"/>
        <v>49</v>
      </c>
      <c r="K20">
        <f t="shared" si="2"/>
        <v>-315</v>
      </c>
      <c r="L20">
        <f t="shared" si="3"/>
        <v>-840</v>
      </c>
      <c r="M20">
        <f t="shared" si="4"/>
        <v>2025</v>
      </c>
      <c r="N20">
        <f t="shared" si="5"/>
        <v>5400</v>
      </c>
      <c r="O20">
        <f t="shared" si="6"/>
        <v>14400</v>
      </c>
      <c r="Q20" s="11">
        <f t="shared" si="7"/>
        <v>8.4254511046859015</v>
      </c>
      <c r="R20" s="12">
        <f t="shared" si="8"/>
        <v>-4.7971626589163631E-2</v>
      </c>
      <c r="S20" s="11"/>
      <c r="T20" s="12"/>
    </row>
    <row r="21" spans="1:20" x14ac:dyDescent="0.25">
      <c r="A21">
        <v>2</v>
      </c>
      <c r="B21">
        <v>45</v>
      </c>
      <c r="C21">
        <v>50</v>
      </c>
      <c r="E21">
        <v>5.0999999999999996</v>
      </c>
      <c r="G21">
        <f t="shared" si="0"/>
        <v>2</v>
      </c>
      <c r="H21" s="10">
        <f t="shared" si="0"/>
        <v>45</v>
      </c>
      <c r="I21">
        <f t="shared" si="0"/>
        <v>50</v>
      </c>
      <c r="J21">
        <f t="shared" si="1"/>
        <v>4</v>
      </c>
      <c r="K21">
        <f t="shared" si="2"/>
        <v>90</v>
      </c>
      <c r="L21">
        <f t="shared" si="3"/>
        <v>100</v>
      </c>
      <c r="M21">
        <f t="shared" si="4"/>
        <v>2025</v>
      </c>
      <c r="N21">
        <f t="shared" si="5"/>
        <v>2250</v>
      </c>
      <c r="O21">
        <f t="shared" si="6"/>
        <v>2500</v>
      </c>
      <c r="Q21" s="11">
        <f t="shared" si="7"/>
        <v>5.0278059806582149</v>
      </c>
      <c r="R21" s="12">
        <f t="shared" si="8"/>
        <v>-1.4155690067016611E-2</v>
      </c>
      <c r="S21" s="11"/>
      <c r="T21" s="12"/>
    </row>
    <row r="22" spans="1:20" x14ac:dyDescent="0.25">
      <c r="A22">
        <v>2</v>
      </c>
      <c r="B22">
        <v>45</v>
      </c>
      <c r="C22">
        <v>120</v>
      </c>
      <c r="E22">
        <v>9.83</v>
      </c>
      <c r="G22">
        <f t="shared" si="0"/>
        <v>2</v>
      </c>
      <c r="H22" s="10">
        <f t="shared" si="0"/>
        <v>45</v>
      </c>
      <c r="I22">
        <f t="shared" si="0"/>
        <v>120</v>
      </c>
      <c r="J22">
        <f t="shared" si="1"/>
        <v>4</v>
      </c>
      <c r="K22">
        <f t="shared" si="2"/>
        <v>90</v>
      </c>
      <c r="L22">
        <f t="shared" si="3"/>
        <v>240</v>
      </c>
      <c r="M22">
        <f t="shared" si="4"/>
        <v>2025</v>
      </c>
      <c r="N22">
        <f t="shared" si="5"/>
        <v>5400</v>
      </c>
      <c r="O22">
        <f t="shared" si="6"/>
        <v>14400</v>
      </c>
      <c r="Q22" s="11">
        <f t="shared" si="7"/>
        <v>10.345306201680206</v>
      </c>
      <c r="R22" s="12">
        <f t="shared" si="8"/>
        <v>5.2421790608362738E-2</v>
      </c>
      <c r="S22" s="11"/>
      <c r="T22" s="12"/>
    </row>
    <row r="23" spans="1:20" x14ac:dyDescent="0.25">
      <c r="A23">
        <v>7</v>
      </c>
      <c r="B23">
        <v>45</v>
      </c>
      <c r="C23">
        <v>20</v>
      </c>
      <c r="E23">
        <v>2.62</v>
      </c>
      <c r="G23">
        <f t="shared" si="0"/>
        <v>7</v>
      </c>
      <c r="H23" s="10">
        <f t="shared" si="0"/>
        <v>45</v>
      </c>
      <c r="I23">
        <f t="shared" si="0"/>
        <v>20</v>
      </c>
      <c r="J23">
        <f t="shared" si="1"/>
        <v>49</v>
      </c>
      <c r="K23">
        <f t="shared" si="2"/>
        <v>315</v>
      </c>
      <c r="L23">
        <f t="shared" si="3"/>
        <v>140</v>
      </c>
      <c r="M23">
        <f t="shared" si="4"/>
        <v>2025</v>
      </c>
      <c r="N23">
        <f t="shared" si="5"/>
        <v>900</v>
      </c>
      <c r="O23">
        <f t="shared" si="6"/>
        <v>400</v>
      </c>
      <c r="Q23" s="11">
        <f t="shared" si="7"/>
        <v>2.4317656288596723</v>
      </c>
      <c r="R23" s="12">
        <f t="shared" si="8"/>
        <v>-7.1845179824552602E-2</v>
      </c>
      <c r="S23" s="11"/>
      <c r="T23" s="12"/>
    </row>
    <row r="24" spans="1:20" x14ac:dyDescent="0.25">
      <c r="A24">
        <v>7</v>
      </c>
      <c r="B24">
        <v>45</v>
      </c>
      <c r="C24">
        <v>50</v>
      </c>
      <c r="E24">
        <v>6.01</v>
      </c>
      <c r="G24">
        <f t="shared" si="0"/>
        <v>7</v>
      </c>
      <c r="H24" s="10">
        <f t="shared" si="0"/>
        <v>45</v>
      </c>
      <c r="I24">
        <f t="shared" si="0"/>
        <v>50</v>
      </c>
      <c r="J24">
        <f t="shared" si="1"/>
        <v>49</v>
      </c>
      <c r="K24">
        <f t="shared" si="2"/>
        <v>315</v>
      </c>
      <c r="L24">
        <f t="shared" si="3"/>
        <v>350</v>
      </c>
      <c r="M24">
        <f t="shared" si="4"/>
        <v>2025</v>
      </c>
      <c r="N24">
        <f t="shared" si="5"/>
        <v>2250</v>
      </c>
      <c r="O24">
        <f t="shared" si="6"/>
        <v>2500</v>
      </c>
      <c r="Q24" s="11">
        <f t="shared" si="7"/>
        <v>5.9282030778553949</v>
      </c>
      <c r="R24" s="12">
        <f t="shared" si="8"/>
        <v>-1.3610136796107302E-2</v>
      </c>
      <c r="S24" s="11"/>
      <c r="T24" s="12"/>
    </row>
    <row r="25" spans="1:20" x14ac:dyDescent="0.25">
      <c r="A25">
        <v>7</v>
      </c>
      <c r="B25">
        <v>45</v>
      </c>
      <c r="C25">
        <v>120</v>
      </c>
      <c r="E25">
        <v>11.23</v>
      </c>
      <c r="G25">
        <f t="shared" si="0"/>
        <v>7</v>
      </c>
      <c r="H25" s="10">
        <f t="shared" si="0"/>
        <v>45</v>
      </c>
      <c r="I25">
        <f t="shared" si="0"/>
        <v>120</v>
      </c>
      <c r="J25">
        <f t="shared" si="1"/>
        <v>49</v>
      </c>
      <c r="K25">
        <f t="shared" si="2"/>
        <v>315</v>
      </c>
      <c r="L25">
        <f t="shared" si="3"/>
        <v>840</v>
      </c>
      <c r="M25">
        <f t="shared" si="4"/>
        <v>2025</v>
      </c>
      <c r="N25">
        <f t="shared" si="5"/>
        <v>5400</v>
      </c>
      <c r="O25">
        <f t="shared" si="6"/>
        <v>14400</v>
      </c>
      <c r="Q25" s="11">
        <f t="shared" si="7"/>
        <v>11.641537134533422</v>
      </c>
      <c r="R25" s="12">
        <f t="shared" si="8"/>
        <v>3.6646227474035772E-2</v>
      </c>
      <c r="S25" s="11"/>
      <c r="T25" s="12"/>
    </row>
    <row r="26" spans="1:20" x14ac:dyDescent="0.25">
      <c r="A26">
        <v>12</v>
      </c>
      <c r="B26">
        <v>45</v>
      </c>
      <c r="C26">
        <v>20</v>
      </c>
      <c r="E26">
        <v>3.07</v>
      </c>
      <c r="G26">
        <f t="shared" si="0"/>
        <v>12</v>
      </c>
      <c r="H26" s="10">
        <f t="shared" si="0"/>
        <v>45</v>
      </c>
      <c r="I26">
        <f t="shared" si="0"/>
        <v>20</v>
      </c>
      <c r="J26">
        <f t="shared" si="1"/>
        <v>144</v>
      </c>
      <c r="K26">
        <f t="shared" si="2"/>
        <v>540</v>
      </c>
      <c r="L26">
        <f t="shared" si="3"/>
        <v>240</v>
      </c>
      <c r="M26">
        <f t="shared" si="4"/>
        <v>2025</v>
      </c>
      <c r="N26">
        <f t="shared" si="5"/>
        <v>900</v>
      </c>
      <c r="O26">
        <f t="shared" si="6"/>
        <v>400</v>
      </c>
      <c r="Q26" s="11">
        <f t="shared" si="7"/>
        <v>3.3265516306731109</v>
      </c>
      <c r="R26" s="12">
        <f t="shared" si="8"/>
        <v>8.3567306408179498E-2</v>
      </c>
      <c r="S26" s="11"/>
      <c r="T26" s="12"/>
    </row>
    <row r="27" spans="1:20" x14ac:dyDescent="0.25">
      <c r="A27">
        <v>12</v>
      </c>
      <c r="B27">
        <v>45</v>
      </c>
      <c r="C27">
        <v>50</v>
      </c>
      <c r="E27">
        <v>6.98</v>
      </c>
      <c r="G27">
        <f t="shared" si="0"/>
        <v>12</v>
      </c>
      <c r="H27" s="10">
        <f t="shared" si="0"/>
        <v>45</v>
      </c>
      <c r="I27">
        <f t="shared" si="0"/>
        <v>50</v>
      </c>
      <c r="J27">
        <f t="shared" si="1"/>
        <v>144</v>
      </c>
      <c r="K27">
        <f t="shared" si="2"/>
        <v>540</v>
      </c>
      <c r="L27">
        <f t="shared" si="3"/>
        <v>600</v>
      </c>
      <c r="M27">
        <f t="shared" si="4"/>
        <v>2025</v>
      </c>
      <c r="N27">
        <f t="shared" si="5"/>
        <v>2250</v>
      </c>
      <c r="O27">
        <f t="shared" si="6"/>
        <v>2500</v>
      </c>
      <c r="Q27" s="11">
        <f t="shared" si="7"/>
        <v>6.9926321520928489</v>
      </c>
      <c r="R27" s="12">
        <f t="shared" si="8"/>
        <v>1.8097639101502167E-3</v>
      </c>
      <c r="S27" s="11"/>
      <c r="T27" s="12"/>
    </row>
    <row r="28" spans="1:20" x14ac:dyDescent="0.25">
      <c r="A28">
        <v>12</v>
      </c>
      <c r="B28">
        <v>45</v>
      </c>
      <c r="C28">
        <v>120</v>
      </c>
      <c r="E28">
        <v>13.62</v>
      </c>
      <c r="G28">
        <f t="shared" si="0"/>
        <v>12</v>
      </c>
      <c r="H28" s="10">
        <f t="shared" si="0"/>
        <v>45</v>
      </c>
      <c r="I28">
        <f t="shared" si="0"/>
        <v>120</v>
      </c>
      <c r="J28">
        <f t="shared" si="1"/>
        <v>144</v>
      </c>
      <c r="K28">
        <f t="shared" si="2"/>
        <v>540</v>
      </c>
      <c r="L28">
        <f t="shared" si="3"/>
        <v>1440</v>
      </c>
      <c r="M28">
        <f t="shared" si="4"/>
        <v>2025</v>
      </c>
      <c r="N28">
        <f t="shared" si="5"/>
        <v>5400</v>
      </c>
      <c r="O28">
        <f t="shared" si="6"/>
        <v>14400</v>
      </c>
      <c r="Q28" s="11">
        <f t="shared" si="7"/>
        <v>13.101800044426913</v>
      </c>
      <c r="R28" s="12">
        <f t="shared" si="8"/>
        <v>-3.8046986459110615E-2</v>
      </c>
      <c r="S28" s="11"/>
      <c r="T28" s="12"/>
    </row>
    <row r="29" spans="1:20" x14ac:dyDescent="0.25">
      <c r="A29">
        <v>-7</v>
      </c>
      <c r="B29">
        <v>55</v>
      </c>
      <c r="C29">
        <v>50</v>
      </c>
      <c r="E29">
        <v>3.75</v>
      </c>
      <c r="G29">
        <f t="shared" si="0"/>
        <v>-7</v>
      </c>
      <c r="H29" s="10">
        <f t="shared" si="0"/>
        <v>55</v>
      </c>
      <c r="I29">
        <f t="shared" si="0"/>
        <v>50</v>
      </c>
      <c r="J29">
        <f t="shared" si="1"/>
        <v>49</v>
      </c>
      <c r="K29">
        <f t="shared" si="2"/>
        <v>-385</v>
      </c>
      <c r="L29">
        <f t="shared" si="3"/>
        <v>-350</v>
      </c>
      <c r="M29">
        <f t="shared" si="4"/>
        <v>3025</v>
      </c>
      <c r="N29">
        <f t="shared" si="5"/>
        <v>2750</v>
      </c>
      <c r="O29">
        <f t="shared" si="6"/>
        <v>2500</v>
      </c>
      <c r="Q29" s="11">
        <f t="shared" si="7"/>
        <v>3.5301093775235102</v>
      </c>
      <c r="R29" s="12">
        <f t="shared" si="8"/>
        <v>-5.8637499327063955E-2</v>
      </c>
      <c r="S29" s="11"/>
      <c r="T29" s="12"/>
    </row>
    <row r="30" spans="1:20" x14ac:dyDescent="0.25">
      <c r="A30">
        <v>-7</v>
      </c>
      <c r="B30">
        <v>55</v>
      </c>
      <c r="C30">
        <v>120</v>
      </c>
      <c r="E30">
        <v>8.39</v>
      </c>
      <c r="G30">
        <f t="shared" si="0"/>
        <v>-7</v>
      </c>
      <c r="H30" s="10">
        <f t="shared" si="0"/>
        <v>55</v>
      </c>
      <c r="I30">
        <f t="shared" si="0"/>
        <v>120</v>
      </c>
      <c r="J30">
        <f t="shared" si="1"/>
        <v>49</v>
      </c>
      <c r="K30">
        <f t="shared" si="2"/>
        <v>-385</v>
      </c>
      <c r="L30">
        <f t="shared" si="3"/>
        <v>-840</v>
      </c>
      <c r="M30">
        <f t="shared" si="4"/>
        <v>3025</v>
      </c>
      <c r="N30">
        <f t="shared" si="5"/>
        <v>6600</v>
      </c>
      <c r="O30">
        <f t="shared" si="6"/>
        <v>14400</v>
      </c>
      <c r="Q30" s="11">
        <f t="shared" si="7"/>
        <v>8.3013718048377498</v>
      </c>
      <c r="R30" s="12">
        <f t="shared" si="8"/>
        <v>-1.0563551270828454E-2</v>
      </c>
      <c r="S30" s="11"/>
      <c r="T30" s="12"/>
    </row>
    <row r="31" spans="1:20" x14ac:dyDescent="0.25">
      <c r="A31">
        <v>2</v>
      </c>
      <c r="B31">
        <v>55</v>
      </c>
      <c r="C31">
        <v>50</v>
      </c>
      <c r="E31">
        <v>4.8899999999999997</v>
      </c>
      <c r="G31">
        <f t="shared" si="0"/>
        <v>2</v>
      </c>
      <c r="H31" s="10">
        <f t="shared" si="0"/>
        <v>55</v>
      </c>
      <c r="I31">
        <f t="shared" si="0"/>
        <v>50</v>
      </c>
      <c r="J31">
        <f t="shared" si="1"/>
        <v>4</v>
      </c>
      <c r="K31">
        <f t="shared" si="2"/>
        <v>110</v>
      </c>
      <c r="L31">
        <f t="shared" si="3"/>
        <v>100</v>
      </c>
      <c r="M31">
        <f t="shared" si="4"/>
        <v>3025</v>
      </c>
      <c r="N31">
        <f t="shared" si="5"/>
        <v>2750</v>
      </c>
      <c r="O31">
        <f t="shared" si="6"/>
        <v>2500</v>
      </c>
      <c r="Q31" s="11">
        <f t="shared" si="7"/>
        <v>4.8805105156967716</v>
      </c>
      <c r="R31" s="12">
        <f t="shared" si="8"/>
        <v>-1.9405898370609502E-3</v>
      </c>
      <c r="S31" s="11"/>
      <c r="T31" s="12"/>
    </row>
    <row r="32" spans="1:20" x14ac:dyDescent="0.25">
      <c r="A32">
        <v>2</v>
      </c>
      <c r="B32">
        <v>55</v>
      </c>
      <c r="C32">
        <v>120</v>
      </c>
      <c r="E32">
        <v>10</v>
      </c>
      <c r="G32">
        <f t="shared" si="0"/>
        <v>2</v>
      </c>
      <c r="H32" s="10">
        <f t="shared" si="0"/>
        <v>55</v>
      </c>
      <c r="I32">
        <f t="shared" si="0"/>
        <v>120</v>
      </c>
      <c r="J32">
        <f t="shared" si="1"/>
        <v>4</v>
      </c>
      <c r="K32">
        <f t="shared" si="2"/>
        <v>110</v>
      </c>
      <c r="L32">
        <f t="shared" si="3"/>
        <v>240</v>
      </c>
      <c r="M32">
        <f t="shared" si="4"/>
        <v>3025</v>
      </c>
      <c r="N32">
        <f t="shared" si="5"/>
        <v>6600</v>
      </c>
      <c r="O32">
        <f t="shared" si="6"/>
        <v>14400</v>
      </c>
      <c r="Q32" s="11">
        <f t="shared" si="7"/>
        <v>10.364273847191871</v>
      </c>
      <c r="R32" s="12">
        <f t="shared" si="8"/>
        <v>3.642738471918712E-2</v>
      </c>
      <c r="S32" s="11"/>
      <c r="T32" s="12"/>
    </row>
    <row r="33" spans="1:20" x14ac:dyDescent="0.25">
      <c r="A33">
        <v>7</v>
      </c>
      <c r="B33">
        <v>55</v>
      </c>
      <c r="C33">
        <v>20</v>
      </c>
      <c r="E33">
        <v>2.69</v>
      </c>
      <c r="G33">
        <f t="shared" si="0"/>
        <v>7</v>
      </c>
      <c r="H33" s="10">
        <f t="shared" si="0"/>
        <v>55</v>
      </c>
      <c r="I33">
        <f t="shared" si="0"/>
        <v>20</v>
      </c>
      <c r="J33">
        <f t="shared" si="1"/>
        <v>49</v>
      </c>
      <c r="K33">
        <f t="shared" si="2"/>
        <v>385</v>
      </c>
      <c r="L33">
        <f t="shared" si="3"/>
        <v>140</v>
      </c>
      <c r="M33">
        <f t="shared" si="4"/>
        <v>3025</v>
      </c>
      <c r="N33">
        <f t="shared" si="5"/>
        <v>1100</v>
      </c>
      <c r="O33">
        <f t="shared" si="6"/>
        <v>400</v>
      </c>
      <c r="Q33" s="11">
        <f t="shared" si="7"/>
        <v>2.292685070323937</v>
      </c>
      <c r="R33" s="12">
        <f t="shared" si="8"/>
        <v>-0.14770071735169626</v>
      </c>
      <c r="S33" s="11"/>
      <c r="T33" s="12"/>
    </row>
    <row r="34" spans="1:20" x14ac:dyDescent="0.25">
      <c r="A34">
        <v>7</v>
      </c>
      <c r="B34">
        <v>55</v>
      </c>
      <c r="C34">
        <v>50</v>
      </c>
      <c r="E34">
        <v>5.6</v>
      </c>
      <c r="G34">
        <f t="shared" si="0"/>
        <v>7</v>
      </c>
      <c r="H34" s="10">
        <f t="shared" si="0"/>
        <v>55</v>
      </c>
      <c r="I34">
        <f t="shared" si="0"/>
        <v>50</v>
      </c>
      <c r="J34">
        <f t="shared" si="1"/>
        <v>49</v>
      </c>
      <c r="K34">
        <f t="shared" si="2"/>
        <v>385</v>
      </c>
      <c r="L34">
        <f t="shared" si="3"/>
        <v>350</v>
      </c>
      <c r="M34">
        <f t="shared" si="4"/>
        <v>3025</v>
      </c>
      <c r="N34">
        <f t="shared" si="5"/>
        <v>2750</v>
      </c>
      <c r="O34">
        <f t="shared" si="6"/>
        <v>2500</v>
      </c>
      <c r="Q34" s="11">
        <f t="shared" si="7"/>
        <v>5.8603781380938527</v>
      </c>
      <c r="R34" s="12">
        <f t="shared" si="8"/>
        <v>4.6496096088188041E-2</v>
      </c>
      <c r="S34" s="11"/>
      <c r="T34" s="12"/>
    </row>
    <row r="35" spans="1:20" x14ac:dyDescent="0.25">
      <c r="A35">
        <v>7</v>
      </c>
      <c r="B35">
        <v>55</v>
      </c>
      <c r="C35">
        <v>120</v>
      </c>
      <c r="E35">
        <v>11.66</v>
      </c>
      <c r="G35">
        <f t="shared" si="0"/>
        <v>7</v>
      </c>
      <c r="H35" s="10">
        <f t="shared" si="0"/>
        <v>55</v>
      </c>
      <c r="I35">
        <f t="shared" si="0"/>
        <v>120</v>
      </c>
      <c r="J35">
        <f t="shared" si="1"/>
        <v>49</v>
      </c>
      <c r="K35">
        <f t="shared" si="2"/>
        <v>385</v>
      </c>
      <c r="L35">
        <f t="shared" si="3"/>
        <v>840</v>
      </c>
      <c r="M35">
        <f t="shared" si="4"/>
        <v>3025</v>
      </c>
      <c r="N35">
        <f t="shared" si="5"/>
        <v>6600</v>
      </c>
      <c r="O35">
        <f t="shared" si="6"/>
        <v>14400</v>
      </c>
      <c r="Q35" s="11">
        <f t="shared" si="7"/>
        <v>11.73997530524499</v>
      </c>
      <c r="R35" s="12">
        <f t="shared" si="8"/>
        <v>6.8589455613198465E-3</v>
      </c>
      <c r="S35" s="11"/>
      <c r="T35" s="12"/>
    </row>
    <row r="36" spans="1:20" x14ac:dyDescent="0.25">
      <c r="A36">
        <v>12</v>
      </c>
      <c r="B36">
        <v>55</v>
      </c>
      <c r="C36">
        <v>20</v>
      </c>
      <c r="E36">
        <v>3.21</v>
      </c>
      <c r="G36">
        <f t="shared" si="0"/>
        <v>12</v>
      </c>
      <c r="H36" s="10">
        <f t="shared" si="0"/>
        <v>55</v>
      </c>
      <c r="I36">
        <f t="shared" si="0"/>
        <v>20</v>
      </c>
      <c r="J36">
        <f t="shared" si="1"/>
        <v>144</v>
      </c>
      <c r="K36">
        <f t="shared" si="2"/>
        <v>660</v>
      </c>
      <c r="L36">
        <f t="shared" si="3"/>
        <v>240</v>
      </c>
      <c r="M36">
        <f t="shared" si="4"/>
        <v>3025</v>
      </c>
      <c r="N36">
        <f t="shared" si="5"/>
        <v>1100</v>
      </c>
      <c r="O36">
        <f t="shared" si="6"/>
        <v>400</v>
      </c>
      <c r="Q36" s="11">
        <f t="shared" si="7"/>
        <v>3.2669415973372748</v>
      </c>
      <c r="R36" s="12">
        <f t="shared" si="8"/>
        <v>1.7738815369867565E-2</v>
      </c>
      <c r="S36" s="11"/>
      <c r="T36" s="12"/>
    </row>
    <row r="37" spans="1:20" x14ac:dyDescent="0.25">
      <c r="A37">
        <v>12</v>
      </c>
      <c r="B37">
        <v>55</v>
      </c>
      <c r="C37">
        <v>50</v>
      </c>
      <c r="E37">
        <v>6.52</v>
      </c>
      <c r="G37">
        <f t="shared" si="0"/>
        <v>12</v>
      </c>
      <c r="H37" s="10">
        <f t="shared" si="0"/>
        <v>55</v>
      </c>
      <c r="I37">
        <f t="shared" si="0"/>
        <v>50</v>
      </c>
      <c r="J37">
        <f t="shared" si="1"/>
        <v>144</v>
      </c>
      <c r="K37">
        <f t="shared" si="2"/>
        <v>660</v>
      </c>
      <c r="L37">
        <f t="shared" si="3"/>
        <v>600</v>
      </c>
      <c r="M37">
        <f t="shared" si="4"/>
        <v>3025</v>
      </c>
      <c r="N37">
        <f t="shared" si="5"/>
        <v>2750</v>
      </c>
      <c r="O37">
        <f t="shared" si="6"/>
        <v>2500</v>
      </c>
      <c r="Q37" s="11">
        <f t="shared" si="7"/>
        <v>7.0042777375312042</v>
      </c>
      <c r="R37" s="12">
        <f t="shared" si="8"/>
        <v>7.4275726615215434E-2</v>
      </c>
      <c r="S37" s="11"/>
      <c r="T37" s="12"/>
    </row>
    <row r="38" spans="1:20" x14ac:dyDescent="0.25">
      <c r="A38">
        <v>12</v>
      </c>
      <c r="B38">
        <v>55</v>
      </c>
      <c r="C38">
        <v>120</v>
      </c>
      <c r="E38">
        <v>13.9</v>
      </c>
      <c r="G38">
        <f t="shared" si="0"/>
        <v>12</v>
      </c>
      <c r="H38" s="10">
        <f t="shared" si="0"/>
        <v>55</v>
      </c>
      <c r="I38">
        <f t="shared" si="0"/>
        <v>120</v>
      </c>
      <c r="J38">
        <f t="shared" si="1"/>
        <v>144</v>
      </c>
      <c r="K38">
        <f t="shared" si="2"/>
        <v>660</v>
      </c>
      <c r="L38">
        <f t="shared" si="3"/>
        <v>1440</v>
      </c>
      <c r="M38">
        <f t="shared" si="4"/>
        <v>3025</v>
      </c>
      <c r="N38">
        <f t="shared" si="5"/>
        <v>6600</v>
      </c>
      <c r="O38">
        <f t="shared" si="6"/>
        <v>14400</v>
      </c>
      <c r="Q38" s="11">
        <f t="shared" si="7"/>
        <v>13.279708740338378</v>
      </c>
      <c r="R38" s="12">
        <f t="shared" si="8"/>
        <v>-4.4625270479253375E-2</v>
      </c>
      <c r="S38" s="11"/>
      <c r="T38" s="12"/>
    </row>
    <row r="39" spans="1:20" x14ac:dyDescent="0.25">
      <c r="A39">
        <v>-15</v>
      </c>
      <c r="B39">
        <v>55</v>
      </c>
      <c r="C39">
        <v>50</v>
      </c>
      <c r="E39">
        <v>2.83</v>
      </c>
      <c r="G39">
        <f t="shared" si="0"/>
        <v>-15</v>
      </c>
      <c r="H39" s="10">
        <f t="shared" si="0"/>
        <v>55</v>
      </c>
      <c r="I39">
        <f t="shared" si="0"/>
        <v>50</v>
      </c>
      <c r="J39">
        <f t="shared" si="1"/>
        <v>225</v>
      </c>
      <c r="K39">
        <f t="shared" si="2"/>
        <v>-825</v>
      </c>
      <c r="L39">
        <f t="shared" si="3"/>
        <v>-750</v>
      </c>
      <c r="M39">
        <f t="shared" si="4"/>
        <v>3025</v>
      </c>
      <c r="N39">
        <f t="shared" si="5"/>
        <v>2750</v>
      </c>
      <c r="O39">
        <f t="shared" si="6"/>
        <v>2500</v>
      </c>
      <c r="Q39" s="11">
        <f t="shared" si="7"/>
        <v>2.7759197878079318</v>
      </c>
      <c r="R39" s="12">
        <f t="shared" si="8"/>
        <v>-1.9109615615571826E-2</v>
      </c>
      <c r="S39" s="11"/>
      <c r="T39" s="12"/>
    </row>
    <row r="40" spans="1:20" x14ac:dyDescent="0.25">
      <c r="A40">
        <v>-15</v>
      </c>
      <c r="B40">
        <v>55</v>
      </c>
      <c r="C40">
        <v>120</v>
      </c>
      <c r="E40">
        <v>6.77</v>
      </c>
      <c r="G40">
        <f t="shared" si="0"/>
        <v>-15</v>
      </c>
      <c r="H40" s="10">
        <f t="shared" si="0"/>
        <v>55</v>
      </c>
      <c r="I40">
        <f t="shared" si="0"/>
        <v>120</v>
      </c>
      <c r="J40">
        <f t="shared" si="1"/>
        <v>225</v>
      </c>
      <c r="K40">
        <f t="shared" si="2"/>
        <v>-825</v>
      </c>
      <c r="L40">
        <f t="shared" si="3"/>
        <v>-1800</v>
      </c>
      <c r="M40">
        <f t="shared" si="4"/>
        <v>3025</v>
      </c>
      <c r="N40">
        <f t="shared" si="5"/>
        <v>6600</v>
      </c>
      <c r="O40">
        <f t="shared" si="6"/>
        <v>14400</v>
      </c>
      <c r="Q40" s="11">
        <f t="shared" si="7"/>
        <v>6.9138480780725127</v>
      </c>
      <c r="R40" s="12">
        <f t="shared" si="8"/>
        <v>2.1247869730061021E-2</v>
      </c>
      <c r="S40" s="11"/>
      <c r="T40" s="12"/>
    </row>
    <row r="43" spans="1:20" x14ac:dyDescent="0.25">
      <c r="A43" t="s">
        <v>27</v>
      </c>
      <c r="G43" s="4" t="s">
        <v>1</v>
      </c>
      <c r="H43" s="4" t="s">
        <v>2</v>
      </c>
      <c r="I43" s="4" t="s">
        <v>3</v>
      </c>
      <c r="J43" s="4" t="s">
        <v>4</v>
      </c>
      <c r="K43" s="4" t="s">
        <v>5</v>
      </c>
      <c r="L43" s="4" t="s">
        <v>6</v>
      </c>
      <c r="M43" s="4" t="s">
        <v>7</v>
      </c>
      <c r="N43" s="4" t="s">
        <v>8</v>
      </c>
      <c r="O43" s="4" t="s">
        <v>9</v>
      </c>
      <c r="P43" s="4" t="s">
        <v>10</v>
      </c>
    </row>
    <row r="44" spans="1:20" x14ac:dyDescent="0.25">
      <c r="A44" s="1"/>
      <c r="C44" s="1"/>
      <c r="D44" s="1"/>
      <c r="E44" s="1"/>
      <c r="F44" s="1"/>
      <c r="G44" s="4">
        <f t="array" ref="G44:P44">LINEST(E46:E82,G46:O82)</f>
        <v>1.4376812245459522E-4</v>
      </c>
      <c r="H44" s="4">
        <v>7.0568678763024127E-4</v>
      </c>
      <c r="I44" s="4">
        <v>-2.9633543936121509E-5</v>
      </c>
      <c r="J44" s="4">
        <v>9.019040831784304E-5</v>
      </c>
      <c r="K44" s="4">
        <v>5.6684439043760222E-4</v>
      </c>
      <c r="L44" s="4">
        <v>5.3488252371619994E-4</v>
      </c>
      <c r="M44" s="4">
        <v>-1.1759400559930893E-2</v>
      </c>
      <c r="N44" s="4">
        <v>-2.5947785754173625E-3</v>
      </c>
      <c r="O44" s="4">
        <v>-2.3306642798387872E-2</v>
      </c>
      <c r="P44" s="4">
        <v>0.32312588962222344</v>
      </c>
    </row>
    <row r="45" spans="1:20" ht="45" x14ac:dyDescent="0.25">
      <c r="A45" s="5" t="s">
        <v>11</v>
      </c>
      <c r="B45" s="5" t="s">
        <v>12</v>
      </c>
      <c r="C45" s="5" t="s">
        <v>13</v>
      </c>
      <c r="D45" s="6"/>
      <c r="E45" s="7" t="s">
        <v>14</v>
      </c>
      <c r="F45" s="3"/>
      <c r="G45" s="8" t="s">
        <v>17</v>
      </c>
      <c r="H45" s="8" t="s">
        <v>18</v>
      </c>
      <c r="I45" s="8" t="s">
        <v>0</v>
      </c>
      <c r="J45" s="8" t="s">
        <v>19</v>
      </c>
      <c r="K45" s="8" t="s">
        <v>20</v>
      </c>
      <c r="L45" s="8" t="s">
        <v>21</v>
      </c>
      <c r="M45" s="8" t="s">
        <v>22</v>
      </c>
      <c r="N45" s="8" t="s">
        <v>23</v>
      </c>
      <c r="O45" s="8" t="s">
        <v>24</v>
      </c>
      <c r="P45" s="3"/>
      <c r="Q45" s="9" t="s">
        <v>14</v>
      </c>
      <c r="R45" s="9" t="s">
        <v>15</v>
      </c>
    </row>
    <row r="46" spans="1:20" x14ac:dyDescent="0.25">
      <c r="A46">
        <v>-15</v>
      </c>
      <c r="B46">
        <v>35</v>
      </c>
      <c r="C46">
        <v>50</v>
      </c>
      <c r="E46">
        <v>1.21</v>
      </c>
      <c r="F46" s="2"/>
      <c r="G46">
        <f t="shared" ref="G46:G82" si="9">A46</f>
        <v>-15</v>
      </c>
      <c r="H46" s="10">
        <f t="shared" ref="H46:H82" si="10">B46</f>
        <v>35</v>
      </c>
      <c r="I46">
        <f t="shared" ref="I46:I82" si="11">C46</f>
        <v>50</v>
      </c>
      <c r="J46">
        <f t="shared" ref="J46:J82" si="12">G46^2</f>
        <v>225</v>
      </c>
      <c r="K46">
        <f t="shared" ref="K46:K82" si="13">G46*H46</f>
        <v>-525</v>
      </c>
      <c r="L46">
        <f t="shared" ref="L46:L82" si="14">G46*I46</f>
        <v>-750</v>
      </c>
      <c r="M46">
        <f t="shared" ref="M46:M82" si="15">H46^2</f>
        <v>1225</v>
      </c>
      <c r="N46">
        <f t="shared" ref="N46:N82" si="16">H46*I46</f>
        <v>1750</v>
      </c>
      <c r="O46">
        <f t="shared" ref="O46:O82" si="17">I46^2</f>
        <v>2500</v>
      </c>
      <c r="Q46" s="11">
        <f>$P$44+$O$44*G46+$N$44*H46+$M$44*I46+$L$44*J46+$K$44*K46+$J$44*L46+$I$44*M46+$H$44*N46+$G$44*O46</f>
        <v>1.3071218032475722</v>
      </c>
      <c r="R46" s="12">
        <f t="shared" ref="R46:R82" si="18">(Q46-E46)/E46</f>
        <v>8.026595309716715E-2</v>
      </c>
    </row>
    <row r="47" spans="1:20" x14ac:dyDescent="0.25">
      <c r="A47">
        <v>-15</v>
      </c>
      <c r="B47">
        <v>35</v>
      </c>
      <c r="C47">
        <v>120</v>
      </c>
      <c r="E47">
        <v>3.82</v>
      </c>
      <c r="F47" s="2"/>
      <c r="G47">
        <f t="shared" si="9"/>
        <v>-15</v>
      </c>
      <c r="H47" s="10">
        <f t="shared" si="10"/>
        <v>35</v>
      </c>
      <c r="I47">
        <f t="shared" si="11"/>
        <v>120</v>
      </c>
      <c r="J47">
        <f t="shared" si="12"/>
        <v>225</v>
      </c>
      <c r="K47">
        <f t="shared" si="13"/>
        <v>-525</v>
      </c>
      <c r="L47">
        <f t="shared" si="14"/>
        <v>-1800</v>
      </c>
      <c r="M47">
        <f t="shared" si="15"/>
        <v>1225</v>
      </c>
      <c r="N47">
        <f t="shared" si="16"/>
        <v>4200</v>
      </c>
      <c r="O47">
        <f t="shared" si="17"/>
        <v>14400</v>
      </c>
      <c r="Q47" s="11">
        <f t="shared" ref="Q47:Q82" si="19">$P$44+$O$44*G47+$N$44*H47+$M$44*I47+$L$44*J47+$K$44*K47+$J$44*L47+$I$44*M47+$H$44*N47+$G$44*O47</f>
        <v>3.8290371222224486</v>
      </c>
      <c r="R47" s="12">
        <f t="shared" si="18"/>
        <v>2.3657388016881651E-3</v>
      </c>
    </row>
    <row r="48" spans="1:20" x14ac:dyDescent="0.25">
      <c r="A48">
        <v>-7</v>
      </c>
      <c r="B48">
        <v>35</v>
      </c>
      <c r="C48">
        <v>50</v>
      </c>
      <c r="E48">
        <v>1.26</v>
      </c>
      <c r="F48" s="2"/>
      <c r="G48">
        <f t="shared" si="9"/>
        <v>-7</v>
      </c>
      <c r="H48" s="10">
        <f t="shared" si="10"/>
        <v>35</v>
      </c>
      <c r="I48">
        <f t="shared" si="11"/>
        <v>50</v>
      </c>
      <c r="J48">
        <f t="shared" si="12"/>
        <v>49</v>
      </c>
      <c r="K48">
        <f t="shared" si="13"/>
        <v>-245</v>
      </c>
      <c r="L48">
        <f t="shared" si="14"/>
        <v>-350</v>
      </c>
      <c r="M48">
        <f t="shared" si="15"/>
        <v>1225</v>
      </c>
      <c r="N48">
        <f t="shared" si="16"/>
        <v>1750</v>
      </c>
      <c r="O48">
        <f t="shared" si="17"/>
        <v>2500</v>
      </c>
      <c r="Q48" s="11">
        <f t="shared" si="19"/>
        <v>1.221321929336084</v>
      </c>
      <c r="R48" s="12">
        <f t="shared" si="18"/>
        <v>-3.0696881479298447E-2</v>
      </c>
    </row>
    <row r="49" spans="1:18" x14ac:dyDescent="0.25">
      <c r="A49">
        <v>-7</v>
      </c>
      <c r="B49">
        <v>35</v>
      </c>
      <c r="C49">
        <v>120</v>
      </c>
      <c r="E49">
        <v>3.98</v>
      </c>
      <c r="F49" s="2"/>
      <c r="G49">
        <f t="shared" si="9"/>
        <v>-7</v>
      </c>
      <c r="H49" s="10">
        <f t="shared" si="10"/>
        <v>35</v>
      </c>
      <c r="I49">
        <f t="shared" si="11"/>
        <v>120</v>
      </c>
      <c r="J49">
        <f t="shared" si="12"/>
        <v>49</v>
      </c>
      <c r="K49">
        <f t="shared" si="13"/>
        <v>-245</v>
      </c>
      <c r="L49">
        <f t="shared" si="14"/>
        <v>-840</v>
      </c>
      <c r="M49">
        <f t="shared" si="15"/>
        <v>1225</v>
      </c>
      <c r="N49">
        <f t="shared" si="16"/>
        <v>4200</v>
      </c>
      <c r="O49">
        <f t="shared" si="17"/>
        <v>14400</v>
      </c>
      <c r="Q49" s="11">
        <f t="shared" si="19"/>
        <v>3.7937438769689527</v>
      </c>
      <c r="R49" s="12">
        <f t="shared" si="18"/>
        <v>-4.6798020862072194E-2</v>
      </c>
    </row>
    <row r="50" spans="1:18" x14ac:dyDescent="0.25">
      <c r="A50">
        <v>2</v>
      </c>
      <c r="B50">
        <v>35</v>
      </c>
      <c r="C50">
        <v>20</v>
      </c>
      <c r="E50">
        <v>0.5</v>
      </c>
      <c r="F50" s="2"/>
      <c r="G50">
        <f t="shared" si="9"/>
        <v>2</v>
      </c>
      <c r="H50" s="10">
        <f t="shared" si="10"/>
        <v>35</v>
      </c>
      <c r="I50">
        <f t="shared" si="11"/>
        <v>20</v>
      </c>
      <c r="J50">
        <f t="shared" si="12"/>
        <v>4</v>
      </c>
      <c r="K50">
        <f t="shared" si="13"/>
        <v>70</v>
      </c>
      <c r="L50">
        <f t="shared" si="14"/>
        <v>40</v>
      </c>
      <c r="M50">
        <f t="shared" si="15"/>
        <v>1225</v>
      </c>
      <c r="N50">
        <f t="shared" si="16"/>
        <v>700</v>
      </c>
      <c r="O50">
        <f t="shared" si="17"/>
        <v>400</v>
      </c>
      <c r="Q50" s="11">
        <f t="shared" si="19"/>
        <v>0.51112050544669096</v>
      </c>
      <c r="R50" s="12">
        <f t="shared" si="18"/>
        <v>2.2241010893381929E-2</v>
      </c>
    </row>
    <row r="51" spans="1:18" x14ac:dyDescent="0.25">
      <c r="A51">
        <v>2</v>
      </c>
      <c r="B51">
        <v>35</v>
      </c>
      <c r="C51">
        <v>50</v>
      </c>
      <c r="E51">
        <v>1.31</v>
      </c>
      <c r="F51" s="2"/>
      <c r="G51">
        <f t="shared" si="9"/>
        <v>2</v>
      </c>
      <c r="H51" s="10">
        <f t="shared" si="10"/>
        <v>35</v>
      </c>
      <c r="I51">
        <f t="shared" si="11"/>
        <v>50</v>
      </c>
      <c r="J51">
        <f t="shared" si="12"/>
        <v>4</v>
      </c>
      <c r="K51">
        <f t="shared" si="13"/>
        <v>70</v>
      </c>
      <c r="L51">
        <f t="shared" si="14"/>
        <v>100</v>
      </c>
      <c r="M51">
        <f t="shared" si="15"/>
        <v>1225</v>
      </c>
      <c r="N51">
        <f t="shared" si="16"/>
        <v>1750</v>
      </c>
      <c r="O51">
        <f t="shared" si="17"/>
        <v>2500</v>
      </c>
      <c r="Q51" s="11">
        <f t="shared" si="19"/>
        <v>1.2066340973142382</v>
      </c>
      <c r="R51" s="12">
        <f t="shared" si="18"/>
        <v>-7.8905269225772401E-2</v>
      </c>
    </row>
    <row r="52" spans="1:18" x14ac:dyDescent="0.25">
      <c r="A52">
        <v>2</v>
      </c>
      <c r="B52">
        <v>35</v>
      </c>
      <c r="C52">
        <v>120</v>
      </c>
      <c r="E52">
        <v>3.67</v>
      </c>
      <c r="F52" s="2"/>
      <c r="G52">
        <f t="shared" si="9"/>
        <v>2</v>
      </c>
      <c r="H52" s="10">
        <f t="shared" si="10"/>
        <v>35</v>
      </c>
      <c r="I52">
        <f t="shared" si="11"/>
        <v>120</v>
      </c>
      <c r="J52">
        <f t="shared" si="12"/>
        <v>4</v>
      </c>
      <c r="K52">
        <f t="shared" si="13"/>
        <v>70</v>
      </c>
      <c r="L52">
        <f t="shared" si="14"/>
        <v>240</v>
      </c>
      <c r="M52">
        <f t="shared" si="15"/>
        <v>1225</v>
      </c>
      <c r="N52">
        <f t="shared" si="16"/>
        <v>4200</v>
      </c>
      <c r="O52">
        <f t="shared" si="17"/>
        <v>14400</v>
      </c>
      <c r="Q52" s="11">
        <f t="shared" si="19"/>
        <v>3.8358760021873479</v>
      </c>
      <c r="R52" s="12">
        <f t="shared" si="18"/>
        <v>4.5197820759495369E-2</v>
      </c>
    </row>
    <row r="53" spans="1:18" x14ac:dyDescent="0.25">
      <c r="A53">
        <v>7</v>
      </c>
      <c r="B53">
        <v>35</v>
      </c>
      <c r="C53">
        <v>20</v>
      </c>
      <c r="E53">
        <v>0.5</v>
      </c>
      <c r="F53" s="2"/>
      <c r="G53">
        <f t="shared" si="9"/>
        <v>7</v>
      </c>
      <c r="H53" s="10">
        <f t="shared" si="10"/>
        <v>35</v>
      </c>
      <c r="I53">
        <f t="shared" si="11"/>
        <v>20</v>
      </c>
      <c r="J53">
        <f t="shared" si="12"/>
        <v>49</v>
      </c>
      <c r="K53">
        <f t="shared" si="13"/>
        <v>245</v>
      </c>
      <c r="L53">
        <f t="shared" si="14"/>
        <v>140</v>
      </c>
      <c r="M53">
        <f t="shared" si="15"/>
        <v>1225</v>
      </c>
      <c r="N53">
        <f t="shared" si="16"/>
        <v>700</v>
      </c>
      <c r="O53">
        <f t="shared" si="17"/>
        <v>400</v>
      </c>
      <c r="Q53" s="11">
        <f t="shared" si="19"/>
        <v>0.52687381418034518</v>
      </c>
      <c r="R53" s="12">
        <f t="shared" si="18"/>
        <v>5.3747628360690358E-2</v>
      </c>
    </row>
    <row r="54" spans="1:18" x14ac:dyDescent="0.25">
      <c r="A54">
        <v>7</v>
      </c>
      <c r="B54">
        <v>35</v>
      </c>
      <c r="C54">
        <v>50</v>
      </c>
      <c r="E54">
        <v>1.32</v>
      </c>
      <c r="F54" s="2"/>
      <c r="G54">
        <f t="shared" si="9"/>
        <v>7</v>
      </c>
      <c r="H54" s="10">
        <f t="shared" si="10"/>
        <v>35</v>
      </c>
      <c r="I54">
        <f t="shared" si="11"/>
        <v>50</v>
      </c>
      <c r="J54">
        <f t="shared" si="12"/>
        <v>49</v>
      </c>
      <c r="K54">
        <f t="shared" si="13"/>
        <v>245</v>
      </c>
      <c r="L54">
        <f t="shared" si="14"/>
        <v>350</v>
      </c>
      <c r="M54">
        <f t="shared" si="15"/>
        <v>1225</v>
      </c>
      <c r="N54">
        <f t="shared" si="16"/>
        <v>1750</v>
      </c>
      <c r="O54">
        <f t="shared" si="17"/>
        <v>2500</v>
      </c>
      <c r="Q54" s="11">
        <f t="shared" si="19"/>
        <v>1.2359159672955689</v>
      </c>
      <c r="R54" s="12">
        <f t="shared" si="18"/>
        <v>-6.3700024776084246E-2</v>
      </c>
    </row>
    <row r="55" spans="1:18" x14ac:dyDescent="0.25">
      <c r="A55">
        <v>7</v>
      </c>
      <c r="B55">
        <v>35</v>
      </c>
      <c r="C55">
        <v>120</v>
      </c>
      <c r="E55">
        <v>3.7</v>
      </c>
      <c r="F55" s="2"/>
      <c r="G55">
        <f t="shared" si="9"/>
        <v>7</v>
      </c>
      <c r="H55" s="10">
        <f t="shared" si="10"/>
        <v>35</v>
      </c>
      <c r="I55">
        <f t="shared" si="11"/>
        <v>120</v>
      </c>
      <c r="J55">
        <f t="shared" si="12"/>
        <v>49</v>
      </c>
      <c r="K55">
        <f t="shared" si="13"/>
        <v>245</v>
      </c>
      <c r="L55">
        <f t="shared" si="14"/>
        <v>840</v>
      </c>
      <c r="M55">
        <f t="shared" si="15"/>
        <v>1225</v>
      </c>
      <c r="N55">
        <f t="shared" si="16"/>
        <v>4200</v>
      </c>
      <c r="O55">
        <f t="shared" si="17"/>
        <v>14400</v>
      </c>
      <c r="Q55" s="11">
        <f t="shared" si="19"/>
        <v>3.8967245150799235</v>
      </c>
      <c r="R55" s="12">
        <f t="shared" si="18"/>
        <v>5.3168787859438724E-2</v>
      </c>
    </row>
    <row r="56" spans="1:18" x14ac:dyDescent="0.25">
      <c r="A56">
        <v>12</v>
      </c>
      <c r="B56">
        <v>35</v>
      </c>
      <c r="C56">
        <v>20</v>
      </c>
      <c r="E56">
        <v>0.49</v>
      </c>
      <c r="F56" s="2"/>
      <c r="G56">
        <f t="shared" si="9"/>
        <v>12</v>
      </c>
      <c r="H56" s="10">
        <f t="shared" si="10"/>
        <v>35</v>
      </c>
      <c r="I56">
        <f t="shared" si="11"/>
        <v>20</v>
      </c>
      <c r="J56">
        <f t="shared" si="12"/>
        <v>144</v>
      </c>
      <c r="K56">
        <f t="shared" si="13"/>
        <v>420</v>
      </c>
      <c r="L56">
        <f t="shared" si="14"/>
        <v>240</v>
      </c>
      <c r="M56">
        <f t="shared" si="15"/>
        <v>1225</v>
      </c>
      <c r="N56">
        <f t="shared" si="16"/>
        <v>700</v>
      </c>
      <c r="O56">
        <f t="shared" si="17"/>
        <v>400</v>
      </c>
      <c r="Q56" s="11">
        <f t="shared" si="19"/>
        <v>0.56937124909980963</v>
      </c>
      <c r="R56" s="12">
        <f t="shared" si="18"/>
        <v>0.16198214102001968</v>
      </c>
    </row>
    <row r="57" spans="1:18" x14ac:dyDescent="0.25">
      <c r="A57">
        <v>12</v>
      </c>
      <c r="B57">
        <v>35</v>
      </c>
      <c r="C57">
        <v>50</v>
      </c>
      <c r="E57">
        <v>1.33</v>
      </c>
      <c r="F57" s="2"/>
      <c r="G57">
        <f t="shared" si="9"/>
        <v>12</v>
      </c>
      <c r="H57" s="10">
        <f t="shared" si="10"/>
        <v>35</v>
      </c>
      <c r="I57">
        <f t="shared" si="11"/>
        <v>50</v>
      </c>
      <c r="J57">
        <f t="shared" si="12"/>
        <v>144</v>
      </c>
      <c r="K57">
        <f t="shared" si="13"/>
        <v>420</v>
      </c>
      <c r="L57">
        <f t="shared" si="14"/>
        <v>600</v>
      </c>
      <c r="M57">
        <f t="shared" si="15"/>
        <v>1225</v>
      </c>
      <c r="N57">
        <f t="shared" si="16"/>
        <v>1750</v>
      </c>
      <c r="O57">
        <f t="shared" si="17"/>
        <v>2500</v>
      </c>
      <c r="Q57" s="11">
        <f t="shared" si="19"/>
        <v>1.2919419634627096</v>
      </c>
      <c r="R57" s="12">
        <f t="shared" si="18"/>
        <v>-2.8615065065631919E-2</v>
      </c>
    </row>
    <row r="58" spans="1:18" x14ac:dyDescent="0.25">
      <c r="A58">
        <v>12</v>
      </c>
      <c r="B58">
        <v>35</v>
      </c>
      <c r="C58">
        <v>120</v>
      </c>
      <c r="E58">
        <v>4.12</v>
      </c>
      <c r="F58" s="2"/>
      <c r="G58">
        <f t="shared" si="9"/>
        <v>12</v>
      </c>
      <c r="H58" s="10">
        <f t="shared" si="10"/>
        <v>35</v>
      </c>
      <c r="I58">
        <f t="shared" si="11"/>
        <v>120</v>
      </c>
      <c r="J58">
        <f t="shared" si="12"/>
        <v>144</v>
      </c>
      <c r="K58">
        <f t="shared" si="13"/>
        <v>420</v>
      </c>
      <c r="L58">
        <f t="shared" si="14"/>
        <v>1440</v>
      </c>
      <c r="M58">
        <f t="shared" si="15"/>
        <v>1225</v>
      </c>
      <c r="N58">
        <f t="shared" si="16"/>
        <v>4200</v>
      </c>
      <c r="O58">
        <f t="shared" si="17"/>
        <v>14400</v>
      </c>
      <c r="Q58" s="11">
        <f t="shared" si="19"/>
        <v>3.9843171541583096</v>
      </c>
      <c r="R58" s="12">
        <f t="shared" si="18"/>
        <v>-3.2932729573225863E-2</v>
      </c>
    </row>
    <row r="59" spans="1:18" x14ac:dyDescent="0.25">
      <c r="A59">
        <v>-15</v>
      </c>
      <c r="B59">
        <v>45</v>
      </c>
      <c r="C59">
        <v>50</v>
      </c>
      <c r="E59">
        <v>1.47</v>
      </c>
      <c r="F59" s="2"/>
      <c r="G59">
        <f t="shared" si="9"/>
        <v>-15</v>
      </c>
      <c r="H59" s="10">
        <f t="shared" si="10"/>
        <v>45</v>
      </c>
      <c r="I59">
        <f t="shared" si="11"/>
        <v>50</v>
      </c>
      <c r="J59">
        <f t="shared" si="12"/>
        <v>225</v>
      </c>
      <c r="K59">
        <f t="shared" si="13"/>
        <v>-675</v>
      </c>
      <c r="L59">
        <f t="shared" si="14"/>
        <v>-750</v>
      </c>
      <c r="M59">
        <f t="shared" si="15"/>
        <v>2025</v>
      </c>
      <c r="N59">
        <f t="shared" si="16"/>
        <v>2250</v>
      </c>
      <c r="O59">
        <f t="shared" si="17"/>
        <v>2500</v>
      </c>
      <c r="Q59" s="11">
        <f t="shared" si="19"/>
        <v>1.5252839175939816</v>
      </c>
      <c r="R59" s="12">
        <f t="shared" si="18"/>
        <v>3.7608107206790246E-2</v>
      </c>
    </row>
    <row r="60" spans="1:18" x14ac:dyDescent="0.25">
      <c r="A60">
        <v>-15</v>
      </c>
      <c r="B60">
        <v>45</v>
      </c>
      <c r="C60">
        <v>120</v>
      </c>
      <c r="E60">
        <v>4.53</v>
      </c>
      <c r="F60" s="2"/>
      <c r="G60">
        <f t="shared" si="9"/>
        <v>-15</v>
      </c>
      <c r="H60" s="10">
        <f t="shared" si="10"/>
        <v>45</v>
      </c>
      <c r="I60">
        <f t="shared" si="11"/>
        <v>120</v>
      </c>
      <c r="J60">
        <f t="shared" si="12"/>
        <v>225</v>
      </c>
      <c r="K60">
        <f t="shared" si="13"/>
        <v>-675</v>
      </c>
      <c r="L60">
        <f t="shared" si="14"/>
        <v>-1800</v>
      </c>
      <c r="M60">
        <f t="shared" si="15"/>
        <v>2025</v>
      </c>
      <c r="N60">
        <f t="shared" si="16"/>
        <v>5400</v>
      </c>
      <c r="O60">
        <f t="shared" si="17"/>
        <v>14400</v>
      </c>
      <c r="Q60" s="11">
        <f t="shared" si="19"/>
        <v>4.5411799879100272</v>
      </c>
      <c r="R60" s="12">
        <f t="shared" si="18"/>
        <v>2.4679885011097006E-3</v>
      </c>
    </row>
    <row r="61" spans="1:18" x14ac:dyDescent="0.25">
      <c r="A61">
        <v>-7</v>
      </c>
      <c r="B61">
        <v>45</v>
      </c>
      <c r="C61">
        <v>50</v>
      </c>
      <c r="E61">
        <v>1.52</v>
      </c>
      <c r="F61" s="2"/>
      <c r="G61">
        <f t="shared" si="9"/>
        <v>-7</v>
      </c>
      <c r="H61" s="10">
        <f t="shared" si="10"/>
        <v>45</v>
      </c>
      <c r="I61">
        <f t="shared" si="11"/>
        <v>50</v>
      </c>
      <c r="J61">
        <f t="shared" si="12"/>
        <v>49</v>
      </c>
      <c r="K61">
        <f t="shared" si="13"/>
        <v>-315</v>
      </c>
      <c r="L61">
        <f t="shared" si="14"/>
        <v>-350</v>
      </c>
      <c r="M61">
        <f t="shared" si="15"/>
        <v>2025</v>
      </c>
      <c r="N61">
        <f t="shared" si="16"/>
        <v>2250</v>
      </c>
      <c r="O61">
        <f t="shared" si="17"/>
        <v>2500</v>
      </c>
      <c r="Q61" s="11">
        <f t="shared" si="19"/>
        <v>1.4848315949175015</v>
      </c>
      <c r="R61" s="12">
        <f t="shared" si="18"/>
        <v>-2.3137108606906921E-2</v>
      </c>
    </row>
    <row r="62" spans="1:18" x14ac:dyDescent="0.25">
      <c r="A62">
        <v>-7</v>
      </c>
      <c r="B62">
        <v>45</v>
      </c>
      <c r="C62">
        <v>120</v>
      </c>
      <c r="E62">
        <v>4.6900000000000004</v>
      </c>
      <c r="F62" s="2"/>
      <c r="G62">
        <f t="shared" si="9"/>
        <v>-7</v>
      </c>
      <c r="H62" s="10">
        <f t="shared" si="10"/>
        <v>45</v>
      </c>
      <c r="I62">
        <f t="shared" si="11"/>
        <v>120</v>
      </c>
      <c r="J62">
        <f t="shared" si="12"/>
        <v>49</v>
      </c>
      <c r="K62">
        <f t="shared" si="13"/>
        <v>-315</v>
      </c>
      <c r="L62">
        <f t="shared" si="14"/>
        <v>-840</v>
      </c>
      <c r="M62">
        <f t="shared" si="15"/>
        <v>2025</v>
      </c>
      <c r="N62">
        <f t="shared" si="16"/>
        <v>5400</v>
      </c>
      <c r="O62">
        <f t="shared" si="17"/>
        <v>14400</v>
      </c>
      <c r="Q62" s="11">
        <f t="shared" si="19"/>
        <v>4.5512342938915387</v>
      </c>
      <c r="R62" s="12">
        <f t="shared" si="18"/>
        <v>-2.958757059881913E-2</v>
      </c>
    </row>
    <row r="63" spans="1:18" x14ac:dyDescent="0.25">
      <c r="A63">
        <v>2</v>
      </c>
      <c r="B63">
        <v>45</v>
      </c>
      <c r="C63">
        <v>50</v>
      </c>
      <c r="E63">
        <v>1.57</v>
      </c>
      <c r="G63">
        <f t="shared" si="9"/>
        <v>2</v>
      </c>
      <c r="H63" s="10">
        <f t="shared" si="10"/>
        <v>45</v>
      </c>
      <c r="I63">
        <f t="shared" si="11"/>
        <v>50</v>
      </c>
      <c r="J63">
        <f t="shared" si="12"/>
        <v>4</v>
      </c>
      <c r="K63">
        <f t="shared" si="13"/>
        <v>90</v>
      </c>
      <c r="L63">
        <f t="shared" si="14"/>
        <v>100</v>
      </c>
      <c r="M63">
        <f t="shared" si="15"/>
        <v>2025</v>
      </c>
      <c r="N63">
        <f t="shared" si="16"/>
        <v>2250</v>
      </c>
      <c r="O63">
        <f t="shared" si="17"/>
        <v>2500</v>
      </c>
      <c r="Q63" s="11">
        <f t="shared" si="19"/>
        <v>1.5211597580350398</v>
      </c>
      <c r="R63" s="12">
        <f t="shared" si="18"/>
        <v>-3.1108434372586168E-2</v>
      </c>
    </row>
    <row r="64" spans="1:18" x14ac:dyDescent="0.25">
      <c r="A64">
        <v>2</v>
      </c>
      <c r="B64">
        <v>45</v>
      </c>
      <c r="C64">
        <v>120</v>
      </c>
      <c r="E64">
        <v>4.47</v>
      </c>
      <c r="G64">
        <f t="shared" si="9"/>
        <v>2</v>
      </c>
      <c r="H64" s="10">
        <f t="shared" si="10"/>
        <v>45</v>
      </c>
      <c r="I64">
        <f t="shared" si="11"/>
        <v>120</v>
      </c>
      <c r="J64">
        <f t="shared" si="12"/>
        <v>4</v>
      </c>
      <c r="K64">
        <f t="shared" si="13"/>
        <v>90</v>
      </c>
      <c r="L64">
        <f t="shared" si="14"/>
        <v>240</v>
      </c>
      <c r="M64">
        <f t="shared" si="15"/>
        <v>2025</v>
      </c>
      <c r="N64">
        <f t="shared" si="16"/>
        <v>5400</v>
      </c>
      <c r="O64">
        <f t="shared" si="17"/>
        <v>14400</v>
      </c>
      <c r="Q64" s="11">
        <f t="shared" si="19"/>
        <v>4.6443824142493186</v>
      </c>
      <c r="R64" s="12">
        <f t="shared" si="18"/>
        <v>3.901172578284539E-2</v>
      </c>
    </row>
    <row r="65" spans="1:18" x14ac:dyDescent="0.25">
      <c r="A65">
        <v>7</v>
      </c>
      <c r="B65">
        <v>45</v>
      </c>
      <c r="C65">
        <v>20</v>
      </c>
      <c r="E65">
        <v>0.69</v>
      </c>
      <c r="G65">
        <f t="shared" si="9"/>
        <v>7</v>
      </c>
      <c r="H65" s="10">
        <f t="shared" si="10"/>
        <v>45</v>
      </c>
      <c r="I65">
        <f t="shared" si="11"/>
        <v>20</v>
      </c>
      <c r="J65">
        <f t="shared" si="12"/>
        <v>49</v>
      </c>
      <c r="K65">
        <f t="shared" si="13"/>
        <v>315</v>
      </c>
      <c r="L65">
        <f t="shared" si="14"/>
        <v>140</v>
      </c>
      <c r="M65">
        <f t="shared" si="15"/>
        <v>2025</v>
      </c>
      <c r="N65">
        <f t="shared" si="16"/>
        <v>900</v>
      </c>
      <c r="O65">
        <f t="shared" si="17"/>
        <v>400</v>
      </c>
      <c r="Q65" s="11">
        <f t="shared" si="19"/>
        <v>0.65803565813395481</v>
      </c>
      <c r="R65" s="12">
        <f t="shared" si="18"/>
        <v>-4.6325133139195847E-2</v>
      </c>
    </row>
    <row r="66" spans="1:18" x14ac:dyDescent="0.25">
      <c r="A66">
        <v>7</v>
      </c>
      <c r="B66">
        <v>45</v>
      </c>
      <c r="C66">
        <v>50</v>
      </c>
      <c r="E66">
        <v>1.6</v>
      </c>
      <c r="G66">
        <f t="shared" si="9"/>
        <v>7</v>
      </c>
      <c r="H66" s="10">
        <f t="shared" si="10"/>
        <v>45</v>
      </c>
      <c r="I66">
        <f t="shared" si="11"/>
        <v>50</v>
      </c>
      <c r="J66">
        <f t="shared" si="12"/>
        <v>49</v>
      </c>
      <c r="K66">
        <f t="shared" si="13"/>
        <v>315</v>
      </c>
      <c r="L66">
        <f t="shared" si="14"/>
        <v>350</v>
      </c>
      <c r="M66">
        <f t="shared" si="15"/>
        <v>2025</v>
      </c>
      <c r="N66">
        <f t="shared" si="16"/>
        <v>2250</v>
      </c>
      <c r="O66">
        <f t="shared" si="17"/>
        <v>2500</v>
      </c>
      <c r="Q66" s="11">
        <f t="shared" si="19"/>
        <v>1.5787838475382507</v>
      </c>
      <c r="R66" s="12">
        <f t="shared" si="18"/>
        <v>-1.3260095288593343E-2</v>
      </c>
    </row>
    <row r="67" spans="1:18" x14ac:dyDescent="0.25">
      <c r="A67">
        <v>7</v>
      </c>
      <c r="B67">
        <v>45</v>
      </c>
      <c r="C67">
        <v>120</v>
      </c>
      <c r="E67">
        <v>4.6399999999999997</v>
      </c>
      <c r="G67">
        <f t="shared" si="9"/>
        <v>7</v>
      </c>
      <c r="H67" s="10">
        <f t="shared" si="10"/>
        <v>45</v>
      </c>
      <c r="I67">
        <f t="shared" si="11"/>
        <v>120</v>
      </c>
      <c r="J67">
        <f t="shared" si="12"/>
        <v>49</v>
      </c>
      <c r="K67">
        <f t="shared" si="13"/>
        <v>315</v>
      </c>
      <c r="L67">
        <f t="shared" si="14"/>
        <v>840</v>
      </c>
      <c r="M67">
        <f t="shared" si="15"/>
        <v>2025</v>
      </c>
      <c r="N67">
        <f t="shared" si="16"/>
        <v>5400</v>
      </c>
      <c r="O67">
        <f t="shared" si="17"/>
        <v>14400</v>
      </c>
      <c r="Q67" s="11">
        <f t="shared" si="19"/>
        <v>4.7335731466637743</v>
      </c>
      <c r="R67" s="12">
        <f t="shared" si="18"/>
        <v>2.0166626436158318E-2</v>
      </c>
    </row>
    <row r="68" spans="1:18" x14ac:dyDescent="0.25">
      <c r="A68">
        <v>12</v>
      </c>
      <c r="B68">
        <v>45</v>
      </c>
      <c r="C68">
        <v>20</v>
      </c>
      <c r="E68">
        <v>0.7</v>
      </c>
      <c r="G68">
        <f t="shared" si="9"/>
        <v>12</v>
      </c>
      <c r="H68" s="10">
        <f t="shared" si="10"/>
        <v>45</v>
      </c>
      <c r="I68">
        <f t="shared" si="11"/>
        <v>20</v>
      </c>
      <c r="J68">
        <f t="shared" si="12"/>
        <v>144</v>
      </c>
      <c r="K68">
        <f t="shared" si="13"/>
        <v>540</v>
      </c>
      <c r="L68">
        <f t="shared" si="14"/>
        <v>240</v>
      </c>
      <c r="M68">
        <f t="shared" si="15"/>
        <v>2025</v>
      </c>
      <c r="N68">
        <f t="shared" si="16"/>
        <v>900</v>
      </c>
      <c r="O68">
        <f t="shared" si="17"/>
        <v>400</v>
      </c>
      <c r="Q68" s="11">
        <f t="shared" si="19"/>
        <v>0.72887531257529925</v>
      </c>
      <c r="R68" s="12">
        <f t="shared" si="18"/>
        <v>4.1250446536141849E-2</v>
      </c>
    </row>
    <row r="69" spans="1:18" x14ac:dyDescent="0.25">
      <c r="A69">
        <v>12</v>
      </c>
      <c r="B69">
        <v>45</v>
      </c>
      <c r="C69">
        <v>50</v>
      </c>
      <c r="E69">
        <v>1.61</v>
      </c>
      <c r="G69">
        <f t="shared" si="9"/>
        <v>12</v>
      </c>
      <c r="H69" s="10">
        <f t="shared" si="10"/>
        <v>45</v>
      </c>
      <c r="I69">
        <f t="shared" si="11"/>
        <v>50</v>
      </c>
      <c r="J69">
        <f t="shared" si="12"/>
        <v>144</v>
      </c>
      <c r="K69">
        <f t="shared" si="13"/>
        <v>540</v>
      </c>
      <c r="L69">
        <f t="shared" si="14"/>
        <v>600</v>
      </c>
      <c r="M69">
        <f t="shared" si="15"/>
        <v>2025</v>
      </c>
      <c r="N69">
        <f t="shared" si="16"/>
        <v>2250</v>
      </c>
      <c r="O69">
        <f t="shared" si="17"/>
        <v>2500</v>
      </c>
      <c r="Q69" s="11">
        <f t="shared" si="19"/>
        <v>1.6631520632272716</v>
      </c>
      <c r="R69" s="12">
        <f t="shared" si="18"/>
        <v>3.3013703867870496E-2</v>
      </c>
    </row>
    <row r="70" spans="1:18" x14ac:dyDescent="0.25">
      <c r="A70">
        <v>12</v>
      </c>
      <c r="B70">
        <v>45</v>
      </c>
      <c r="C70">
        <v>120</v>
      </c>
      <c r="E70">
        <v>4.99</v>
      </c>
      <c r="G70">
        <f t="shared" si="9"/>
        <v>12</v>
      </c>
      <c r="H70" s="10">
        <f t="shared" si="10"/>
        <v>45</v>
      </c>
      <c r="I70">
        <f t="shared" si="11"/>
        <v>120</v>
      </c>
      <c r="J70">
        <f t="shared" si="12"/>
        <v>144</v>
      </c>
      <c r="K70">
        <f t="shared" si="13"/>
        <v>540</v>
      </c>
      <c r="L70">
        <f t="shared" si="14"/>
        <v>1440</v>
      </c>
      <c r="M70">
        <f t="shared" si="15"/>
        <v>2025</v>
      </c>
      <c r="N70">
        <f t="shared" si="16"/>
        <v>5400</v>
      </c>
      <c r="O70">
        <f t="shared" si="17"/>
        <v>14400</v>
      </c>
      <c r="Q70" s="11">
        <f t="shared" si="19"/>
        <v>4.84950800526404</v>
      </c>
      <c r="R70" s="12">
        <f t="shared" si="18"/>
        <v>-2.8154708363919877E-2</v>
      </c>
    </row>
    <row r="71" spans="1:18" x14ac:dyDescent="0.25">
      <c r="A71">
        <v>-7</v>
      </c>
      <c r="B71">
        <v>55</v>
      </c>
      <c r="C71">
        <v>50</v>
      </c>
      <c r="E71">
        <v>1.77</v>
      </c>
      <c r="G71">
        <f t="shared" si="9"/>
        <v>-7</v>
      </c>
      <c r="H71" s="10">
        <f t="shared" si="10"/>
        <v>55</v>
      </c>
      <c r="I71">
        <f t="shared" si="11"/>
        <v>50</v>
      </c>
      <c r="J71">
        <f t="shared" si="12"/>
        <v>49</v>
      </c>
      <c r="K71">
        <f t="shared" si="13"/>
        <v>-385</v>
      </c>
      <c r="L71">
        <f t="shared" si="14"/>
        <v>-350</v>
      </c>
      <c r="M71">
        <f t="shared" si="15"/>
        <v>3025</v>
      </c>
      <c r="N71">
        <f t="shared" si="16"/>
        <v>2750</v>
      </c>
      <c r="O71">
        <f t="shared" si="17"/>
        <v>2500</v>
      </c>
      <c r="Q71" s="11">
        <f t="shared" si="19"/>
        <v>1.7424145517116949</v>
      </c>
      <c r="R71" s="12">
        <f t="shared" si="18"/>
        <v>-1.5584999032940743E-2</v>
      </c>
    </row>
    <row r="72" spans="1:18" x14ac:dyDescent="0.25">
      <c r="A72">
        <v>-7</v>
      </c>
      <c r="B72">
        <v>55</v>
      </c>
      <c r="C72">
        <v>120</v>
      </c>
      <c r="E72">
        <v>5.39</v>
      </c>
      <c r="G72">
        <f t="shared" si="9"/>
        <v>-7</v>
      </c>
      <c r="H72" s="10">
        <f t="shared" si="10"/>
        <v>55</v>
      </c>
      <c r="I72">
        <f t="shared" si="11"/>
        <v>120</v>
      </c>
      <c r="J72">
        <f t="shared" si="12"/>
        <v>49</v>
      </c>
      <c r="K72">
        <f t="shared" si="13"/>
        <v>-385</v>
      </c>
      <c r="L72">
        <f t="shared" si="14"/>
        <v>-840</v>
      </c>
      <c r="M72">
        <f t="shared" si="15"/>
        <v>3025</v>
      </c>
      <c r="N72">
        <f t="shared" si="16"/>
        <v>6600</v>
      </c>
      <c r="O72">
        <f t="shared" si="17"/>
        <v>14400</v>
      </c>
      <c r="Q72" s="11">
        <f t="shared" si="19"/>
        <v>5.3027980020269005</v>
      </c>
      <c r="R72" s="12">
        <f t="shared" si="18"/>
        <v>-1.6178478288144553E-2</v>
      </c>
    </row>
    <row r="73" spans="1:18" x14ac:dyDescent="0.25">
      <c r="A73">
        <v>2</v>
      </c>
      <c r="B73">
        <v>55</v>
      </c>
      <c r="C73">
        <v>50</v>
      </c>
      <c r="E73">
        <v>1.83</v>
      </c>
      <c r="G73">
        <f t="shared" si="9"/>
        <v>2</v>
      </c>
      <c r="H73" s="10">
        <f t="shared" si="10"/>
        <v>55</v>
      </c>
      <c r="I73">
        <f t="shared" si="11"/>
        <v>50</v>
      </c>
      <c r="J73">
        <f t="shared" si="12"/>
        <v>4</v>
      </c>
      <c r="K73">
        <f t="shared" si="13"/>
        <v>110</v>
      </c>
      <c r="L73">
        <f t="shared" si="14"/>
        <v>100</v>
      </c>
      <c r="M73">
        <f t="shared" si="15"/>
        <v>3025</v>
      </c>
      <c r="N73">
        <f t="shared" si="16"/>
        <v>2750</v>
      </c>
      <c r="O73">
        <f t="shared" si="17"/>
        <v>2500</v>
      </c>
      <c r="Q73" s="11">
        <f t="shared" si="19"/>
        <v>1.8297587099686174</v>
      </c>
      <c r="R73" s="12">
        <f t="shared" si="18"/>
        <v>-1.3185247616536821E-4</v>
      </c>
    </row>
    <row r="74" spans="1:18" x14ac:dyDescent="0.25">
      <c r="A74">
        <v>2</v>
      </c>
      <c r="B74">
        <v>55</v>
      </c>
      <c r="C74">
        <v>120</v>
      </c>
      <c r="E74">
        <v>5.26</v>
      </c>
      <c r="G74">
        <f t="shared" si="9"/>
        <v>2</v>
      </c>
      <c r="H74" s="10">
        <f t="shared" si="10"/>
        <v>55</v>
      </c>
      <c r="I74">
        <f t="shared" si="11"/>
        <v>120</v>
      </c>
      <c r="J74">
        <f t="shared" si="12"/>
        <v>4</v>
      </c>
      <c r="K74">
        <f t="shared" si="13"/>
        <v>110</v>
      </c>
      <c r="L74">
        <f t="shared" si="14"/>
        <v>240</v>
      </c>
      <c r="M74">
        <f t="shared" si="15"/>
        <v>3025</v>
      </c>
      <c r="N74">
        <f t="shared" si="16"/>
        <v>6600</v>
      </c>
      <c r="O74">
        <f t="shared" si="17"/>
        <v>14400</v>
      </c>
      <c r="Q74" s="11">
        <f t="shared" si="19"/>
        <v>5.4469621175240643</v>
      </c>
      <c r="R74" s="12">
        <f t="shared" si="18"/>
        <v>3.5544128806856382E-2</v>
      </c>
    </row>
    <row r="75" spans="1:18" x14ac:dyDescent="0.25">
      <c r="A75">
        <v>7</v>
      </c>
      <c r="B75">
        <v>55</v>
      </c>
      <c r="C75">
        <v>20</v>
      </c>
      <c r="E75">
        <v>0.88</v>
      </c>
      <c r="G75">
        <f t="shared" si="9"/>
        <v>7</v>
      </c>
      <c r="H75" s="10">
        <f t="shared" si="10"/>
        <v>55</v>
      </c>
      <c r="I75">
        <f t="shared" si="11"/>
        <v>20</v>
      </c>
      <c r="J75">
        <f t="shared" si="12"/>
        <v>49</v>
      </c>
      <c r="K75">
        <f t="shared" si="13"/>
        <v>385</v>
      </c>
      <c r="L75">
        <f t="shared" si="14"/>
        <v>140</v>
      </c>
      <c r="M75">
        <f t="shared" si="15"/>
        <v>3025</v>
      </c>
      <c r="N75">
        <f t="shared" si="16"/>
        <v>1100</v>
      </c>
      <c r="O75">
        <f t="shared" si="17"/>
        <v>400</v>
      </c>
      <c r="Q75" s="11">
        <f t="shared" si="19"/>
        <v>0.78327079330034011</v>
      </c>
      <c r="R75" s="12">
        <f t="shared" si="18"/>
        <v>-0.10991955306779534</v>
      </c>
    </row>
    <row r="76" spans="1:18" x14ac:dyDescent="0.25">
      <c r="A76">
        <v>7</v>
      </c>
      <c r="B76">
        <v>55</v>
      </c>
      <c r="C76">
        <v>50</v>
      </c>
      <c r="E76">
        <v>1.87</v>
      </c>
      <c r="G76">
        <f t="shared" si="9"/>
        <v>7</v>
      </c>
      <c r="H76" s="10">
        <f t="shared" si="10"/>
        <v>55</v>
      </c>
      <c r="I76">
        <f t="shared" si="11"/>
        <v>50</v>
      </c>
      <c r="J76">
        <f t="shared" si="12"/>
        <v>49</v>
      </c>
      <c r="K76">
        <f t="shared" si="13"/>
        <v>385</v>
      </c>
      <c r="L76">
        <f t="shared" si="14"/>
        <v>350</v>
      </c>
      <c r="M76">
        <f t="shared" si="15"/>
        <v>3025</v>
      </c>
      <c r="N76">
        <f t="shared" si="16"/>
        <v>2750</v>
      </c>
      <c r="O76">
        <f t="shared" si="17"/>
        <v>2500</v>
      </c>
      <c r="Q76" s="11">
        <f t="shared" si="19"/>
        <v>1.9157250189937085</v>
      </c>
      <c r="R76" s="12">
        <f t="shared" si="18"/>
        <v>2.4451881814817323E-2</v>
      </c>
    </row>
    <row r="77" spans="1:18" x14ac:dyDescent="0.25">
      <c r="A77">
        <v>7</v>
      </c>
      <c r="B77">
        <v>55</v>
      </c>
      <c r="C77">
        <v>120</v>
      </c>
      <c r="E77">
        <v>5.58</v>
      </c>
      <c r="G77">
        <f t="shared" si="9"/>
        <v>7</v>
      </c>
      <c r="H77" s="10">
        <f t="shared" si="10"/>
        <v>55</v>
      </c>
      <c r="I77">
        <f t="shared" si="11"/>
        <v>120</v>
      </c>
      <c r="J77">
        <f t="shared" si="12"/>
        <v>49</v>
      </c>
      <c r="K77">
        <f t="shared" si="13"/>
        <v>385</v>
      </c>
      <c r="L77">
        <f t="shared" si="14"/>
        <v>840</v>
      </c>
      <c r="M77">
        <f t="shared" si="15"/>
        <v>3025</v>
      </c>
      <c r="N77">
        <f t="shared" si="16"/>
        <v>6600</v>
      </c>
      <c r="O77">
        <f t="shared" si="17"/>
        <v>14400</v>
      </c>
      <c r="Q77" s="11">
        <f t="shared" si="19"/>
        <v>5.564495069460401</v>
      </c>
      <c r="R77" s="12">
        <f t="shared" si="18"/>
        <v>-2.7786613870249312E-3</v>
      </c>
    </row>
    <row r="78" spans="1:18" x14ac:dyDescent="0.25">
      <c r="A78">
        <v>12</v>
      </c>
      <c r="B78">
        <v>55</v>
      </c>
      <c r="C78">
        <v>20</v>
      </c>
      <c r="E78">
        <v>0.9</v>
      </c>
      <c r="G78">
        <f t="shared" si="9"/>
        <v>12</v>
      </c>
      <c r="H78" s="10">
        <f t="shared" si="10"/>
        <v>55</v>
      </c>
      <c r="I78">
        <f t="shared" si="11"/>
        <v>20</v>
      </c>
      <c r="J78">
        <f t="shared" si="12"/>
        <v>144</v>
      </c>
      <c r="K78">
        <f t="shared" si="13"/>
        <v>660</v>
      </c>
      <c r="L78">
        <f t="shared" si="14"/>
        <v>240</v>
      </c>
      <c r="M78">
        <f t="shared" si="15"/>
        <v>3025</v>
      </c>
      <c r="N78">
        <f t="shared" si="16"/>
        <v>1100</v>
      </c>
      <c r="O78">
        <f t="shared" si="17"/>
        <v>400</v>
      </c>
      <c r="Q78" s="11">
        <f t="shared" si="19"/>
        <v>0.88245266726356464</v>
      </c>
      <c r="R78" s="12">
        <f t="shared" si="18"/>
        <v>-1.9497036373817094E-2</v>
      </c>
    </row>
    <row r="79" spans="1:18" x14ac:dyDescent="0.25">
      <c r="A79">
        <v>12</v>
      </c>
      <c r="B79">
        <v>55</v>
      </c>
      <c r="C79">
        <v>50</v>
      </c>
      <c r="E79">
        <v>1.89</v>
      </c>
      <c r="G79">
        <f t="shared" si="9"/>
        <v>12</v>
      </c>
      <c r="H79" s="10">
        <f t="shared" si="10"/>
        <v>55</v>
      </c>
      <c r="I79">
        <f t="shared" si="11"/>
        <v>50</v>
      </c>
      <c r="J79">
        <f t="shared" si="12"/>
        <v>144</v>
      </c>
      <c r="K79">
        <f t="shared" si="13"/>
        <v>660</v>
      </c>
      <c r="L79">
        <f t="shared" si="14"/>
        <v>600</v>
      </c>
      <c r="M79">
        <f t="shared" si="15"/>
        <v>3025</v>
      </c>
      <c r="N79">
        <f t="shared" si="16"/>
        <v>2750</v>
      </c>
      <c r="O79">
        <f t="shared" si="17"/>
        <v>2500</v>
      </c>
      <c r="Q79" s="11">
        <f t="shared" si="19"/>
        <v>2.0284354542046095</v>
      </c>
      <c r="R79" s="12">
        <f t="shared" si="18"/>
        <v>7.3246272065930984E-2</v>
      </c>
    </row>
    <row r="80" spans="1:18" x14ac:dyDescent="0.25">
      <c r="A80">
        <v>12</v>
      </c>
      <c r="B80">
        <v>55</v>
      </c>
      <c r="C80">
        <v>120</v>
      </c>
      <c r="E80">
        <v>5.86</v>
      </c>
      <c r="G80">
        <f t="shared" si="9"/>
        <v>12</v>
      </c>
      <c r="H80" s="10">
        <f t="shared" si="10"/>
        <v>55</v>
      </c>
      <c r="I80">
        <f t="shared" si="11"/>
        <v>120</v>
      </c>
      <c r="J80">
        <f t="shared" si="12"/>
        <v>144</v>
      </c>
      <c r="K80">
        <f t="shared" si="13"/>
        <v>660</v>
      </c>
      <c r="L80">
        <f t="shared" si="14"/>
        <v>1440</v>
      </c>
      <c r="M80">
        <f t="shared" si="15"/>
        <v>3025</v>
      </c>
      <c r="N80">
        <f t="shared" si="16"/>
        <v>6600</v>
      </c>
      <c r="O80">
        <f t="shared" si="17"/>
        <v>14400</v>
      </c>
      <c r="Q80" s="11">
        <f t="shared" si="19"/>
        <v>5.7087721475825468</v>
      </c>
      <c r="R80" s="12">
        <f t="shared" si="18"/>
        <v>-2.5806800753831655E-2</v>
      </c>
    </row>
    <row r="81" spans="1:18" x14ac:dyDescent="0.25">
      <c r="A81">
        <v>-15</v>
      </c>
      <c r="B81">
        <v>55</v>
      </c>
      <c r="C81">
        <v>50</v>
      </c>
      <c r="E81">
        <v>1.73</v>
      </c>
      <c r="G81">
        <f t="shared" si="9"/>
        <v>-15</v>
      </c>
      <c r="H81" s="10">
        <f t="shared" si="10"/>
        <v>55</v>
      </c>
      <c r="I81">
        <f t="shared" si="11"/>
        <v>50</v>
      </c>
      <c r="J81">
        <f t="shared" si="12"/>
        <v>225</v>
      </c>
      <c r="K81">
        <f t="shared" si="13"/>
        <v>-825</v>
      </c>
      <c r="L81">
        <f t="shared" si="14"/>
        <v>-750</v>
      </c>
      <c r="M81">
        <f t="shared" si="15"/>
        <v>3025</v>
      </c>
      <c r="N81">
        <f t="shared" si="16"/>
        <v>2750</v>
      </c>
      <c r="O81">
        <f t="shared" si="17"/>
        <v>2500</v>
      </c>
      <c r="Q81" s="11">
        <f t="shared" si="19"/>
        <v>1.7375193231531669</v>
      </c>
      <c r="R81" s="12">
        <f t="shared" si="18"/>
        <v>4.3464295683045932E-3</v>
      </c>
    </row>
    <row r="82" spans="1:18" x14ac:dyDescent="0.25">
      <c r="A82">
        <v>-15</v>
      </c>
      <c r="B82">
        <v>55</v>
      </c>
      <c r="C82">
        <v>120</v>
      </c>
      <c r="E82">
        <v>5.23</v>
      </c>
      <c r="G82">
        <f t="shared" si="9"/>
        <v>-15</v>
      </c>
      <c r="H82" s="10">
        <f t="shared" si="10"/>
        <v>55</v>
      </c>
      <c r="I82">
        <f t="shared" si="11"/>
        <v>120</v>
      </c>
      <c r="J82">
        <f t="shared" si="12"/>
        <v>225</v>
      </c>
      <c r="K82">
        <f t="shared" si="13"/>
        <v>-825</v>
      </c>
      <c r="L82">
        <f t="shared" si="14"/>
        <v>-1800</v>
      </c>
      <c r="M82">
        <f t="shared" si="15"/>
        <v>3025</v>
      </c>
      <c r="N82">
        <f t="shared" si="16"/>
        <v>6600</v>
      </c>
      <c r="O82">
        <f t="shared" si="17"/>
        <v>14400</v>
      </c>
      <c r="Q82" s="11">
        <f t="shared" si="19"/>
        <v>5.2473961448103807</v>
      </c>
      <c r="R82" s="12">
        <f t="shared" si="18"/>
        <v>3.3262227170899271E-3</v>
      </c>
    </row>
    <row r="85" spans="1:18" x14ac:dyDescent="0.25">
      <c r="A85" t="s">
        <v>28</v>
      </c>
      <c r="G85" s="4" t="s">
        <v>1</v>
      </c>
      <c r="H85" s="4" t="s">
        <v>2</v>
      </c>
      <c r="I85" s="4" t="s">
        <v>3</v>
      </c>
      <c r="J85" s="4" t="s">
        <v>4</v>
      </c>
      <c r="K85" s="4" t="s">
        <v>5</v>
      </c>
      <c r="L85" s="4" t="s">
        <v>6</v>
      </c>
      <c r="M85" s="4" t="s">
        <v>7</v>
      </c>
      <c r="N85" s="4" t="s">
        <v>8</v>
      </c>
      <c r="O85" s="4" t="s">
        <v>9</v>
      </c>
      <c r="P85" s="4" t="s">
        <v>10</v>
      </c>
    </row>
    <row r="86" spans="1:18" x14ac:dyDescent="0.25">
      <c r="A86" s="1"/>
      <c r="C86" s="1"/>
      <c r="D86" s="1"/>
      <c r="E86" s="1"/>
      <c r="F86" s="1"/>
      <c r="G86" s="4">
        <f t="array" ref="G86:P86">LINEST(E88:E124,G88:O124)</f>
        <v>0.22687668232094504</v>
      </c>
      <c r="H86" s="4">
        <v>-1.5979540146598293E-2</v>
      </c>
      <c r="I86" s="4">
        <v>8.8464852694096691E-4</v>
      </c>
      <c r="J86" s="4">
        <v>-0.31374862068470205</v>
      </c>
      <c r="K86" s="4">
        <v>-2.2228846926202646E-2</v>
      </c>
      <c r="L86" s="4">
        <v>-2.7478048679508414E-4</v>
      </c>
      <c r="M86" s="4">
        <v>10.691751379509405</v>
      </c>
      <c r="N86" s="4">
        <v>0.19529103916008014</v>
      </c>
      <c r="O86" s="4">
        <v>0.82097019514243463</v>
      </c>
      <c r="P86" s="4">
        <v>-11.298450811263727</v>
      </c>
    </row>
    <row r="87" spans="1:18" ht="45" x14ac:dyDescent="0.25">
      <c r="A87" s="5" t="s">
        <v>11</v>
      </c>
      <c r="B87" s="5" t="s">
        <v>12</v>
      </c>
      <c r="C87" s="5" t="s">
        <v>62</v>
      </c>
      <c r="E87" s="7" t="s">
        <v>13</v>
      </c>
      <c r="F87" s="3"/>
      <c r="G87" s="8" t="s">
        <v>17</v>
      </c>
      <c r="H87" s="8" t="s">
        <v>18</v>
      </c>
      <c r="I87" s="8" t="s">
        <v>0</v>
      </c>
      <c r="J87" s="8" t="s">
        <v>19</v>
      </c>
      <c r="K87" s="8" t="s">
        <v>20</v>
      </c>
      <c r="L87" s="8" t="s">
        <v>21</v>
      </c>
      <c r="M87" s="8" t="s">
        <v>22</v>
      </c>
      <c r="N87" s="8" t="s">
        <v>23</v>
      </c>
      <c r="O87" s="8" t="s">
        <v>24</v>
      </c>
      <c r="P87" s="3"/>
      <c r="Q87" s="9" t="s">
        <v>16</v>
      </c>
      <c r="R87" s="9" t="s">
        <v>15</v>
      </c>
    </row>
    <row r="88" spans="1:18" x14ac:dyDescent="0.25">
      <c r="A88">
        <v>-15</v>
      </c>
      <c r="B88">
        <v>35</v>
      </c>
      <c r="C88" s="2">
        <f>E4</f>
        <v>3.15</v>
      </c>
      <c r="E88">
        <v>50</v>
      </c>
      <c r="F88" s="2"/>
      <c r="G88">
        <f t="shared" ref="G88:G124" si="20">A88</f>
        <v>-15</v>
      </c>
      <c r="H88" s="10">
        <f t="shared" ref="H88:H124" si="21">B88</f>
        <v>35</v>
      </c>
      <c r="I88">
        <f t="shared" ref="I88:I124" si="22">C88</f>
        <v>3.15</v>
      </c>
      <c r="J88">
        <f t="shared" ref="J88:J124" si="23">G88^2</f>
        <v>225</v>
      </c>
      <c r="K88">
        <f t="shared" ref="K88:K124" si="24">G88*H88</f>
        <v>-525</v>
      </c>
      <c r="L88">
        <f t="shared" ref="L88:L124" si="25">G88*I88</f>
        <v>-47.25</v>
      </c>
      <c r="M88">
        <f t="shared" ref="M88:M124" si="26">H88^2</f>
        <v>1225</v>
      </c>
      <c r="N88">
        <f t="shared" ref="N88:N124" si="27">H88*I88</f>
        <v>110.25</v>
      </c>
      <c r="O88">
        <f t="shared" ref="O88:O124" si="28">I88^2</f>
        <v>9.9224999999999994</v>
      </c>
      <c r="Q88" s="11">
        <f>$P$86+$O$2*G88+$N$86*H88+$M$86*I88+$L$86*J88+$K$86*K88+$J$86*L88+$I$86*M88+$H$86*N88+$G$86*O88</f>
        <v>56.884590282279085</v>
      </c>
      <c r="R88" s="12">
        <f t="shared" ref="R88:R124" si="29">(Q88-E88)/E88</f>
        <v>0.1376918056455817</v>
      </c>
    </row>
    <row r="89" spans="1:18" x14ac:dyDescent="0.25">
      <c r="A89">
        <v>-15</v>
      </c>
      <c r="B89">
        <v>35</v>
      </c>
      <c r="C89" s="2">
        <f t="shared" ref="C89:C124" si="30">E5</f>
        <v>7.57</v>
      </c>
      <c r="E89">
        <v>120</v>
      </c>
      <c r="F89" s="2"/>
      <c r="G89">
        <f t="shared" si="20"/>
        <v>-15</v>
      </c>
      <c r="H89" s="10">
        <f t="shared" si="21"/>
        <v>35</v>
      </c>
      <c r="I89">
        <f t="shared" si="22"/>
        <v>7.57</v>
      </c>
      <c r="J89">
        <f t="shared" si="23"/>
        <v>225</v>
      </c>
      <c r="K89">
        <f t="shared" si="24"/>
        <v>-525</v>
      </c>
      <c r="L89">
        <f t="shared" si="25"/>
        <v>-113.55000000000001</v>
      </c>
      <c r="M89">
        <f t="shared" si="26"/>
        <v>1225</v>
      </c>
      <c r="N89">
        <f t="shared" si="27"/>
        <v>264.95</v>
      </c>
      <c r="O89">
        <f t="shared" si="28"/>
        <v>57.304900000000004</v>
      </c>
      <c r="Q89" s="11">
        <f t="shared" ref="Q89:Q124" si="31">$P$86+$O$2*G89+$N$86*H89+$M$86*I89+$L$86*J89+$K$86*K89+$J$86*L89+$I$86*M89+$H$86*N89+$G$86*O89</f>
        <v>133.22159178283161</v>
      </c>
      <c r="R89" s="12">
        <f t="shared" si="29"/>
        <v>0.11017993152359674</v>
      </c>
    </row>
    <row r="90" spans="1:18" x14ac:dyDescent="0.25">
      <c r="A90">
        <v>-7</v>
      </c>
      <c r="B90">
        <v>35</v>
      </c>
      <c r="C90" s="2">
        <f t="shared" si="30"/>
        <v>4.1100000000000003</v>
      </c>
      <c r="E90">
        <v>50</v>
      </c>
      <c r="F90" s="2"/>
      <c r="G90">
        <f t="shared" si="20"/>
        <v>-7</v>
      </c>
      <c r="H90" s="10">
        <f t="shared" si="21"/>
        <v>35</v>
      </c>
      <c r="I90">
        <f t="shared" si="22"/>
        <v>4.1100000000000003</v>
      </c>
      <c r="J90">
        <f t="shared" si="23"/>
        <v>49</v>
      </c>
      <c r="K90">
        <f t="shared" si="24"/>
        <v>-245</v>
      </c>
      <c r="L90">
        <f t="shared" si="25"/>
        <v>-28.770000000000003</v>
      </c>
      <c r="M90">
        <f t="shared" si="26"/>
        <v>1225</v>
      </c>
      <c r="N90">
        <f t="shared" si="27"/>
        <v>143.85000000000002</v>
      </c>
      <c r="O90">
        <f t="shared" si="28"/>
        <v>16.892100000000003</v>
      </c>
      <c r="Q90" s="11">
        <f t="shared" si="31"/>
        <v>56.399068499546559</v>
      </c>
      <c r="R90" s="12">
        <f t="shared" si="29"/>
        <v>0.12798136999093118</v>
      </c>
    </row>
    <row r="91" spans="1:18" x14ac:dyDescent="0.25">
      <c r="A91">
        <v>-7</v>
      </c>
      <c r="B91">
        <v>35</v>
      </c>
      <c r="C91" s="2">
        <f t="shared" si="30"/>
        <v>9.3000000000000007</v>
      </c>
      <c r="E91">
        <v>120</v>
      </c>
      <c r="F91" s="2"/>
      <c r="G91">
        <f t="shared" si="20"/>
        <v>-7</v>
      </c>
      <c r="H91" s="10">
        <f t="shared" si="21"/>
        <v>35</v>
      </c>
      <c r="I91">
        <f t="shared" si="22"/>
        <v>9.3000000000000007</v>
      </c>
      <c r="J91">
        <f t="shared" si="23"/>
        <v>49</v>
      </c>
      <c r="K91">
        <f t="shared" si="24"/>
        <v>-245</v>
      </c>
      <c r="L91">
        <f t="shared" si="25"/>
        <v>-65.100000000000009</v>
      </c>
      <c r="M91">
        <f t="shared" si="26"/>
        <v>1225</v>
      </c>
      <c r="N91">
        <f t="shared" si="27"/>
        <v>325.5</v>
      </c>
      <c r="O91">
        <f t="shared" si="28"/>
        <v>86.490000000000009</v>
      </c>
      <c r="Q91" s="11">
        <f t="shared" si="31"/>
        <v>136.1752027295509</v>
      </c>
      <c r="R91" s="12">
        <f t="shared" si="29"/>
        <v>0.13479335607959086</v>
      </c>
    </row>
    <row r="92" spans="1:18" x14ac:dyDescent="0.25">
      <c r="A92">
        <v>2</v>
      </c>
      <c r="B92">
        <v>35</v>
      </c>
      <c r="C92" s="2">
        <f t="shared" si="30"/>
        <v>2.17</v>
      </c>
      <c r="E92">
        <v>20</v>
      </c>
      <c r="F92" s="2"/>
      <c r="G92">
        <f t="shared" si="20"/>
        <v>2</v>
      </c>
      <c r="H92" s="10">
        <f t="shared" si="21"/>
        <v>35</v>
      </c>
      <c r="I92">
        <f t="shared" si="22"/>
        <v>2.17</v>
      </c>
      <c r="J92">
        <f t="shared" si="23"/>
        <v>4</v>
      </c>
      <c r="K92">
        <f t="shared" si="24"/>
        <v>70</v>
      </c>
      <c r="L92">
        <f t="shared" si="25"/>
        <v>4.34</v>
      </c>
      <c r="M92">
        <f t="shared" si="26"/>
        <v>1225</v>
      </c>
      <c r="N92">
        <f t="shared" si="27"/>
        <v>75.95</v>
      </c>
      <c r="O92">
        <f t="shared" si="28"/>
        <v>4.7088999999999999</v>
      </c>
      <c r="Q92" s="11">
        <f t="shared" si="31"/>
        <v>16.802401613239702</v>
      </c>
      <c r="R92" s="12">
        <f t="shared" si="29"/>
        <v>-0.15987991933801488</v>
      </c>
    </row>
    <row r="93" spans="1:18" x14ac:dyDescent="0.25">
      <c r="A93">
        <v>2</v>
      </c>
      <c r="B93">
        <v>35</v>
      </c>
      <c r="C93" s="2">
        <f t="shared" si="30"/>
        <v>5.31</v>
      </c>
      <c r="E93">
        <v>50</v>
      </c>
      <c r="F93" s="2"/>
      <c r="G93">
        <f t="shared" si="20"/>
        <v>2</v>
      </c>
      <c r="H93" s="10">
        <f t="shared" si="21"/>
        <v>35</v>
      </c>
      <c r="I93">
        <f t="shared" si="22"/>
        <v>5.31</v>
      </c>
      <c r="J93">
        <f t="shared" si="23"/>
        <v>4</v>
      </c>
      <c r="K93">
        <f t="shared" si="24"/>
        <v>70</v>
      </c>
      <c r="L93">
        <f t="shared" si="25"/>
        <v>10.62</v>
      </c>
      <c r="M93">
        <f t="shared" si="26"/>
        <v>1225</v>
      </c>
      <c r="N93">
        <f t="shared" si="27"/>
        <v>185.85</v>
      </c>
      <c r="O93">
        <f t="shared" si="28"/>
        <v>28.196099999999994</v>
      </c>
      <c r="Q93" s="11">
        <f t="shared" si="31"/>
        <v>51.97670615789665</v>
      </c>
      <c r="R93" s="12">
        <f t="shared" si="29"/>
        <v>3.9534123157933011E-2</v>
      </c>
    </row>
    <row r="94" spans="1:18" x14ac:dyDescent="0.25">
      <c r="A94">
        <v>2</v>
      </c>
      <c r="B94">
        <v>35</v>
      </c>
      <c r="C94" s="2">
        <f t="shared" si="30"/>
        <v>9.66</v>
      </c>
      <c r="E94">
        <v>120</v>
      </c>
      <c r="F94" s="2"/>
      <c r="G94">
        <f t="shared" si="20"/>
        <v>2</v>
      </c>
      <c r="H94" s="10">
        <f t="shared" si="21"/>
        <v>35</v>
      </c>
      <c r="I94">
        <f t="shared" si="22"/>
        <v>9.66</v>
      </c>
      <c r="J94">
        <f t="shared" si="23"/>
        <v>4</v>
      </c>
      <c r="K94">
        <f t="shared" si="24"/>
        <v>70</v>
      </c>
      <c r="L94">
        <f t="shared" si="25"/>
        <v>19.32</v>
      </c>
      <c r="M94">
        <f t="shared" si="26"/>
        <v>1225</v>
      </c>
      <c r="N94">
        <f t="shared" si="27"/>
        <v>338.1</v>
      </c>
      <c r="O94">
        <f t="shared" si="28"/>
        <v>93.315600000000003</v>
      </c>
      <c r="Q94" s="11">
        <f t="shared" si="31"/>
        <v>108.09742278588487</v>
      </c>
      <c r="R94" s="12">
        <f t="shared" si="29"/>
        <v>-9.9188143450959387E-2</v>
      </c>
    </row>
    <row r="95" spans="1:18" x14ac:dyDescent="0.25">
      <c r="A95">
        <v>7</v>
      </c>
      <c r="B95">
        <v>35</v>
      </c>
      <c r="C95" s="2">
        <f t="shared" si="30"/>
        <v>2.54</v>
      </c>
      <c r="E95">
        <v>20</v>
      </c>
      <c r="F95" s="2"/>
      <c r="G95">
        <f t="shared" si="20"/>
        <v>7</v>
      </c>
      <c r="H95" s="10">
        <f t="shared" si="21"/>
        <v>35</v>
      </c>
      <c r="I95">
        <f t="shared" si="22"/>
        <v>2.54</v>
      </c>
      <c r="J95">
        <f t="shared" si="23"/>
        <v>49</v>
      </c>
      <c r="K95">
        <f t="shared" si="24"/>
        <v>245</v>
      </c>
      <c r="L95">
        <f t="shared" si="25"/>
        <v>17.78</v>
      </c>
      <c r="M95">
        <f t="shared" si="26"/>
        <v>1225</v>
      </c>
      <c r="N95">
        <f t="shared" si="27"/>
        <v>88.9</v>
      </c>
      <c r="O95">
        <f t="shared" si="28"/>
        <v>6.4516</v>
      </c>
      <c r="Q95" s="11">
        <f t="shared" si="31"/>
        <v>12.940010277468176</v>
      </c>
      <c r="R95" s="12">
        <f t="shared" si="29"/>
        <v>-0.35299948612659121</v>
      </c>
    </row>
    <row r="96" spans="1:18" x14ac:dyDescent="0.25">
      <c r="A96">
        <v>7</v>
      </c>
      <c r="B96">
        <v>35</v>
      </c>
      <c r="C96" s="2">
        <f t="shared" si="30"/>
        <v>6.42</v>
      </c>
      <c r="E96">
        <v>50</v>
      </c>
      <c r="F96" s="2"/>
      <c r="G96">
        <f t="shared" si="20"/>
        <v>7</v>
      </c>
      <c r="H96" s="10">
        <f t="shared" si="21"/>
        <v>35</v>
      </c>
      <c r="I96">
        <f t="shared" si="22"/>
        <v>6.42</v>
      </c>
      <c r="J96">
        <f t="shared" si="23"/>
        <v>49</v>
      </c>
      <c r="K96">
        <f t="shared" si="24"/>
        <v>245</v>
      </c>
      <c r="L96">
        <f t="shared" si="25"/>
        <v>44.94</v>
      </c>
      <c r="M96">
        <f t="shared" si="26"/>
        <v>1225</v>
      </c>
      <c r="N96">
        <f t="shared" si="27"/>
        <v>224.7</v>
      </c>
      <c r="O96">
        <f t="shared" si="28"/>
        <v>41.2164</v>
      </c>
      <c r="Q96" s="11">
        <f t="shared" si="31"/>
        <v>51.619894025811298</v>
      </c>
      <c r="R96" s="12">
        <f t="shared" si="29"/>
        <v>3.2397880516225969E-2</v>
      </c>
    </row>
    <row r="97" spans="1:18" x14ac:dyDescent="0.25">
      <c r="A97">
        <v>7</v>
      </c>
      <c r="B97">
        <v>35</v>
      </c>
      <c r="C97" s="2">
        <f t="shared" si="30"/>
        <v>10.79</v>
      </c>
      <c r="E97">
        <v>120</v>
      </c>
      <c r="F97" s="2"/>
      <c r="G97">
        <f t="shared" si="20"/>
        <v>7</v>
      </c>
      <c r="H97" s="10">
        <f t="shared" si="21"/>
        <v>35</v>
      </c>
      <c r="I97">
        <f t="shared" si="22"/>
        <v>10.79</v>
      </c>
      <c r="J97">
        <f t="shared" si="23"/>
        <v>49</v>
      </c>
      <c r="K97">
        <f t="shared" si="24"/>
        <v>245</v>
      </c>
      <c r="L97">
        <f t="shared" si="25"/>
        <v>75.53</v>
      </c>
      <c r="M97">
        <f t="shared" si="26"/>
        <v>1225</v>
      </c>
      <c r="N97">
        <f t="shared" si="27"/>
        <v>377.65</v>
      </c>
      <c r="O97">
        <f t="shared" si="28"/>
        <v>116.42409999999998</v>
      </c>
      <c r="Q97" s="11">
        <f t="shared" si="31"/>
        <v>103.36408004308907</v>
      </c>
      <c r="R97" s="12">
        <f t="shared" si="29"/>
        <v>-0.13863266630759105</v>
      </c>
    </row>
    <row r="98" spans="1:18" x14ac:dyDescent="0.25">
      <c r="A98">
        <v>12</v>
      </c>
      <c r="B98">
        <v>35</v>
      </c>
      <c r="C98" s="2">
        <f t="shared" si="30"/>
        <v>2.92</v>
      </c>
      <c r="E98">
        <v>20</v>
      </c>
      <c r="F98" s="2"/>
      <c r="G98">
        <f t="shared" si="20"/>
        <v>12</v>
      </c>
      <c r="H98" s="10">
        <f t="shared" si="21"/>
        <v>35</v>
      </c>
      <c r="I98">
        <f t="shared" si="22"/>
        <v>2.92</v>
      </c>
      <c r="J98">
        <f t="shared" si="23"/>
        <v>144</v>
      </c>
      <c r="K98">
        <f t="shared" si="24"/>
        <v>420</v>
      </c>
      <c r="L98">
        <f t="shared" si="25"/>
        <v>35.04</v>
      </c>
      <c r="M98">
        <f t="shared" si="26"/>
        <v>1225</v>
      </c>
      <c r="N98">
        <f t="shared" si="27"/>
        <v>102.2</v>
      </c>
      <c r="O98">
        <f t="shared" si="28"/>
        <v>8.5263999999999989</v>
      </c>
      <c r="Q98" s="11">
        <f t="shared" si="31"/>
        <v>8.042030607283893</v>
      </c>
      <c r="R98" s="12">
        <f t="shared" si="29"/>
        <v>-0.5978984696358054</v>
      </c>
    </row>
    <row r="99" spans="1:18" x14ac:dyDescent="0.25">
      <c r="A99">
        <v>12</v>
      </c>
      <c r="B99">
        <v>35</v>
      </c>
      <c r="C99" s="2">
        <f t="shared" si="30"/>
        <v>7.34</v>
      </c>
      <c r="E99">
        <v>50</v>
      </c>
      <c r="F99" s="2"/>
      <c r="G99">
        <f t="shared" si="20"/>
        <v>12</v>
      </c>
      <c r="H99" s="10">
        <f t="shared" si="21"/>
        <v>35</v>
      </c>
      <c r="I99">
        <f t="shared" si="22"/>
        <v>7.34</v>
      </c>
      <c r="J99">
        <f t="shared" si="23"/>
        <v>144</v>
      </c>
      <c r="K99">
        <f t="shared" si="24"/>
        <v>420</v>
      </c>
      <c r="L99">
        <f t="shared" si="25"/>
        <v>88.08</v>
      </c>
      <c r="M99">
        <f t="shared" si="26"/>
        <v>1225</v>
      </c>
      <c r="N99">
        <f t="shared" si="27"/>
        <v>256.89999999999998</v>
      </c>
      <c r="O99">
        <f t="shared" si="28"/>
        <v>53.875599999999999</v>
      </c>
      <c r="Q99" s="11">
        <f t="shared" si="31"/>
        <v>46.474986044829116</v>
      </c>
      <c r="R99" s="12">
        <f t="shared" si="29"/>
        <v>-7.0500279103417676E-2</v>
      </c>
    </row>
    <row r="100" spans="1:18" x14ac:dyDescent="0.25">
      <c r="A100">
        <v>12</v>
      </c>
      <c r="B100">
        <v>35</v>
      </c>
      <c r="C100" s="2">
        <f t="shared" si="30"/>
        <v>13.34</v>
      </c>
      <c r="E100">
        <v>120</v>
      </c>
      <c r="F100" s="2"/>
      <c r="G100">
        <f t="shared" si="20"/>
        <v>12</v>
      </c>
      <c r="H100" s="10">
        <f t="shared" si="21"/>
        <v>35</v>
      </c>
      <c r="I100">
        <f t="shared" si="22"/>
        <v>13.34</v>
      </c>
      <c r="J100">
        <f t="shared" si="23"/>
        <v>144</v>
      </c>
      <c r="K100">
        <f t="shared" si="24"/>
        <v>420</v>
      </c>
      <c r="L100">
        <f t="shared" si="25"/>
        <v>160.07999999999998</v>
      </c>
      <c r="M100">
        <f t="shared" si="26"/>
        <v>1225</v>
      </c>
      <c r="N100">
        <f t="shared" si="27"/>
        <v>466.9</v>
      </c>
      <c r="O100">
        <f t="shared" si="28"/>
        <v>177.9556</v>
      </c>
      <c r="Q100" s="11">
        <f t="shared" si="31"/>
        <v>112.83074894418425</v>
      </c>
      <c r="R100" s="12">
        <f t="shared" si="29"/>
        <v>-5.974375879846458E-2</v>
      </c>
    </row>
    <row r="101" spans="1:18" x14ac:dyDescent="0.25">
      <c r="A101">
        <v>-15</v>
      </c>
      <c r="B101">
        <v>45</v>
      </c>
      <c r="C101" s="2">
        <f t="shared" si="30"/>
        <v>2.99</v>
      </c>
      <c r="E101">
        <v>50</v>
      </c>
      <c r="F101" s="2"/>
      <c r="G101">
        <f t="shared" si="20"/>
        <v>-15</v>
      </c>
      <c r="H101" s="10">
        <f t="shared" si="21"/>
        <v>45</v>
      </c>
      <c r="I101">
        <f t="shared" si="22"/>
        <v>2.99</v>
      </c>
      <c r="J101">
        <f t="shared" si="23"/>
        <v>225</v>
      </c>
      <c r="K101">
        <f t="shared" si="24"/>
        <v>-675</v>
      </c>
      <c r="L101">
        <f t="shared" si="25"/>
        <v>-44.85</v>
      </c>
      <c r="M101">
        <f t="shared" si="26"/>
        <v>2025</v>
      </c>
      <c r="N101">
        <f t="shared" si="27"/>
        <v>134.55000000000001</v>
      </c>
      <c r="O101">
        <f t="shared" si="28"/>
        <v>8.940100000000001</v>
      </c>
      <c r="Q101" s="11">
        <f t="shared" si="31"/>
        <v>59.804683145723828</v>
      </c>
      <c r="R101" s="12">
        <f t="shared" si="29"/>
        <v>0.19609366291447658</v>
      </c>
    </row>
    <row r="102" spans="1:18" x14ac:dyDescent="0.25">
      <c r="A102">
        <v>-15</v>
      </c>
      <c r="B102">
        <v>45</v>
      </c>
      <c r="C102" s="2">
        <f t="shared" si="30"/>
        <v>7.17</v>
      </c>
      <c r="E102">
        <v>120</v>
      </c>
      <c r="F102" s="2"/>
      <c r="G102">
        <f t="shared" si="20"/>
        <v>-15</v>
      </c>
      <c r="H102" s="10">
        <f t="shared" si="21"/>
        <v>45</v>
      </c>
      <c r="I102">
        <f t="shared" si="22"/>
        <v>7.17</v>
      </c>
      <c r="J102">
        <f t="shared" si="23"/>
        <v>225</v>
      </c>
      <c r="K102">
        <f t="shared" si="24"/>
        <v>-675</v>
      </c>
      <c r="L102">
        <f t="shared" si="25"/>
        <v>-107.55</v>
      </c>
      <c r="M102">
        <f t="shared" si="26"/>
        <v>2025</v>
      </c>
      <c r="N102">
        <f t="shared" si="27"/>
        <v>322.64999999999998</v>
      </c>
      <c r="O102">
        <f t="shared" si="28"/>
        <v>51.408899999999996</v>
      </c>
      <c r="Q102" s="11">
        <f t="shared" si="31"/>
        <v>130.79767137358058</v>
      </c>
      <c r="R102" s="12">
        <f t="shared" si="29"/>
        <v>8.9980594779838205E-2</v>
      </c>
    </row>
    <row r="103" spans="1:18" x14ac:dyDescent="0.25">
      <c r="A103">
        <v>-7</v>
      </c>
      <c r="B103">
        <v>45</v>
      </c>
      <c r="C103" s="2">
        <f t="shared" si="30"/>
        <v>3.93</v>
      </c>
      <c r="E103">
        <v>50</v>
      </c>
      <c r="F103" s="2"/>
      <c r="G103">
        <f t="shared" si="20"/>
        <v>-7</v>
      </c>
      <c r="H103" s="10">
        <f t="shared" si="21"/>
        <v>45</v>
      </c>
      <c r="I103">
        <f t="shared" si="22"/>
        <v>3.93</v>
      </c>
      <c r="J103">
        <f t="shared" si="23"/>
        <v>49</v>
      </c>
      <c r="K103">
        <f t="shared" si="24"/>
        <v>-315</v>
      </c>
      <c r="L103">
        <f t="shared" si="25"/>
        <v>-27.51</v>
      </c>
      <c r="M103">
        <f t="shared" si="26"/>
        <v>2025</v>
      </c>
      <c r="N103">
        <f t="shared" si="27"/>
        <v>176.85</v>
      </c>
      <c r="O103">
        <f t="shared" si="28"/>
        <v>15.444900000000001</v>
      </c>
      <c r="Q103" s="11">
        <f t="shared" si="31"/>
        <v>57.440217727667289</v>
      </c>
      <c r="R103" s="12">
        <f t="shared" si="29"/>
        <v>0.14880435455334579</v>
      </c>
    </row>
    <row r="104" spans="1:18" x14ac:dyDescent="0.25">
      <c r="A104">
        <v>-7</v>
      </c>
      <c r="B104">
        <v>45</v>
      </c>
      <c r="C104" s="2">
        <f t="shared" si="30"/>
        <v>8.85</v>
      </c>
      <c r="E104">
        <v>120</v>
      </c>
      <c r="F104" s="2"/>
      <c r="G104">
        <f t="shared" si="20"/>
        <v>-7</v>
      </c>
      <c r="H104" s="10">
        <f t="shared" si="21"/>
        <v>45</v>
      </c>
      <c r="I104">
        <f t="shared" si="22"/>
        <v>8.85</v>
      </c>
      <c r="J104">
        <f t="shared" si="23"/>
        <v>49</v>
      </c>
      <c r="K104">
        <f t="shared" si="24"/>
        <v>-315</v>
      </c>
      <c r="L104">
        <f t="shared" si="25"/>
        <v>-61.949999999999996</v>
      </c>
      <c r="M104">
        <f t="shared" si="26"/>
        <v>2025</v>
      </c>
      <c r="N104">
        <f t="shared" si="27"/>
        <v>398.25</v>
      </c>
      <c r="O104">
        <f t="shared" si="28"/>
        <v>78.322499999999991</v>
      </c>
      <c r="Q104" s="11">
        <f t="shared" si="31"/>
        <v>131.57672810308128</v>
      </c>
      <c r="R104" s="12">
        <f t="shared" si="29"/>
        <v>9.6472734192343992E-2</v>
      </c>
    </row>
    <row r="105" spans="1:18" x14ac:dyDescent="0.25">
      <c r="A105">
        <v>2</v>
      </c>
      <c r="B105">
        <v>45</v>
      </c>
      <c r="C105" s="2">
        <f t="shared" si="30"/>
        <v>5.0999999999999996</v>
      </c>
      <c r="E105">
        <v>50</v>
      </c>
      <c r="G105">
        <f t="shared" si="20"/>
        <v>2</v>
      </c>
      <c r="H105" s="10">
        <f t="shared" si="21"/>
        <v>45</v>
      </c>
      <c r="I105">
        <f t="shared" si="22"/>
        <v>5.0999999999999996</v>
      </c>
      <c r="J105">
        <f t="shared" si="23"/>
        <v>4</v>
      </c>
      <c r="K105">
        <f t="shared" si="24"/>
        <v>90</v>
      </c>
      <c r="L105">
        <f t="shared" si="25"/>
        <v>10.199999999999999</v>
      </c>
      <c r="M105">
        <f t="shared" si="26"/>
        <v>2025</v>
      </c>
      <c r="N105">
        <f t="shared" si="27"/>
        <v>229.49999999999997</v>
      </c>
      <c r="O105">
        <f t="shared" si="28"/>
        <v>26.009999999999998</v>
      </c>
      <c r="Q105" s="11">
        <f t="shared" si="31"/>
        <v>50.88578302089595</v>
      </c>
      <c r="R105" s="12">
        <f t="shared" si="29"/>
        <v>1.7715660417918996E-2</v>
      </c>
    </row>
    <row r="106" spans="1:18" x14ac:dyDescent="0.25">
      <c r="A106">
        <v>2</v>
      </c>
      <c r="B106">
        <v>45</v>
      </c>
      <c r="C106" s="2">
        <f t="shared" si="30"/>
        <v>9.83</v>
      </c>
      <c r="E106">
        <v>120</v>
      </c>
      <c r="G106">
        <f t="shared" si="20"/>
        <v>2</v>
      </c>
      <c r="H106" s="10">
        <f t="shared" si="21"/>
        <v>45</v>
      </c>
      <c r="I106">
        <f t="shared" si="22"/>
        <v>9.83</v>
      </c>
      <c r="J106">
        <f t="shared" si="23"/>
        <v>4</v>
      </c>
      <c r="K106">
        <f t="shared" si="24"/>
        <v>90</v>
      </c>
      <c r="L106">
        <f t="shared" si="25"/>
        <v>19.66</v>
      </c>
      <c r="M106">
        <f t="shared" si="26"/>
        <v>2025</v>
      </c>
      <c r="N106">
        <f t="shared" si="27"/>
        <v>442.35</v>
      </c>
      <c r="O106">
        <f t="shared" si="28"/>
        <v>96.628900000000002</v>
      </c>
      <c r="Q106" s="11">
        <f t="shared" si="31"/>
        <v>111.11024171524929</v>
      </c>
      <c r="R106" s="12">
        <f t="shared" si="29"/>
        <v>-7.4081319039589269E-2</v>
      </c>
    </row>
    <row r="107" spans="1:18" x14ac:dyDescent="0.25">
      <c r="A107">
        <v>7</v>
      </c>
      <c r="B107">
        <v>45</v>
      </c>
      <c r="C107" s="2">
        <f t="shared" si="30"/>
        <v>2.62</v>
      </c>
      <c r="E107">
        <v>20</v>
      </c>
      <c r="G107">
        <f t="shared" si="20"/>
        <v>7</v>
      </c>
      <c r="H107" s="10">
        <f t="shared" si="21"/>
        <v>45</v>
      </c>
      <c r="I107">
        <f t="shared" si="22"/>
        <v>2.62</v>
      </c>
      <c r="J107">
        <f t="shared" si="23"/>
        <v>49</v>
      </c>
      <c r="K107">
        <f t="shared" si="24"/>
        <v>315</v>
      </c>
      <c r="L107">
        <f t="shared" si="25"/>
        <v>18.34</v>
      </c>
      <c r="M107">
        <f t="shared" si="26"/>
        <v>2025</v>
      </c>
      <c r="N107">
        <f t="shared" si="27"/>
        <v>117.9</v>
      </c>
      <c r="O107">
        <f t="shared" si="28"/>
        <v>6.8644000000000007</v>
      </c>
      <c r="Q107" s="11">
        <f t="shared" si="31"/>
        <v>14.354509118775617</v>
      </c>
      <c r="R107" s="12">
        <f t="shared" si="29"/>
        <v>-0.28227454406121916</v>
      </c>
    </row>
    <row r="108" spans="1:18" x14ac:dyDescent="0.25">
      <c r="A108">
        <v>7</v>
      </c>
      <c r="B108">
        <v>45</v>
      </c>
      <c r="C108" s="2">
        <f t="shared" si="30"/>
        <v>6.01</v>
      </c>
      <c r="E108">
        <v>50</v>
      </c>
      <c r="G108">
        <f t="shared" si="20"/>
        <v>7</v>
      </c>
      <c r="H108" s="10">
        <f t="shared" si="21"/>
        <v>45</v>
      </c>
      <c r="I108">
        <f t="shared" si="22"/>
        <v>6.01</v>
      </c>
      <c r="J108">
        <f t="shared" si="23"/>
        <v>49</v>
      </c>
      <c r="K108">
        <f t="shared" si="24"/>
        <v>315</v>
      </c>
      <c r="L108">
        <f t="shared" si="25"/>
        <v>42.07</v>
      </c>
      <c r="M108">
        <f t="shared" si="26"/>
        <v>2025</v>
      </c>
      <c r="N108">
        <f t="shared" si="27"/>
        <v>270.45</v>
      </c>
      <c r="O108">
        <f t="shared" si="28"/>
        <v>36.120100000000001</v>
      </c>
      <c r="Q108" s="11">
        <f t="shared" si="31"/>
        <v>47.354048832077837</v>
      </c>
      <c r="R108" s="12">
        <f t="shared" si="29"/>
        <v>-5.2919023358443271E-2</v>
      </c>
    </row>
    <row r="109" spans="1:18" x14ac:dyDescent="0.25">
      <c r="A109">
        <v>7</v>
      </c>
      <c r="B109">
        <v>45</v>
      </c>
      <c r="C109" s="2">
        <f t="shared" si="30"/>
        <v>11.23</v>
      </c>
      <c r="E109">
        <v>120</v>
      </c>
      <c r="G109">
        <f t="shared" si="20"/>
        <v>7</v>
      </c>
      <c r="H109" s="10">
        <f t="shared" si="21"/>
        <v>45</v>
      </c>
      <c r="I109">
        <f t="shared" si="22"/>
        <v>11.23</v>
      </c>
      <c r="J109">
        <f t="shared" si="23"/>
        <v>49</v>
      </c>
      <c r="K109">
        <f t="shared" si="24"/>
        <v>315</v>
      </c>
      <c r="L109">
        <f t="shared" si="25"/>
        <v>78.61</v>
      </c>
      <c r="M109">
        <f t="shared" si="26"/>
        <v>2025</v>
      </c>
      <c r="N109">
        <f t="shared" si="27"/>
        <v>505.35</v>
      </c>
      <c r="O109">
        <f t="shared" si="28"/>
        <v>126.11290000000001</v>
      </c>
      <c r="Q109" s="11">
        <f t="shared" si="31"/>
        <v>108.36429034963433</v>
      </c>
      <c r="R109" s="12">
        <f t="shared" si="29"/>
        <v>-9.6964247086380573E-2</v>
      </c>
    </row>
    <row r="110" spans="1:18" x14ac:dyDescent="0.25">
      <c r="A110">
        <v>12</v>
      </c>
      <c r="B110">
        <v>45</v>
      </c>
      <c r="C110" s="2">
        <f t="shared" si="30"/>
        <v>3.07</v>
      </c>
      <c r="E110">
        <v>20</v>
      </c>
      <c r="G110">
        <f t="shared" si="20"/>
        <v>12</v>
      </c>
      <c r="H110" s="10">
        <f t="shared" si="21"/>
        <v>45</v>
      </c>
      <c r="I110">
        <f t="shared" si="22"/>
        <v>3.07</v>
      </c>
      <c r="J110">
        <f t="shared" si="23"/>
        <v>144</v>
      </c>
      <c r="K110">
        <f t="shared" si="24"/>
        <v>540</v>
      </c>
      <c r="L110">
        <f t="shared" si="25"/>
        <v>36.839999999999996</v>
      </c>
      <c r="M110">
        <f t="shared" si="26"/>
        <v>2025</v>
      </c>
      <c r="N110">
        <f t="shared" si="27"/>
        <v>138.15</v>
      </c>
      <c r="O110">
        <f t="shared" si="28"/>
        <v>9.4248999999999992</v>
      </c>
      <c r="Q110" s="11">
        <f t="shared" si="31"/>
        <v>8.7035976097822569</v>
      </c>
      <c r="R110" s="12">
        <f t="shared" si="29"/>
        <v>-0.56482011951088718</v>
      </c>
    </row>
    <row r="111" spans="1:18" x14ac:dyDescent="0.25">
      <c r="A111">
        <v>12</v>
      </c>
      <c r="B111">
        <v>45</v>
      </c>
      <c r="C111" s="2">
        <f t="shared" si="30"/>
        <v>6.98</v>
      </c>
      <c r="E111">
        <v>50</v>
      </c>
      <c r="G111">
        <f t="shared" si="20"/>
        <v>12</v>
      </c>
      <c r="H111" s="10">
        <f t="shared" si="21"/>
        <v>45</v>
      </c>
      <c r="I111">
        <f t="shared" si="22"/>
        <v>6.98</v>
      </c>
      <c r="J111">
        <f t="shared" si="23"/>
        <v>144</v>
      </c>
      <c r="K111">
        <f t="shared" si="24"/>
        <v>540</v>
      </c>
      <c r="L111">
        <f t="shared" si="25"/>
        <v>83.76</v>
      </c>
      <c r="M111">
        <f t="shared" si="26"/>
        <v>2025</v>
      </c>
      <c r="N111">
        <f t="shared" si="27"/>
        <v>314.10000000000002</v>
      </c>
      <c r="O111">
        <f t="shared" si="28"/>
        <v>48.720400000000005</v>
      </c>
      <c r="Q111" s="11">
        <f t="shared" si="31"/>
        <v>41.89089280248654</v>
      </c>
      <c r="R111" s="12">
        <f t="shared" si="29"/>
        <v>-0.1621821439502692</v>
      </c>
    </row>
    <row r="112" spans="1:18" x14ac:dyDescent="0.25">
      <c r="A112">
        <v>12</v>
      </c>
      <c r="B112">
        <v>45</v>
      </c>
      <c r="C112" s="2">
        <f t="shared" si="30"/>
        <v>13.62</v>
      </c>
      <c r="E112">
        <v>120</v>
      </c>
      <c r="G112">
        <f t="shared" si="20"/>
        <v>12</v>
      </c>
      <c r="H112" s="10">
        <f t="shared" si="21"/>
        <v>45</v>
      </c>
      <c r="I112">
        <f t="shared" si="22"/>
        <v>13.62</v>
      </c>
      <c r="J112">
        <f t="shared" si="23"/>
        <v>144</v>
      </c>
      <c r="K112">
        <f t="shared" si="24"/>
        <v>540</v>
      </c>
      <c r="L112">
        <f t="shared" si="25"/>
        <v>163.44</v>
      </c>
      <c r="M112">
        <f t="shared" si="26"/>
        <v>2025</v>
      </c>
      <c r="N112">
        <f t="shared" si="27"/>
        <v>612.9</v>
      </c>
      <c r="O112">
        <f t="shared" si="28"/>
        <v>185.50439999999998</v>
      </c>
      <c r="Q112" s="11">
        <f t="shared" si="31"/>
        <v>114.1430453850565</v>
      </c>
      <c r="R112" s="12">
        <f t="shared" si="29"/>
        <v>-4.88079551245292E-2</v>
      </c>
    </row>
    <row r="113" spans="1:18" x14ac:dyDescent="0.25">
      <c r="A113">
        <v>-7</v>
      </c>
      <c r="B113">
        <v>55</v>
      </c>
      <c r="C113" s="2">
        <f t="shared" si="30"/>
        <v>3.75</v>
      </c>
      <c r="E113">
        <v>50</v>
      </c>
      <c r="G113">
        <f t="shared" si="20"/>
        <v>-7</v>
      </c>
      <c r="H113" s="10">
        <f t="shared" si="21"/>
        <v>55</v>
      </c>
      <c r="I113">
        <f t="shared" si="22"/>
        <v>3.75</v>
      </c>
      <c r="J113">
        <f t="shared" si="23"/>
        <v>49</v>
      </c>
      <c r="K113">
        <f t="shared" si="24"/>
        <v>-385</v>
      </c>
      <c r="L113">
        <f t="shared" si="25"/>
        <v>-26.25</v>
      </c>
      <c r="M113">
        <f t="shared" si="26"/>
        <v>3025</v>
      </c>
      <c r="N113">
        <f t="shared" si="27"/>
        <v>206.25</v>
      </c>
      <c r="O113">
        <f t="shared" si="28"/>
        <v>14.0625</v>
      </c>
      <c r="Q113" s="11">
        <f t="shared" si="31"/>
        <v>58.730524614718341</v>
      </c>
      <c r="R113" s="12">
        <f t="shared" si="29"/>
        <v>0.17461049229436681</v>
      </c>
    </row>
    <row r="114" spans="1:18" x14ac:dyDescent="0.25">
      <c r="A114">
        <v>-7</v>
      </c>
      <c r="B114">
        <v>55</v>
      </c>
      <c r="C114" s="2">
        <f t="shared" si="30"/>
        <v>8.39</v>
      </c>
      <c r="E114">
        <v>120</v>
      </c>
      <c r="G114">
        <f t="shared" si="20"/>
        <v>-7</v>
      </c>
      <c r="H114" s="10">
        <f t="shared" si="21"/>
        <v>55</v>
      </c>
      <c r="I114">
        <f t="shared" si="22"/>
        <v>8.39</v>
      </c>
      <c r="J114">
        <f t="shared" si="23"/>
        <v>49</v>
      </c>
      <c r="K114">
        <f t="shared" si="24"/>
        <v>-385</v>
      </c>
      <c r="L114">
        <f t="shared" si="25"/>
        <v>-58.730000000000004</v>
      </c>
      <c r="M114">
        <f t="shared" si="26"/>
        <v>3025</v>
      </c>
      <c r="N114">
        <f t="shared" si="27"/>
        <v>461.45000000000005</v>
      </c>
      <c r="O114">
        <f t="shared" si="28"/>
        <v>70.392100000000013</v>
      </c>
      <c r="Q114" s="11">
        <f t="shared" si="31"/>
        <v>127.23270033453514</v>
      </c>
      <c r="R114" s="12">
        <f t="shared" si="29"/>
        <v>6.0272502787792823E-2</v>
      </c>
    </row>
    <row r="115" spans="1:18" x14ac:dyDescent="0.25">
      <c r="A115">
        <v>2</v>
      </c>
      <c r="B115">
        <v>55</v>
      </c>
      <c r="C115" s="2">
        <f t="shared" si="30"/>
        <v>4.8899999999999997</v>
      </c>
      <c r="E115">
        <v>50</v>
      </c>
      <c r="G115">
        <f t="shared" si="20"/>
        <v>2</v>
      </c>
      <c r="H115" s="10">
        <f t="shared" si="21"/>
        <v>55</v>
      </c>
      <c r="I115">
        <f t="shared" si="22"/>
        <v>4.8899999999999997</v>
      </c>
      <c r="J115">
        <f t="shared" si="23"/>
        <v>4</v>
      </c>
      <c r="K115">
        <f t="shared" si="24"/>
        <v>110</v>
      </c>
      <c r="L115">
        <f t="shared" si="25"/>
        <v>9.7799999999999994</v>
      </c>
      <c r="M115">
        <f t="shared" si="26"/>
        <v>3025</v>
      </c>
      <c r="N115">
        <f t="shared" si="27"/>
        <v>268.95</v>
      </c>
      <c r="O115">
        <f t="shared" si="28"/>
        <v>23.912099999999995</v>
      </c>
      <c r="Q115" s="11">
        <f t="shared" si="31"/>
        <v>50.058914181279839</v>
      </c>
      <c r="R115" s="12">
        <f t="shared" si="29"/>
        <v>1.1782836255967767E-3</v>
      </c>
    </row>
    <row r="116" spans="1:18" x14ac:dyDescent="0.25">
      <c r="A116">
        <v>2</v>
      </c>
      <c r="B116">
        <v>55</v>
      </c>
      <c r="C116" s="2">
        <f t="shared" si="30"/>
        <v>10</v>
      </c>
      <c r="E116">
        <v>120</v>
      </c>
      <c r="G116">
        <f t="shared" si="20"/>
        <v>2</v>
      </c>
      <c r="H116" s="10">
        <f t="shared" si="21"/>
        <v>55</v>
      </c>
      <c r="I116">
        <f t="shared" si="22"/>
        <v>10</v>
      </c>
      <c r="J116">
        <f t="shared" si="23"/>
        <v>4</v>
      </c>
      <c r="K116">
        <f t="shared" si="24"/>
        <v>110</v>
      </c>
      <c r="L116">
        <f t="shared" si="25"/>
        <v>20</v>
      </c>
      <c r="M116">
        <f t="shared" si="26"/>
        <v>3025</v>
      </c>
      <c r="N116">
        <f t="shared" si="27"/>
        <v>550</v>
      </c>
      <c r="O116">
        <f t="shared" si="28"/>
        <v>100</v>
      </c>
      <c r="Q116" s="11">
        <f t="shared" si="31"/>
        <v>114.25877338574163</v>
      </c>
      <c r="R116" s="12">
        <f t="shared" si="29"/>
        <v>-4.7843555118819721E-2</v>
      </c>
    </row>
    <row r="117" spans="1:18" x14ac:dyDescent="0.25">
      <c r="A117">
        <v>7</v>
      </c>
      <c r="B117">
        <v>55</v>
      </c>
      <c r="C117" s="2">
        <f t="shared" si="30"/>
        <v>2.69</v>
      </c>
      <c r="E117">
        <v>20</v>
      </c>
      <c r="G117">
        <f t="shared" si="20"/>
        <v>7</v>
      </c>
      <c r="H117" s="10">
        <f t="shared" si="21"/>
        <v>55</v>
      </c>
      <c r="I117">
        <f t="shared" si="22"/>
        <v>2.69</v>
      </c>
      <c r="J117">
        <f t="shared" si="23"/>
        <v>49</v>
      </c>
      <c r="K117">
        <f t="shared" si="24"/>
        <v>385</v>
      </c>
      <c r="L117">
        <f t="shared" si="25"/>
        <v>18.829999999999998</v>
      </c>
      <c r="M117">
        <f t="shared" si="26"/>
        <v>3025</v>
      </c>
      <c r="N117">
        <f t="shared" si="27"/>
        <v>147.94999999999999</v>
      </c>
      <c r="O117">
        <f t="shared" si="28"/>
        <v>7.2360999999999995</v>
      </c>
      <c r="Q117" s="11">
        <f t="shared" si="31"/>
        <v>15.834879406326765</v>
      </c>
      <c r="R117" s="12">
        <f t="shared" si="29"/>
        <v>-0.20825602968366175</v>
      </c>
    </row>
    <row r="118" spans="1:18" x14ac:dyDescent="0.25">
      <c r="A118">
        <v>7</v>
      </c>
      <c r="B118">
        <v>55</v>
      </c>
      <c r="C118" s="2">
        <f t="shared" si="30"/>
        <v>5.6</v>
      </c>
      <c r="E118">
        <v>50</v>
      </c>
      <c r="G118">
        <f t="shared" si="20"/>
        <v>7</v>
      </c>
      <c r="H118" s="10">
        <f t="shared" si="21"/>
        <v>55</v>
      </c>
      <c r="I118">
        <f t="shared" si="22"/>
        <v>5.6</v>
      </c>
      <c r="J118">
        <f t="shared" si="23"/>
        <v>49</v>
      </c>
      <c r="K118">
        <f t="shared" si="24"/>
        <v>385</v>
      </c>
      <c r="L118">
        <f t="shared" si="25"/>
        <v>39.199999999999996</v>
      </c>
      <c r="M118">
        <f t="shared" si="26"/>
        <v>3025</v>
      </c>
      <c r="N118">
        <f t="shared" si="27"/>
        <v>308</v>
      </c>
      <c r="O118">
        <f t="shared" si="28"/>
        <v>31.359999999999996</v>
      </c>
      <c r="Q118" s="11">
        <f t="shared" si="31"/>
        <v>43.472441513530953</v>
      </c>
      <c r="R118" s="12">
        <f t="shared" si="29"/>
        <v>-0.13055116972938094</v>
      </c>
    </row>
    <row r="119" spans="1:18" x14ac:dyDescent="0.25">
      <c r="A119">
        <v>7</v>
      </c>
      <c r="B119">
        <v>55</v>
      </c>
      <c r="C119" s="2">
        <f t="shared" si="30"/>
        <v>11.66</v>
      </c>
      <c r="E119">
        <v>120</v>
      </c>
      <c r="G119">
        <f t="shared" si="20"/>
        <v>7</v>
      </c>
      <c r="H119" s="10">
        <f t="shared" si="21"/>
        <v>55</v>
      </c>
      <c r="I119">
        <f t="shared" si="22"/>
        <v>11.66</v>
      </c>
      <c r="J119">
        <f t="shared" si="23"/>
        <v>49</v>
      </c>
      <c r="K119">
        <f t="shared" si="24"/>
        <v>385</v>
      </c>
      <c r="L119">
        <f t="shared" si="25"/>
        <v>81.62</v>
      </c>
      <c r="M119">
        <f t="shared" si="26"/>
        <v>3025</v>
      </c>
      <c r="N119">
        <f t="shared" si="27"/>
        <v>641.29999999999995</v>
      </c>
      <c r="O119">
        <f t="shared" si="28"/>
        <v>135.9556</v>
      </c>
      <c r="Q119" s="11">
        <f t="shared" si="31"/>
        <v>113.3595603664203</v>
      </c>
      <c r="R119" s="12">
        <f t="shared" si="29"/>
        <v>-5.5336996946497526E-2</v>
      </c>
    </row>
    <row r="120" spans="1:18" x14ac:dyDescent="0.25">
      <c r="A120">
        <v>12</v>
      </c>
      <c r="B120">
        <v>55</v>
      </c>
      <c r="C120" s="2">
        <f t="shared" si="30"/>
        <v>3.21</v>
      </c>
      <c r="E120">
        <v>20</v>
      </c>
      <c r="G120">
        <f t="shared" si="20"/>
        <v>12</v>
      </c>
      <c r="H120" s="10">
        <f t="shared" si="21"/>
        <v>55</v>
      </c>
      <c r="I120">
        <f t="shared" si="22"/>
        <v>3.21</v>
      </c>
      <c r="J120">
        <f t="shared" si="23"/>
        <v>144</v>
      </c>
      <c r="K120">
        <f t="shared" si="24"/>
        <v>660</v>
      </c>
      <c r="L120">
        <f t="shared" si="25"/>
        <v>38.519999999999996</v>
      </c>
      <c r="M120">
        <f t="shared" si="26"/>
        <v>3025</v>
      </c>
      <c r="N120">
        <f t="shared" si="27"/>
        <v>176.55</v>
      </c>
      <c r="O120">
        <f t="shared" si="28"/>
        <v>10.3041</v>
      </c>
      <c r="Q120" s="11">
        <f t="shared" si="31"/>
        <v>9.4292980450279291</v>
      </c>
      <c r="R120" s="12">
        <f t="shared" si="29"/>
        <v>-0.52853509774860352</v>
      </c>
    </row>
    <row r="121" spans="1:18" x14ac:dyDescent="0.25">
      <c r="A121">
        <v>12</v>
      </c>
      <c r="B121">
        <v>55</v>
      </c>
      <c r="C121" s="2">
        <f t="shared" si="30"/>
        <v>6.52</v>
      </c>
      <c r="E121">
        <v>50</v>
      </c>
      <c r="G121">
        <f t="shared" si="20"/>
        <v>12</v>
      </c>
      <c r="H121" s="10">
        <f t="shared" si="21"/>
        <v>55</v>
      </c>
      <c r="I121">
        <f t="shared" si="22"/>
        <v>6.52</v>
      </c>
      <c r="J121">
        <f t="shared" si="23"/>
        <v>144</v>
      </c>
      <c r="K121">
        <f t="shared" si="24"/>
        <v>660</v>
      </c>
      <c r="L121">
        <f t="shared" si="25"/>
        <v>78.239999999999995</v>
      </c>
      <c r="M121">
        <f t="shared" si="26"/>
        <v>3025</v>
      </c>
      <c r="N121">
        <f t="shared" si="27"/>
        <v>358.59999999999997</v>
      </c>
      <c r="O121">
        <f t="shared" si="28"/>
        <v>42.510399999999997</v>
      </c>
      <c r="Q121" s="11">
        <f t="shared" si="31"/>
        <v>36.754683107752527</v>
      </c>
      <c r="R121" s="12">
        <f t="shared" si="29"/>
        <v>-0.26490633784494944</v>
      </c>
    </row>
    <row r="122" spans="1:18" x14ac:dyDescent="0.25">
      <c r="A122">
        <v>12</v>
      </c>
      <c r="B122">
        <v>55</v>
      </c>
      <c r="C122" s="2">
        <f t="shared" si="30"/>
        <v>13.9</v>
      </c>
      <c r="E122">
        <v>120</v>
      </c>
      <c r="G122">
        <f t="shared" si="20"/>
        <v>12</v>
      </c>
      <c r="H122" s="10">
        <f t="shared" si="21"/>
        <v>55</v>
      </c>
      <c r="I122">
        <f t="shared" si="22"/>
        <v>13.9</v>
      </c>
      <c r="J122">
        <f t="shared" si="23"/>
        <v>144</v>
      </c>
      <c r="K122">
        <f t="shared" si="24"/>
        <v>660</v>
      </c>
      <c r="L122">
        <f t="shared" si="25"/>
        <v>166.8</v>
      </c>
      <c r="M122">
        <f t="shared" si="26"/>
        <v>3025</v>
      </c>
      <c r="N122">
        <f t="shared" si="27"/>
        <v>764.5</v>
      </c>
      <c r="O122">
        <f t="shared" si="28"/>
        <v>193.21</v>
      </c>
      <c r="Q122" s="11">
        <f t="shared" si="31"/>
        <v>115.57836037028397</v>
      </c>
      <c r="R122" s="12">
        <f t="shared" si="29"/>
        <v>-3.6846996914300219E-2</v>
      </c>
    </row>
    <row r="123" spans="1:18" x14ac:dyDescent="0.25">
      <c r="A123">
        <v>-15</v>
      </c>
      <c r="B123">
        <v>55</v>
      </c>
      <c r="C123" s="2">
        <f t="shared" si="30"/>
        <v>2.83</v>
      </c>
      <c r="E123">
        <v>50</v>
      </c>
      <c r="G123">
        <f t="shared" si="20"/>
        <v>-15</v>
      </c>
      <c r="H123" s="10">
        <f t="shared" si="21"/>
        <v>55</v>
      </c>
      <c r="I123">
        <f t="shared" si="22"/>
        <v>2.83</v>
      </c>
      <c r="J123">
        <f t="shared" si="23"/>
        <v>225</v>
      </c>
      <c r="K123">
        <f t="shared" si="24"/>
        <v>-825</v>
      </c>
      <c r="L123">
        <f t="shared" si="25"/>
        <v>-42.45</v>
      </c>
      <c r="M123">
        <f t="shared" si="26"/>
        <v>3025</v>
      </c>
      <c r="N123">
        <f t="shared" si="27"/>
        <v>155.65</v>
      </c>
      <c r="O123">
        <f t="shared" si="28"/>
        <v>8.0089000000000006</v>
      </c>
      <c r="Q123" s="11">
        <f t="shared" si="31"/>
        <v>62.964456329160711</v>
      </c>
      <c r="R123" s="12">
        <f t="shared" si="29"/>
        <v>0.25928912658321424</v>
      </c>
    </row>
    <row r="124" spans="1:18" x14ac:dyDescent="0.25">
      <c r="A124">
        <v>-15</v>
      </c>
      <c r="B124">
        <v>55</v>
      </c>
      <c r="C124" s="2">
        <f t="shared" si="30"/>
        <v>6.77</v>
      </c>
      <c r="E124">
        <v>120</v>
      </c>
      <c r="G124">
        <f t="shared" si="20"/>
        <v>-15</v>
      </c>
      <c r="H124" s="10">
        <f t="shared" si="21"/>
        <v>55</v>
      </c>
      <c r="I124">
        <f t="shared" si="22"/>
        <v>6.77</v>
      </c>
      <c r="J124">
        <f t="shared" si="23"/>
        <v>225</v>
      </c>
      <c r="K124">
        <f t="shared" si="24"/>
        <v>-825</v>
      </c>
      <c r="L124">
        <f t="shared" si="25"/>
        <v>-101.55</v>
      </c>
      <c r="M124">
        <f t="shared" si="26"/>
        <v>3025</v>
      </c>
      <c r="N124">
        <f t="shared" si="27"/>
        <v>372.34999999999997</v>
      </c>
      <c r="O124">
        <f t="shared" si="28"/>
        <v>45.832899999999995</v>
      </c>
      <c r="Q124" s="11">
        <f t="shared" si="31"/>
        <v>128.75111752923323</v>
      </c>
      <c r="R124" s="12">
        <f t="shared" si="29"/>
        <v>7.2925979410276884E-2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2289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2289" r:id="rId4"/>
      </mc:Fallback>
    </mc:AlternateContent>
    <mc:AlternateContent xmlns:mc="http://schemas.openxmlformats.org/markup-compatibility/2006">
      <mc:Choice Requires="x14">
        <oleObject progId="Equation.3" shapeId="12290" r:id="rId6">
          <objectPr defaultSize="0" autoPict="0" r:id="rId5">
            <anchor moveWithCells="1" sizeWithCells="1">
              <from>
                <xdr:col>6</xdr:col>
                <xdr:colOff>171450</xdr:colOff>
                <xdr:row>44</xdr:row>
                <xdr:rowOff>38100</xdr:rowOff>
              </from>
              <to>
                <xdr:col>14</xdr:col>
                <xdr:colOff>1466850</xdr:colOff>
                <xdr:row>44</xdr:row>
                <xdr:rowOff>647700</xdr:rowOff>
              </to>
            </anchor>
          </objectPr>
        </oleObject>
      </mc:Choice>
      <mc:Fallback>
        <oleObject progId="Equation.3" shapeId="12290" r:id="rId6"/>
      </mc:Fallback>
    </mc:AlternateContent>
    <mc:AlternateContent xmlns:mc="http://schemas.openxmlformats.org/markup-compatibility/2006">
      <mc:Choice Requires="x14">
        <oleObject progId="Equation.3" shapeId="12291" r:id="rId7">
          <objectPr defaultSize="0" autoPict="0" r:id="rId5">
            <anchor moveWithCells="1" sizeWithCells="1">
              <from>
                <xdr:col>6</xdr:col>
                <xdr:colOff>171450</xdr:colOff>
                <xdr:row>86</xdr:row>
                <xdr:rowOff>38100</xdr:rowOff>
              </from>
              <to>
                <xdr:col>14</xdr:col>
                <xdr:colOff>1466850</xdr:colOff>
                <xdr:row>86</xdr:row>
                <xdr:rowOff>647700</xdr:rowOff>
              </to>
            </anchor>
          </objectPr>
        </oleObject>
      </mc:Choice>
      <mc:Fallback>
        <oleObject progId="Equation.3" shapeId="12291" r:id="rId7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List13"/>
  <dimension ref="A1:T130"/>
  <sheetViews>
    <sheetView zoomScale="70" zoomScaleNormal="70" workbookViewId="0">
      <selection activeCell="D92" sqref="D9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LINEST(E4:E42,G4:O42)</f>
        <v>-5.0999204948795282E-4</v>
      </c>
      <c r="H2" s="4">
        <v>-1.6147303409099891E-4</v>
      </c>
      <c r="I2" s="4">
        <v>-2.6923076923093108E-5</v>
      </c>
      <c r="J2" s="4">
        <v>2.5081153629591705E-3</v>
      </c>
      <c r="K2" s="4">
        <v>3.5888263888704389E-4</v>
      </c>
      <c r="L2" s="4">
        <v>8.8053974638848311E-3</v>
      </c>
      <c r="M2" s="4">
        <v>0.21096179611487689</v>
      </c>
      <c r="N2" s="4">
        <v>1.9086283914151871E-2</v>
      </c>
      <c r="O2" s="4">
        <v>0.11857571613001437</v>
      </c>
      <c r="P2" s="4">
        <v>-1.5438062293842836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5.77</v>
      </c>
      <c r="F4" s="2"/>
      <c r="G4">
        <f t="shared" ref="G4:I42" si="0">A4</f>
        <v>-15</v>
      </c>
      <c r="H4" s="10">
        <f t="shared" si="0"/>
        <v>35</v>
      </c>
      <c r="I4">
        <f t="shared" si="0"/>
        <v>50</v>
      </c>
      <c r="J4">
        <f t="shared" ref="J4:J42" si="1">G4^2</f>
        <v>225</v>
      </c>
      <c r="K4">
        <f t="shared" ref="K4:K42" si="2">G4*H4</f>
        <v>-525</v>
      </c>
      <c r="L4">
        <f t="shared" ref="L4:L42" si="3">G4*I4</f>
        <v>-750</v>
      </c>
      <c r="M4">
        <f t="shared" ref="M4:M42" si="4">H4^2</f>
        <v>1225</v>
      </c>
      <c r="N4">
        <f t="shared" ref="N4:N42" si="5">H4*I4</f>
        <v>1750</v>
      </c>
      <c r="O4">
        <f t="shared" ref="O4:O42" si="6">I4^2</f>
        <v>2500</v>
      </c>
      <c r="Q4" s="11">
        <f t="shared" ref="Q4:Q42" si="7">$P$2+$O$2*G4+$N$2*H4+$M$2*I4+$L$2*J4+$K$2*K4+$J$2*L4+$I$2*M4+$H$2*N4+$G$2*O4</f>
        <v>6.2148435905337518</v>
      </c>
      <c r="R4" s="12">
        <f t="shared" ref="R4:R42" si="8">(Q4-E4)/E4</f>
        <v>7.7095942900130374E-2</v>
      </c>
      <c r="S4" s="11"/>
      <c r="T4" s="12"/>
    </row>
    <row r="5" spans="1:20" x14ac:dyDescent="0.25">
      <c r="A5">
        <v>-15</v>
      </c>
      <c r="B5">
        <v>35</v>
      </c>
      <c r="C5">
        <v>120</v>
      </c>
      <c r="E5">
        <v>12.05</v>
      </c>
      <c r="F5" s="2"/>
      <c r="G5">
        <f t="shared" si="0"/>
        <v>-15</v>
      </c>
      <c r="H5" s="10">
        <f t="shared" si="0"/>
        <v>35</v>
      </c>
      <c r="I5">
        <f t="shared" si="0"/>
        <v>120</v>
      </c>
      <c r="J5">
        <f t="shared" si="1"/>
        <v>225</v>
      </c>
      <c r="K5">
        <f t="shared" si="2"/>
        <v>-525</v>
      </c>
      <c r="L5">
        <f t="shared" si="3"/>
        <v>-1800</v>
      </c>
      <c r="M5">
        <f t="shared" si="4"/>
        <v>1225</v>
      </c>
      <c r="N5">
        <f t="shared" si="5"/>
        <v>4200</v>
      </c>
      <c r="O5">
        <f t="shared" si="6"/>
        <v>14400</v>
      </c>
      <c r="Q5" s="11">
        <f t="shared" si="7"/>
        <v>11.884133865038422</v>
      </c>
      <c r="R5" s="12">
        <f t="shared" si="8"/>
        <v>-1.3764824478139343E-2</v>
      </c>
      <c r="S5" s="11"/>
      <c r="T5" s="12"/>
    </row>
    <row r="6" spans="1:20" x14ac:dyDescent="0.25">
      <c r="A6">
        <v>-7</v>
      </c>
      <c r="B6">
        <v>35</v>
      </c>
      <c r="C6">
        <v>50</v>
      </c>
      <c r="E6">
        <v>7.29</v>
      </c>
      <c r="F6" s="2"/>
      <c r="G6">
        <f t="shared" si="0"/>
        <v>-7</v>
      </c>
      <c r="H6" s="10">
        <f t="shared" si="0"/>
        <v>35</v>
      </c>
      <c r="I6">
        <f t="shared" si="0"/>
        <v>50</v>
      </c>
      <c r="J6">
        <f t="shared" si="1"/>
        <v>49</v>
      </c>
      <c r="K6">
        <f t="shared" si="2"/>
        <v>-245</v>
      </c>
      <c r="L6">
        <f t="shared" si="3"/>
        <v>-350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6.717432650002177</v>
      </c>
      <c r="R6" s="12">
        <f t="shared" si="8"/>
        <v>-7.8541474622472296E-2</v>
      </c>
      <c r="S6" s="11"/>
      <c r="T6" s="12"/>
    </row>
    <row r="7" spans="1:20" x14ac:dyDescent="0.25">
      <c r="A7">
        <v>-7</v>
      </c>
      <c r="B7">
        <v>35</v>
      </c>
      <c r="C7">
        <v>120</v>
      </c>
      <c r="E7">
        <v>14.97</v>
      </c>
      <c r="F7" s="2"/>
      <c r="G7">
        <f t="shared" si="0"/>
        <v>-7</v>
      </c>
      <c r="H7" s="10">
        <f t="shared" si="0"/>
        <v>35</v>
      </c>
      <c r="I7">
        <f t="shared" si="0"/>
        <v>120</v>
      </c>
      <c r="J7">
        <f t="shared" si="1"/>
        <v>49</v>
      </c>
      <c r="K7">
        <f t="shared" si="2"/>
        <v>-245</v>
      </c>
      <c r="L7">
        <f t="shared" si="3"/>
        <v>-840</v>
      </c>
      <c r="M7">
        <f t="shared" si="4"/>
        <v>1225</v>
      </c>
      <c r="N7">
        <f t="shared" si="5"/>
        <v>4200</v>
      </c>
      <c r="O7">
        <f t="shared" si="6"/>
        <v>14400</v>
      </c>
      <c r="Q7" s="11">
        <f t="shared" si="7"/>
        <v>13.791267527763981</v>
      </c>
      <c r="R7" s="12">
        <f t="shared" si="8"/>
        <v>-7.8739644103942505E-2</v>
      </c>
      <c r="S7" s="11"/>
      <c r="T7" s="12"/>
    </row>
    <row r="8" spans="1:20" x14ac:dyDescent="0.25">
      <c r="A8">
        <v>2</v>
      </c>
      <c r="B8">
        <v>35</v>
      </c>
      <c r="C8">
        <v>20</v>
      </c>
      <c r="E8">
        <v>3.72</v>
      </c>
      <c r="F8" s="2"/>
      <c r="G8">
        <f t="shared" si="0"/>
        <v>2</v>
      </c>
      <c r="H8" s="10">
        <f t="shared" si="0"/>
        <v>35</v>
      </c>
      <c r="I8">
        <f t="shared" si="0"/>
        <v>20</v>
      </c>
      <c r="J8">
        <f t="shared" si="1"/>
        <v>4</v>
      </c>
      <c r="K8">
        <f t="shared" si="2"/>
        <v>70</v>
      </c>
      <c r="L8">
        <f t="shared" si="3"/>
        <v>40</v>
      </c>
      <c r="M8">
        <f t="shared" si="4"/>
        <v>1225</v>
      </c>
      <c r="N8">
        <f t="shared" si="5"/>
        <v>700</v>
      </c>
      <c r="O8">
        <f t="shared" si="6"/>
        <v>400</v>
      </c>
      <c r="Q8" s="11">
        <f t="shared" si="7"/>
        <v>3.3912603383749289</v>
      </c>
      <c r="R8" s="12">
        <f t="shared" si="8"/>
        <v>-8.8370876780933139E-2</v>
      </c>
      <c r="S8" s="11"/>
      <c r="T8" s="12"/>
    </row>
    <row r="9" spans="1:20" x14ac:dyDescent="0.25">
      <c r="A9">
        <v>2</v>
      </c>
      <c r="B9">
        <v>35</v>
      </c>
      <c r="C9">
        <v>50</v>
      </c>
      <c r="E9">
        <v>8.27</v>
      </c>
      <c r="F9" s="2"/>
      <c r="G9">
        <f t="shared" si="0"/>
        <v>2</v>
      </c>
      <c r="H9" s="10">
        <f t="shared" si="0"/>
        <v>35</v>
      </c>
      <c r="I9">
        <f t="shared" si="0"/>
        <v>50</v>
      </c>
      <c r="J9">
        <f t="shared" si="1"/>
        <v>4</v>
      </c>
      <c r="K9">
        <f t="shared" si="2"/>
        <v>70</v>
      </c>
      <c r="L9">
        <f t="shared" si="3"/>
        <v>100</v>
      </c>
      <c r="M9">
        <f t="shared" si="4"/>
        <v>1225</v>
      </c>
      <c r="N9">
        <f t="shared" si="5"/>
        <v>1750</v>
      </c>
      <c r="O9">
        <f t="shared" si="6"/>
        <v>2500</v>
      </c>
      <c r="Q9" s="11">
        <f t="shared" si="7"/>
        <v>8.630071153878534</v>
      </c>
      <c r="R9" s="12">
        <f t="shared" si="8"/>
        <v>4.3539438195711537E-2</v>
      </c>
      <c r="S9" s="11"/>
      <c r="T9" s="12"/>
    </row>
    <row r="10" spans="1:20" x14ac:dyDescent="0.25">
      <c r="A10">
        <v>2</v>
      </c>
      <c r="B10">
        <v>35</v>
      </c>
      <c r="C10">
        <v>120</v>
      </c>
      <c r="E10">
        <v>15.39</v>
      </c>
      <c r="F10" s="2"/>
      <c r="G10">
        <f t="shared" si="0"/>
        <v>2</v>
      </c>
      <c r="H10" s="10">
        <f t="shared" si="0"/>
        <v>35</v>
      </c>
      <c r="I10">
        <f t="shared" si="0"/>
        <v>120</v>
      </c>
      <c r="J10">
        <f t="shared" si="1"/>
        <v>4</v>
      </c>
      <c r="K10">
        <f t="shared" si="2"/>
        <v>70</v>
      </c>
      <c r="L10">
        <f t="shared" si="3"/>
        <v>240</v>
      </c>
      <c r="M10">
        <f t="shared" si="4"/>
        <v>1225</v>
      </c>
      <c r="N10">
        <f t="shared" si="5"/>
        <v>4200</v>
      </c>
      <c r="O10">
        <f t="shared" si="6"/>
        <v>14400</v>
      </c>
      <c r="Q10" s="11">
        <f t="shared" si="7"/>
        <v>17.284018710304615</v>
      </c>
      <c r="R10" s="12">
        <f t="shared" si="8"/>
        <v>0.12306814231998793</v>
      </c>
      <c r="S10" s="11"/>
      <c r="T10" s="12"/>
    </row>
    <row r="11" spans="1:20" x14ac:dyDescent="0.25">
      <c r="A11">
        <v>7</v>
      </c>
      <c r="B11">
        <v>35</v>
      </c>
      <c r="C11">
        <v>20</v>
      </c>
      <c r="E11">
        <v>4.74</v>
      </c>
      <c r="F11" s="2"/>
      <c r="G11">
        <f t="shared" si="0"/>
        <v>7</v>
      </c>
      <c r="H11" s="10">
        <f t="shared" si="0"/>
        <v>35</v>
      </c>
      <c r="I11">
        <f t="shared" si="0"/>
        <v>20</v>
      </c>
      <c r="J11">
        <f t="shared" si="1"/>
        <v>49</v>
      </c>
      <c r="K11">
        <f t="shared" si="2"/>
        <v>245</v>
      </c>
      <c r="L11">
        <f t="shared" si="3"/>
        <v>140</v>
      </c>
      <c r="M11">
        <f t="shared" si="4"/>
        <v>1225</v>
      </c>
      <c r="N11">
        <f t="shared" si="5"/>
        <v>700</v>
      </c>
      <c r="O11">
        <f t="shared" si="6"/>
        <v>400</v>
      </c>
      <c r="Q11" s="11">
        <f t="shared" si="7"/>
        <v>4.6939978030009684</v>
      </c>
      <c r="R11" s="12">
        <f t="shared" si="8"/>
        <v>-9.7051048521164234E-3</v>
      </c>
      <c r="S11" s="11"/>
      <c r="T11" s="12"/>
    </row>
    <row r="12" spans="1:20" x14ac:dyDescent="0.25">
      <c r="A12">
        <v>7</v>
      </c>
      <c r="B12">
        <v>35</v>
      </c>
      <c r="C12">
        <v>50</v>
      </c>
      <c r="E12">
        <v>10.3</v>
      </c>
      <c r="F12" s="2"/>
      <c r="G12">
        <f t="shared" si="0"/>
        <v>7</v>
      </c>
      <c r="H12" s="10">
        <f t="shared" si="0"/>
        <v>35</v>
      </c>
      <c r="I12">
        <f t="shared" si="0"/>
        <v>50</v>
      </c>
      <c r="J12">
        <f t="shared" si="1"/>
        <v>49</v>
      </c>
      <c r="K12">
        <f t="shared" si="2"/>
        <v>245</v>
      </c>
      <c r="L12">
        <f t="shared" si="3"/>
        <v>350</v>
      </c>
      <c r="M12">
        <f t="shared" si="4"/>
        <v>1225</v>
      </c>
      <c r="N12">
        <f t="shared" si="5"/>
        <v>1750</v>
      </c>
      <c r="O12">
        <f t="shared" si="6"/>
        <v>2500</v>
      </c>
      <c r="Q12" s="11">
        <f t="shared" si="7"/>
        <v>10.30902592294845</v>
      </c>
      <c r="R12" s="12">
        <f t="shared" si="8"/>
        <v>8.7630319887859267E-4</v>
      </c>
      <c r="S12" s="11"/>
      <c r="T12" s="12"/>
    </row>
    <row r="13" spans="1:20" x14ac:dyDescent="0.25">
      <c r="A13">
        <v>7</v>
      </c>
      <c r="B13">
        <v>35</v>
      </c>
      <c r="C13">
        <v>120</v>
      </c>
      <c r="E13">
        <v>18.510000000000002</v>
      </c>
      <c r="F13" s="2"/>
      <c r="G13">
        <f t="shared" si="0"/>
        <v>7</v>
      </c>
      <c r="H13" s="10">
        <f t="shared" si="0"/>
        <v>35</v>
      </c>
      <c r="I13">
        <f t="shared" si="0"/>
        <v>120</v>
      </c>
      <c r="J13">
        <f t="shared" si="1"/>
        <v>49</v>
      </c>
      <c r="K13">
        <f t="shared" si="2"/>
        <v>245</v>
      </c>
      <c r="L13">
        <f t="shared" si="3"/>
        <v>840</v>
      </c>
      <c r="M13">
        <f t="shared" si="4"/>
        <v>1225</v>
      </c>
      <c r="N13">
        <f t="shared" si="5"/>
        <v>4200</v>
      </c>
      <c r="O13">
        <f t="shared" si="6"/>
        <v>14400</v>
      </c>
      <c r="Q13" s="11">
        <f t="shared" si="7"/>
        <v>19.840813856410243</v>
      </c>
      <c r="R13" s="12">
        <f t="shared" si="8"/>
        <v>7.1897020875755877E-2</v>
      </c>
      <c r="S13" s="11"/>
      <c r="T13" s="12"/>
    </row>
    <row r="14" spans="1:20" x14ac:dyDescent="0.25">
      <c r="A14">
        <v>12</v>
      </c>
      <c r="B14">
        <v>35</v>
      </c>
      <c r="C14">
        <v>20</v>
      </c>
      <c r="E14">
        <v>5.48</v>
      </c>
      <c r="F14" s="2"/>
      <c r="G14">
        <f t="shared" si="0"/>
        <v>12</v>
      </c>
      <c r="H14" s="10">
        <f t="shared" si="0"/>
        <v>35</v>
      </c>
      <c r="I14">
        <f t="shared" si="0"/>
        <v>20</v>
      </c>
      <c r="J14">
        <f t="shared" si="1"/>
        <v>144</v>
      </c>
      <c r="K14">
        <f t="shared" si="2"/>
        <v>420</v>
      </c>
      <c r="L14">
        <f t="shared" si="3"/>
        <v>240</v>
      </c>
      <c r="M14">
        <f t="shared" si="4"/>
        <v>1225</v>
      </c>
      <c r="N14">
        <f t="shared" si="5"/>
        <v>700</v>
      </c>
      <c r="O14">
        <f t="shared" si="6"/>
        <v>400</v>
      </c>
      <c r="Q14" s="11">
        <f t="shared" si="7"/>
        <v>6.4370051408212481</v>
      </c>
      <c r="R14" s="12">
        <f t="shared" si="8"/>
        <v>0.17463597460241745</v>
      </c>
      <c r="S14" s="11"/>
      <c r="T14" s="12"/>
    </row>
    <row r="15" spans="1:20" x14ac:dyDescent="0.25">
      <c r="A15">
        <v>12</v>
      </c>
      <c r="B15">
        <v>35</v>
      </c>
      <c r="C15">
        <v>50</v>
      </c>
      <c r="E15">
        <v>13.5</v>
      </c>
      <c r="F15" s="2"/>
      <c r="G15">
        <f t="shared" si="0"/>
        <v>12</v>
      </c>
      <c r="H15" s="10">
        <f t="shared" si="0"/>
        <v>35</v>
      </c>
      <c r="I15">
        <f t="shared" si="0"/>
        <v>50</v>
      </c>
      <c r="J15">
        <f t="shared" si="1"/>
        <v>144</v>
      </c>
      <c r="K15">
        <f t="shared" si="2"/>
        <v>420</v>
      </c>
      <c r="L15">
        <f t="shared" si="3"/>
        <v>600</v>
      </c>
      <c r="M15">
        <f t="shared" si="4"/>
        <v>1225</v>
      </c>
      <c r="N15">
        <f t="shared" si="5"/>
        <v>1750</v>
      </c>
      <c r="O15">
        <f t="shared" si="6"/>
        <v>2500</v>
      </c>
      <c r="Q15" s="11">
        <f t="shared" si="7"/>
        <v>12.428250565212606</v>
      </c>
      <c r="R15" s="12">
        <f t="shared" si="8"/>
        <v>-7.9388847021288456E-2</v>
      </c>
      <c r="S15" s="11"/>
      <c r="T15" s="12"/>
    </row>
    <row r="16" spans="1:20" x14ac:dyDescent="0.25">
      <c r="A16">
        <v>12</v>
      </c>
      <c r="B16">
        <v>35</v>
      </c>
      <c r="C16">
        <v>120</v>
      </c>
      <c r="E16">
        <v>24.47</v>
      </c>
      <c r="F16" s="2"/>
      <c r="G16">
        <f t="shared" si="0"/>
        <v>12</v>
      </c>
      <c r="H16" s="10">
        <f t="shared" si="0"/>
        <v>35</v>
      </c>
      <c r="I16">
        <f t="shared" si="0"/>
        <v>120</v>
      </c>
      <c r="J16">
        <f t="shared" si="1"/>
        <v>144</v>
      </c>
      <c r="K16">
        <f t="shared" si="2"/>
        <v>420</v>
      </c>
      <c r="L16">
        <f t="shared" si="3"/>
        <v>1440</v>
      </c>
      <c r="M16">
        <f t="shared" si="4"/>
        <v>1225</v>
      </c>
      <c r="N16">
        <f t="shared" si="5"/>
        <v>4200</v>
      </c>
      <c r="O16">
        <f t="shared" si="6"/>
        <v>14400</v>
      </c>
      <c r="Q16" s="11">
        <f t="shared" si="7"/>
        <v>22.837878875710103</v>
      </c>
      <c r="R16" s="12">
        <f t="shared" si="8"/>
        <v>-6.6698860821001044E-2</v>
      </c>
      <c r="S16" s="11"/>
      <c r="T16" s="12"/>
    </row>
    <row r="17" spans="1:20" x14ac:dyDescent="0.25">
      <c r="A17">
        <v>-15</v>
      </c>
      <c r="B17">
        <v>45</v>
      </c>
      <c r="C17">
        <v>50</v>
      </c>
      <c r="E17">
        <v>5.64</v>
      </c>
      <c r="F17" s="2"/>
      <c r="G17">
        <f t="shared" si="0"/>
        <v>-15</v>
      </c>
      <c r="H17" s="10">
        <f t="shared" si="0"/>
        <v>45</v>
      </c>
      <c r="I17">
        <f t="shared" si="0"/>
        <v>50</v>
      </c>
      <c r="J17">
        <f t="shared" si="1"/>
        <v>225</v>
      </c>
      <c r="K17">
        <f t="shared" si="2"/>
        <v>-675</v>
      </c>
      <c r="L17">
        <f t="shared" si="3"/>
        <v>-750</v>
      </c>
      <c r="M17">
        <f t="shared" si="4"/>
        <v>2025</v>
      </c>
      <c r="N17">
        <f t="shared" si="5"/>
        <v>2250</v>
      </c>
      <c r="O17">
        <f t="shared" si="6"/>
        <v>2500</v>
      </c>
      <c r="Q17" s="11">
        <f t="shared" si="7"/>
        <v>6.2495990552582406</v>
      </c>
      <c r="R17" s="12">
        <f t="shared" si="8"/>
        <v>0.10808493887557463</v>
      </c>
      <c r="S17" s="11"/>
      <c r="T17" s="12"/>
    </row>
    <row r="18" spans="1:20" x14ac:dyDescent="0.25">
      <c r="A18">
        <v>-15</v>
      </c>
      <c r="B18">
        <v>45</v>
      </c>
      <c r="C18">
        <v>120</v>
      </c>
      <c r="E18">
        <v>11.91</v>
      </c>
      <c r="F18" s="2"/>
      <c r="G18">
        <f t="shared" si="0"/>
        <v>-15</v>
      </c>
      <c r="H18" s="10">
        <f t="shared" si="0"/>
        <v>45</v>
      </c>
      <c r="I18">
        <f t="shared" si="0"/>
        <v>120</v>
      </c>
      <c r="J18">
        <f t="shared" si="1"/>
        <v>225</v>
      </c>
      <c r="K18">
        <f t="shared" si="2"/>
        <v>-675</v>
      </c>
      <c r="L18">
        <f t="shared" si="3"/>
        <v>-1800</v>
      </c>
      <c r="M18">
        <f t="shared" si="4"/>
        <v>2025</v>
      </c>
      <c r="N18">
        <f t="shared" si="5"/>
        <v>5400</v>
      </c>
      <c r="O18">
        <f t="shared" si="6"/>
        <v>14400</v>
      </c>
      <c r="Q18" s="11">
        <f t="shared" si="7"/>
        <v>11.805858205899209</v>
      </c>
      <c r="R18" s="12">
        <f t="shared" si="8"/>
        <v>-8.7440633166071136E-3</v>
      </c>
      <c r="S18" s="11"/>
      <c r="T18" s="12"/>
    </row>
    <row r="19" spans="1:20" x14ac:dyDescent="0.25">
      <c r="A19">
        <v>-7</v>
      </c>
      <c r="B19">
        <v>45</v>
      </c>
      <c r="C19">
        <v>50</v>
      </c>
      <c r="E19">
        <v>7.11</v>
      </c>
      <c r="F19" s="2"/>
      <c r="G19">
        <f t="shared" si="0"/>
        <v>-7</v>
      </c>
      <c r="H19" s="10">
        <f t="shared" si="0"/>
        <v>45</v>
      </c>
      <c r="I19">
        <f t="shared" si="0"/>
        <v>50</v>
      </c>
      <c r="J19">
        <f t="shared" si="1"/>
        <v>49</v>
      </c>
      <c r="K19">
        <f t="shared" si="2"/>
        <v>-315</v>
      </c>
      <c r="L19">
        <f t="shared" si="3"/>
        <v>-350</v>
      </c>
      <c r="M19">
        <f t="shared" si="4"/>
        <v>2025</v>
      </c>
      <c r="N19">
        <f t="shared" si="5"/>
        <v>2250</v>
      </c>
      <c r="O19">
        <f t="shared" si="6"/>
        <v>2500</v>
      </c>
      <c r="Q19" s="11">
        <f t="shared" si="7"/>
        <v>6.7808987258376288</v>
      </c>
      <c r="R19" s="12">
        <f t="shared" si="8"/>
        <v>-4.6287099038308237E-2</v>
      </c>
      <c r="S19" s="11"/>
      <c r="T19" s="12"/>
    </row>
    <row r="20" spans="1:20" x14ac:dyDescent="0.25">
      <c r="A20">
        <v>-7</v>
      </c>
      <c r="B20">
        <v>45</v>
      </c>
      <c r="C20">
        <v>120</v>
      </c>
      <c r="E20">
        <v>14.72</v>
      </c>
      <c r="F20" s="2"/>
      <c r="G20">
        <f t="shared" si="0"/>
        <v>-7</v>
      </c>
      <c r="H20" s="10">
        <f t="shared" si="0"/>
        <v>45</v>
      </c>
      <c r="I20">
        <f t="shared" si="0"/>
        <v>120</v>
      </c>
      <c r="J20">
        <f t="shared" si="1"/>
        <v>49</v>
      </c>
      <c r="K20">
        <f t="shared" si="2"/>
        <v>-315</v>
      </c>
      <c r="L20">
        <f t="shared" si="3"/>
        <v>-840</v>
      </c>
      <c r="M20">
        <f t="shared" si="4"/>
        <v>2025</v>
      </c>
      <c r="N20">
        <f t="shared" si="5"/>
        <v>5400</v>
      </c>
      <c r="O20">
        <f t="shared" si="6"/>
        <v>14400</v>
      </c>
      <c r="Q20" s="11">
        <f t="shared" si="7"/>
        <v>13.741702479735732</v>
      </c>
      <c r="R20" s="12">
        <f t="shared" si="8"/>
        <v>-6.6460429365779103E-2</v>
      </c>
      <c r="S20" s="11"/>
      <c r="T20" s="12"/>
    </row>
    <row r="21" spans="1:20" x14ac:dyDescent="0.25">
      <c r="A21">
        <v>2</v>
      </c>
      <c r="B21">
        <v>45</v>
      </c>
      <c r="C21">
        <v>20</v>
      </c>
      <c r="E21">
        <v>4.2</v>
      </c>
      <c r="F21" s="2"/>
      <c r="G21">
        <f t="shared" si="0"/>
        <v>2</v>
      </c>
      <c r="H21" s="10">
        <f t="shared" si="0"/>
        <v>45</v>
      </c>
      <c r="I21">
        <f t="shared" si="0"/>
        <v>20</v>
      </c>
      <c r="J21">
        <f t="shared" si="1"/>
        <v>4</v>
      </c>
      <c r="K21">
        <f t="shared" si="2"/>
        <v>90</v>
      </c>
      <c r="L21">
        <f t="shared" si="3"/>
        <v>40</v>
      </c>
      <c r="M21">
        <f t="shared" si="4"/>
        <v>2025</v>
      </c>
      <c r="N21">
        <f t="shared" si="5"/>
        <v>900</v>
      </c>
      <c r="O21">
        <f t="shared" si="6"/>
        <v>400</v>
      </c>
      <c r="Q21" s="11">
        <f t="shared" si="7"/>
        <v>3.5354677619375137</v>
      </c>
      <c r="R21" s="12">
        <f t="shared" si="8"/>
        <v>-0.15822196144344916</v>
      </c>
      <c r="S21" s="11"/>
      <c r="T21" s="12"/>
    </row>
    <row r="22" spans="1:20" x14ac:dyDescent="0.25">
      <c r="A22">
        <v>2</v>
      </c>
      <c r="B22">
        <v>45</v>
      </c>
      <c r="C22">
        <v>50</v>
      </c>
      <c r="E22">
        <v>8.6999999999999993</v>
      </c>
      <c r="G22">
        <f t="shared" si="0"/>
        <v>2</v>
      </c>
      <c r="H22" s="10">
        <f t="shared" si="0"/>
        <v>45</v>
      </c>
      <c r="I22">
        <f t="shared" si="0"/>
        <v>50</v>
      </c>
      <c r="J22">
        <f t="shared" si="1"/>
        <v>4</v>
      </c>
      <c r="K22">
        <f t="shared" si="2"/>
        <v>90</v>
      </c>
      <c r="L22">
        <f t="shared" si="3"/>
        <v>100</v>
      </c>
      <c r="M22">
        <f t="shared" si="4"/>
        <v>2025</v>
      </c>
      <c r="N22">
        <f t="shared" si="5"/>
        <v>2250</v>
      </c>
      <c r="O22">
        <f t="shared" si="6"/>
        <v>2500</v>
      </c>
      <c r="Q22" s="11">
        <f t="shared" si="7"/>
        <v>8.7258366672138195</v>
      </c>
      <c r="R22" s="12">
        <f t="shared" si="8"/>
        <v>2.9697318636574903E-3</v>
      </c>
      <c r="S22" s="11"/>
      <c r="T22" s="12"/>
    </row>
    <row r="23" spans="1:20" x14ac:dyDescent="0.25">
      <c r="A23">
        <v>2</v>
      </c>
      <c r="B23">
        <v>45</v>
      </c>
      <c r="C23">
        <v>120</v>
      </c>
      <c r="E23">
        <v>15.66</v>
      </c>
      <c r="G23">
        <f t="shared" si="0"/>
        <v>2</v>
      </c>
      <c r="H23" s="10">
        <f t="shared" si="0"/>
        <v>45</v>
      </c>
      <c r="I23">
        <f t="shared" si="0"/>
        <v>120</v>
      </c>
      <c r="J23">
        <f t="shared" si="1"/>
        <v>4</v>
      </c>
      <c r="K23">
        <f t="shared" si="2"/>
        <v>90</v>
      </c>
      <c r="L23">
        <f t="shared" si="3"/>
        <v>240</v>
      </c>
      <c r="M23">
        <f t="shared" si="4"/>
        <v>2025</v>
      </c>
      <c r="N23">
        <f t="shared" si="5"/>
        <v>5400</v>
      </c>
      <c r="O23">
        <f t="shared" si="6"/>
        <v>14400</v>
      </c>
      <c r="Q23" s="11">
        <f t="shared" si="7"/>
        <v>17.266753099776199</v>
      </c>
      <c r="R23" s="12">
        <f t="shared" si="8"/>
        <v>0.10260236907893992</v>
      </c>
      <c r="S23" s="11"/>
      <c r="T23" s="12"/>
    </row>
    <row r="24" spans="1:20" x14ac:dyDescent="0.25">
      <c r="A24">
        <v>7</v>
      </c>
      <c r="B24">
        <v>45</v>
      </c>
      <c r="C24">
        <v>20</v>
      </c>
      <c r="E24">
        <v>5.05</v>
      </c>
      <c r="G24">
        <f t="shared" si="0"/>
        <v>7</v>
      </c>
      <c r="H24" s="10">
        <f t="shared" si="0"/>
        <v>45</v>
      </c>
      <c r="I24">
        <f t="shared" si="0"/>
        <v>20</v>
      </c>
      <c r="J24">
        <f t="shared" si="1"/>
        <v>49</v>
      </c>
      <c r="K24">
        <f t="shared" si="2"/>
        <v>315</v>
      </c>
      <c r="L24">
        <f t="shared" si="3"/>
        <v>140</v>
      </c>
      <c r="M24">
        <f t="shared" si="4"/>
        <v>2025</v>
      </c>
      <c r="N24">
        <f t="shared" si="5"/>
        <v>900</v>
      </c>
      <c r="O24">
        <f t="shared" si="6"/>
        <v>400</v>
      </c>
      <c r="Q24" s="11">
        <f t="shared" si="7"/>
        <v>4.8561493585079063</v>
      </c>
      <c r="R24" s="12">
        <f t="shared" si="8"/>
        <v>-3.8386265641998721E-2</v>
      </c>
      <c r="S24" s="11"/>
      <c r="T24" s="12"/>
    </row>
    <row r="25" spans="1:20" x14ac:dyDescent="0.25">
      <c r="A25">
        <v>7</v>
      </c>
      <c r="B25">
        <v>45</v>
      </c>
      <c r="C25">
        <v>50</v>
      </c>
      <c r="E25">
        <v>10.33</v>
      </c>
      <c r="G25">
        <f t="shared" si="0"/>
        <v>7</v>
      </c>
      <c r="H25" s="10">
        <f t="shared" si="0"/>
        <v>45</v>
      </c>
      <c r="I25">
        <f t="shared" si="0"/>
        <v>50</v>
      </c>
      <c r="J25">
        <f t="shared" si="1"/>
        <v>49</v>
      </c>
      <c r="K25">
        <f t="shared" si="2"/>
        <v>315</v>
      </c>
      <c r="L25">
        <f t="shared" si="3"/>
        <v>350</v>
      </c>
      <c r="M25">
        <f t="shared" si="4"/>
        <v>2025</v>
      </c>
      <c r="N25">
        <f t="shared" si="5"/>
        <v>2250</v>
      </c>
      <c r="O25">
        <f t="shared" si="6"/>
        <v>2500</v>
      </c>
      <c r="Q25" s="11">
        <f t="shared" si="7"/>
        <v>10.422735568228086</v>
      </c>
      <c r="R25" s="12">
        <f t="shared" si="8"/>
        <v>8.9773057335998212E-3</v>
      </c>
      <c r="S25" s="11"/>
      <c r="T25" s="12"/>
    </row>
    <row r="26" spans="1:20" x14ac:dyDescent="0.25">
      <c r="A26">
        <v>7</v>
      </c>
      <c r="B26">
        <v>45</v>
      </c>
      <c r="C26">
        <v>120</v>
      </c>
      <c r="E26">
        <v>19.43</v>
      </c>
      <c r="G26">
        <f t="shared" si="0"/>
        <v>7</v>
      </c>
      <c r="H26" s="10">
        <f t="shared" si="0"/>
        <v>45</v>
      </c>
      <c r="I26">
        <f t="shared" si="0"/>
        <v>120</v>
      </c>
      <c r="J26">
        <f t="shared" si="1"/>
        <v>49</v>
      </c>
      <c r="K26">
        <f t="shared" si="2"/>
        <v>315</v>
      </c>
      <c r="L26">
        <f t="shared" si="3"/>
        <v>840</v>
      </c>
      <c r="M26">
        <f t="shared" si="4"/>
        <v>2025</v>
      </c>
      <c r="N26">
        <f t="shared" si="5"/>
        <v>5400</v>
      </c>
      <c r="O26">
        <f t="shared" si="6"/>
        <v>14400</v>
      </c>
      <c r="Q26" s="11">
        <f t="shared" si="7"/>
        <v>19.841492377826182</v>
      </c>
      <c r="R26" s="12">
        <f t="shared" si="8"/>
        <v>2.1178197520647549E-2</v>
      </c>
      <c r="S26" s="11"/>
      <c r="T26" s="12"/>
    </row>
    <row r="27" spans="1:20" x14ac:dyDescent="0.25">
      <c r="A27">
        <v>12</v>
      </c>
      <c r="B27">
        <v>45</v>
      </c>
      <c r="C27">
        <v>20</v>
      </c>
      <c r="E27">
        <v>5.76</v>
      </c>
      <c r="G27">
        <f t="shared" si="0"/>
        <v>12</v>
      </c>
      <c r="H27" s="10">
        <f t="shared" si="0"/>
        <v>45</v>
      </c>
      <c r="I27">
        <f t="shared" si="0"/>
        <v>20</v>
      </c>
      <c r="J27">
        <f t="shared" si="1"/>
        <v>144</v>
      </c>
      <c r="K27">
        <f t="shared" si="2"/>
        <v>540</v>
      </c>
      <c r="L27">
        <f t="shared" si="3"/>
        <v>240</v>
      </c>
      <c r="M27">
        <f t="shared" si="4"/>
        <v>2025</v>
      </c>
      <c r="N27">
        <f t="shared" si="5"/>
        <v>900</v>
      </c>
      <c r="O27">
        <f t="shared" si="6"/>
        <v>400</v>
      </c>
      <c r="Q27" s="11">
        <f t="shared" si="7"/>
        <v>6.6171008282725383</v>
      </c>
      <c r="R27" s="12">
        <f t="shared" si="8"/>
        <v>0.14880222713064906</v>
      </c>
      <c r="S27" s="11"/>
      <c r="T27" s="12"/>
    </row>
    <row r="28" spans="1:20" x14ac:dyDescent="0.25">
      <c r="A28">
        <v>12</v>
      </c>
      <c r="B28">
        <v>45</v>
      </c>
      <c r="C28">
        <v>50</v>
      </c>
      <c r="E28">
        <v>12.96</v>
      </c>
      <c r="G28">
        <f t="shared" si="0"/>
        <v>12</v>
      </c>
      <c r="H28" s="10">
        <f t="shared" si="0"/>
        <v>45</v>
      </c>
      <c r="I28">
        <f t="shared" si="0"/>
        <v>50</v>
      </c>
      <c r="J28">
        <f t="shared" si="1"/>
        <v>144</v>
      </c>
      <c r="K28">
        <f t="shared" si="2"/>
        <v>540</v>
      </c>
      <c r="L28">
        <f t="shared" si="3"/>
        <v>600</v>
      </c>
      <c r="M28">
        <f t="shared" si="4"/>
        <v>2025</v>
      </c>
      <c r="N28">
        <f t="shared" si="5"/>
        <v>2250</v>
      </c>
      <c r="O28">
        <f t="shared" si="6"/>
        <v>2500</v>
      </c>
      <c r="Q28" s="11">
        <f t="shared" si="7"/>
        <v>12.559904342436596</v>
      </c>
      <c r="R28" s="12">
        <f t="shared" si="8"/>
        <v>-3.0871578515694824E-2</v>
      </c>
      <c r="S28" s="11"/>
      <c r="T28" s="12"/>
    </row>
    <row r="29" spans="1:20" x14ac:dyDescent="0.25">
      <c r="A29">
        <v>12</v>
      </c>
      <c r="B29">
        <v>45</v>
      </c>
      <c r="C29">
        <v>120</v>
      </c>
      <c r="E29">
        <v>23.79</v>
      </c>
      <c r="G29">
        <f t="shared" si="0"/>
        <v>12</v>
      </c>
      <c r="H29" s="10">
        <f t="shared" si="0"/>
        <v>45</v>
      </c>
      <c r="I29">
        <f t="shared" si="0"/>
        <v>120</v>
      </c>
      <c r="J29">
        <f t="shared" si="1"/>
        <v>144</v>
      </c>
      <c r="K29">
        <f t="shared" si="2"/>
        <v>540</v>
      </c>
      <c r="L29">
        <f t="shared" si="3"/>
        <v>1440</v>
      </c>
      <c r="M29">
        <f t="shared" si="4"/>
        <v>2025</v>
      </c>
      <c r="N29">
        <f t="shared" si="5"/>
        <v>5400</v>
      </c>
      <c r="O29">
        <f t="shared" si="6"/>
        <v>14400</v>
      </c>
      <c r="Q29" s="11">
        <f t="shared" si="7"/>
        <v>22.856501529070396</v>
      </c>
      <c r="R29" s="12">
        <f t="shared" si="8"/>
        <v>-3.9239111850760955E-2</v>
      </c>
      <c r="S29" s="11"/>
      <c r="T29" s="12"/>
    </row>
    <row r="30" spans="1:20" x14ac:dyDescent="0.25">
      <c r="A30">
        <v>-7</v>
      </c>
      <c r="B30">
        <v>55</v>
      </c>
      <c r="C30">
        <v>50</v>
      </c>
      <c r="E30">
        <v>6.93</v>
      </c>
      <c r="G30">
        <f t="shared" si="0"/>
        <v>-7</v>
      </c>
      <c r="H30" s="10">
        <f t="shared" si="0"/>
        <v>55</v>
      </c>
      <c r="I30">
        <f t="shared" si="0"/>
        <v>50</v>
      </c>
      <c r="J30">
        <f t="shared" si="1"/>
        <v>49</v>
      </c>
      <c r="K30">
        <f t="shared" si="2"/>
        <v>-385</v>
      </c>
      <c r="L30">
        <f t="shared" si="3"/>
        <v>-350</v>
      </c>
      <c r="M30">
        <f t="shared" si="4"/>
        <v>3025</v>
      </c>
      <c r="N30">
        <f t="shared" si="5"/>
        <v>2750</v>
      </c>
      <c r="O30">
        <f t="shared" si="6"/>
        <v>2500</v>
      </c>
      <c r="Q30" s="11">
        <f t="shared" si="7"/>
        <v>6.8389801862884614</v>
      </c>
      <c r="R30" s="12">
        <f t="shared" si="8"/>
        <v>-1.3134172252747234E-2</v>
      </c>
      <c r="S30" s="11"/>
      <c r="T30" s="12"/>
    </row>
    <row r="31" spans="1:20" x14ac:dyDescent="0.25">
      <c r="A31">
        <v>-7</v>
      </c>
      <c r="B31">
        <v>55</v>
      </c>
      <c r="C31">
        <v>120</v>
      </c>
      <c r="E31">
        <v>14.47</v>
      </c>
      <c r="G31">
        <f t="shared" si="0"/>
        <v>-7</v>
      </c>
      <c r="H31" s="10">
        <f t="shared" si="0"/>
        <v>55</v>
      </c>
      <c r="I31">
        <f t="shared" si="0"/>
        <v>120</v>
      </c>
      <c r="J31">
        <f t="shared" si="1"/>
        <v>49</v>
      </c>
      <c r="K31">
        <f t="shared" si="2"/>
        <v>-385</v>
      </c>
      <c r="L31">
        <f t="shared" si="3"/>
        <v>-840</v>
      </c>
      <c r="M31">
        <f t="shared" si="4"/>
        <v>3025</v>
      </c>
      <c r="N31">
        <f t="shared" si="5"/>
        <v>6600</v>
      </c>
      <c r="O31">
        <f t="shared" si="6"/>
        <v>14400</v>
      </c>
      <c r="Q31" s="11">
        <f t="shared" si="7"/>
        <v>13.686752816322869</v>
      </c>
      <c r="R31" s="12">
        <f t="shared" si="8"/>
        <v>-5.4129038263796232E-2</v>
      </c>
      <c r="S31" s="11"/>
      <c r="T31" s="12"/>
    </row>
    <row r="32" spans="1:20" x14ac:dyDescent="0.25">
      <c r="A32">
        <v>2</v>
      </c>
      <c r="B32">
        <v>55</v>
      </c>
      <c r="C32">
        <v>20</v>
      </c>
      <c r="E32">
        <v>4.67</v>
      </c>
      <c r="G32">
        <f t="shared" si="0"/>
        <v>2</v>
      </c>
      <c r="H32" s="10">
        <f t="shared" si="0"/>
        <v>55</v>
      </c>
      <c r="I32">
        <f t="shared" si="0"/>
        <v>20</v>
      </c>
      <c r="J32">
        <f t="shared" si="1"/>
        <v>4</v>
      </c>
      <c r="K32">
        <f t="shared" si="2"/>
        <v>110</v>
      </c>
      <c r="L32">
        <f t="shared" si="3"/>
        <v>40</v>
      </c>
      <c r="M32">
        <f t="shared" si="4"/>
        <v>3025</v>
      </c>
      <c r="N32">
        <f t="shared" si="5"/>
        <v>1100</v>
      </c>
      <c r="O32">
        <f t="shared" si="6"/>
        <v>400</v>
      </c>
      <c r="Q32" s="11">
        <f t="shared" si="7"/>
        <v>3.6742905701154798</v>
      </c>
      <c r="R32" s="12">
        <f t="shared" si="8"/>
        <v>-0.21321401068191009</v>
      </c>
      <c r="S32" s="11"/>
      <c r="T32" s="12"/>
    </row>
    <row r="33" spans="1:20" x14ac:dyDescent="0.25">
      <c r="A33">
        <v>2</v>
      </c>
      <c r="B33">
        <v>55</v>
      </c>
      <c r="C33">
        <v>50</v>
      </c>
      <c r="E33">
        <v>9.1199999999999992</v>
      </c>
      <c r="G33">
        <f t="shared" si="0"/>
        <v>2</v>
      </c>
      <c r="H33" s="10">
        <f t="shared" si="0"/>
        <v>55</v>
      </c>
      <c r="I33">
        <f t="shared" si="0"/>
        <v>50</v>
      </c>
      <c r="J33">
        <f t="shared" si="1"/>
        <v>4</v>
      </c>
      <c r="K33">
        <f t="shared" si="2"/>
        <v>110</v>
      </c>
      <c r="L33">
        <f t="shared" si="3"/>
        <v>100</v>
      </c>
      <c r="M33">
        <f t="shared" si="4"/>
        <v>3025</v>
      </c>
      <c r="N33">
        <f t="shared" si="5"/>
        <v>2750</v>
      </c>
      <c r="O33">
        <f t="shared" si="6"/>
        <v>2500</v>
      </c>
      <c r="Q33" s="11">
        <f t="shared" si="7"/>
        <v>8.8162175651644876</v>
      </c>
      <c r="R33" s="12">
        <f t="shared" si="8"/>
        <v>-3.330947750389382E-2</v>
      </c>
      <c r="S33" s="11"/>
      <c r="T33" s="12"/>
    </row>
    <row r="34" spans="1:20" x14ac:dyDescent="0.25">
      <c r="A34">
        <v>2</v>
      </c>
      <c r="B34">
        <v>55</v>
      </c>
      <c r="C34">
        <v>120</v>
      </c>
      <c r="E34">
        <v>15.92</v>
      </c>
      <c r="G34">
        <f t="shared" si="0"/>
        <v>2</v>
      </c>
      <c r="H34" s="10">
        <f t="shared" si="0"/>
        <v>55</v>
      </c>
      <c r="I34">
        <f t="shared" si="0"/>
        <v>120</v>
      </c>
      <c r="J34">
        <f t="shared" si="1"/>
        <v>4</v>
      </c>
      <c r="K34">
        <f t="shared" si="2"/>
        <v>110</v>
      </c>
      <c r="L34">
        <f t="shared" si="3"/>
        <v>240</v>
      </c>
      <c r="M34">
        <f t="shared" si="4"/>
        <v>3025</v>
      </c>
      <c r="N34">
        <f t="shared" si="5"/>
        <v>6600</v>
      </c>
      <c r="O34">
        <f t="shared" si="6"/>
        <v>14400</v>
      </c>
      <c r="Q34" s="11">
        <f t="shared" si="7"/>
        <v>17.24410287386317</v>
      </c>
      <c r="R34" s="12">
        <f t="shared" si="8"/>
        <v>8.3172291071807167E-2</v>
      </c>
      <c r="S34" s="11"/>
      <c r="T34" s="12"/>
    </row>
    <row r="35" spans="1:20" x14ac:dyDescent="0.25">
      <c r="A35">
        <v>7</v>
      </c>
      <c r="B35">
        <v>55</v>
      </c>
      <c r="C35">
        <v>20</v>
      </c>
      <c r="E35">
        <v>5.36</v>
      </c>
      <c r="G35">
        <f t="shared" si="0"/>
        <v>7</v>
      </c>
      <c r="H35" s="10">
        <f t="shared" si="0"/>
        <v>55</v>
      </c>
      <c r="I35">
        <f t="shared" si="0"/>
        <v>20</v>
      </c>
      <c r="J35">
        <f t="shared" si="1"/>
        <v>49</v>
      </c>
      <c r="K35">
        <f t="shared" si="2"/>
        <v>385</v>
      </c>
      <c r="L35">
        <f t="shared" si="3"/>
        <v>140</v>
      </c>
      <c r="M35">
        <f t="shared" si="4"/>
        <v>3025</v>
      </c>
      <c r="N35">
        <f t="shared" si="5"/>
        <v>1100</v>
      </c>
      <c r="O35">
        <f t="shared" si="6"/>
        <v>400</v>
      </c>
      <c r="Q35" s="11">
        <f t="shared" si="7"/>
        <v>5.0129162986302234</v>
      </c>
      <c r="R35" s="12">
        <f t="shared" si="8"/>
        <v>-6.475442189734644E-2</v>
      </c>
      <c r="S35" s="11"/>
      <c r="T35" s="12"/>
    </row>
    <row r="36" spans="1:20" x14ac:dyDescent="0.25">
      <c r="A36">
        <v>7</v>
      </c>
      <c r="B36">
        <v>55</v>
      </c>
      <c r="C36">
        <v>50</v>
      </c>
      <c r="E36">
        <v>10.35</v>
      </c>
      <c r="G36">
        <f t="shared" si="0"/>
        <v>7</v>
      </c>
      <c r="H36" s="10">
        <f t="shared" si="0"/>
        <v>55</v>
      </c>
      <c r="I36">
        <f t="shared" si="0"/>
        <v>50</v>
      </c>
      <c r="J36">
        <f t="shared" si="1"/>
        <v>49</v>
      </c>
      <c r="K36">
        <f t="shared" si="2"/>
        <v>385</v>
      </c>
      <c r="L36">
        <f t="shared" si="3"/>
        <v>350</v>
      </c>
      <c r="M36">
        <f t="shared" si="4"/>
        <v>3025</v>
      </c>
      <c r="N36">
        <f t="shared" si="5"/>
        <v>2750</v>
      </c>
      <c r="O36">
        <f t="shared" si="6"/>
        <v>2500</v>
      </c>
      <c r="Q36" s="11">
        <f t="shared" si="7"/>
        <v>10.531060598123108</v>
      </c>
      <c r="R36" s="12">
        <f t="shared" si="8"/>
        <v>1.7493777596435636E-2</v>
      </c>
      <c r="S36" s="11"/>
      <c r="T36" s="12"/>
    </row>
    <row r="37" spans="1:20" x14ac:dyDescent="0.25">
      <c r="A37">
        <v>7</v>
      </c>
      <c r="B37">
        <v>55</v>
      </c>
      <c r="C37">
        <v>120</v>
      </c>
      <c r="E37">
        <v>20.350000000000001</v>
      </c>
      <c r="G37">
        <f t="shared" si="0"/>
        <v>7</v>
      </c>
      <c r="H37" s="10">
        <f t="shared" si="0"/>
        <v>55</v>
      </c>
      <c r="I37">
        <f t="shared" si="0"/>
        <v>120</v>
      </c>
      <c r="J37">
        <f t="shared" si="1"/>
        <v>49</v>
      </c>
      <c r="K37">
        <f t="shared" si="2"/>
        <v>385</v>
      </c>
      <c r="L37">
        <f t="shared" si="3"/>
        <v>840</v>
      </c>
      <c r="M37">
        <f t="shared" si="4"/>
        <v>3025</v>
      </c>
      <c r="N37">
        <f t="shared" si="5"/>
        <v>6600</v>
      </c>
      <c r="O37">
        <f t="shared" si="6"/>
        <v>14400</v>
      </c>
      <c r="Q37" s="11">
        <f t="shared" si="7"/>
        <v>19.836786283857503</v>
      </c>
      <c r="R37" s="12">
        <f t="shared" si="8"/>
        <v>-2.521934723058961E-2</v>
      </c>
      <c r="S37" s="11"/>
      <c r="T37" s="12"/>
    </row>
    <row r="38" spans="1:20" x14ac:dyDescent="0.25">
      <c r="A38">
        <v>12</v>
      </c>
      <c r="B38">
        <v>55</v>
      </c>
      <c r="C38">
        <v>20</v>
      </c>
      <c r="E38">
        <v>6.03</v>
      </c>
      <c r="G38">
        <f t="shared" si="0"/>
        <v>12</v>
      </c>
      <c r="H38" s="10">
        <f t="shared" si="0"/>
        <v>55</v>
      </c>
      <c r="I38">
        <f t="shared" si="0"/>
        <v>20</v>
      </c>
      <c r="J38">
        <f t="shared" si="1"/>
        <v>144</v>
      </c>
      <c r="K38">
        <f t="shared" si="2"/>
        <v>660</v>
      </c>
      <c r="L38">
        <f t="shared" si="3"/>
        <v>240</v>
      </c>
      <c r="M38">
        <f t="shared" si="4"/>
        <v>3025</v>
      </c>
      <c r="N38">
        <f t="shared" si="5"/>
        <v>1100</v>
      </c>
      <c r="O38">
        <f t="shared" si="6"/>
        <v>400</v>
      </c>
      <c r="Q38" s="11">
        <f t="shared" si="7"/>
        <v>6.7918119003392077</v>
      </c>
      <c r="R38" s="12">
        <f t="shared" si="8"/>
        <v>0.12633696523038265</v>
      </c>
      <c r="S38" s="11"/>
      <c r="T38" s="12"/>
    </row>
    <row r="39" spans="1:20" x14ac:dyDescent="0.25">
      <c r="A39">
        <v>12</v>
      </c>
      <c r="B39">
        <v>55</v>
      </c>
      <c r="C39">
        <v>50</v>
      </c>
      <c r="E39">
        <v>12.41</v>
      </c>
      <c r="G39">
        <f t="shared" si="0"/>
        <v>12</v>
      </c>
      <c r="H39" s="10">
        <f t="shared" si="0"/>
        <v>55</v>
      </c>
      <c r="I39">
        <f t="shared" si="0"/>
        <v>50</v>
      </c>
      <c r="J39">
        <f t="shared" si="1"/>
        <v>144</v>
      </c>
      <c r="K39">
        <f t="shared" si="2"/>
        <v>660</v>
      </c>
      <c r="L39">
        <f t="shared" si="3"/>
        <v>600</v>
      </c>
      <c r="M39">
        <f t="shared" si="4"/>
        <v>3025</v>
      </c>
      <c r="N39">
        <f t="shared" si="5"/>
        <v>2750</v>
      </c>
      <c r="O39">
        <f t="shared" si="6"/>
        <v>2500</v>
      </c>
      <c r="Q39" s="11">
        <f t="shared" si="7"/>
        <v>12.686173504275967</v>
      </c>
      <c r="R39" s="12">
        <f t="shared" si="8"/>
        <v>2.2254109933599255E-2</v>
      </c>
      <c r="S39" s="11"/>
      <c r="T39" s="12"/>
    </row>
    <row r="40" spans="1:20" x14ac:dyDescent="0.25">
      <c r="A40">
        <v>12</v>
      </c>
      <c r="B40">
        <v>55</v>
      </c>
      <c r="C40">
        <v>120</v>
      </c>
      <c r="E40">
        <v>23.11</v>
      </c>
      <c r="G40">
        <f t="shared" si="0"/>
        <v>12</v>
      </c>
      <c r="H40" s="10">
        <f t="shared" si="0"/>
        <v>55</v>
      </c>
      <c r="I40">
        <f t="shared" si="0"/>
        <v>120</v>
      </c>
      <c r="J40">
        <f t="shared" si="1"/>
        <v>144</v>
      </c>
      <c r="K40">
        <f t="shared" si="2"/>
        <v>660</v>
      </c>
      <c r="L40">
        <f t="shared" si="3"/>
        <v>1440</v>
      </c>
      <c r="M40">
        <f t="shared" si="4"/>
        <v>3025</v>
      </c>
      <c r="N40">
        <f t="shared" si="5"/>
        <v>6600</v>
      </c>
      <c r="O40">
        <f t="shared" si="6"/>
        <v>14400</v>
      </c>
      <c r="Q40" s="11">
        <f t="shared" si="7"/>
        <v>22.869739567046068</v>
      </c>
      <c r="R40" s="12">
        <f t="shared" si="8"/>
        <v>-1.0396383944350131E-2</v>
      </c>
      <c r="S40" s="11"/>
      <c r="T40" s="12"/>
    </row>
    <row r="41" spans="1:20" x14ac:dyDescent="0.25">
      <c r="A41">
        <v>-15</v>
      </c>
      <c r="B41">
        <v>55</v>
      </c>
      <c r="C41">
        <v>50</v>
      </c>
      <c r="E41">
        <v>5.51</v>
      </c>
      <c r="G41">
        <f t="shared" si="0"/>
        <v>-15</v>
      </c>
      <c r="H41" s="10">
        <f t="shared" si="0"/>
        <v>55</v>
      </c>
      <c r="I41">
        <f t="shared" si="0"/>
        <v>50</v>
      </c>
      <c r="J41">
        <f t="shared" si="1"/>
        <v>225</v>
      </c>
      <c r="K41">
        <f t="shared" si="2"/>
        <v>-825</v>
      </c>
      <c r="L41">
        <f t="shared" si="3"/>
        <v>-750</v>
      </c>
      <c r="M41">
        <f t="shared" si="4"/>
        <v>3025</v>
      </c>
      <c r="N41">
        <f t="shared" si="5"/>
        <v>2750</v>
      </c>
      <c r="O41">
        <f t="shared" si="6"/>
        <v>2500</v>
      </c>
      <c r="Q41" s="11">
        <f t="shared" si="7"/>
        <v>6.2789699045981084</v>
      </c>
      <c r="R41" s="12">
        <f t="shared" si="8"/>
        <v>0.13955896635174386</v>
      </c>
      <c r="S41" s="11"/>
      <c r="T41" s="12"/>
    </row>
    <row r="42" spans="1:20" x14ac:dyDescent="0.25">
      <c r="A42">
        <v>-15</v>
      </c>
      <c r="B42">
        <v>55</v>
      </c>
      <c r="C42">
        <v>120</v>
      </c>
      <c r="E42">
        <v>11.76</v>
      </c>
      <c r="G42">
        <f t="shared" si="0"/>
        <v>-15</v>
      </c>
      <c r="H42" s="10">
        <f t="shared" si="0"/>
        <v>55</v>
      </c>
      <c r="I42">
        <f t="shared" si="0"/>
        <v>120</v>
      </c>
      <c r="J42">
        <f t="shared" si="1"/>
        <v>225</v>
      </c>
      <c r="K42">
        <f t="shared" si="2"/>
        <v>-825</v>
      </c>
      <c r="L42">
        <f t="shared" si="3"/>
        <v>-1800</v>
      </c>
      <c r="M42">
        <f t="shared" si="4"/>
        <v>3025</v>
      </c>
      <c r="N42">
        <f t="shared" si="5"/>
        <v>6600</v>
      </c>
      <c r="O42">
        <f t="shared" si="6"/>
        <v>14400</v>
      </c>
      <c r="Q42" s="11">
        <f t="shared" si="7"/>
        <v>11.72219793137538</v>
      </c>
      <c r="R42" s="12">
        <f t="shared" si="8"/>
        <v>-3.2144616177397856E-3</v>
      </c>
      <c r="S42" s="11"/>
      <c r="T42" s="12"/>
    </row>
    <row r="45" spans="1:20" x14ac:dyDescent="0.25">
      <c r="A45" t="s">
        <v>27</v>
      </c>
      <c r="G45" s="4" t="s">
        <v>1</v>
      </c>
      <c r="H45" s="4" t="s">
        <v>2</v>
      </c>
      <c r="I45" s="4" t="s">
        <v>3</v>
      </c>
      <c r="J45" s="4" t="s">
        <v>4</v>
      </c>
      <c r="K45" s="4" t="s">
        <v>5</v>
      </c>
      <c r="L45" s="4" t="s">
        <v>6</v>
      </c>
      <c r="M45" s="4" t="s">
        <v>7</v>
      </c>
      <c r="N45" s="4" t="s">
        <v>8</v>
      </c>
      <c r="O45" s="4" t="s">
        <v>9</v>
      </c>
      <c r="P45" s="4" t="s">
        <v>10</v>
      </c>
    </row>
    <row r="46" spans="1:20" x14ac:dyDescent="0.25">
      <c r="A46" s="1"/>
      <c r="C46" s="1"/>
      <c r="D46" s="1"/>
      <c r="E46" s="1"/>
      <c r="F46" s="1"/>
      <c r="G46" s="4">
        <f t="array" ref="G46:P46">LINEST(E48:E86,G48:O86)</f>
        <v>2.0684136346033917E-4</v>
      </c>
      <c r="H46" s="4">
        <v>9.1850676427595289E-4</v>
      </c>
      <c r="I46" s="4">
        <v>-3.076923076923278E-5</v>
      </c>
      <c r="J46" s="4">
        <v>3.7195567618734173E-4</v>
      </c>
      <c r="K46" s="4">
        <v>5.9458223525089132E-4</v>
      </c>
      <c r="L46" s="4">
        <v>1.2577822023188115E-3</v>
      </c>
      <c r="M46" s="4">
        <v>-8.5547783787713813E-3</v>
      </c>
      <c r="N46" s="4">
        <v>1.2066290926086059E-2</v>
      </c>
      <c r="O46" s="4">
        <v>-3.0579856453766641E-2</v>
      </c>
      <c r="P46" s="4">
        <v>1.1842915481876659E-2</v>
      </c>
    </row>
    <row r="47" spans="1:20" ht="45" x14ac:dyDescent="0.25">
      <c r="A47" s="5" t="s">
        <v>11</v>
      </c>
      <c r="B47" s="5" t="s">
        <v>12</v>
      </c>
      <c r="C47" s="5" t="s">
        <v>13</v>
      </c>
      <c r="D47" s="6"/>
      <c r="E47" s="7" t="s">
        <v>14</v>
      </c>
      <c r="F47" s="3"/>
      <c r="G47" s="8" t="s">
        <v>17</v>
      </c>
      <c r="H47" s="8" t="s">
        <v>18</v>
      </c>
      <c r="I47" s="8" t="s">
        <v>0</v>
      </c>
      <c r="J47" s="8" t="s">
        <v>19</v>
      </c>
      <c r="K47" s="8" t="s">
        <v>20</v>
      </c>
      <c r="L47" s="8" t="s">
        <v>21</v>
      </c>
      <c r="M47" s="8" t="s">
        <v>22</v>
      </c>
      <c r="N47" s="8" t="s">
        <v>23</v>
      </c>
      <c r="O47" s="8" t="s">
        <v>24</v>
      </c>
      <c r="P47" s="3"/>
      <c r="Q47" s="9" t="s">
        <v>14</v>
      </c>
      <c r="R47" s="9" t="s">
        <v>15</v>
      </c>
    </row>
    <row r="48" spans="1:20" x14ac:dyDescent="0.25">
      <c r="A48">
        <v>-15</v>
      </c>
      <c r="B48">
        <v>35</v>
      </c>
      <c r="C48">
        <v>50</v>
      </c>
      <c r="E48">
        <v>2.0699999999999998</v>
      </c>
      <c r="F48" s="2"/>
      <c r="G48">
        <f t="shared" ref="G48:I86" si="9">A48</f>
        <v>-15</v>
      </c>
      <c r="H48" s="10">
        <f t="shared" si="9"/>
        <v>35</v>
      </c>
      <c r="I48">
        <f t="shared" si="9"/>
        <v>50</v>
      </c>
      <c r="J48">
        <f t="shared" ref="J48:J86" si="10">G48^2</f>
        <v>225</v>
      </c>
      <c r="K48">
        <f t="shared" ref="K48:K86" si="11">G48*H48</f>
        <v>-525</v>
      </c>
      <c r="L48">
        <f t="shared" ref="L48:L86" si="12">G48*I48</f>
        <v>-750</v>
      </c>
      <c r="M48">
        <f t="shared" ref="M48:M86" si="13">H48^2</f>
        <v>1225</v>
      </c>
      <c r="N48">
        <f t="shared" ref="N48:N86" si="14">H48*I48</f>
        <v>1750</v>
      </c>
      <c r="O48">
        <f t="shared" ref="O48:O86" si="15">I48^2</f>
        <v>2500</v>
      </c>
      <c r="Q48" s="11">
        <f>$P$46+$O$46*G48+$N$46*H48+$M$46*I48+$L$46*J48+$K$46*K48+$J$46*L48+$I$46*M48+$H$46*N48+$G$46*O48</f>
        <v>2.2437985290787825</v>
      </c>
      <c r="R48" s="12">
        <f t="shared" ref="R48:R86" si="16">(Q48-E48)/E48</f>
        <v>8.3960642067044775E-2</v>
      </c>
    </row>
    <row r="49" spans="1:18" x14ac:dyDescent="0.25">
      <c r="A49">
        <v>-15</v>
      </c>
      <c r="B49">
        <v>35</v>
      </c>
      <c r="C49">
        <v>120</v>
      </c>
      <c r="E49">
        <v>5.99</v>
      </c>
      <c r="F49" s="2"/>
      <c r="G49">
        <f t="shared" si="9"/>
        <v>-15</v>
      </c>
      <c r="H49" s="10">
        <f t="shared" si="9"/>
        <v>35</v>
      </c>
      <c r="I49">
        <f t="shared" si="9"/>
        <v>120</v>
      </c>
      <c r="J49">
        <f t="shared" si="10"/>
        <v>225</v>
      </c>
      <c r="K49">
        <f t="shared" si="11"/>
        <v>-525</v>
      </c>
      <c r="L49">
        <f t="shared" si="12"/>
        <v>-1800</v>
      </c>
      <c r="M49">
        <f t="shared" si="13"/>
        <v>1225</v>
      </c>
      <c r="N49">
        <f t="shared" si="14"/>
        <v>4200</v>
      </c>
      <c r="O49">
        <f t="shared" si="15"/>
        <v>14400</v>
      </c>
      <c r="Q49" s="11">
        <f t="shared" ref="Q49:Q86" si="17">$P$46+$O$46*G49+$N$46*H49+$M$46*I49+$L$46*J49+$K$46*K49+$J$46*L49+$I$46*M49+$H$46*N49+$G$46*O49</f>
        <v>5.9661643802221977</v>
      </c>
      <c r="R49" s="12">
        <f t="shared" si="16"/>
        <v>-3.9792353552257865E-3</v>
      </c>
    </row>
    <row r="50" spans="1:18" x14ac:dyDescent="0.25">
      <c r="A50">
        <v>-7</v>
      </c>
      <c r="B50">
        <v>35</v>
      </c>
      <c r="C50">
        <v>50</v>
      </c>
      <c r="E50">
        <v>2.1800000000000002</v>
      </c>
      <c r="F50" s="2"/>
      <c r="G50">
        <f t="shared" si="9"/>
        <v>-7</v>
      </c>
      <c r="H50" s="10">
        <f t="shared" si="9"/>
        <v>35</v>
      </c>
      <c r="I50">
        <f t="shared" si="9"/>
        <v>50</v>
      </c>
      <c r="J50">
        <f t="shared" si="10"/>
        <v>49</v>
      </c>
      <c r="K50">
        <f t="shared" si="11"/>
        <v>-245</v>
      </c>
      <c r="L50">
        <f t="shared" si="12"/>
        <v>-350</v>
      </c>
      <c r="M50">
        <f t="shared" si="13"/>
        <v>1225</v>
      </c>
      <c r="N50">
        <f t="shared" si="14"/>
        <v>1750</v>
      </c>
      <c r="O50">
        <f t="shared" si="15"/>
        <v>2500</v>
      </c>
      <c r="Q50" s="11">
        <f t="shared" si="17"/>
        <v>2.0930553061857253</v>
      </c>
      <c r="R50" s="12">
        <f t="shared" si="16"/>
        <v>-3.9882887070768265E-2</v>
      </c>
    </row>
    <row r="51" spans="1:18" x14ac:dyDescent="0.25">
      <c r="A51">
        <v>-7</v>
      </c>
      <c r="B51">
        <v>35</v>
      </c>
      <c r="C51">
        <v>120</v>
      </c>
      <c r="E51">
        <v>6.31</v>
      </c>
      <c r="F51" s="2"/>
      <c r="G51">
        <f t="shared" si="9"/>
        <v>-7</v>
      </c>
      <c r="H51" s="10">
        <f t="shared" si="9"/>
        <v>35</v>
      </c>
      <c r="I51">
        <f t="shared" si="9"/>
        <v>120</v>
      </c>
      <c r="J51">
        <f t="shared" si="10"/>
        <v>49</v>
      </c>
      <c r="K51">
        <f t="shared" si="11"/>
        <v>-245</v>
      </c>
      <c r="L51">
        <f t="shared" si="12"/>
        <v>-840</v>
      </c>
      <c r="M51">
        <f t="shared" si="13"/>
        <v>1225</v>
      </c>
      <c r="N51">
        <f t="shared" si="14"/>
        <v>4200</v>
      </c>
      <c r="O51">
        <f t="shared" si="15"/>
        <v>14400</v>
      </c>
      <c r="Q51" s="11">
        <f t="shared" si="17"/>
        <v>6.0237163359940524</v>
      </c>
      <c r="R51" s="12">
        <f t="shared" si="16"/>
        <v>-4.5369835817107323E-2</v>
      </c>
    </row>
    <row r="52" spans="1:18" x14ac:dyDescent="0.25">
      <c r="A52">
        <v>2</v>
      </c>
      <c r="B52">
        <v>35</v>
      </c>
      <c r="C52">
        <v>20</v>
      </c>
      <c r="E52">
        <v>1.01</v>
      </c>
      <c r="F52" s="2"/>
      <c r="G52">
        <f t="shared" si="9"/>
        <v>2</v>
      </c>
      <c r="H52" s="10">
        <f t="shared" si="9"/>
        <v>35</v>
      </c>
      <c r="I52">
        <f t="shared" si="9"/>
        <v>20</v>
      </c>
      <c r="J52">
        <f t="shared" si="10"/>
        <v>4</v>
      </c>
      <c r="K52">
        <f t="shared" si="11"/>
        <v>70</v>
      </c>
      <c r="L52">
        <f t="shared" si="12"/>
        <v>40</v>
      </c>
      <c r="M52">
        <f t="shared" si="13"/>
        <v>1225</v>
      </c>
      <c r="N52">
        <f t="shared" si="14"/>
        <v>700</v>
      </c>
      <c r="O52">
        <f t="shared" si="15"/>
        <v>400</v>
      </c>
      <c r="Q52" s="11">
        <f t="shared" si="17"/>
        <v>0.95143690242125167</v>
      </c>
      <c r="R52" s="12">
        <f t="shared" si="16"/>
        <v>-5.7983264929453798E-2</v>
      </c>
    </row>
    <row r="53" spans="1:18" x14ac:dyDescent="0.25">
      <c r="A53">
        <v>2</v>
      </c>
      <c r="B53">
        <v>35</v>
      </c>
      <c r="C53">
        <v>50</v>
      </c>
      <c r="E53">
        <v>2.19</v>
      </c>
      <c r="F53" s="2"/>
      <c r="G53">
        <f t="shared" si="9"/>
        <v>2</v>
      </c>
      <c r="H53" s="10">
        <f t="shared" si="9"/>
        <v>35</v>
      </c>
      <c r="I53">
        <f t="shared" si="9"/>
        <v>50</v>
      </c>
      <c r="J53">
        <f t="shared" si="10"/>
        <v>4</v>
      </c>
      <c r="K53">
        <f t="shared" si="11"/>
        <v>70</v>
      </c>
      <c r="L53">
        <f t="shared" si="12"/>
        <v>100</v>
      </c>
      <c r="M53">
        <f t="shared" si="13"/>
        <v>1225</v>
      </c>
      <c r="N53">
        <f t="shared" si="14"/>
        <v>1750</v>
      </c>
      <c r="O53">
        <f t="shared" si="15"/>
        <v>2500</v>
      </c>
      <c r="Q53" s="11">
        <f t="shared" si="17"/>
        <v>2.1159098573858133</v>
      </c>
      <c r="R53" s="12">
        <f t="shared" si="16"/>
        <v>-3.3831115348943688E-2</v>
      </c>
    </row>
    <row r="54" spans="1:18" x14ac:dyDescent="0.25">
      <c r="A54">
        <v>2</v>
      </c>
      <c r="B54">
        <v>35</v>
      </c>
      <c r="C54">
        <v>120</v>
      </c>
      <c r="E54">
        <v>5.91</v>
      </c>
      <c r="F54" s="2"/>
      <c r="G54">
        <f t="shared" si="9"/>
        <v>2</v>
      </c>
      <c r="H54" s="10">
        <f t="shared" si="9"/>
        <v>35</v>
      </c>
      <c r="I54">
        <f t="shared" si="9"/>
        <v>120</v>
      </c>
      <c r="J54">
        <f t="shared" si="10"/>
        <v>4</v>
      </c>
      <c r="K54">
        <f t="shared" si="11"/>
        <v>70</v>
      </c>
      <c r="L54">
        <f t="shared" si="12"/>
        <v>240</v>
      </c>
      <c r="M54">
        <f t="shared" si="13"/>
        <v>1225</v>
      </c>
      <c r="N54">
        <f t="shared" si="14"/>
        <v>4200</v>
      </c>
      <c r="O54">
        <f t="shared" si="15"/>
        <v>14400</v>
      </c>
      <c r="Q54" s="11">
        <f t="shared" si="17"/>
        <v>6.2809029631921653</v>
      </c>
      <c r="R54" s="12">
        <f t="shared" si="16"/>
        <v>6.2758538611195458E-2</v>
      </c>
    </row>
    <row r="55" spans="1:18" x14ac:dyDescent="0.25">
      <c r="A55">
        <v>7</v>
      </c>
      <c r="B55">
        <v>35</v>
      </c>
      <c r="C55">
        <v>20</v>
      </c>
      <c r="E55">
        <v>0.97</v>
      </c>
      <c r="F55" s="2"/>
      <c r="G55">
        <f t="shared" si="9"/>
        <v>7</v>
      </c>
      <c r="H55" s="10">
        <f t="shared" si="9"/>
        <v>35</v>
      </c>
      <c r="I55">
        <f t="shared" si="9"/>
        <v>20</v>
      </c>
      <c r="J55">
        <f t="shared" si="10"/>
        <v>49</v>
      </c>
      <c r="K55">
        <f t="shared" si="11"/>
        <v>245</v>
      </c>
      <c r="L55">
        <f t="shared" si="12"/>
        <v>140</v>
      </c>
      <c r="M55">
        <f t="shared" si="13"/>
        <v>1225</v>
      </c>
      <c r="N55">
        <f t="shared" si="14"/>
        <v>700</v>
      </c>
      <c r="O55">
        <f t="shared" si="15"/>
        <v>400</v>
      </c>
      <c r="Q55" s="11">
        <f t="shared" si="17"/>
        <v>0.99638527804440513</v>
      </c>
      <c r="R55" s="12">
        <f t="shared" si="16"/>
        <v>2.7201317571551711E-2</v>
      </c>
    </row>
    <row r="56" spans="1:18" x14ac:dyDescent="0.25">
      <c r="A56">
        <v>7</v>
      </c>
      <c r="B56">
        <v>35</v>
      </c>
      <c r="C56">
        <v>50</v>
      </c>
      <c r="E56">
        <v>2.27</v>
      </c>
      <c r="F56" s="2"/>
      <c r="G56">
        <f t="shared" si="9"/>
        <v>7</v>
      </c>
      <c r="H56" s="10">
        <f t="shared" si="9"/>
        <v>35</v>
      </c>
      <c r="I56">
        <f t="shared" si="9"/>
        <v>50</v>
      </c>
      <c r="J56">
        <f t="shared" si="10"/>
        <v>49</v>
      </c>
      <c r="K56">
        <f t="shared" si="11"/>
        <v>245</v>
      </c>
      <c r="L56">
        <f t="shared" si="12"/>
        <v>350</v>
      </c>
      <c r="M56">
        <f t="shared" si="13"/>
        <v>1225</v>
      </c>
      <c r="N56">
        <f t="shared" si="14"/>
        <v>1750</v>
      </c>
      <c r="O56">
        <f t="shared" si="15"/>
        <v>2500</v>
      </c>
      <c r="Q56" s="11">
        <f t="shared" si="17"/>
        <v>2.2166515844370682</v>
      </c>
      <c r="R56" s="12">
        <f t="shared" si="16"/>
        <v>-2.3501504653273917E-2</v>
      </c>
    </row>
    <row r="57" spans="1:18" x14ac:dyDescent="0.25">
      <c r="A57">
        <v>7</v>
      </c>
      <c r="B57">
        <v>35</v>
      </c>
      <c r="C57">
        <v>120</v>
      </c>
      <c r="E57">
        <v>6.35</v>
      </c>
      <c r="F57" s="2"/>
      <c r="G57">
        <f t="shared" si="9"/>
        <v>7</v>
      </c>
      <c r="H57" s="10">
        <f t="shared" si="9"/>
        <v>35</v>
      </c>
      <c r="I57">
        <f t="shared" si="9"/>
        <v>120</v>
      </c>
      <c r="J57">
        <f t="shared" si="10"/>
        <v>49</v>
      </c>
      <c r="K57">
        <f t="shared" si="11"/>
        <v>245</v>
      </c>
      <c r="L57">
        <f t="shared" si="12"/>
        <v>840</v>
      </c>
      <c r="M57">
        <f t="shared" si="13"/>
        <v>1225</v>
      </c>
      <c r="N57">
        <f t="shared" si="14"/>
        <v>4200</v>
      </c>
      <c r="O57">
        <f t="shared" si="15"/>
        <v>14400</v>
      </c>
      <c r="Q57" s="11">
        <f t="shared" si="17"/>
        <v>6.5118291769089893</v>
      </c>
      <c r="R57" s="12">
        <f t="shared" si="16"/>
        <v>2.5484909749447195E-2</v>
      </c>
    </row>
    <row r="58" spans="1:18" x14ac:dyDescent="0.25">
      <c r="A58">
        <v>12</v>
      </c>
      <c r="B58">
        <v>35</v>
      </c>
      <c r="C58">
        <v>20</v>
      </c>
      <c r="E58">
        <v>0.97</v>
      </c>
      <c r="F58" s="2"/>
      <c r="G58">
        <f t="shared" si="9"/>
        <v>12</v>
      </c>
      <c r="H58" s="10">
        <f t="shared" si="9"/>
        <v>35</v>
      </c>
      <c r="I58">
        <f t="shared" si="9"/>
        <v>20</v>
      </c>
      <c r="J58">
        <f t="shared" si="10"/>
        <v>144</v>
      </c>
      <c r="K58">
        <f t="shared" si="11"/>
        <v>420</v>
      </c>
      <c r="L58">
        <f t="shared" si="12"/>
        <v>240</v>
      </c>
      <c r="M58">
        <f t="shared" si="13"/>
        <v>1225</v>
      </c>
      <c r="N58">
        <f t="shared" si="14"/>
        <v>700</v>
      </c>
      <c r="O58">
        <f t="shared" si="15"/>
        <v>400</v>
      </c>
      <c r="Q58" s="11">
        <f t="shared" si="17"/>
        <v>1.1042227637834992</v>
      </c>
      <c r="R58" s="12">
        <f t="shared" si="16"/>
        <v>0.13837398328195791</v>
      </c>
    </row>
    <row r="59" spans="1:18" x14ac:dyDescent="0.25">
      <c r="A59">
        <v>12</v>
      </c>
      <c r="B59">
        <v>35</v>
      </c>
      <c r="C59">
        <v>50</v>
      </c>
      <c r="E59">
        <v>2.4900000000000002</v>
      </c>
      <c r="F59" s="2"/>
      <c r="G59">
        <f t="shared" si="9"/>
        <v>12</v>
      </c>
      <c r="H59" s="10">
        <f t="shared" si="9"/>
        <v>35</v>
      </c>
      <c r="I59">
        <f t="shared" si="9"/>
        <v>50</v>
      </c>
      <c r="J59">
        <f t="shared" si="10"/>
        <v>144</v>
      </c>
      <c r="K59">
        <f t="shared" si="11"/>
        <v>420</v>
      </c>
      <c r="L59">
        <f t="shared" si="12"/>
        <v>600</v>
      </c>
      <c r="M59">
        <f t="shared" si="13"/>
        <v>1225</v>
      </c>
      <c r="N59">
        <f t="shared" si="14"/>
        <v>1750</v>
      </c>
      <c r="O59">
        <f t="shared" si="15"/>
        <v>2500</v>
      </c>
      <c r="Q59" s="11">
        <f t="shared" si="17"/>
        <v>2.3802824216042633</v>
      </c>
      <c r="R59" s="12">
        <f t="shared" si="16"/>
        <v>-4.4063284496279886E-2</v>
      </c>
    </row>
    <row r="60" spans="1:18" x14ac:dyDescent="0.25">
      <c r="A60">
        <v>12</v>
      </c>
      <c r="B60">
        <v>35</v>
      </c>
      <c r="C60">
        <v>120</v>
      </c>
      <c r="E60">
        <v>6.98</v>
      </c>
      <c r="F60" s="2"/>
      <c r="G60">
        <f t="shared" si="9"/>
        <v>12</v>
      </c>
      <c r="H60" s="10">
        <f t="shared" si="9"/>
        <v>35</v>
      </c>
      <c r="I60">
        <f t="shared" si="9"/>
        <v>120</v>
      </c>
      <c r="J60">
        <f t="shared" si="10"/>
        <v>144</v>
      </c>
      <c r="K60">
        <f t="shared" si="11"/>
        <v>420</v>
      </c>
      <c r="L60">
        <f t="shared" si="12"/>
        <v>1440</v>
      </c>
      <c r="M60">
        <f t="shared" si="13"/>
        <v>1225</v>
      </c>
      <c r="N60">
        <f t="shared" si="14"/>
        <v>4200</v>
      </c>
      <c r="O60">
        <f t="shared" si="15"/>
        <v>14400</v>
      </c>
      <c r="Q60" s="11">
        <f t="shared" si="17"/>
        <v>6.8056445007417548</v>
      </c>
      <c r="R60" s="12">
        <f t="shared" si="16"/>
        <v>-2.4979297888000813E-2</v>
      </c>
    </row>
    <row r="61" spans="1:18" x14ac:dyDescent="0.25">
      <c r="A61">
        <v>-15</v>
      </c>
      <c r="B61">
        <v>45</v>
      </c>
      <c r="C61">
        <v>50</v>
      </c>
      <c r="E61">
        <v>2.6</v>
      </c>
      <c r="F61" s="2"/>
      <c r="G61">
        <f t="shared" si="9"/>
        <v>-15</v>
      </c>
      <c r="H61" s="10">
        <f t="shared" si="9"/>
        <v>45</v>
      </c>
      <c r="I61">
        <f t="shared" si="9"/>
        <v>50</v>
      </c>
      <c r="J61">
        <f t="shared" si="10"/>
        <v>225</v>
      </c>
      <c r="K61">
        <f t="shared" si="11"/>
        <v>-675</v>
      </c>
      <c r="L61">
        <f t="shared" si="12"/>
        <v>-750</v>
      </c>
      <c r="M61">
        <f t="shared" si="13"/>
        <v>2025</v>
      </c>
      <c r="N61">
        <f t="shared" si="14"/>
        <v>2250</v>
      </c>
      <c r="O61">
        <f t="shared" si="15"/>
        <v>2500</v>
      </c>
      <c r="Q61" s="11">
        <f t="shared" si="17"/>
        <v>2.7099121005745999</v>
      </c>
      <c r="R61" s="12">
        <f t="shared" si="16"/>
        <v>4.2273884836384522E-2</v>
      </c>
    </row>
    <row r="62" spans="1:18" x14ac:dyDescent="0.25">
      <c r="A62">
        <v>-15</v>
      </c>
      <c r="B62">
        <v>45</v>
      </c>
      <c r="C62">
        <v>120</v>
      </c>
      <c r="E62">
        <v>7.1</v>
      </c>
      <c r="F62" s="2"/>
      <c r="G62">
        <f t="shared" si="9"/>
        <v>-15</v>
      </c>
      <c r="H62" s="10">
        <f t="shared" si="9"/>
        <v>45</v>
      </c>
      <c r="I62">
        <f t="shared" si="9"/>
        <v>120</v>
      </c>
      <c r="J62">
        <f t="shared" si="10"/>
        <v>225</v>
      </c>
      <c r="K62">
        <f t="shared" si="11"/>
        <v>-675</v>
      </c>
      <c r="L62">
        <f t="shared" si="12"/>
        <v>-1800</v>
      </c>
      <c r="M62">
        <f t="shared" si="13"/>
        <v>2025</v>
      </c>
      <c r="N62">
        <f t="shared" si="14"/>
        <v>5400</v>
      </c>
      <c r="O62">
        <f t="shared" si="15"/>
        <v>14400</v>
      </c>
      <c r="Q62" s="11">
        <f t="shared" si="17"/>
        <v>7.0752326867111819</v>
      </c>
      <c r="R62" s="12">
        <f t="shared" si="16"/>
        <v>-3.4883539843405297E-3</v>
      </c>
    </row>
    <row r="63" spans="1:18" x14ac:dyDescent="0.25">
      <c r="A63">
        <v>-7</v>
      </c>
      <c r="B63">
        <v>45</v>
      </c>
      <c r="C63">
        <v>50</v>
      </c>
      <c r="E63">
        <v>2.64</v>
      </c>
      <c r="F63" s="2"/>
      <c r="G63">
        <f t="shared" si="9"/>
        <v>-7</v>
      </c>
      <c r="H63" s="10">
        <f t="shared" si="9"/>
        <v>45</v>
      </c>
      <c r="I63">
        <f t="shared" si="9"/>
        <v>50</v>
      </c>
      <c r="J63">
        <f t="shared" si="10"/>
        <v>49</v>
      </c>
      <c r="K63">
        <f t="shared" si="11"/>
        <v>-315</v>
      </c>
      <c r="L63">
        <f t="shared" si="12"/>
        <v>-350</v>
      </c>
      <c r="M63">
        <f t="shared" si="13"/>
        <v>2025</v>
      </c>
      <c r="N63">
        <f t="shared" si="14"/>
        <v>2250</v>
      </c>
      <c r="O63">
        <f t="shared" si="15"/>
        <v>2500</v>
      </c>
      <c r="Q63" s="11">
        <f t="shared" si="17"/>
        <v>2.6067354565016134</v>
      </c>
      <c r="R63" s="12">
        <f t="shared" si="16"/>
        <v>-1.2600205870601022E-2</v>
      </c>
    </row>
    <row r="64" spans="1:18" x14ac:dyDescent="0.25">
      <c r="A64">
        <v>-7</v>
      </c>
      <c r="B64">
        <v>45</v>
      </c>
      <c r="C64">
        <v>120</v>
      </c>
      <c r="E64">
        <v>7.39</v>
      </c>
      <c r="F64" s="2"/>
      <c r="G64">
        <f t="shared" si="9"/>
        <v>-7</v>
      </c>
      <c r="H64" s="10">
        <f t="shared" si="9"/>
        <v>45</v>
      </c>
      <c r="I64">
        <f t="shared" si="9"/>
        <v>120</v>
      </c>
      <c r="J64">
        <f t="shared" si="10"/>
        <v>49</v>
      </c>
      <c r="K64">
        <f t="shared" si="11"/>
        <v>-315</v>
      </c>
      <c r="L64">
        <f t="shared" si="12"/>
        <v>-840</v>
      </c>
      <c r="M64">
        <f t="shared" si="13"/>
        <v>2025</v>
      </c>
      <c r="N64">
        <f t="shared" si="14"/>
        <v>5400</v>
      </c>
      <c r="O64">
        <f t="shared" si="15"/>
        <v>14400</v>
      </c>
      <c r="Q64" s="11">
        <f t="shared" si="17"/>
        <v>7.1803512213031073</v>
      </c>
      <c r="R64" s="12">
        <f t="shared" si="16"/>
        <v>-2.8369252868321024E-2</v>
      </c>
    </row>
    <row r="65" spans="1:18" x14ac:dyDescent="0.25">
      <c r="A65">
        <v>2</v>
      </c>
      <c r="B65">
        <v>45</v>
      </c>
      <c r="C65">
        <v>20</v>
      </c>
      <c r="E65">
        <v>1.34</v>
      </c>
      <c r="F65" s="2"/>
      <c r="G65">
        <f t="shared" si="9"/>
        <v>2</v>
      </c>
      <c r="H65" s="10">
        <f t="shared" si="9"/>
        <v>45</v>
      </c>
      <c r="I65">
        <f t="shared" si="9"/>
        <v>20</v>
      </c>
      <c r="J65">
        <f t="shared" si="10"/>
        <v>4</v>
      </c>
      <c r="K65">
        <f t="shared" si="11"/>
        <v>90</v>
      </c>
      <c r="L65">
        <f t="shared" si="12"/>
        <v>40</v>
      </c>
      <c r="M65">
        <f t="shared" si="13"/>
        <v>2025</v>
      </c>
      <c r="N65">
        <f t="shared" si="14"/>
        <v>900</v>
      </c>
      <c r="O65">
        <f t="shared" si="15"/>
        <v>400</v>
      </c>
      <c r="Q65" s="11">
        <f t="shared" si="17"/>
        <v>1.2430774246269345</v>
      </c>
      <c r="R65" s="12">
        <f t="shared" si="16"/>
        <v>-7.2330280129153421E-2</v>
      </c>
    </row>
    <row r="66" spans="1:18" x14ac:dyDescent="0.25">
      <c r="A66">
        <v>2</v>
      </c>
      <c r="B66">
        <v>45</v>
      </c>
      <c r="C66">
        <v>50</v>
      </c>
      <c r="E66">
        <v>2.77</v>
      </c>
      <c r="G66">
        <f t="shared" si="9"/>
        <v>2</v>
      </c>
      <c r="H66" s="10">
        <f t="shared" si="9"/>
        <v>45</v>
      </c>
      <c r="I66">
        <f t="shared" si="9"/>
        <v>50</v>
      </c>
      <c r="J66">
        <f t="shared" si="10"/>
        <v>4</v>
      </c>
      <c r="K66">
        <f t="shared" si="11"/>
        <v>90</v>
      </c>
      <c r="L66">
        <f t="shared" si="12"/>
        <v>100</v>
      </c>
      <c r="M66">
        <f t="shared" si="13"/>
        <v>2025</v>
      </c>
      <c r="N66">
        <f t="shared" si="14"/>
        <v>2250</v>
      </c>
      <c r="O66">
        <f t="shared" si="15"/>
        <v>2500</v>
      </c>
      <c r="Q66" s="11">
        <f t="shared" si="17"/>
        <v>2.6831024088742819</v>
      </c>
      <c r="R66" s="12">
        <f t="shared" si="16"/>
        <v>-3.137097152553002E-2</v>
      </c>
    </row>
    <row r="67" spans="1:18" x14ac:dyDescent="0.25">
      <c r="A67">
        <v>2</v>
      </c>
      <c r="B67">
        <v>45</v>
      </c>
      <c r="C67">
        <v>120</v>
      </c>
      <c r="E67">
        <v>7.05</v>
      </c>
      <c r="G67">
        <f t="shared" si="9"/>
        <v>2</v>
      </c>
      <c r="H67" s="10">
        <f t="shared" si="9"/>
        <v>45</v>
      </c>
      <c r="I67">
        <f t="shared" si="9"/>
        <v>120</v>
      </c>
      <c r="J67">
        <f t="shared" si="10"/>
        <v>4</v>
      </c>
      <c r="K67">
        <f t="shared" si="11"/>
        <v>90</v>
      </c>
      <c r="L67">
        <f t="shared" si="12"/>
        <v>240</v>
      </c>
      <c r="M67">
        <f t="shared" si="13"/>
        <v>2025</v>
      </c>
      <c r="N67">
        <f t="shared" si="14"/>
        <v>5400</v>
      </c>
      <c r="O67">
        <f t="shared" si="15"/>
        <v>14400</v>
      </c>
      <c r="Q67" s="11">
        <f t="shared" si="17"/>
        <v>7.4910502496738012</v>
      </c>
      <c r="R67" s="12">
        <f t="shared" si="16"/>
        <v>6.2560319102666864E-2</v>
      </c>
    </row>
    <row r="68" spans="1:18" x14ac:dyDescent="0.25">
      <c r="A68">
        <v>7</v>
      </c>
      <c r="B68">
        <v>45</v>
      </c>
      <c r="C68">
        <v>20</v>
      </c>
      <c r="E68">
        <v>1.33</v>
      </c>
      <c r="G68">
        <f t="shared" si="9"/>
        <v>7</v>
      </c>
      <c r="H68" s="10">
        <f t="shared" si="9"/>
        <v>45</v>
      </c>
      <c r="I68">
        <f t="shared" si="9"/>
        <v>20</v>
      </c>
      <c r="J68">
        <f t="shared" si="10"/>
        <v>49</v>
      </c>
      <c r="K68">
        <f t="shared" si="11"/>
        <v>315</v>
      </c>
      <c r="L68">
        <f t="shared" si="12"/>
        <v>140</v>
      </c>
      <c r="M68">
        <f t="shared" si="13"/>
        <v>2025</v>
      </c>
      <c r="N68">
        <f t="shared" si="14"/>
        <v>900</v>
      </c>
      <c r="O68">
        <f t="shared" si="15"/>
        <v>400</v>
      </c>
      <c r="Q68" s="11">
        <f t="shared" si="17"/>
        <v>1.3177549120126324</v>
      </c>
      <c r="R68" s="12">
        <f t="shared" si="16"/>
        <v>-9.2068330732087787E-3</v>
      </c>
    </row>
    <row r="69" spans="1:18" x14ac:dyDescent="0.25">
      <c r="A69">
        <v>7</v>
      </c>
      <c r="B69">
        <v>45</v>
      </c>
      <c r="C69">
        <v>50</v>
      </c>
      <c r="E69">
        <v>2.8</v>
      </c>
      <c r="G69">
        <f t="shared" si="9"/>
        <v>7</v>
      </c>
      <c r="H69" s="10">
        <f t="shared" si="9"/>
        <v>45</v>
      </c>
      <c r="I69">
        <f t="shared" si="9"/>
        <v>50</v>
      </c>
      <c r="J69">
        <f t="shared" si="10"/>
        <v>49</v>
      </c>
      <c r="K69">
        <f t="shared" si="11"/>
        <v>315</v>
      </c>
      <c r="L69">
        <f t="shared" si="12"/>
        <v>350</v>
      </c>
      <c r="M69">
        <f t="shared" si="13"/>
        <v>2025</v>
      </c>
      <c r="N69">
        <f t="shared" si="14"/>
        <v>2250</v>
      </c>
      <c r="O69">
        <f t="shared" si="15"/>
        <v>2500</v>
      </c>
      <c r="Q69" s="11">
        <f t="shared" si="17"/>
        <v>2.8135732476880815</v>
      </c>
      <c r="R69" s="12">
        <f t="shared" si="16"/>
        <v>4.847588460029164E-3</v>
      </c>
    </row>
    <row r="70" spans="1:18" x14ac:dyDescent="0.25">
      <c r="A70">
        <v>7</v>
      </c>
      <c r="B70">
        <v>45</v>
      </c>
      <c r="C70">
        <v>120</v>
      </c>
      <c r="E70">
        <v>7.81</v>
      </c>
      <c r="G70">
        <f t="shared" si="9"/>
        <v>7</v>
      </c>
      <c r="H70" s="10">
        <f t="shared" si="9"/>
        <v>45</v>
      </c>
      <c r="I70">
        <f t="shared" si="9"/>
        <v>120</v>
      </c>
      <c r="J70">
        <f t="shared" si="10"/>
        <v>49</v>
      </c>
      <c r="K70">
        <f t="shared" si="11"/>
        <v>315</v>
      </c>
      <c r="L70">
        <f t="shared" si="12"/>
        <v>840</v>
      </c>
      <c r="M70">
        <f t="shared" si="13"/>
        <v>2025</v>
      </c>
      <c r="N70">
        <f t="shared" si="14"/>
        <v>5400</v>
      </c>
      <c r="O70">
        <f t="shared" si="15"/>
        <v>14400</v>
      </c>
      <c r="Q70" s="11">
        <f t="shared" si="17"/>
        <v>7.7517055751531689</v>
      </c>
      <c r="R70" s="12">
        <f t="shared" si="16"/>
        <v>-7.4640748843573211E-3</v>
      </c>
    </row>
    <row r="71" spans="1:18" x14ac:dyDescent="0.25">
      <c r="A71">
        <v>12</v>
      </c>
      <c r="B71">
        <v>45</v>
      </c>
      <c r="C71">
        <v>20</v>
      </c>
      <c r="E71">
        <v>1.34</v>
      </c>
      <c r="G71">
        <f t="shared" si="9"/>
        <v>12</v>
      </c>
      <c r="H71" s="10">
        <f t="shared" si="9"/>
        <v>45</v>
      </c>
      <c r="I71">
        <f t="shared" si="9"/>
        <v>20</v>
      </c>
      <c r="J71">
        <f t="shared" si="10"/>
        <v>144</v>
      </c>
      <c r="K71">
        <f t="shared" si="11"/>
        <v>540</v>
      </c>
      <c r="L71">
        <f t="shared" si="12"/>
        <v>240</v>
      </c>
      <c r="M71">
        <f t="shared" si="13"/>
        <v>2025</v>
      </c>
      <c r="N71">
        <f t="shared" si="14"/>
        <v>900</v>
      </c>
      <c r="O71">
        <f t="shared" si="15"/>
        <v>400</v>
      </c>
      <c r="Q71" s="11">
        <f t="shared" si="17"/>
        <v>1.4553215095142713</v>
      </c>
      <c r="R71" s="12">
        <f t="shared" si="16"/>
        <v>8.6060827995724787E-2</v>
      </c>
    </row>
    <row r="72" spans="1:18" x14ac:dyDescent="0.25">
      <c r="A72">
        <v>12</v>
      </c>
      <c r="B72">
        <v>45</v>
      </c>
      <c r="C72">
        <v>50</v>
      </c>
      <c r="E72">
        <v>3.01</v>
      </c>
      <c r="G72">
        <f t="shared" si="9"/>
        <v>12</v>
      </c>
      <c r="H72" s="10">
        <f t="shared" si="9"/>
        <v>45</v>
      </c>
      <c r="I72">
        <f t="shared" si="9"/>
        <v>50</v>
      </c>
      <c r="J72">
        <f t="shared" si="10"/>
        <v>144</v>
      </c>
      <c r="K72">
        <f t="shared" si="11"/>
        <v>540</v>
      </c>
      <c r="L72">
        <f t="shared" si="12"/>
        <v>600</v>
      </c>
      <c r="M72">
        <f t="shared" si="13"/>
        <v>2025</v>
      </c>
      <c r="N72">
        <f t="shared" si="14"/>
        <v>2250</v>
      </c>
      <c r="O72">
        <f t="shared" si="15"/>
        <v>2500</v>
      </c>
      <c r="Q72" s="11">
        <f t="shared" si="17"/>
        <v>3.0069331966178212</v>
      </c>
      <c r="R72" s="12">
        <f t="shared" si="16"/>
        <v>-1.0188715555410543E-3</v>
      </c>
    </row>
    <row r="73" spans="1:18" x14ac:dyDescent="0.25">
      <c r="A73">
        <v>12</v>
      </c>
      <c r="B73">
        <v>45</v>
      </c>
      <c r="C73">
        <v>120</v>
      </c>
      <c r="E73">
        <v>8.23</v>
      </c>
      <c r="G73">
        <f t="shared" si="9"/>
        <v>12</v>
      </c>
      <c r="H73" s="10">
        <f t="shared" si="9"/>
        <v>45</v>
      </c>
      <c r="I73">
        <f t="shared" si="9"/>
        <v>120</v>
      </c>
      <c r="J73">
        <f t="shared" si="10"/>
        <v>144</v>
      </c>
      <c r="K73">
        <f t="shared" si="11"/>
        <v>540</v>
      </c>
      <c r="L73">
        <f t="shared" si="12"/>
        <v>1440</v>
      </c>
      <c r="M73">
        <f t="shared" si="13"/>
        <v>2025</v>
      </c>
      <c r="N73">
        <f t="shared" si="14"/>
        <v>5400</v>
      </c>
      <c r="O73">
        <f t="shared" si="15"/>
        <v>14400</v>
      </c>
      <c r="Q73" s="11">
        <f t="shared" si="17"/>
        <v>8.0752500107484799</v>
      </c>
      <c r="R73" s="12">
        <f t="shared" si="16"/>
        <v>-1.8803157867742466E-2</v>
      </c>
    </row>
    <row r="74" spans="1:18" x14ac:dyDescent="0.25">
      <c r="A74">
        <v>-7</v>
      </c>
      <c r="B74">
        <v>55</v>
      </c>
      <c r="C74">
        <v>50</v>
      </c>
      <c r="E74">
        <v>3.1</v>
      </c>
      <c r="G74">
        <f t="shared" si="9"/>
        <v>-7</v>
      </c>
      <c r="H74" s="10">
        <f t="shared" si="9"/>
        <v>55</v>
      </c>
      <c r="I74">
        <f t="shared" si="9"/>
        <v>50</v>
      </c>
      <c r="J74">
        <f t="shared" si="10"/>
        <v>49</v>
      </c>
      <c r="K74">
        <f t="shared" si="11"/>
        <v>-385</v>
      </c>
      <c r="L74">
        <f t="shared" si="12"/>
        <v>-350</v>
      </c>
      <c r="M74">
        <f t="shared" si="13"/>
        <v>3025</v>
      </c>
      <c r="N74">
        <f t="shared" si="14"/>
        <v>2750</v>
      </c>
      <c r="O74">
        <f t="shared" si="15"/>
        <v>2500</v>
      </c>
      <c r="Q74" s="11">
        <f t="shared" si="17"/>
        <v>3.1142617606636551</v>
      </c>
      <c r="R74" s="12">
        <f t="shared" si="16"/>
        <v>4.6005679560177518E-3</v>
      </c>
    </row>
    <row r="75" spans="1:18" x14ac:dyDescent="0.25">
      <c r="A75">
        <v>-7</v>
      </c>
      <c r="B75">
        <v>55</v>
      </c>
      <c r="C75">
        <v>120</v>
      </c>
      <c r="E75">
        <v>8.4600000000000009</v>
      </c>
      <c r="G75">
        <f t="shared" si="9"/>
        <v>-7</v>
      </c>
      <c r="H75" s="10">
        <f t="shared" si="9"/>
        <v>55</v>
      </c>
      <c r="I75">
        <f t="shared" si="9"/>
        <v>120</v>
      </c>
      <c r="J75">
        <f t="shared" si="10"/>
        <v>49</v>
      </c>
      <c r="K75">
        <f t="shared" si="11"/>
        <v>-385</v>
      </c>
      <c r="L75">
        <f t="shared" si="12"/>
        <v>-840</v>
      </c>
      <c r="M75">
        <f t="shared" si="13"/>
        <v>3025</v>
      </c>
      <c r="N75">
        <f t="shared" si="14"/>
        <v>6600</v>
      </c>
      <c r="O75">
        <f t="shared" si="15"/>
        <v>14400</v>
      </c>
      <c r="Q75" s="11">
        <f t="shared" si="17"/>
        <v>8.3308322604583154</v>
      </c>
      <c r="R75" s="12">
        <f t="shared" si="16"/>
        <v>-1.5268054319348164E-2</v>
      </c>
    </row>
    <row r="76" spans="1:18" x14ac:dyDescent="0.25">
      <c r="A76">
        <v>2</v>
      </c>
      <c r="B76">
        <v>55</v>
      </c>
      <c r="C76">
        <v>20</v>
      </c>
      <c r="E76">
        <v>1.67</v>
      </c>
      <c r="G76">
        <f t="shared" si="9"/>
        <v>2</v>
      </c>
      <c r="H76" s="10">
        <f t="shared" si="9"/>
        <v>55</v>
      </c>
      <c r="I76">
        <f t="shared" si="9"/>
        <v>20</v>
      </c>
      <c r="J76">
        <f t="shared" si="10"/>
        <v>4</v>
      </c>
      <c r="K76">
        <f t="shared" si="11"/>
        <v>110</v>
      </c>
      <c r="L76">
        <f t="shared" si="12"/>
        <v>40</v>
      </c>
      <c r="M76">
        <f t="shared" si="13"/>
        <v>3025</v>
      </c>
      <c r="N76">
        <f t="shared" si="14"/>
        <v>1100</v>
      </c>
      <c r="O76">
        <f t="shared" si="15"/>
        <v>400</v>
      </c>
      <c r="Q76" s="11">
        <f t="shared" si="17"/>
        <v>1.5285641006787709</v>
      </c>
      <c r="R76" s="12">
        <f t="shared" si="16"/>
        <v>-8.4692155282173068E-2</v>
      </c>
    </row>
    <row r="77" spans="1:18" x14ac:dyDescent="0.25">
      <c r="A77">
        <v>2</v>
      </c>
      <c r="B77">
        <v>55</v>
      </c>
      <c r="C77">
        <v>50</v>
      </c>
      <c r="E77">
        <v>3.35</v>
      </c>
      <c r="G77">
        <f t="shared" si="9"/>
        <v>2</v>
      </c>
      <c r="H77" s="10">
        <f t="shared" si="9"/>
        <v>55</v>
      </c>
      <c r="I77">
        <f t="shared" si="9"/>
        <v>50</v>
      </c>
      <c r="J77">
        <f t="shared" si="10"/>
        <v>4</v>
      </c>
      <c r="K77">
        <f t="shared" si="11"/>
        <v>110</v>
      </c>
      <c r="L77">
        <f t="shared" si="12"/>
        <v>100</v>
      </c>
      <c r="M77">
        <f t="shared" si="13"/>
        <v>3025</v>
      </c>
      <c r="N77">
        <f t="shared" si="14"/>
        <v>2750</v>
      </c>
      <c r="O77">
        <f t="shared" si="15"/>
        <v>2500</v>
      </c>
      <c r="Q77" s="11">
        <f t="shared" si="17"/>
        <v>3.2441411142089041</v>
      </c>
      <c r="R77" s="12">
        <f t="shared" si="16"/>
        <v>-3.1599667400327172E-2</v>
      </c>
    </row>
    <row r="78" spans="1:18" x14ac:dyDescent="0.25">
      <c r="A78">
        <v>2</v>
      </c>
      <c r="B78">
        <v>55</v>
      </c>
      <c r="C78">
        <v>120</v>
      </c>
      <c r="E78">
        <v>8.18</v>
      </c>
      <c r="G78">
        <f t="shared" si="9"/>
        <v>2</v>
      </c>
      <c r="H78" s="10">
        <f t="shared" si="9"/>
        <v>55</v>
      </c>
      <c r="I78">
        <f t="shared" si="9"/>
        <v>120</v>
      </c>
      <c r="J78">
        <f t="shared" si="10"/>
        <v>4</v>
      </c>
      <c r="K78">
        <f t="shared" si="11"/>
        <v>110</v>
      </c>
      <c r="L78">
        <f t="shared" si="12"/>
        <v>240</v>
      </c>
      <c r="M78">
        <f t="shared" si="13"/>
        <v>3025</v>
      </c>
      <c r="N78">
        <f t="shared" si="14"/>
        <v>6600</v>
      </c>
      <c r="O78">
        <f t="shared" si="15"/>
        <v>14400</v>
      </c>
      <c r="Q78" s="11">
        <f t="shared" si="17"/>
        <v>8.6950436900015902</v>
      </c>
      <c r="R78" s="12">
        <f t="shared" si="16"/>
        <v>6.2963776283813014E-2</v>
      </c>
    </row>
    <row r="79" spans="1:18" x14ac:dyDescent="0.25">
      <c r="A79">
        <v>7</v>
      </c>
      <c r="B79">
        <v>55</v>
      </c>
      <c r="C79">
        <v>20</v>
      </c>
      <c r="E79">
        <v>1.69</v>
      </c>
      <c r="G79">
        <f t="shared" si="9"/>
        <v>7</v>
      </c>
      <c r="H79" s="10">
        <f t="shared" si="9"/>
        <v>55</v>
      </c>
      <c r="I79">
        <f t="shared" si="9"/>
        <v>20</v>
      </c>
      <c r="J79">
        <f t="shared" si="10"/>
        <v>49</v>
      </c>
      <c r="K79">
        <f t="shared" si="11"/>
        <v>385</v>
      </c>
      <c r="L79">
        <f t="shared" si="12"/>
        <v>140</v>
      </c>
      <c r="M79">
        <f t="shared" si="13"/>
        <v>3025</v>
      </c>
      <c r="N79">
        <f t="shared" si="14"/>
        <v>1100</v>
      </c>
      <c r="O79">
        <f t="shared" si="15"/>
        <v>400</v>
      </c>
      <c r="Q79" s="11">
        <f t="shared" si="17"/>
        <v>1.6329706998270135</v>
      </c>
      <c r="R79" s="12">
        <f t="shared" si="16"/>
        <v>-3.3745148031352937E-2</v>
      </c>
    </row>
    <row r="80" spans="1:18" x14ac:dyDescent="0.25">
      <c r="A80">
        <v>7</v>
      </c>
      <c r="B80">
        <v>55</v>
      </c>
      <c r="C80">
        <v>50</v>
      </c>
      <c r="E80">
        <v>3.32</v>
      </c>
      <c r="G80">
        <f t="shared" si="9"/>
        <v>7</v>
      </c>
      <c r="H80" s="10">
        <f t="shared" si="9"/>
        <v>55</v>
      </c>
      <c r="I80">
        <f t="shared" si="9"/>
        <v>50</v>
      </c>
      <c r="J80">
        <f t="shared" si="10"/>
        <v>49</v>
      </c>
      <c r="K80">
        <f t="shared" si="11"/>
        <v>385</v>
      </c>
      <c r="L80">
        <f t="shared" si="12"/>
        <v>350</v>
      </c>
      <c r="M80">
        <f t="shared" si="13"/>
        <v>3025</v>
      </c>
      <c r="N80">
        <f t="shared" si="14"/>
        <v>2750</v>
      </c>
      <c r="O80">
        <f t="shared" si="15"/>
        <v>2500</v>
      </c>
      <c r="Q80" s="11">
        <f t="shared" si="17"/>
        <v>3.4043410647852479</v>
      </c>
      <c r="R80" s="12">
        <f t="shared" si="16"/>
        <v>2.5403935176279535E-2</v>
      </c>
    </row>
    <row r="81" spans="1:18" x14ac:dyDescent="0.25">
      <c r="A81">
        <v>7</v>
      </c>
      <c r="B81">
        <v>55</v>
      </c>
      <c r="C81">
        <v>120</v>
      </c>
      <c r="E81">
        <v>9.26</v>
      </c>
      <c r="G81">
        <f t="shared" si="9"/>
        <v>7</v>
      </c>
      <c r="H81" s="10">
        <f t="shared" si="9"/>
        <v>55</v>
      </c>
      <c r="I81">
        <f t="shared" si="9"/>
        <v>120</v>
      </c>
      <c r="J81">
        <f t="shared" si="10"/>
        <v>49</v>
      </c>
      <c r="K81">
        <f t="shared" si="11"/>
        <v>385</v>
      </c>
      <c r="L81">
        <f t="shared" si="12"/>
        <v>840</v>
      </c>
      <c r="M81">
        <f t="shared" si="13"/>
        <v>3025</v>
      </c>
      <c r="N81">
        <f t="shared" si="14"/>
        <v>6600</v>
      </c>
      <c r="O81">
        <f t="shared" si="15"/>
        <v>14400</v>
      </c>
      <c r="Q81" s="11">
        <f t="shared" si="17"/>
        <v>8.9854281272435035</v>
      </c>
      <c r="R81" s="12">
        <f t="shared" si="16"/>
        <v>-2.9651390146489882E-2</v>
      </c>
    </row>
    <row r="82" spans="1:18" x14ac:dyDescent="0.25">
      <c r="A82">
        <v>12</v>
      </c>
      <c r="B82">
        <v>55</v>
      </c>
      <c r="C82">
        <v>20</v>
      </c>
      <c r="E82">
        <v>1.71</v>
      </c>
      <c r="G82">
        <f t="shared" si="9"/>
        <v>12</v>
      </c>
      <c r="H82" s="10">
        <f t="shared" si="9"/>
        <v>55</v>
      </c>
      <c r="I82">
        <f t="shared" si="9"/>
        <v>20</v>
      </c>
      <c r="J82">
        <f t="shared" si="10"/>
        <v>144</v>
      </c>
      <c r="K82">
        <f t="shared" si="11"/>
        <v>660</v>
      </c>
      <c r="L82">
        <f t="shared" si="12"/>
        <v>240</v>
      </c>
      <c r="M82">
        <f t="shared" si="13"/>
        <v>3025</v>
      </c>
      <c r="N82">
        <f t="shared" si="14"/>
        <v>1100</v>
      </c>
      <c r="O82">
        <f t="shared" si="15"/>
        <v>400</v>
      </c>
      <c r="Q82" s="11">
        <f t="shared" si="17"/>
        <v>1.8002664090911966</v>
      </c>
      <c r="R82" s="12">
        <f t="shared" si="16"/>
        <v>5.2787373737541901E-2</v>
      </c>
    </row>
    <row r="83" spans="1:18" x14ac:dyDescent="0.25">
      <c r="A83">
        <v>12</v>
      </c>
      <c r="B83">
        <v>55</v>
      </c>
      <c r="C83">
        <v>50</v>
      </c>
      <c r="E83">
        <v>3.52</v>
      </c>
      <c r="G83">
        <f t="shared" si="9"/>
        <v>12</v>
      </c>
      <c r="H83" s="10">
        <f t="shared" si="9"/>
        <v>55</v>
      </c>
      <c r="I83">
        <f t="shared" si="9"/>
        <v>50</v>
      </c>
      <c r="J83">
        <f t="shared" si="10"/>
        <v>144</v>
      </c>
      <c r="K83">
        <f t="shared" si="11"/>
        <v>660</v>
      </c>
      <c r="L83">
        <f t="shared" si="12"/>
        <v>600</v>
      </c>
      <c r="M83">
        <f t="shared" si="13"/>
        <v>3025</v>
      </c>
      <c r="N83">
        <f t="shared" si="14"/>
        <v>2750</v>
      </c>
      <c r="O83">
        <f t="shared" si="15"/>
        <v>2500</v>
      </c>
      <c r="Q83" s="11">
        <f t="shared" si="17"/>
        <v>3.6274301254775323</v>
      </c>
      <c r="R83" s="12">
        <f t="shared" si="16"/>
        <v>3.051992201066258E-2</v>
      </c>
    </row>
    <row r="84" spans="1:18" x14ac:dyDescent="0.25">
      <c r="A84">
        <v>12</v>
      </c>
      <c r="B84">
        <v>55</v>
      </c>
      <c r="C84">
        <v>120</v>
      </c>
      <c r="E84">
        <v>9.4700000000000006</v>
      </c>
      <c r="G84">
        <f t="shared" si="9"/>
        <v>12</v>
      </c>
      <c r="H84" s="10">
        <f t="shared" si="9"/>
        <v>55</v>
      </c>
      <c r="I84">
        <f t="shared" si="9"/>
        <v>120</v>
      </c>
      <c r="J84">
        <f t="shared" si="10"/>
        <v>144</v>
      </c>
      <c r="K84">
        <f t="shared" si="11"/>
        <v>660</v>
      </c>
      <c r="L84">
        <f t="shared" si="12"/>
        <v>1440</v>
      </c>
      <c r="M84">
        <f t="shared" si="13"/>
        <v>3025</v>
      </c>
      <c r="N84">
        <f t="shared" si="14"/>
        <v>6600</v>
      </c>
      <c r="O84">
        <f t="shared" si="15"/>
        <v>14400</v>
      </c>
      <c r="Q84" s="11">
        <f t="shared" si="17"/>
        <v>9.3387016746013565</v>
      </c>
      <c r="R84" s="12">
        <f t="shared" si="16"/>
        <v>-1.3864659492993047E-2</v>
      </c>
    </row>
    <row r="85" spans="1:18" x14ac:dyDescent="0.25">
      <c r="A85">
        <v>-15</v>
      </c>
      <c r="B85">
        <v>55</v>
      </c>
      <c r="C85">
        <v>50</v>
      </c>
      <c r="E85">
        <v>3.12</v>
      </c>
      <c r="G85">
        <f t="shared" si="9"/>
        <v>-15</v>
      </c>
      <c r="H85" s="10">
        <f t="shared" si="9"/>
        <v>55</v>
      </c>
      <c r="I85">
        <f t="shared" si="9"/>
        <v>50</v>
      </c>
      <c r="J85">
        <f t="shared" si="10"/>
        <v>225</v>
      </c>
      <c r="K85">
        <f t="shared" si="11"/>
        <v>-825</v>
      </c>
      <c r="L85">
        <f t="shared" si="12"/>
        <v>-750</v>
      </c>
      <c r="M85">
        <f t="shared" si="13"/>
        <v>3025</v>
      </c>
      <c r="N85">
        <f t="shared" si="14"/>
        <v>2750</v>
      </c>
      <c r="O85">
        <f t="shared" si="15"/>
        <v>2500</v>
      </c>
      <c r="Q85" s="11">
        <f t="shared" si="17"/>
        <v>3.1698718259165704</v>
      </c>
      <c r="R85" s="12">
        <f t="shared" si="16"/>
        <v>1.5984559588644309E-2</v>
      </c>
    </row>
    <row r="86" spans="1:18" x14ac:dyDescent="0.25">
      <c r="A86">
        <v>-15</v>
      </c>
      <c r="B86">
        <v>55</v>
      </c>
      <c r="C86">
        <v>120</v>
      </c>
      <c r="E86">
        <v>8.1999999999999993</v>
      </c>
      <c r="G86">
        <f t="shared" si="9"/>
        <v>-15</v>
      </c>
      <c r="H86" s="10">
        <f t="shared" si="9"/>
        <v>55</v>
      </c>
      <c r="I86">
        <f t="shared" si="9"/>
        <v>120</v>
      </c>
      <c r="J86">
        <f t="shared" si="10"/>
        <v>225</v>
      </c>
      <c r="K86">
        <f t="shared" si="11"/>
        <v>-825</v>
      </c>
      <c r="L86">
        <f t="shared" si="12"/>
        <v>-1800</v>
      </c>
      <c r="M86">
        <f t="shared" si="13"/>
        <v>3025</v>
      </c>
      <c r="N86">
        <f t="shared" si="14"/>
        <v>6600</v>
      </c>
      <c r="O86">
        <f t="shared" si="15"/>
        <v>14400</v>
      </c>
      <c r="Q86" s="11">
        <f t="shared" si="17"/>
        <v>8.1781471470463192</v>
      </c>
      <c r="R86" s="12">
        <f t="shared" si="16"/>
        <v>-2.6649820675219652E-3</v>
      </c>
    </row>
    <row r="89" spans="1:18" x14ac:dyDescent="0.25">
      <c r="A89" t="s">
        <v>28</v>
      </c>
      <c r="G89" s="4" t="s">
        <v>1</v>
      </c>
      <c r="H89" s="4" t="s">
        <v>2</v>
      </c>
      <c r="I89" s="4" t="s">
        <v>3</v>
      </c>
      <c r="J89" s="4" t="s">
        <v>4</v>
      </c>
      <c r="K89" s="4" t="s">
        <v>5</v>
      </c>
      <c r="L89" s="4" t="s">
        <v>6</v>
      </c>
      <c r="M89" s="4" t="s">
        <v>7</v>
      </c>
      <c r="N89" s="4" t="s">
        <v>8</v>
      </c>
      <c r="O89" s="4" t="s">
        <v>9</v>
      </c>
      <c r="P89" s="4" t="s">
        <v>10</v>
      </c>
    </row>
    <row r="90" spans="1:18" x14ac:dyDescent="0.25">
      <c r="A90" s="1"/>
      <c r="C90" s="1"/>
      <c r="D90" s="1"/>
      <c r="E90" s="1"/>
      <c r="F90" s="1"/>
      <c r="G90" s="4">
        <f t="array" ref="G90:P90">LINEST(E92:E130,G92:O130)</f>
        <v>5.9295539869593718E-2</v>
      </c>
      <c r="H90" s="4">
        <v>1.6449097279059167E-2</v>
      </c>
      <c r="I90" s="4">
        <v>-8.0588790936176889E-6</v>
      </c>
      <c r="J90" s="4">
        <v>-0.2341706966178069</v>
      </c>
      <c r="K90" s="4">
        <v>-9.3729758285010286E-3</v>
      </c>
      <c r="L90" s="4">
        <v>-1.4160005172093738E-2</v>
      </c>
      <c r="M90" s="4">
        <v>6.1590067493968608</v>
      </c>
      <c r="N90" s="4">
        <v>-0.19801239264667703</v>
      </c>
      <c r="O90" s="4">
        <v>0.56977232572060843</v>
      </c>
      <c r="P90" s="4">
        <v>0.59376949238319554</v>
      </c>
    </row>
    <row r="91" spans="1:18" ht="45" x14ac:dyDescent="0.25">
      <c r="A91" s="5" t="s">
        <v>11</v>
      </c>
      <c r="B91" s="5" t="s">
        <v>12</v>
      </c>
      <c r="C91" s="5" t="s">
        <v>14</v>
      </c>
      <c r="E91" s="7" t="s">
        <v>13</v>
      </c>
      <c r="F91" s="3"/>
      <c r="G91" s="8" t="s">
        <v>17</v>
      </c>
      <c r="H91" s="8" t="s">
        <v>18</v>
      </c>
      <c r="I91" s="8" t="s">
        <v>0</v>
      </c>
      <c r="J91" s="8" t="s">
        <v>19</v>
      </c>
      <c r="K91" s="8" t="s">
        <v>20</v>
      </c>
      <c r="L91" s="8" t="s">
        <v>21</v>
      </c>
      <c r="M91" s="8" t="s">
        <v>22</v>
      </c>
      <c r="N91" s="8" t="s">
        <v>23</v>
      </c>
      <c r="O91" s="8" t="s">
        <v>24</v>
      </c>
      <c r="P91" s="3"/>
      <c r="Q91" s="9" t="s">
        <v>16</v>
      </c>
      <c r="R91" s="9" t="s">
        <v>15</v>
      </c>
    </row>
    <row r="92" spans="1:18" x14ac:dyDescent="0.25">
      <c r="A92">
        <v>-15</v>
      </c>
      <c r="B92">
        <v>35</v>
      </c>
      <c r="C92" s="2">
        <f>E4</f>
        <v>5.77</v>
      </c>
      <c r="E92">
        <v>50</v>
      </c>
      <c r="F92" s="2"/>
      <c r="G92">
        <f t="shared" ref="G92:I130" si="18">A92</f>
        <v>-15</v>
      </c>
      <c r="H92" s="10">
        <f t="shared" si="18"/>
        <v>35</v>
      </c>
      <c r="I92">
        <f t="shared" si="18"/>
        <v>5.77</v>
      </c>
      <c r="J92">
        <f t="shared" ref="J92:J130" si="19">G92^2</f>
        <v>225</v>
      </c>
      <c r="K92">
        <f t="shared" ref="K92:K130" si="20">G92*H92</f>
        <v>-525</v>
      </c>
      <c r="L92">
        <f t="shared" ref="L92:L130" si="21">G92*I92</f>
        <v>-86.55</v>
      </c>
      <c r="M92">
        <f t="shared" ref="M92:M130" si="22">H92^2</f>
        <v>1225</v>
      </c>
      <c r="N92">
        <f t="shared" ref="N92:N130" si="23">H92*I92</f>
        <v>201.95</v>
      </c>
      <c r="O92">
        <f t="shared" ref="O92:O130" si="24">I92^2</f>
        <v>33.292899999999996</v>
      </c>
      <c r="Q92" s="11">
        <f>$P$90+$O$2*G92+$N$90*H92+$M$90*I92+$L$90*J92+$K$90*K92+$J$90*L92+$I$90*M92+$H$90*N92+$G$90*O92</f>
        <v>54.710597438273012</v>
      </c>
      <c r="R92" s="12">
        <f t="shared" ref="R92:R130" si="25">(Q92-E92)/E92</f>
        <v>9.4211948765460254E-2</v>
      </c>
    </row>
    <row r="93" spans="1:18" x14ac:dyDescent="0.25">
      <c r="A93">
        <v>-15</v>
      </c>
      <c r="B93">
        <v>35</v>
      </c>
      <c r="C93" s="2">
        <f t="shared" ref="C93:C130" si="26">E5</f>
        <v>12.05</v>
      </c>
      <c r="E93">
        <v>120</v>
      </c>
      <c r="F93" s="2"/>
      <c r="G93">
        <f t="shared" si="18"/>
        <v>-15</v>
      </c>
      <c r="H93" s="10">
        <f t="shared" si="18"/>
        <v>35</v>
      </c>
      <c r="I93">
        <f t="shared" si="18"/>
        <v>12.05</v>
      </c>
      <c r="J93">
        <f t="shared" si="19"/>
        <v>225</v>
      </c>
      <c r="K93">
        <f t="shared" si="20"/>
        <v>-525</v>
      </c>
      <c r="L93">
        <f t="shared" si="21"/>
        <v>-180.75</v>
      </c>
      <c r="M93">
        <f t="shared" si="22"/>
        <v>1225</v>
      </c>
      <c r="N93">
        <f t="shared" si="23"/>
        <v>421.75</v>
      </c>
      <c r="O93">
        <f t="shared" si="24"/>
        <v>145.20250000000001</v>
      </c>
      <c r="Q93" s="11">
        <f t="shared" ref="Q93:Q130" si="27">$P$90+$O$2*G93+$N$90*H93+$M$90*I93+$L$90*J93+$K$90*K93+$J$90*L93+$I$90*M93+$H$90*N93+$G$90*O93</f>
        <v>125.69929117641021</v>
      </c>
      <c r="R93" s="12">
        <f t="shared" si="25"/>
        <v>4.7494093136751778E-2</v>
      </c>
    </row>
    <row r="94" spans="1:18" x14ac:dyDescent="0.25">
      <c r="A94">
        <v>-7</v>
      </c>
      <c r="B94">
        <v>35</v>
      </c>
      <c r="C94" s="2">
        <f t="shared" si="26"/>
        <v>7.29</v>
      </c>
      <c r="E94">
        <v>50</v>
      </c>
      <c r="F94" s="2"/>
      <c r="G94">
        <f t="shared" si="18"/>
        <v>-7</v>
      </c>
      <c r="H94" s="10">
        <f t="shared" si="18"/>
        <v>35</v>
      </c>
      <c r="I94">
        <f t="shared" si="18"/>
        <v>7.29</v>
      </c>
      <c r="J94">
        <f t="shared" si="19"/>
        <v>49</v>
      </c>
      <c r="K94">
        <f t="shared" si="20"/>
        <v>-245</v>
      </c>
      <c r="L94">
        <f t="shared" si="21"/>
        <v>-51.03</v>
      </c>
      <c r="M94">
        <f t="shared" si="22"/>
        <v>1225</v>
      </c>
      <c r="N94">
        <f t="shared" si="23"/>
        <v>255.15</v>
      </c>
      <c r="O94">
        <f t="shared" si="24"/>
        <v>53.144100000000002</v>
      </c>
      <c r="Q94" s="11">
        <f t="shared" si="27"/>
        <v>58.623057557145302</v>
      </c>
      <c r="R94" s="12">
        <f t="shared" si="25"/>
        <v>0.17246115114290603</v>
      </c>
    </row>
    <row r="95" spans="1:18" x14ac:dyDescent="0.25">
      <c r="A95">
        <v>-7</v>
      </c>
      <c r="B95">
        <v>35</v>
      </c>
      <c r="C95" s="2">
        <f t="shared" si="26"/>
        <v>14.97</v>
      </c>
      <c r="E95">
        <v>120</v>
      </c>
      <c r="F95" s="2"/>
      <c r="G95">
        <f t="shared" si="18"/>
        <v>-7</v>
      </c>
      <c r="H95" s="10">
        <f t="shared" si="18"/>
        <v>35</v>
      </c>
      <c r="I95">
        <f t="shared" si="18"/>
        <v>14.97</v>
      </c>
      <c r="J95">
        <f t="shared" si="19"/>
        <v>49</v>
      </c>
      <c r="K95">
        <f t="shared" si="20"/>
        <v>-245</v>
      </c>
      <c r="L95">
        <f t="shared" si="21"/>
        <v>-104.79</v>
      </c>
      <c r="M95">
        <f t="shared" si="22"/>
        <v>1225</v>
      </c>
      <c r="N95">
        <f t="shared" si="23"/>
        <v>523.95000000000005</v>
      </c>
      <c r="O95">
        <f t="shared" si="24"/>
        <v>224.10090000000002</v>
      </c>
      <c r="Q95" s="11">
        <f t="shared" si="27"/>
        <v>133.07173914167578</v>
      </c>
      <c r="R95" s="12">
        <f t="shared" si="25"/>
        <v>0.10893115951396481</v>
      </c>
    </row>
    <row r="96" spans="1:18" x14ac:dyDescent="0.25">
      <c r="A96">
        <v>2</v>
      </c>
      <c r="B96">
        <v>35</v>
      </c>
      <c r="C96" s="2">
        <f t="shared" si="26"/>
        <v>3.72</v>
      </c>
      <c r="E96">
        <v>20</v>
      </c>
      <c r="F96" s="2"/>
      <c r="G96">
        <f t="shared" si="18"/>
        <v>2</v>
      </c>
      <c r="H96" s="10">
        <f t="shared" si="18"/>
        <v>35</v>
      </c>
      <c r="I96">
        <f t="shared" si="18"/>
        <v>3.72</v>
      </c>
      <c r="J96">
        <f t="shared" si="19"/>
        <v>4</v>
      </c>
      <c r="K96">
        <f t="shared" si="20"/>
        <v>70</v>
      </c>
      <c r="L96">
        <f t="shared" si="21"/>
        <v>7.44</v>
      </c>
      <c r="M96">
        <f t="shared" si="22"/>
        <v>1225</v>
      </c>
      <c r="N96">
        <f t="shared" si="23"/>
        <v>130.20000000000002</v>
      </c>
      <c r="O96">
        <f t="shared" si="24"/>
        <v>13.838400000000002</v>
      </c>
      <c r="Q96" s="11">
        <f t="shared" si="27"/>
        <v>17.309369716021127</v>
      </c>
      <c r="R96" s="12">
        <f t="shared" si="25"/>
        <v>-0.13453151419894366</v>
      </c>
    </row>
    <row r="97" spans="1:18" x14ac:dyDescent="0.25">
      <c r="A97">
        <v>2</v>
      </c>
      <c r="B97">
        <v>35</v>
      </c>
      <c r="C97" s="2">
        <f t="shared" si="26"/>
        <v>8.27</v>
      </c>
      <c r="E97">
        <v>50</v>
      </c>
      <c r="F97" s="2"/>
      <c r="G97">
        <f t="shared" si="18"/>
        <v>2</v>
      </c>
      <c r="H97" s="10">
        <f t="shared" si="18"/>
        <v>35</v>
      </c>
      <c r="I97">
        <f t="shared" si="18"/>
        <v>8.27</v>
      </c>
      <c r="J97">
        <f t="shared" si="19"/>
        <v>4</v>
      </c>
      <c r="K97">
        <f t="shared" si="20"/>
        <v>70</v>
      </c>
      <c r="L97">
        <f t="shared" si="21"/>
        <v>16.54</v>
      </c>
      <c r="M97">
        <f t="shared" si="22"/>
        <v>1225</v>
      </c>
      <c r="N97">
        <f t="shared" si="23"/>
        <v>289.45</v>
      </c>
      <c r="O97">
        <f t="shared" si="24"/>
        <v>68.392899999999997</v>
      </c>
      <c r="Q97" s="11">
        <f t="shared" si="27"/>
        <v>49.056254358060727</v>
      </c>
      <c r="R97" s="12">
        <f t="shared" si="25"/>
        <v>-1.8874912838785462E-2</v>
      </c>
    </row>
    <row r="98" spans="1:18" x14ac:dyDescent="0.25">
      <c r="A98">
        <v>2</v>
      </c>
      <c r="B98">
        <v>35</v>
      </c>
      <c r="C98" s="2">
        <f t="shared" si="26"/>
        <v>15.39</v>
      </c>
      <c r="E98">
        <v>120</v>
      </c>
      <c r="F98" s="2"/>
      <c r="G98">
        <f t="shared" si="18"/>
        <v>2</v>
      </c>
      <c r="H98" s="10">
        <f t="shared" si="18"/>
        <v>35</v>
      </c>
      <c r="I98">
        <f t="shared" si="18"/>
        <v>15.39</v>
      </c>
      <c r="J98">
        <f t="shared" si="19"/>
        <v>4</v>
      </c>
      <c r="K98">
        <f t="shared" si="20"/>
        <v>70</v>
      </c>
      <c r="L98">
        <f t="shared" si="21"/>
        <v>30.78</v>
      </c>
      <c r="M98">
        <f t="shared" si="22"/>
        <v>1225</v>
      </c>
      <c r="N98">
        <f t="shared" si="23"/>
        <v>538.65</v>
      </c>
      <c r="O98">
        <f t="shared" si="24"/>
        <v>236.85210000000001</v>
      </c>
      <c r="Q98" s="11">
        <f t="shared" si="27"/>
        <v>103.66178594587022</v>
      </c>
      <c r="R98" s="12">
        <f t="shared" si="25"/>
        <v>-0.13615178378441481</v>
      </c>
    </row>
    <row r="99" spans="1:18" x14ac:dyDescent="0.25">
      <c r="A99">
        <v>7</v>
      </c>
      <c r="B99">
        <v>35</v>
      </c>
      <c r="C99" s="2">
        <f t="shared" si="26"/>
        <v>4.74</v>
      </c>
      <c r="E99">
        <v>20</v>
      </c>
      <c r="F99" s="2"/>
      <c r="G99">
        <f t="shared" si="18"/>
        <v>7</v>
      </c>
      <c r="H99" s="10">
        <f t="shared" si="18"/>
        <v>35</v>
      </c>
      <c r="I99">
        <f t="shared" si="18"/>
        <v>4.74</v>
      </c>
      <c r="J99">
        <f t="shared" si="19"/>
        <v>49</v>
      </c>
      <c r="K99">
        <f t="shared" si="20"/>
        <v>245</v>
      </c>
      <c r="L99">
        <f t="shared" si="21"/>
        <v>33.18</v>
      </c>
      <c r="M99">
        <f t="shared" si="22"/>
        <v>1225</v>
      </c>
      <c r="N99">
        <f t="shared" si="23"/>
        <v>165.9</v>
      </c>
      <c r="O99">
        <f t="shared" si="24"/>
        <v>22.467600000000001</v>
      </c>
      <c r="Q99" s="11">
        <f t="shared" si="27"/>
        <v>16.978316292886863</v>
      </c>
      <c r="R99" s="12">
        <f t="shared" si="25"/>
        <v>-0.15108418535565687</v>
      </c>
    </row>
    <row r="100" spans="1:18" x14ac:dyDescent="0.25">
      <c r="A100">
        <v>7</v>
      </c>
      <c r="B100">
        <v>35</v>
      </c>
      <c r="C100" s="2">
        <f t="shared" si="26"/>
        <v>10.3</v>
      </c>
      <c r="E100">
        <v>50</v>
      </c>
      <c r="F100" s="2"/>
      <c r="G100">
        <f t="shared" si="18"/>
        <v>7</v>
      </c>
      <c r="H100" s="10">
        <f t="shared" si="18"/>
        <v>35</v>
      </c>
      <c r="I100">
        <f t="shared" si="18"/>
        <v>10.3</v>
      </c>
      <c r="J100">
        <f t="shared" si="19"/>
        <v>49</v>
      </c>
      <c r="K100">
        <f t="shared" si="20"/>
        <v>245</v>
      </c>
      <c r="L100">
        <f t="shared" si="21"/>
        <v>72.100000000000009</v>
      </c>
      <c r="M100">
        <f t="shared" si="22"/>
        <v>1225</v>
      </c>
      <c r="N100">
        <f t="shared" si="23"/>
        <v>360.5</v>
      </c>
      <c r="O100">
        <f t="shared" si="24"/>
        <v>106.09000000000002</v>
      </c>
      <c r="Q100" s="11">
        <f t="shared" si="27"/>
        <v>50.2678999908644</v>
      </c>
      <c r="R100" s="12">
        <f t="shared" si="25"/>
        <v>5.3579998172880042E-3</v>
      </c>
    </row>
    <row r="101" spans="1:18" x14ac:dyDescent="0.25">
      <c r="A101">
        <v>7</v>
      </c>
      <c r="B101">
        <v>35</v>
      </c>
      <c r="C101" s="2">
        <f t="shared" si="26"/>
        <v>18.510000000000002</v>
      </c>
      <c r="E101">
        <v>120</v>
      </c>
      <c r="F101" s="2"/>
      <c r="G101">
        <f t="shared" si="18"/>
        <v>7</v>
      </c>
      <c r="H101" s="10">
        <f t="shared" si="18"/>
        <v>35</v>
      </c>
      <c r="I101">
        <f t="shared" si="18"/>
        <v>18.510000000000002</v>
      </c>
      <c r="J101">
        <f t="shared" si="19"/>
        <v>49</v>
      </c>
      <c r="K101">
        <f t="shared" si="20"/>
        <v>245</v>
      </c>
      <c r="L101">
        <f t="shared" si="21"/>
        <v>129.57000000000002</v>
      </c>
      <c r="M101">
        <f t="shared" si="22"/>
        <v>1225</v>
      </c>
      <c r="N101">
        <f t="shared" si="23"/>
        <v>647.85</v>
      </c>
      <c r="O101">
        <f t="shared" si="24"/>
        <v>342.62010000000004</v>
      </c>
      <c r="Q101" s="11">
        <f t="shared" si="27"/>
        <v>106.1273835468339</v>
      </c>
      <c r="R101" s="12">
        <f t="shared" si="25"/>
        <v>-0.11560513710971752</v>
      </c>
    </row>
    <row r="102" spans="1:18" x14ac:dyDescent="0.25">
      <c r="A102">
        <v>12</v>
      </c>
      <c r="B102">
        <v>35</v>
      </c>
      <c r="C102" s="2">
        <f t="shared" si="26"/>
        <v>5.48</v>
      </c>
      <c r="E102">
        <v>20</v>
      </c>
      <c r="F102" s="2"/>
      <c r="G102">
        <f t="shared" si="18"/>
        <v>12</v>
      </c>
      <c r="H102" s="10">
        <f t="shared" si="18"/>
        <v>35</v>
      </c>
      <c r="I102">
        <f t="shared" si="18"/>
        <v>5.48</v>
      </c>
      <c r="J102">
        <f t="shared" si="19"/>
        <v>144</v>
      </c>
      <c r="K102">
        <f t="shared" si="20"/>
        <v>420</v>
      </c>
      <c r="L102">
        <f t="shared" si="21"/>
        <v>65.760000000000005</v>
      </c>
      <c r="M102">
        <f t="shared" si="22"/>
        <v>1225</v>
      </c>
      <c r="N102">
        <f t="shared" si="23"/>
        <v>191.8</v>
      </c>
      <c r="O102">
        <f t="shared" si="24"/>
        <v>30.030400000000004</v>
      </c>
      <c r="Q102" s="11">
        <f t="shared" si="27"/>
        <v>12.388579239399277</v>
      </c>
      <c r="R102" s="12">
        <f t="shared" si="25"/>
        <v>-0.38057103803003611</v>
      </c>
    </row>
    <row r="103" spans="1:18" x14ac:dyDescent="0.25">
      <c r="A103">
        <v>12</v>
      </c>
      <c r="B103">
        <v>35</v>
      </c>
      <c r="C103" s="2">
        <f t="shared" si="26"/>
        <v>13.5</v>
      </c>
      <c r="E103">
        <v>50</v>
      </c>
      <c r="F103" s="2"/>
      <c r="G103">
        <f t="shared" si="18"/>
        <v>12</v>
      </c>
      <c r="H103" s="10">
        <f t="shared" si="18"/>
        <v>35</v>
      </c>
      <c r="I103">
        <f t="shared" si="18"/>
        <v>13.5</v>
      </c>
      <c r="J103">
        <f t="shared" si="19"/>
        <v>144</v>
      </c>
      <c r="K103">
        <f t="shared" si="20"/>
        <v>420</v>
      </c>
      <c r="L103">
        <f t="shared" si="21"/>
        <v>162</v>
      </c>
      <c r="M103">
        <f t="shared" si="22"/>
        <v>1225</v>
      </c>
      <c r="N103">
        <f t="shared" si="23"/>
        <v>472.5</v>
      </c>
      <c r="O103">
        <f t="shared" si="24"/>
        <v>182.25</v>
      </c>
      <c r="Q103" s="11">
        <f t="shared" si="27"/>
        <v>52.890430494029872</v>
      </c>
      <c r="R103" s="12">
        <f t="shared" si="25"/>
        <v>5.7808609880597432E-2</v>
      </c>
    </row>
    <row r="104" spans="1:18" x14ac:dyDescent="0.25">
      <c r="A104">
        <v>12</v>
      </c>
      <c r="B104">
        <v>35</v>
      </c>
      <c r="C104" s="2">
        <f t="shared" si="26"/>
        <v>24.47</v>
      </c>
      <c r="E104">
        <v>120</v>
      </c>
      <c r="F104" s="2"/>
      <c r="G104">
        <f t="shared" si="18"/>
        <v>12</v>
      </c>
      <c r="H104" s="10">
        <f t="shared" si="18"/>
        <v>35</v>
      </c>
      <c r="I104">
        <f t="shared" si="18"/>
        <v>24.47</v>
      </c>
      <c r="J104">
        <f t="shared" si="19"/>
        <v>144</v>
      </c>
      <c r="K104">
        <f t="shared" si="20"/>
        <v>420</v>
      </c>
      <c r="L104">
        <f t="shared" si="21"/>
        <v>293.64</v>
      </c>
      <c r="M104">
        <f t="shared" si="22"/>
        <v>1225</v>
      </c>
      <c r="N104">
        <f t="shared" si="23"/>
        <v>856.44999999999993</v>
      </c>
      <c r="O104">
        <f t="shared" si="24"/>
        <v>598.78089999999997</v>
      </c>
      <c r="Q104" s="11">
        <f t="shared" si="27"/>
        <v>120.64255952030783</v>
      </c>
      <c r="R104" s="12">
        <f t="shared" si="25"/>
        <v>5.3546626692318943E-3</v>
      </c>
    </row>
    <row r="105" spans="1:18" x14ac:dyDescent="0.25">
      <c r="A105">
        <v>-15</v>
      </c>
      <c r="B105">
        <v>45</v>
      </c>
      <c r="C105" s="2">
        <f t="shared" si="26"/>
        <v>5.64</v>
      </c>
      <c r="E105">
        <v>50</v>
      </c>
      <c r="F105" s="2"/>
      <c r="G105">
        <f t="shared" si="18"/>
        <v>-15</v>
      </c>
      <c r="H105" s="10">
        <f t="shared" si="18"/>
        <v>45</v>
      </c>
      <c r="I105">
        <f t="shared" si="18"/>
        <v>5.64</v>
      </c>
      <c r="J105">
        <f t="shared" si="19"/>
        <v>225</v>
      </c>
      <c r="K105">
        <f t="shared" si="20"/>
        <v>-675</v>
      </c>
      <c r="L105">
        <f t="shared" si="21"/>
        <v>-84.6</v>
      </c>
      <c r="M105">
        <f t="shared" si="22"/>
        <v>2025</v>
      </c>
      <c r="N105">
        <f t="shared" si="23"/>
        <v>253.79999999999998</v>
      </c>
      <c r="O105">
        <f t="shared" si="24"/>
        <v>31.809599999999996</v>
      </c>
      <c r="Q105" s="11">
        <f t="shared" si="27"/>
        <v>53.637601666610834</v>
      </c>
      <c r="R105" s="12">
        <f t="shared" si="25"/>
        <v>7.2752033332216678E-2</v>
      </c>
    </row>
    <row r="106" spans="1:18" x14ac:dyDescent="0.25">
      <c r="A106">
        <v>-15</v>
      </c>
      <c r="B106">
        <v>45</v>
      </c>
      <c r="C106" s="2">
        <f t="shared" si="26"/>
        <v>11.91</v>
      </c>
      <c r="E106">
        <v>120</v>
      </c>
      <c r="F106" s="2"/>
      <c r="G106">
        <f t="shared" si="18"/>
        <v>-15</v>
      </c>
      <c r="H106" s="10">
        <f t="shared" si="18"/>
        <v>45</v>
      </c>
      <c r="I106">
        <f t="shared" si="18"/>
        <v>11.91</v>
      </c>
      <c r="J106">
        <f t="shared" si="19"/>
        <v>225</v>
      </c>
      <c r="K106">
        <f t="shared" si="20"/>
        <v>-675</v>
      </c>
      <c r="L106">
        <f t="shared" si="21"/>
        <v>-178.65</v>
      </c>
      <c r="M106">
        <f t="shared" si="22"/>
        <v>2025</v>
      </c>
      <c r="N106">
        <f t="shared" si="23"/>
        <v>535.95000000000005</v>
      </c>
      <c r="O106">
        <f t="shared" si="24"/>
        <v>141.84810000000002</v>
      </c>
      <c r="Q106" s="11">
        <f t="shared" si="27"/>
        <v>125.44423306346074</v>
      </c>
      <c r="R106" s="12">
        <f t="shared" si="25"/>
        <v>4.5368608862172859E-2</v>
      </c>
    </row>
    <row r="107" spans="1:18" x14ac:dyDescent="0.25">
      <c r="A107">
        <v>-7</v>
      </c>
      <c r="B107">
        <v>45</v>
      </c>
      <c r="C107" s="2">
        <f t="shared" si="26"/>
        <v>7.11</v>
      </c>
      <c r="E107">
        <v>50</v>
      </c>
      <c r="F107" s="2"/>
      <c r="G107">
        <f t="shared" si="18"/>
        <v>-7</v>
      </c>
      <c r="H107" s="10">
        <f t="shared" si="18"/>
        <v>45</v>
      </c>
      <c r="I107">
        <f t="shared" si="18"/>
        <v>7.11</v>
      </c>
      <c r="J107">
        <f t="shared" si="19"/>
        <v>49</v>
      </c>
      <c r="K107">
        <f t="shared" si="20"/>
        <v>-315</v>
      </c>
      <c r="L107">
        <f t="shared" si="21"/>
        <v>-49.77</v>
      </c>
      <c r="M107">
        <f t="shared" si="22"/>
        <v>2025</v>
      </c>
      <c r="N107">
        <f t="shared" si="23"/>
        <v>319.95</v>
      </c>
      <c r="O107">
        <f t="shared" si="24"/>
        <v>50.552100000000003</v>
      </c>
      <c r="Q107" s="11">
        <f t="shared" si="27"/>
        <v>56.801126007109893</v>
      </c>
      <c r="R107" s="12">
        <f t="shared" si="25"/>
        <v>0.13602252014219787</v>
      </c>
    </row>
    <row r="108" spans="1:18" x14ac:dyDescent="0.25">
      <c r="A108">
        <v>-7</v>
      </c>
      <c r="B108">
        <v>45</v>
      </c>
      <c r="C108" s="2">
        <f t="shared" si="26"/>
        <v>14.72</v>
      </c>
      <c r="E108">
        <v>120</v>
      </c>
      <c r="F108" s="2"/>
      <c r="G108">
        <f t="shared" si="18"/>
        <v>-7</v>
      </c>
      <c r="H108" s="10">
        <f t="shared" si="18"/>
        <v>45</v>
      </c>
      <c r="I108">
        <f t="shared" si="18"/>
        <v>14.72</v>
      </c>
      <c r="J108">
        <f t="shared" si="19"/>
        <v>49</v>
      </c>
      <c r="K108">
        <f t="shared" si="20"/>
        <v>-315</v>
      </c>
      <c r="L108">
        <f t="shared" si="21"/>
        <v>-103.04</v>
      </c>
      <c r="M108">
        <f t="shared" si="22"/>
        <v>2025</v>
      </c>
      <c r="N108">
        <f t="shared" si="23"/>
        <v>662.4</v>
      </c>
      <c r="O108">
        <f t="shared" si="24"/>
        <v>216.67840000000001</v>
      </c>
      <c r="Q108" s="11">
        <f t="shared" si="27"/>
        <v>131.62898238710247</v>
      </c>
      <c r="R108" s="12">
        <f t="shared" si="25"/>
        <v>9.6908186559187232E-2</v>
      </c>
    </row>
    <row r="109" spans="1:18" x14ac:dyDescent="0.25">
      <c r="A109">
        <v>2</v>
      </c>
      <c r="B109">
        <v>45</v>
      </c>
      <c r="C109" s="2">
        <f t="shared" si="26"/>
        <v>4.2</v>
      </c>
      <c r="E109">
        <v>20</v>
      </c>
      <c r="F109" s="2"/>
      <c r="G109">
        <f t="shared" si="18"/>
        <v>2</v>
      </c>
      <c r="H109" s="10">
        <f t="shared" si="18"/>
        <v>45</v>
      </c>
      <c r="I109">
        <f t="shared" si="18"/>
        <v>4.2</v>
      </c>
      <c r="J109">
        <f t="shared" si="19"/>
        <v>4</v>
      </c>
      <c r="K109">
        <f t="shared" si="20"/>
        <v>90</v>
      </c>
      <c r="L109">
        <f t="shared" si="21"/>
        <v>8.4</v>
      </c>
      <c r="M109">
        <f t="shared" si="22"/>
        <v>2025</v>
      </c>
      <c r="N109">
        <f t="shared" si="23"/>
        <v>189</v>
      </c>
      <c r="O109">
        <f t="shared" si="24"/>
        <v>17.64</v>
      </c>
      <c r="Q109" s="11">
        <f t="shared" si="27"/>
        <v>19.059483385043769</v>
      </c>
      <c r="R109" s="12">
        <f t="shared" si="25"/>
        <v>-4.7025830747811526E-2</v>
      </c>
    </row>
    <row r="110" spans="1:18" x14ac:dyDescent="0.25">
      <c r="A110">
        <v>2</v>
      </c>
      <c r="B110">
        <v>45</v>
      </c>
      <c r="C110" s="2">
        <f t="shared" si="26"/>
        <v>8.6999999999999993</v>
      </c>
      <c r="E110">
        <v>50</v>
      </c>
      <c r="G110">
        <f t="shared" si="18"/>
        <v>2</v>
      </c>
      <c r="H110" s="10">
        <f t="shared" si="18"/>
        <v>45</v>
      </c>
      <c r="I110">
        <f t="shared" si="18"/>
        <v>8.6999999999999993</v>
      </c>
      <c r="J110">
        <f t="shared" si="19"/>
        <v>4</v>
      </c>
      <c r="K110">
        <f t="shared" si="20"/>
        <v>90</v>
      </c>
      <c r="L110">
        <f t="shared" si="21"/>
        <v>17.399999999999999</v>
      </c>
      <c r="M110">
        <f t="shared" si="22"/>
        <v>2025</v>
      </c>
      <c r="N110">
        <f t="shared" si="23"/>
        <v>391.49999999999994</v>
      </c>
      <c r="O110">
        <f t="shared" si="24"/>
        <v>75.689999999999984</v>
      </c>
      <c r="Q110" s="11">
        <f t="shared" si="27"/>
        <v>51.440525776208766</v>
      </c>
      <c r="R110" s="12">
        <f t="shared" si="25"/>
        <v>2.8810515524175316E-2</v>
      </c>
    </row>
    <row r="111" spans="1:18" x14ac:dyDescent="0.25">
      <c r="A111">
        <v>2</v>
      </c>
      <c r="B111">
        <v>45</v>
      </c>
      <c r="C111" s="2">
        <f t="shared" si="26"/>
        <v>15.66</v>
      </c>
      <c r="E111">
        <v>120</v>
      </c>
      <c r="G111">
        <f t="shared" si="18"/>
        <v>2</v>
      </c>
      <c r="H111" s="10">
        <f t="shared" si="18"/>
        <v>45</v>
      </c>
      <c r="I111">
        <f t="shared" si="18"/>
        <v>15.66</v>
      </c>
      <c r="J111">
        <f t="shared" si="19"/>
        <v>4</v>
      </c>
      <c r="K111">
        <f t="shared" si="20"/>
        <v>90</v>
      </c>
      <c r="L111">
        <f t="shared" si="21"/>
        <v>31.32</v>
      </c>
      <c r="M111">
        <f t="shared" si="22"/>
        <v>2025</v>
      </c>
      <c r="N111">
        <f t="shared" si="23"/>
        <v>704.7</v>
      </c>
      <c r="O111">
        <f t="shared" si="24"/>
        <v>245.23560000000001</v>
      </c>
      <c r="Q111" s="11">
        <f t="shared" si="27"/>
        <v>106.25271180740657</v>
      </c>
      <c r="R111" s="12">
        <f t="shared" si="25"/>
        <v>-0.11456073493827859</v>
      </c>
    </row>
    <row r="112" spans="1:18" x14ac:dyDescent="0.25">
      <c r="A112">
        <v>7</v>
      </c>
      <c r="B112">
        <v>45</v>
      </c>
      <c r="C112" s="2">
        <f t="shared" si="26"/>
        <v>5.05</v>
      </c>
      <c r="E112">
        <v>20</v>
      </c>
      <c r="G112">
        <f t="shared" si="18"/>
        <v>7</v>
      </c>
      <c r="H112" s="10">
        <f t="shared" si="18"/>
        <v>45</v>
      </c>
      <c r="I112">
        <f t="shared" si="18"/>
        <v>5.05</v>
      </c>
      <c r="J112">
        <f t="shared" si="19"/>
        <v>49</v>
      </c>
      <c r="K112">
        <f t="shared" si="20"/>
        <v>315</v>
      </c>
      <c r="L112">
        <f t="shared" si="21"/>
        <v>35.35</v>
      </c>
      <c r="M112">
        <f t="shared" si="22"/>
        <v>2025</v>
      </c>
      <c r="N112">
        <f t="shared" si="23"/>
        <v>227.25</v>
      </c>
      <c r="O112">
        <f t="shared" si="24"/>
        <v>25.502499999999998</v>
      </c>
      <c r="Q112" s="11">
        <f t="shared" si="27"/>
        <v>16.925886787823014</v>
      </c>
      <c r="R112" s="12">
        <f t="shared" si="25"/>
        <v>-0.1537056606088493</v>
      </c>
    </row>
    <row r="113" spans="1:18" x14ac:dyDescent="0.25">
      <c r="A113">
        <v>7</v>
      </c>
      <c r="B113">
        <v>45</v>
      </c>
      <c r="C113" s="2">
        <f t="shared" si="26"/>
        <v>10.33</v>
      </c>
      <c r="E113">
        <v>50</v>
      </c>
      <c r="G113">
        <f t="shared" si="18"/>
        <v>7</v>
      </c>
      <c r="H113" s="10">
        <f t="shared" si="18"/>
        <v>45</v>
      </c>
      <c r="I113">
        <f t="shared" si="18"/>
        <v>10.33</v>
      </c>
      <c r="J113">
        <f t="shared" si="19"/>
        <v>49</v>
      </c>
      <c r="K113">
        <f t="shared" si="20"/>
        <v>315</v>
      </c>
      <c r="L113">
        <f t="shared" si="21"/>
        <v>72.31</v>
      </c>
      <c r="M113">
        <f t="shared" si="22"/>
        <v>2025</v>
      </c>
      <c r="N113">
        <f t="shared" si="23"/>
        <v>464.85</v>
      </c>
      <c r="O113">
        <f t="shared" si="24"/>
        <v>106.7089</v>
      </c>
      <c r="Q113" s="11">
        <f t="shared" si="27"/>
        <v>49.51397632001494</v>
      </c>
      <c r="R113" s="12">
        <f t="shared" si="25"/>
        <v>-9.7204735997011935E-3</v>
      </c>
    </row>
    <row r="114" spans="1:18" x14ac:dyDescent="0.25">
      <c r="A114">
        <v>7</v>
      </c>
      <c r="B114">
        <v>45</v>
      </c>
      <c r="C114" s="2">
        <f t="shared" si="26"/>
        <v>19.43</v>
      </c>
      <c r="E114">
        <v>120</v>
      </c>
      <c r="G114">
        <f t="shared" si="18"/>
        <v>7</v>
      </c>
      <c r="H114" s="10">
        <f t="shared" si="18"/>
        <v>45</v>
      </c>
      <c r="I114">
        <f t="shared" si="18"/>
        <v>19.43</v>
      </c>
      <c r="J114">
        <f t="shared" si="19"/>
        <v>49</v>
      </c>
      <c r="K114">
        <f t="shared" si="20"/>
        <v>315</v>
      </c>
      <c r="L114">
        <f t="shared" si="21"/>
        <v>136.01</v>
      </c>
      <c r="M114">
        <f t="shared" si="22"/>
        <v>2025</v>
      </c>
      <c r="N114">
        <f t="shared" si="23"/>
        <v>874.35</v>
      </c>
      <c r="O114">
        <f t="shared" si="24"/>
        <v>377.5249</v>
      </c>
      <c r="Q114" s="11">
        <f t="shared" si="27"/>
        <v>113.4383506260707</v>
      </c>
      <c r="R114" s="12">
        <f t="shared" si="25"/>
        <v>-5.4680411449410826E-2</v>
      </c>
    </row>
    <row r="115" spans="1:18" x14ac:dyDescent="0.25">
      <c r="A115">
        <v>12</v>
      </c>
      <c r="B115">
        <v>45</v>
      </c>
      <c r="C115" s="2">
        <f t="shared" si="26"/>
        <v>5.76</v>
      </c>
      <c r="E115">
        <v>20</v>
      </c>
      <c r="G115">
        <f t="shared" si="18"/>
        <v>12</v>
      </c>
      <c r="H115" s="10">
        <f t="shared" si="18"/>
        <v>45</v>
      </c>
      <c r="I115">
        <f t="shared" si="18"/>
        <v>5.76</v>
      </c>
      <c r="J115">
        <f t="shared" si="19"/>
        <v>144</v>
      </c>
      <c r="K115">
        <f t="shared" si="20"/>
        <v>540</v>
      </c>
      <c r="L115">
        <f t="shared" si="21"/>
        <v>69.12</v>
      </c>
      <c r="M115">
        <f t="shared" si="22"/>
        <v>2025</v>
      </c>
      <c r="N115">
        <f t="shared" si="23"/>
        <v>259.2</v>
      </c>
      <c r="O115">
        <f t="shared" si="24"/>
        <v>33.177599999999998</v>
      </c>
      <c r="Q115" s="11">
        <f t="shared" si="27"/>
        <v>11.510243539118946</v>
      </c>
      <c r="R115" s="12">
        <f t="shared" si="25"/>
        <v>-0.42448782304405269</v>
      </c>
    </row>
    <row r="116" spans="1:18" x14ac:dyDescent="0.25">
      <c r="A116">
        <v>12</v>
      </c>
      <c r="B116">
        <v>45</v>
      </c>
      <c r="C116" s="2">
        <f t="shared" si="26"/>
        <v>12.96</v>
      </c>
      <c r="E116">
        <v>50</v>
      </c>
      <c r="G116">
        <f t="shared" si="18"/>
        <v>12</v>
      </c>
      <c r="H116" s="10">
        <f t="shared" si="18"/>
        <v>45</v>
      </c>
      <c r="I116">
        <f t="shared" si="18"/>
        <v>12.96</v>
      </c>
      <c r="J116">
        <f t="shared" si="19"/>
        <v>144</v>
      </c>
      <c r="K116">
        <f t="shared" si="20"/>
        <v>540</v>
      </c>
      <c r="L116">
        <f t="shared" si="21"/>
        <v>155.52000000000001</v>
      </c>
      <c r="M116">
        <f t="shared" si="22"/>
        <v>2025</v>
      </c>
      <c r="N116">
        <f t="shared" si="23"/>
        <v>583.20000000000005</v>
      </c>
      <c r="O116">
        <f t="shared" si="24"/>
        <v>167.96160000000003</v>
      </c>
      <c r="Q116" s="11">
        <f t="shared" si="27"/>
        <v>48.944341511196313</v>
      </c>
      <c r="R116" s="12">
        <f t="shared" si="25"/>
        <v>-2.1113169776073734E-2</v>
      </c>
    </row>
    <row r="117" spans="1:18" x14ac:dyDescent="0.25">
      <c r="A117">
        <v>12</v>
      </c>
      <c r="B117">
        <v>45</v>
      </c>
      <c r="C117" s="2">
        <f t="shared" si="26"/>
        <v>23.79</v>
      </c>
      <c r="E117">
        <v>120</v>
      </c>
      <c r="G117">
        <f t="shared" si="18"/>
        <v>12</v>
      </c>
      <c r="H117" s="10">
        <f t="shared" si="18"/>
        <v>45</v>
      </c>
      <c r="I117">
        <f t="shared" si="18"/>
        <v>23.79</v>
      </c>
      <c r="J117">
        <f t="shared" si="19"/>
        <v>144</v>
      </c>
      <c r="K117">
        <f t="shared" si="20"/>
        <v>540</v>
      </c>
      <c r="L117">
        <f t="shared" si="21"/>
        <v>285.48</v>
      </c>
      <c r="M117">
        <f t="shared" si="22"/>
        <v>2025</v>
      </c>
      <c r="N117">
        <f t="shared" si="23"/>
        <v>1070.55</v>
      </c>
      <c r="O117">
        <f t="shared" si="24"/>
        <v>565.96409999999992</v>
      </c>
      <c r="Q117" s="11">
        <f t="shared" si="27"/>
        <v>116.82980154061161</v>
      </c>
      <c r="R117" s="12">
        <f t="shared" si="25"/>
        <v>-2.6418320494903232E-2</v>
      </c>
    </row>
    <row r="118" spans="1:18" x14ac:dyDescent="0.25">
      <c r="A118">
        <v>-7</v>
      </c>
      <c r="B118">
        <v>55</v>
      </c>
      <c r="C118" s="2">
        <f t="shared" si="26"/>
        <v>6.93</v>
      </c>
      <c r="E118">
        <v>50</v>
      </c>
      <c r="G118">
        <f t="shared" si="18"/>
        <v>-7</v>
      </c>
      <c r="H118" s="10">
        <f t="shared" si="18"/>
        <v>55</v>
      </c>
      <c r="I118">
        <f t="shared" si="18"/>
        <v>6.93</v>
      </c>
      <c r="J118">
        <f t="shared" si="19"/>
        <v>49</v>
      </c>
      <c r="K118">
        <f t="shared" si="20"/>
        <v>-385</v>
      </c>
      <c r="L118">
        <f t="shared" si="21"/>
        <v>-48.51</v>
      </c>
      <c r="M118">
        <f t="shared" si="22"/>
        <v>3025</v>
      </c>
      <c r="N118">
        <f t="shared" si="23"/>
        <v>381.15</v>
      </c>
      <c r="O118">
        <f t="shared" si="24"/>
        <v>48.024899999999995</v>
      </c>
      <c r="Q118" s="11">
        <f t="shared" si="27"/>
        <v>54.922208282034681</v>
      </c>
      <c r="R118" s="12">
        <f t="shared" si="25"/>
        <v>9.8444165640693623E-2</v>
      </c>
    </row>
    <row r="119" spans="1:18" x14ac:dyDescent="0.25">
      <c r="A119">
        <v>-7</v>
      </c>
      <c r="B119">
        <v>55</v>
      </c>
      <c r="C119" s="2">
        <f t="shared" si="26"/>
        <v>14.47</v>
      </c>
      <c r="E119">
        <v>120</v>
      </c>
      <c r="G119">
        <f t="shared" si="18"/>
        <v>-7</v>
      </c>
      <c r="H119" s="10">
        <f t="shared" si="18"/>
        <v>55</v>
      </c>
      <c r="I119">
        <f t="shared" si="18"/>
        <v>14.47</v>
      </c>
      <c r="J119">
        <f t="shared" si="19"/>
        <v>49</v>
      </c>
      <c r="K119">
        <f t="shared" si="20"/>
        <v>-385</v>
      </c>
      <c r="L119">
        <f t="shared" si="21"/>
        <v>-101.29</v>
      </c>
      <c r="M119">
        <f t="shared" si="22"/>
        <v>3025</v>
      </c>
      <c r="N119">
        <f t="shared" si="23"/>
        <v>795.85</v>
      </c>
      <c r="O119">
        <f t="shared" si="24"/>
        <v>209.38090000000003</v>
      </c>
      <c r="Q119" s="11">
        <f t="shared" si="27"/>
        <v>130.10978031279885</v>
      </c>
      <c r="R119" s="12">
        <f t="shared" si="25"/>
        <v>8.4248169273323723E-2</v>
      </c>
    </row>
    <row r="120" spans="1:18" x14ac:dyDescent="0.25">
      <c r="A120">
        <v>2</v>
      </c>
      <c r="B120">
        <v>55</v>
      </c>
      <c r="C120" s="2">
        <f t="shared" si="26"/>
        <v>4.67</v>
      </c>
      <c r="E120">
        <v>20</v>
      </c>
      <c r="G120">
        <f t="shared" si="18"/>
        <v>2</v>
      </c>
      <c r="H120" s="10">
        <f t="shared" si="18"/>
        <v>55</v>
      </c>
      <c r="I120">
        <f t="shared" si="18"/>
        <v>4.67</v>
      </c>
      <c r="J120">
        <f t="shared" si="19"/>
        <v>4</v>
      </c>
      <c r="K120">
        <f t="shared" si="20"/>
        <v>110</v>
      </c>
      <c r="L120">
        <f t="shared" si="21"/>
        <v>9.34</v>
      </c>
      <c r="M120">
        <f t="shared" si="22"/>
        <v>3025</v>
      </c>
      <c r="N120">
        <f t="shared" si="23"/>
        <v>256.85000000000002</v>
      </c>
      <c r="O120">
        <f t="shared" si="24"/>
        <v>21.808899999999998</v>
      </c>
      <c r="Q120" s="11">
        <f t="shared" si="27"/>
        <v>20.921722206855655</v>
      </c>
      <c r="R120" s="12">
        <f t="shared" si="25"/>
        <v>4.608611034278276E-2</v>
      </c>
    </row>
    <row r="121" spans="1:18" x14ac:dyDescent="0.25">
      <c r="A121">
        <v>2</v>
      </c>
      <c r="B121">
        <v>55</v>
      </c>
      <c r="C121" s="2">
        <f t="shared" si="26"/>
        <v>9.1199999999999992</v>
      </c>
      <c r="E121">
        <v>50</v>
      </c>
      <c r="G121">
        <f t="shared" si="18"/>
        <v>2</v>
      </c>
      <c r="H121" s="10">
        <f t="shared" si="18"/>
        <v>55</v>
      </c>
      <c r="I121">
        <f t="shared" si="18"/>
        <v>9.1199999999999992</v>
      </c>
      <c r="J121">
        <f t="shared" si="19"/>
        <v>4</v>
      </c>
      <c r="K121">
        <f t="shared" si="20"/>
        <v>110</v>
      </c>
      <c r="L121">
        <f t="shared" si="21"/>
        <v>18.239999999999998</v>
      </c>
      <c r="M121">
        <f t="shared" si="22"/>
        <v>3025</v>
      </c>
      <c r="N121">
        <f t="shared" si="23"/>
        <v>501.59999999999997</v>
      </c>
      <c r="O121">
        <f t="shared" si="24"/>
        <v>83.174399999999991</v>
      </c>
      <c r="Q121" s="11">
        <f t="shared" si="27"/>
        <v>53.909800052690485</v>
      </c>
      <c r="R121" s="12">
        <f t="shared" si="25"/>
        <v>7.8196001053809708E-2</v>
      </c>
    </row>
    <row r="122" spans="1:18" x14ac:dyDescent="0.25">
      <c r="A122">
        <v>2</v>
      </c>
      <c r="B122">
        <v>55</v>
      </c>
      <c r="C122" s="2">
        <f t="shared" si="26"/>
        <v>15.92</v>
      </c>
      <c r="E122">
        <v>120</v>
      </c>
      <c r="G122">
        <f t="shared" si="18"/>
        <v>2</v>
      </c>
      <c r="H122" s="10">
        <f t="shared" si="18"/>
        <v>55</v>
      </c>
      <c r="I122">
        <f t="shared" si="18"/>
        <v>15.92</v>
      </c>
      <c r="J122">
        <f t="shared" si="19"/>
        <v>4</v>
      </c>
      <c r="K122">
        <f t="shared" si="20"/>
        <v>110</v>
      </c>
      <c r="L122">
        <f t="shared" si="21"/>
        <v>31.84</v>
      </c>
      <c r="M122">
        <f t="shared" si="22"/>
        <v>3025</v>
      </c>
      <c r="N122">
        <f t="shared" si="23"/>
        <v>875.6</v>
      </c>
      <c r="O122">
        <f t="shared" si="24"/>
        <v>253.44640000000001</v>
      </c>
      <c r="Q122" s="11">
        <f t="shared" si="27"/>
        <v>108.85465702163056</v>
      </c>
      <c r="R122" s="12">
        <f t="shared" si="25"/>
        <v>-9.2877858153078682E-2</v>
      </c>
    </row>
    <row r="123" spans="1:18" x14ac:dyDescent="0.25">
      <c r="A123">
        <v>7</v>
      </c>
      <c r="B123">
        <v>55</v>
      </c>
      <c r="C123" s="2">
        <f t="shared" si="26"/>
        <v>5.36</v>
      </c>
      <c r="E123">
        <v>20</v>
      </c>
      <c r="G123">
        <f t="shared" si="18"/>
        <v>7</v>
      </c>
      <c r="H123" s="10">
        <f t="shared" si="18"/>
        <v>55</v>
      </c>
      <c r="I123">
        <f t="shared" si="18"/>
        <v>5.36</v>
      </c>
      <c r="J123">
        <f t="shared" si="19"/>
        <v>49</v>
      </c>
      <c r="K123">
        <f t="shared" si="20"/>
        <v>385</v>
      </c>
      <c r="L123">
        <f t="shared" si="21"/>
        <v>37.520000000000003</v>
      </c>
      <c r="M123">
        <f t="shared" si="22"/>
        <v>3025</v>
      </c>
      <c r="N123">
        <f t="shared" si="23"/>
        <v>294.8</v>
      </c>
      <c r="O123">
        <f t="shared" si="24"/>
        <v>28.729600000000005</v>
      </c>
      <c r="Q123" s="11">
        <f t="shared" si="27"/>
        <v>16.985226512833556</v>
      </c>
      <c r="R123" s="12">
        <f t="shared" si="25"/>
        <v>-0.15073867435832219</v>
      </c>
    </row>
    <row r="124" spans="1:18" x14ac:dyDescent="0.25">
      <c r="A124">
        <v>7</v>
      </c>
      <c r="B124">
        <v>55</v>
      </c>
      <c r="C124" s="2">
        <f t="shared" si="26"/>
        <v>10.35</v>
      </c>
      <c r="E124">
        <v>50</v>
      </c>
      <c r="G124">
        <f t="shared" si="18"/>
        <v>7</v>
      </c>
      <c r="H124" s="10">
        <f t="shared" si="18"/>
        <v>55</v>
      </c>
      <c r="I124">
        <f t="shared" si="18"/>
        <v>10.35</v>
      </c>
      <c r="J124">
        <f t="shared" si="19"/>
        <v>49</v>
      </c>
      <c r="K124">
        <f t="shared" si="20"/>
        <v>385</v>
      </c>
      <c r="L124">
        <f t="shared" si="21"/>
        <v>72.45</v>
      </c>
      <c r="M124">
        <f t="shared" si="22"/>
        <v>3025</v>
      </c>
      <c r="N124">
        <f t="shared" si="23"/>
        <v>569.25</v>
      </c>
      <c r="O124">
        <f t="shared" si="24"/>
        <v>107.12249999999999</v>
      </c>
      <c r="Q124" s="11">
        <f t="shared" si="27"/>
        <v>48.701891835144764</v>
      </c>
      <c r="R124" s="12">
        <f t="shared" si="25"/>
        <v>-2.5962163297104723E-2</v>
      </c>
    </row>
    <row r="125" spans="1:18" x14ac:dyDescent="0.25">
      <c r="A125">
        <v>7</v>
      </c>
      <c r="B125">
        <v>55</v>
      </c>
      <c r="C125" s="2">
        <f t="shared" si="26"/>
        <v>20.350000000000001</v>
      </c>
      <c r="E125">
        <v>120</v>
      </c>
      <c r="G125">
        <f t="shared" si="18"/>
        <v>7</v>
      </c>
      <c r="H125" s="10">
        <f t="shared" si="18"/>
        <v>55</v>
      </c>
      <c r="I125">
        <f t="shared" si="18"/>
        <v>20.350000000000001</v>
      </c>
      <c r="J125">
        <f t="shared" si="19"/>
        <v>49</v>
      </c>
      <c r="K125">
        <f t="shared" si="20"/>
        <v>385</v>
      </c>
      <c r="L125">
        <f t="shared" si="21"/>
        <v>142.45000000000002</v>
      </c>
      <c r="M125">
        <f t="shared" si="22"/>
        <v>3025</v>
      </c>
      <c r="N125">
        <f t="shared" si="23"/>
        <v>1119.25</v>
      </c>
      <c r="O125">
        <f t="shared" si="24"/>
        <v>414.12250000000006</v>
      </c>
      <c r="Q125" s="11">
        <f t="shared" si="27"/>
        <v>121.1507448093147</v>
      </c>
      <c r="R125" s="12">
        <f t="shared" si="25"/>
        <v>9.5895400776225166E-3</v>
      </c>
    </row>
    <row r="126" spans="1:18" x14ac:dyDescent="0.25">
      <c r="A126">
        <v>12</v>
      </c>
      <c r="B126">
        <v>55</v>
      </c>
      <c r="C126" s="2">
        <f t="shared" si="26"/>
        <v>6.03</v>
      </c>
      <c r="E126">
        <v>20</v>
      </c>
      <c r="G126">
        <f t="shared" si="18"/>
        <v>12</v>
      </c>
      <c r="H126" s="10">
        <f t="shared" si="18"/>
        <v>55</v>
      </c>
      <c r="I126">
        <f t="shared" si="18"/>
        <v>6.03</v>
      </c>
      <c r="J126">
        <f t="shared" si="19"/>
        <v>144</v>
      </c>
      <c r="K126">
        <f t="shared" si="20"/>
        <v>660</v>
      </c>
      <c r="L126">
        <f t="shared" si="21"/>
        <v>72.36</v>
      </c>
      <c r="M126">
        <f t="shared" si="22"/>
        <v>3025</v>
      </c>
      <c r="N126">
        <f t="shared" si="23"/>
        <v>331.65000000000003</v>
      </c>
      <c r="O126">
        <f t="shared" si="24"/>
        <v>36.360900000000001</v>
      </c>
      <c r="Q126" s="11">
        <f t="shared" si="27"/>
        <v>10.682014989368614</v>
      </c>
      <c r="R126" s="12">
        <f t="shared" si="25"/>
        <v>-0.46589925053156928</v>
      </c>
    </row>
    <row r="127" spans="1:18" x14ac:dyDescent="0.25">
      <c r="A127">
        <v>12</v>
      </c>
      <c r="B127">
        <v>55</v>
      </c>
      <c r="C127" s="2">
        <f t="shared" si="26"/>
        <v>12.41</v>
      </c>
      <c r="E127">
        <v>50</v>
      </c>
      <c r="G127">
        <f t="shared" si="18"/>
        <v>12</v>
      </c>
      <c r="H127" s="10">
        <f t="shared" si="18"/>
        <v>55</v>
      </c>
      <c r="I127">
        <f t="shared" si="18"/>
        <v>12.41</v>
      </c>
      <c r="J127">
        <f t="shared" si="19"/>
        <v>144</v>
      </c>
      <c r="K127">
        <f t="shared" si="20"/>
        <v>660</v>
      </c>
      <c r="L127">
        <f t="shared" si="21"/>
        <v>148.92000000000002</v>
      </c>
      <c r="M127">
        <f t="shared" si="22"/>
        <v>3025</v>
      </c>
      <c r="N127">
        <f t="shared" si="23"/>
        <v>682.55</v>
      </c>
      <c r="O127">
        <f t="shared" si="24"/>
        <v>154.00810000000001</v>
      </c>
      <c r="Q127" s="11">
        <f t="shared" si="27"/>
        <v>44.796311990829189</v>
      </c>
      <c r="R127" s="12">
        <f t="shared" si="25"/>
        <v>-0.10407376018341623</v>
      </c>
    </row>
    <row r="128" spans="1:18" x14ac:dyDescent="0.25">
      <c r="A128">
        <v>12</v>
      </c>
      <c r="B128">
        <v>55</v>
      </c>
      <c r="C128" s="2">
        <f t="shared" si="26"/>
        <v>23.11</v>
      </c>
      <c r="E128">
        <v>120</v>
      </c>
      <c r="G128">
        <f t="shared" si="18"/>
        <v>12</v>
      </c>
      <c r="H128" s="10">
        <f t="shared" si="18"/>
        <v>55</v>
      </c>
      <c r="I128">
        <f t="shared" si="18"/>
        <v>23.11</v>
      </c>
      <c r="J128">
        <f t="shared" si="19"/>
        <v>144</v>
      </c>
      <c r="K128">
        <f t="shared" si="20"/>
        <v>660</v>
      </c>
      <c r="L128">
        <f t="shared" si="21"/>
        <v>277.32</v>
      </c>
      <c r="M128">
        <f t="shared" si="22"/>
        <v>3025</v>
      </c>
      <c r="N128">
        <f t="shared" si="23"/>
        <v>1271.05</v>
      </c>
      <c r="O128">
        <f t="shared" si="24"/>
        <v>534.07209999999998</v>
      </c>
      <c r="Q128" s="11">
        <f t="shared" si="27"/>
        <v>112.84656057737281</v>
      </c>
      <c r="R128" s="12">
        <f t="shared" si="25"/>
        <v>-5.9611995188559891E-2</v>
      </c>
    </row>
    <row r="129" spans="1:18" x14ac:dyDescent="0.25">
      <c r="A129">
        <v>-15</v>
      </c>
      <c r="B129">
        <v>55</v>
      </c>
      <c r="C129" s="2">
        <f t="shared" si="26"/>
        <v>5.51</v>
      </c>
      <c r="E129">
        <v>50</v>
      </c>
      <c r="G129">
        <f t="shared" si="18"/>
        <v>-15</v>
      </c>
      <c r="H129" s="10">
        <f t="shared" si="18"/>
        <v>55</v>
      </c>
      <c r="I129">
        <f t="shared" si="18"/>
        <v>5.51</v>
      </c>
      <c r="J129">
        <f t="shared" si="19"/>
        <v>225</v>
      </c>
      <c r="K129">
        <f t="shared" si="20"/>
        <v>-825</v>
      </c>
      <c r="L129">
        <f t="shared" si="21"/>
        <v>-82.649999999999991</v>
      </c>
      <c r="M129">
        <f t="shared" si="22"/>
        <v>3025</v>
      </c>
      <c r="N129">
        <f t="shared" si="23"/>
        <v>303.05</v>
      </c>
      <c r="O129">
        <f t="shared" si="24"/>
        <v>30.360099999999999</v>
      </c>
      <c r="Q129" s="11">
        <f t="shared" si="27"/>
        <v>52.52223065545197</v>
      </c>
      <c r="R129" s="12">
        <f t="shared" si="25"/>
        <v>5.0444613109039409E-2</v>
      </c>
    </row>
    <row r="130" spans="1:18" x14ac:dyDescent="0.25">
      <c r="A130">
        <v>-15</v>
      </c>
      <c r="B130">
        <v>55</v>
      </c>
      <c r="C130" s="2">
        <f t="shared" si="26"/>
        <v>11.76</v>
      </c>
      <c r="E130">
        <v>120</v>
      </c>
      <c r="G130">
        <f t="shared" si="18"/>
        <v>-15</v>
      </c>
      <c r="H130" s="10">
        <f t="shared" si="18"/>
        <v>55</v>
      </c>
      <c r="I130">
        <f t="shared" si="18"/>
        <v>11.76</v>
      </c>
      <c r="J130">
        <f t="shared" si="19"/>
        <v>225</v>
      </c>
      <c r="K130">
        <f t="shared" si="20"/>
        <v>-825</v>
      </c>
      <c r="L130">
        <f t="shared" si="21"/>
        <v>-176.4</v>
      </c>
      <c r="M130">
        <f t="shared" si="22"/>
        <v>3025</v>
      </c>
      <c r="N130">
        <f t="shared" si="23"/>
        <v>646.79999999999995</v>
      </c>
      <c r="O130">
        <f t="shared" si="24"/>
        <v>138.29759999999999</v>
      </c>
      <c r="Q130" s="11">
        <f t="shared" si="27"/>
        <v>125.02411517145261</v>
      </c>
      <c r="R130" s="12">
        <f t="shared" si="25"/>
        <v>4.1867626428771725E-2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3313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3313" r:id="rId4"/>
      </mc:Fallback>
    </mc:AlternateContent>
    <mc:AlternateContent xmlns:mc="http://schemas.openxmlformats.org/markup-compatibility/2006">
      <mc:Choice Requires="x14">
        <oleObject progId="Equation.3" shapeId="13314" r:id="rId6">
          <objectPr defaultSize="0" autoPict="0" r:id="rId5">
            <anchor moveWithCells="1" sizeWithCells="1">
              <from>
                <xdr:col>6</xdr:col>
                <xdr:colOff>171450</xdr:colOff>
                <xdr:row>46</xdr:row>
                <xdr:rowOff>38100</xdr:rowOff>
              </from>
              <to>
                <xdr:col>14</xdr:col>
                <xdr:colOff>1466850</xdr:colOff>
                <xdr:row>46</xdr:row>
                <xdr:rowOff>647700</xdr:rowOff>
              </to>
            </anchor>
          </objectPr>
        </oleObject>
      </mc:Choice>
      <mc:Fallback>
        <oleObject progId="Equation.3" shapeId="13314" r:id="rId6"/>
      </mc:Fallback>
    </mc:AlternateContent>
    <mc:AlternateContent xmlns:mc="http://schemas.openxmlformats.org/markup-compatibility/2006">
      <mc:Choice Requires="x14">
        <oleObject progId="Equation.3" shapeId="13315" r:id="rId7">
          <objectPr defaultSize="0" autoPict="0" r:id="rId5">
            <anchor moveWithCells="1" sizeWithCells="1">
              <from>
                <xdr:col>6</xdr:col>
                <xdr:colOff>171450</xdr:colOff>
                <xdr:row>90</xdr:row>
                <xdr:rowOff>38100</xdr:rowOff>
              </from>
              <to>
                <xdr:col>14</xdr:col>
                <xdr:colOff>1466850</xdr:colOff>
                <xdr:row>90</xdr:row>
                <xdr:rowOff>647700</xdr:rowOff>
              </to>
            </anchor>
          </objectPr>
        </oleObject>
      </mc:Choice>
      <mc:Fallback>
        <oleObject progId="Equation.3" shapeId="13315" r:id="rId7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List14"/>
  <dimension ref="A1:T112"/>
  <sheetViews>
    <sheetView zoomScale="70" zoomScaleNormal="70" workbookViewId="0">
      <selection activeCell="D80" sqref="D80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LINEST(E4:E36,G4:O36)</f>
        <v>-3.412509766584056E-5</v>
      </c>
      <c r="H2" s="4">
        <v>-3.6130187363844047E-4</v>
      </c>
      <c r="I2" s="4">
        <v>-4.7727272727272792E-3</v>
      </c>
      <c r="J2" s="4">
        <v>1.7021766753849941E-3</v>
      </c>
      <c r="K2" s="4">
        <v>-1.6831951791615959E-3</v>
      </c>
      <c r="L2" s="4">
        <v>4.6901791321542442E-3</v>
      </c>
      <c r="M2" s="4">
        <v>0.10007608982527373</v>
      </c>
      <c r="N2" s="4">
        <v>0.42527841384559067</v>
      </c>
      <c r="O2" s="4">
        <v>0.16816001101912315</v>
      </c>
      <c r="P2" s="4">
        <v>-8.8499356357867303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2.5</v>
      </c>
      <c r="F4" s="2"/>
      <c r="G4">
        <f t="shared" ref="G4:I36" si="0">A4</f>
        <v>-15</v>
      </c>
      <c r="H4" s="10">
        <f t="shared" si="0"/>
        <v>35</v>
      </c>
      <c r="I4">
        <f t="shared" si="0"/>
        <v>50</v>
      </c>
      <c r="J4">
        <f t="shared" ref="J4:J36" si="1">G4^2</f>
        <v>225</v>
      </c>
      <c r="K4">
        <f t="shared" ref="K4:K36" si="2">G4*H4</f>
        <v>-525</v>
      </c>
      <c r="L4">
        <f t="shared" ref="L4:L36" si="3">G4*I4</f>
        <v>-750</v>
      </c>
      <c r="M4">
        <f t="shared" ref="M4:M36" si="4">H4^2</f>
        <v>1225</v>
      </c>
      <c r="N4">
        <f t="shared" ref="N4:N36" si="5">H4*I4</f>
        <v>1750</v>
      </c>
      <c r="O4">
        <f t="shared" ref="O4:O36" si="6">I4^2</f>
        <v>2500</v>
      </c>
      <c r="Q4" s="11">
        <f t="shared" ref="Q4:Q36" si="7">$P$2+$O$2*G4+$N$2*H4+$M$2*I4+$L$2*J4+$K$2*K4+$J$2*L4+$I$2*M4+$H$2*N4+$G$2*O4</f>
        <v>2.6143665099187898</v>
      </c>
      <c r="R4" s="12">
        <f t="shared" ref="R4:R36" si="8">(Q4-E4)/E4</f>
        <v>4.5746603967515932E-2</v>
      </c>
      <c r="S4" s="11"/>
      <c r="T4" s="12"/>
    </row>
    <row r="5" spans="1:20" x14ac:dyDescent="0.25">
      <c r="A5">
        <v>-15</v>
      </c>
      <c r="B5">
        <v>35</v>
      </c>
      <c r="C5">
        <v>100</v>
      </c>
      <c r="E5">
        <v>5.5</v>
      </c>
      <c r="F5" s="2"/>
      <c r="G5">
        <f t="shared" si="0"/>
        <v>-15</v>
      </c>
      <c r="H5" s="10">
        <f t="shared" si="0"/>
        <v>35</v>
      </c>
      <c r="I5">
        <f t="shared" si="0"/>
        <v>100</v>
      </c>
      <c r="J5">
        <f t="shared" si="1"/>
        <v>225</v>
      </c>
      <c r="K5">
        <f t="shared" si="2"/>
        <v>-525</v>
      </c>
      <c r="L5">
        <f t="shared" si="3"/>
        <v>-1500</v>
      </c>
      <c r="M5">
        <f t="shared" si="4"/>
        <v>1225</v>
      </c>
      <c r="N5">
        <f t="shared" si="5"/>
        <v>3500</v>
      </c>
      <c r="O5">
        <f t="shared" si="6"/>
        <v>10000</v>
      </c>
      <c r="Q5" s="11">
        <f t="shared" si="7"/>
        <v>5.4533219832826569</v>
      </c>
      <c r="R5" s="12">
        <f t="shared" si="8"/>
        <v>-8.4869121304260112E-3</v>
      </c>
      <c r="S5" s="11"/>
      <c r="T5" s="12"/>
    </row>
    <row r="6" spans="1:20" x14ac:dyDescent="0.25">
      <c r="A6">
        <v>-7</v>
      </c>
      <c r="B6">
        <v>35</v>
      </c>
      <c r="C6">
        <v>20</v>
      </c>
      <c r="E6">
        <v>1.5</v>
      </c>
      <c r="F6" s="2"/>
      <c r="G6">
        <f t="shared" si="0"/>
        <v>-7</v>
      </c>
      <c r="H6" s="10">
        <f t="shared" si="0"/>
        <v>35</v>
      </c>
      <c r="I6">
        <f t="shared" si="0"/>
        <v>20</v>
      </c>
      <c r="J6">
        <f t="shared" si="1"/>
        <v>49</v>
      </c>
      <c r="K6">
        <f t="shared" si="2"/>
        <v>-245</v>
      </c>
      <c r="L6">
        <f t="shared" si="3"/>
        <v>-140</v>
      </c>
      <c r="M6">
        <f t="shared" si="4"/>
        <v>1225</v>
      </c>
      <c r="N6">
        <f t="shared" si="5"/>
        <v>700</v>
      </c>
      <c r="O6">
        <f t="shared" si="6"/>
        <v>400</v>
      </c>
      <c r="Q6" s="11">
        <f t="shared" si="7"/>
        <v>1.149955170292644</v>
      </c>
      <c r="R6" s="12">
        <f t="shared" si="8"/>
        <v>-0.23336321980490396</v>
      </c>
      <c r="S6" s="11"/>
      <c r="T6" s="12"/>
    </row>
    <row r="7" spans="1:20" x14ac:dyDescent="0.25">
      <c r="A7">
        <v>-7</v>
      </c>
      <c r="B7">
        <v>35</v>
      </c>
      <c r="C7">
        <v>50</v>
      </c>
      <c r="E7">
        <v>3.5</v>
      </c>
      <c r="F7" s="2"/>
      <c r="G7">
        <f t="shared" si="0"/>
        <v>-7</v>
      </c>
      <c r="H7" s="10">
        <f t="shared" si="0"/>
        <v>35</v>
      </c>
      <c r="I7">
        <f t="shared" si="0"/>
        <v>50</v>
      </c>
      <c r="J7">
        <f t="shared" si="1"/>
        <v>49</v>
      </c>
      <c r="K7">
        <f t="shared" si="2"/>
        <v>-245</v>
      </c>
      <c r="L7">
        <f t="shared" si="3"/>
        <v>-350</v>
      </c>
      <c r="M7">
        <f t="shared" si="4"/>
        <v>1225</v>
      </c>
      <c r="N7">
        <f t="shared" si="5"/>
        <v>1750</v>
      </c>
      <c r="O7">
        <f t="shared" si="6"/>
        <v>2500</v>
      </c>
      <c r="Q7" s="11">
        <f t="shared" si="7"/>
        <v>3.3437510908013777</v>
      </c>
      <c r="R7" s="12">
        <f t="shared" si="8"/>
        <v>-4.4642545485320664E-2</v>
      </c>
      <c r="S7" s="11"/>
      <c r="T7" s="12"/>
    </row>
    <row r="8" spans="1:20" x14ac:dyDescent="0.25">
      <c r="A8">
        <v>-7</v>
      </c>
      <c r="B8">
        <v>35</v>
      </c>
      <c r="C8">
        <v>100</v>
      </c>
      <c r="E8">
        <v>6.5</v>
      </c>
      <c r="F8" s="2"/>
      <c r="G8">
        <f t="shared" si="0"/>
        <v>-7</v>
      </c>
      <c r="H8" s="10">
        <f t="shared" si="0"/>
        <v>35</v>
      </c>
      <c r="I8">
        <f t="shared" si="0"/>
        <v>100</v>
      </c>
      <c r="J8">
        <f t="shared" si="1"/>
        <v>49</v>
      </c>
      <c r="K8">
        <f t="shared" si="2"/>
        <v>-245</v>
      </c>
      <c r="L8">
        <f t="shared" si="3"/>
        <v>-700</v>
      </c>
      <c r="M8">
        <f t="shared" si="4"/>
        <v>1225</v>
      </c>
      <c r="N8">
        <f t="shared" si="5"/>
        <v>3500</v>
      </c>
      <c r="O8">
        <f t="shared" si="6"/>
        <v>10000</v>
      </c>
      <c r="Q8" s="11">
        <f t="shared" si="7"/>
        <v>6.8635772343192416</v>
      </c>
      <c r="R8" s="12">
        <f t="shared" si="8"/>
        <v>5.5934959126037173E-2</v>
      </c>
      <c r="S8" s="11"/>
      <c r="T8" s="12"/>
    </row>
    <row r="9" spans="1:20" x14ac:dyDescent="0.25">
      <c r="A9">
        <v>2</v>
      </c>
      <c r="B9">
        <v>35</v>
      </c>
      <c r="C9">
        <v>20</v>
      </c>
      <c r="E9">
        <v>2.5</v>
      </c>
      <c r="F9" s="2"/>
      <c r="G9">
        <f t="shared" si="0"/>
        <v>2</v>
      </c>
      <c r="H9" s="10">
        <f t="shared" si="0"/>
        <v>35</v>
      </c>
      <c r="I9">
        <f t="shared" si="0"/>
        <v>20</v>
      </c>
      <c r="J9">
        <f t="shared" si="1"/>
        <v>4</v>
      </c>
      <c r="K9">
        <f t="shared" si="2"/>
        <v>70</v>
      </c>
      <c r="L9">
        <f t="shared" si="3"/>
        <v>40</v>
      </c>
      <c r="M9">
        <f t="shared" si="4"/>
        <v>1225</v>
      </c>
      <c r="N9">
        <f t="shared" si="5"/>
        <v>700</v>
      </c>
      <c r="O9">
        <f t="shared" si="6"/>
        <v>400</v>
      </c>
      <c r="Q9" s="11">
        <f t="shared" si="7"/>
        <v>2.2285225286512063</v>
      </c>
      <c r="R9" s="12">
        <f t="shared" si="8"/>
        <v>-0.1085909885395175</v>
      </c>
      <c r="S9" s="11"/>
      <c r="T9" s="12"/>
    </row>
    <row r="10" spans="1:20" x14ac:dyDescent="0.25">
      <c r="A10">
        <v>2</v>
      </c>
      <c r="B10">
        <v>35</v>
      </c>
      <c r="C10">
        <v>50</v>
      </c>
      <c r="E10">
        <v>4.5</v>
      </c>
      <c r="F10" s="2"/>
      <c r="G10">
        <f t="shared" si="0"/>
        <v>2</v>
      </c>
      <c r="H10" s="10">
        <f t="shared" si="0"/>
        <v>35</v>
      </c>
      <c r="I10">
        <f t="shared" si="0"/>
        <v>50</v>
      </c>
      <c r="J10">
        <f t="shared" si="1"/>
        <v>4</v>
      </c>
      <c r="K10">
        <f t="shared" si="2"/>
        <v>70</v>
      </c>
      <c r="L10">
        <f t="shared" si="3"/>
        <v>100</v>
      </c>
      <c r="M10">
        <f t="shared" si="4"/>
        <v>1225</v>
      </c>
      <c r="N10">
        <f t="shared" si="5"/>
        <v>1750</v>
      </c>
      <c r="O10">
        <f t="shared" si="6"/>
        <v>2500</v>
      </c>
      <c r="Q10" s="11">
        <f t="shared" si="7"/>
        <v>4.8819061515138902</v>
      </c>
      <c r="R10" s="12">
        <f t="shared" si="8"/>
        <v>8.4868033669753373E-2</v>
      </c>
      <c r="S10" s="11"/>
      <c r="T10" s="12"/>
    </row>
    <row r="11" spans="1:20" x14ac:dyDescent="0.25">
      <c r="A11">
        <v>2</v>
      </c>
      <c r="B11">
        <v>35</v>
      </c>
      <c r="C11">
        <v>100</v>
      </c>
      <c r="E11">
        <v>9</v>
      </c>
      <c r="F11" s="2"/>
      <c r="G11">
        <f t="shared" si="0"/>
        <v>2</v>
      </c>
      <c r="H11" s="10">
        <f t="shared" si="0"/>
        <v>35</v>
      </c>
      <c r="I11">
        <f t="shared" si="0"/>
        <v>100</v>
      </c>
      <c r="J11">
        <f t="shared" si="1"/>
        <v>4</v>
      </c>
      <c r="K11">
        <f t="shared" si="2"/>
        <v>70</v>
      </c>
      <c r="L11">
        <f t="shared" si="3"/>
        <v>200</v>
      </c>
      <c r="M11">
        <f t="shared" si="4"/>
        <v>1225</v>
      </c>
      <c r="N11">
        <f t="shared" si="5"/>
        <v>3500</v>
      </c>
      <c r="O11">
        <f t="shared" si="6"/>
        <v>10000</v>
      </c>
      <c r="Q11" s="11">
        <f t="shared" si="7"/>
        <v>9.1677117989550005</v>
      </c>
      <c r="R11" s="12">
        <f t="shared" si="8"/>
        <v>1.8634644328333394E-2</v>
      </c>
      <c r="S11" s="11"/>
      <c r="T11" s="12"/>
    </row>
    <row r="12" spans="1:20" x14ac:dyDescent="0.25">
      <c r="A12">
        <v>7</v>
      </c>
      <c r="B12">
        <v>35</v>
      </c>
      <c r="C12">
        <v>20</v>
      </c>
      <c r="E12">
        <v>3</v>
      </c>
      <c r="F12" s="2"/>
      <c r="G12">
        <f t="shared" si="0"/>
        <v>7</v>
      </c>
      <c r="H12" s="10">
        <f t="shared" si="0"/>
        <v>35</v>
      </c>
      <c r="I12">
        <f t="shared" si="0"/>
        <v>20</v>
      </c>
      <c r="J12">
        <f t="shared" si="1"/>
        <v>49</v>
      </c>
      <c r="K12">
        <f t="shared" si="2"/>
        <v>245</v>
      </c>
      <c r="L12">
        <f t="shared" si="3"/>
        <v>140</v>
      </c>
      <c r="M12">
        <f t="shared" si="4"/>
        <v>1225</v>
      </c>
      <c r="N12">
        <f t="shared" si="5"/>
        <v>700</v>
      </c>
      <c r="O12">
        <f t="shared" si="6"/>
        <v>400</v>
      </c>
      <c r="Q12" s="11">
        <f t="shared" si="7"/>
        <v>3.156039155878986</v>
      </c>
      <c r="R12" s="12">
        <f t="shared" si="8"/>
        <v>5.2013051959661993E-2</v>
      </c>
      <c r="S12" s="11"/>
      <c r="T12" s="12"/>
    </row>
    <row r="13" spans="1:20" x14ac:dyDescent="0.25">
      <c r="A13">
        <v>7</v>
      </c>
      <c r="B13">
        <v>35</v>
      </c>
      <c r="C13">
        <v>50</v>
      </c>
      <c r="E13">
        <v>6.2</v>
      </c>
      <c r="F13" s="2"/>
      <c r="G13">
        <f t="shared" si="0"/>
        <v>7</v>
      </c>
      <c r="H13" s="10">
        <f t="shared" si="0"/>
        <v>35</v>
      </c>
      <c r="I13">
        <f t="shared" si="0"/>
        <v>50</v>
      </c>
      <c r="J13">
        <f t="shared" si="1"/>
        <v>49</v>
      </c>
      <c r="K13">
        <f t="shared" si="2"/>
        <v>245</v>
      </c>
      <c r="L13">
        <f t="shared" si="3"/>
        <v>350</v>
      </c>
      <c r="M13">
        <f t="shared" si="4"/>
        <v>1225</v>
      </c>
      <c r="N13">
        <f t="shared" si="5"/>
        <v>1750</v>
      </c>
      <c r="O13">
        <f t="shared" si="6"/>
        <v>2500</v>
      </c>
      <c r="Q13" s="11">
        <f t="shared" si="7"/>
        <v>6.0647492800494174</v>
      </c>
      <c r="R13" s="12">
        <f t="shared" si="8"/>
        <v>-2.1814632250093998E-2</v>
      </c>
      <c r="S13" s="11"/>
      <c r="T13" s="12"/>
    </row>
    <row r="14" spans="1:20" x14ac:dyDescent="0.25">
      <c r="A14">
        <v>7</v>
      </c>
      <c r="B14">
        <v>35</v>
      </c>
      <c r="C14">
        <v>100</v>
      </c>
      <c r="E14">
        <v>11</v>
      </c>
      <c r="F14" s="2"/>
      <c r="G14">
        <f t="shared" si="0"/>
        <v>7</v>
      </c>
      <c r="H14" s="10">
        <f t="shared" si="0"/>
        <v>35</v>
      </c>
      <c r="I14">
        <f t="shared" si="0"/>
        <v>100</v>
      </c>
      <c r="J14">
        <f t="shared" si="1"/>
        <v>49</v>
      </c>
      <c r="K14">
        <f t="shared" si="2"/>
        <v>245</v>
      </c>
      <c r="L14">
        <f t="shared" si="3"/>
        <v>700</v>
      </c>
      <c r="M14">
        <f t="shared" si="4"/>
        <v>1225</v>
      </c>
      <c r="N14">
        <f t="shared" si="5"/>
        <v>3500</v>
      </c>
      <c r="O14">
        <f t="shared" si="6"/>
        <v>10000</v>
      </c>
      <c r="Q14" s="11">
        <f t="shared" si="7"/>
        <v>10.776099096336775</v>
      </c>
      <c r="R14" s="12">
        <f t="shared" si="8"/>
        <v>-2.0354627605747699E-2</v>
      </c>
      <c r="S14" s="11"/>
      <c r="T14" s="12"/>
    </row>
    <row r="15" spans="1:20" x14ac:dyDescent="0.25">
      <c r="A15">
        <v>-15</v>
      </c>
      <c r="B15">
        <v>45</v>
      </c>
      <c r="C15">
        <v>50</v>
      </c>
      <c r="E15">
        <v>3</v>
      </c>
      <c r="F15" s="2"/>
      <c r="G15">
        <f t="shared" si="0"/>
        <v>-15</v>
      </c>
      <c r="H15" s="10">
        <f t="shared" si="0"/>
        <v>45</v>
      </c>
      <c r="I15">
        <f t="shared" si="0"/>
        <v>50</v>
      </c>
      <c r="J15">
        <f t="shared" si="1"/>
        <v>225</v>
      </c>
      <c r="K15">
        <f t="shared" si="2"/>
        <v>-675</v>
      </c>
      <c r="L15">
        <f t="shared" si="3"/>
        <v>-750</v>
      </c>
      <c r="M15">
        <f t="shared" si="4"/>
        <v>2025</v>
      </c>
      <c r="N15">
        <f t="shared" si="5"/>
        <v>2250</v>
      </c>
      <c r="O15">
        <f t="shared" si="6"/>
        <v>2500</v>
      </c>
      <c r="Q15" s="11">
        <f t="shared" si="7"/>
        <v>3.1207971702478909</v>
      </c>
      <c r="R15" s="12">
        <f t="shared" si="8"/>
        <v>4.0265723415963649E-2</v>
      </c>
      <c r="S15" s="11"/>
      <c r="T15" s="12"/>
    </row>
    <row r="16" spans="1:20" x14ac:dyDescent="0.25">
      <c r="A16">
        <v>-15</v>
      </c>
      <c r="B16">
        <v>45</v>
      </c>
      <c r="C16">
        <v>100</v>
      </c>
      <c r="E16">
        <v>6</v>
      </c>
      <c r="F16" s="2"/>
      <c r="G16">
        <f t="shared" si="0"/>
        <v>-15</v>
      </c>
      <c r="H16" s="10">
        <f t="shared" si="0"/>
        <v>45</v>
      </c>
      <c r="I16">
        <f t="shared" si="0"/>
        <v>100</v>
      </c>
      <c r="J16">
        <f t="shared" si="1"/>
        <v>225</v>
      </c>
      <c r="K16">
        <f t="shared" si="2"/>
        <v>-675</v>
      </c>
      <c r="L16">
        <f t="shared" si="3"/>
        <v>-1500</v>
      </c>
      <c r="M16">
        <f t="shared" si="4"/>
        <v>2025</v>
      </c>
      <c r="N16">
        <f t="shared" si="5"/>
        <v>4500</v>
      </c>
      <c r="O16">
        <f t="shared" si="6"/>
        <v>10000</v>
      </c>
      <c r="Q16" s="11">
        <f t="shared" si="7"/>
        <v>5.7791017067925381</v>
      </c>
      <c r="R16" s="12">
        <f t="shared" si="8"/>
        <v>-3.6816382201243648E-2</v>
      </c>
      <c r="S16" s="11"/>
      <c r="T16" s="12"/>
    </row>
    <row r="17" spans="1:20" x14ac:dyDescent="0.25">
      <c r="A17">
        <v>-7</v>
      </c>
      <c r="B17">
        <v>45</v>
      </c>
      <c r="C17">
        <v>20</v>
      </c>
      <c r="E17">
        <v>1.5</v>
      </c>
      <c r="F17" s="2"/>
      <c r="G17">
        <f t="shared" si="0"/>
        <v>-7</v>
      </c>
      <c r="H17" s="10">
        <f t="shared" si="0"/>
        <v>45</v>
      </c>
      <c r="I17">
        <f t="shared" si="0"/>
        <v>20</v>
      </c>
      <c r="J17">
        <f t="shared" si="1"/>
        <v>49</v>
      </c>
      <c r="K17">
        <f t="shared" si="2"/>
        <v>-315</v>
      </c>
      <c r="L17">
        <f t="shared" si="3"/>
        <v>-140</v>
      </c>
      <c r="M17">
        <f t="shared" si="4"/>
        <v>2025</v>
      </c>
      <c r="N17">
        <f t="shared" si="5"/>
        <v>900</v>
      </c>
      <c r="O17">
        <f t="shared" si="6"/>
        <v>400</v>
      </c>
      <c r="Q17" s="11">
        <f t="shared" si="7"/>
        <v>1.6301207783803491</v>
      </c>
      <c r="R17" s="12">
        <f t="shared" si="8"/>
        <v>8.6747185586899381E-2</v>
      </c>
      <c r="S17" s="11"/>
      <c r="T17" s="12"/>
    </row>
    <row r="18" spans="1:20" x14ac:dyDescent="0.25">
      <c r="A18">
        <v>-7</v>
      </c>
      <c r="B18">
        <v>45</v>
      </c>
      <c r="C18">
        <v>50</v>
      </c>
      <c r="E18">
        <v>3.5</v>
      </c>
      <c r="F18" s="2"/>
      <c r="G18">
        <f t="shared" si="0"/>
        <v>-7</v>
      </c>
      <c r="H18" s="10">
        <f t="shared" si="0"/>
        <v>45</v>
      </c>
      <c r="I18">
        <f t="shared" si="0"/>
        <v>50</v>
      </c>
      <c r="J18">
        <f t="shared" si="1"/>
        <v>49</v>
      </c>
      <c r="K18">
        <f t="shared" si="2"/>
        <v>-315</v>
      </c>
      <c r="L18">
        <f t="shared" si="3"/>
        <v>-350</v>
      </c>
      <c r="M18">
        <f t="shared" si="4"/>
        <v>2025</v>
      </c>
      <c r="N18">
        <f t="shared" si="5"/>
        <v>2250</v>
      </c>
      <c r="O18">
        <f t="shared" si="6"/>
        <v>2500</v>
      </c>
      <c r="Q18" s="11">
        <f t="shared" si="7"/>
        <v>3.7155261367975525</v>
      </c>
      <c r="R18" s="12">
        <f t="shared" si="8"/>
        <v>6.1578896227872146E-2</v>
      </c>
      <c r="S18" s="11"/>
      <c r="T18" s="12"/>
    </row>
    <row r="19" spans="1:20" x14ac:dyDescent="0.25">
      <c r="A19">
        <v>-7</v>
      </c>
      <c r="B19">
        <v>45</v>
      </c>
      <c r="C19">
        <v>100</v>
      </c>
      <c r="E19">
        <v>7.5</v>
      </c>
      <c r="F19" s="2"/>
      <c r="G19">
        <f t="shared" si="0"/>
        <v>-7</v>
      </c>
      <c r="H19" s="10">
        <f t="shared" si="0"/>
        <v>45</v>
      </c>
      <c r="I19">
        <f t="shared" si="0"/>
        <v>100</v>
      </c>
      <c r="J19">
        <f t="shared" si="1"/>
        <v>49</v>
      </c>
      <c r="K19">
        <f t="shared" si="2"/>
        <v>-315</v>
      </c>
      <c r="L19">
        <f t="shared" si="3"/>
        <v>-700</v>
      </c>
      <c r="M19">
        <f t="shared" si="4"/>
        <v>2025</v>
      </c>
      <c r="N19">
        <f t="shared" si="5"/>
        <v>4500</v>
      </c>
      <c r="O19">
        <f t="shared" si="6"/>
        <v>10000</v>
      </c>
      <c r="Q19" s="11">
        <f t="shared" si="7"/>
        <v>7.0547013434961983</v>
      </c>
      <c r="R19" s="12">
        <f t="shared" si="8"/>
        <v>-5.93731542005069E-2</v>
      </c>
      <c r="S19" s="11"/>
      <c r="T19" s="12"/>
    </row>
    <row r="20" spans="1:20" x14ac:dyDescent="0.25">
      <c r="A20">
        <v>2</v>
      </c>
      <c r="B20">
        <v>45</v>
      </c>
      <c r="C20">
        <v>20</v>
      </c>
      <c r="E20">
        <v>2.5</v>
      </c>
      <c r="F20" s="2"/>
      <c r="G20">
        <f t="shared" si="0"/>
        <v>2</v>
      </c>
      <c r="H20" s="10">
        <f t="shared" si="0"/>
        <v>45</v>
      </c>
      <c r="I20">
        <f t="shared" si="0"/>
        <v>20</v>
      </c>
      <c r="J20">
        <f t="shared" si="1"/>
        <v>4</v>
      </c>
      <c r="K20">
        <f t="shared" si="2"/>
        <v>90</v>
      </c>
      <c r="L20">
        <f t="shared" si="3"/>
        <v>40</v>
      </c>
      <c r="M20">
        <f t="shared" si="4"/>
        <v>2025</v>
      </c>
      <c r="N20">
        <f t="shared" si="5"/>
        <v>900</v>
      </c>
      <c r="O20">
        <f t="shared" si="6"/>
        <v>400</v>
      </c>
      <c r="Q20" s="11">
        <f t="shared" si="7"/>
        <v>2.557200570614369</v>
      </c>
      <c r="R20" s="12">
        <f t="shared" si="8"/>
        <v>2.2880228245747602E-2</v>
      </c>
      <c r="S20" s="11"/>
      <c r="T20" s="12"/>
    </row>
    <row r="21" spans="1:20" x14ac:dyDescent="0.25">
      <c r="A21">
        <v>2</v>
      </c>
      <c r="B21">
        <v>45</v>
      </c>
      <c r="C21">
        <v>50</v>
      </c>
      <c r="E21">
        <v>5</v>
      </c>
      <c r="G21">
        <f t="shared" si="0"/>
        <v>2</v>
      </c>
      <c r="H21" s="10">
        <f t="shared" si="0"/>
        <v>45</v>
      </c>
      <c r="I21">
        <f t="shared" si="0"/>
        <v>50</v>
      </c>
      <c r="J21">
        <f t="shared" si="1"/>
        <v>4</v>
      </c>
      <c r="K21">
        <f t="shared" si="2"/>
        <v>90</v>
      </c>
      <c r="L21">
        <f t="shared" si="3"/>
        <v>100</v>
      </c>
      <c r="M21">
        <f t="shared" si="4"/>
        <v>2025</v>
      </c>
      <c r="N21">
        <f t="shared" si="5"/>
        <v>2250</v>
      </c>
      <c r="O21">
        <f t="shared" si="6"/>
        <v>2500</v>
      </c>
      <c r="Q21" s="11">
        <f t="shared" si="7"/>
        <v>5.1021936313855205</v>
      </c>
      <c r="R21" s="12">
        <f t="shared" si="8"/>
        <v>2.0438726277104101E-2</v>
      </c>
      <c r="S21" s="11"/>
      <c r="T21" s="12"/>
    </row>
    <row r="22" spans="1:20" x14ac:dyDescent="0.25">
      <c r="A22">
        <v>2</v>
      </c>
      <c r="B22">
        <v>45</v>
      </c>
      <c r="C22">
        <v>100</v>
      </c>
      <c r="E22">
        <v>9</v>
      </c>
      <c r="G22">
        <f t="shared" si="0"/>
        <v>2</v>
      </c>
      <c r="H22" s="10">
        <f t="shared" si="0"/>
        <v>45</v>
      </c>
      <c r="I22">
        <f t="shared" si="0"/>
        <v>100</v>
      </c>
      <c r="J22">
        <f t="shared" si="1"/>
        <v>4</v>
      </c>
      <c r="K22">
        <f t="shared" si="2"/>
        <v>90</v>
      </c>
      <c r="L22">
        <f t="shared" si="3"/>
        <v>200</v>
      </c>
      <c r="M22">
        <f t="shared" si="4"/>
        <v>2025</v>
      </c>
      <c r="N22">
        <f t="shared" si="5"/>
        <v>4500</v>
      </c>
      <c r="O22">
        <f t="shared" si="6"/>
        <v>10000</v>
      </c>
      <c r="Q22" s="11">
        <f t="shared" si="7"/>
        <v>9.2073483420074123</v>
      </c>
      <c r="R22" s="12">
        <f t="shared" si="8"/>
        <v>2.3038704667490251E-2</v>
      </c>
      <c r="S22" s="11"/>
      <c r="T22" s="12"/>
    </row>
    <row r="23" spans="1:20" x14ac:dyDescent="0.25">
      <c r="A23">
        <v>7</v>
      </c>
      <c r="B23">
        <v>45</v>
      </c>
      <c r="C23">
        <v>20</v>
      </c>
      <c r="E23">
        <v>3</v>
      </c>
      <c r="G23">
        <f t="shared" si="0"/>
        <v>7</v>
      </c>
      <c r="H23" s="10">
        <f t="shared" si="0"/>
        <v>45</v>
      </c>
      <c r="I23">
        <f t="shared" si="0"/>
        <v>20</v>
      </c>
      <c r="J23">
        <f t="shared" si="1"/>
        <v>49</v>
      </c>
      <c r="K23">
        <f t="shared" si="2"/>
        <v>315</v>
      </c>
      <c r="L23">
        <f t="shared" si="3"/>
        <v>140</v>
      </c>
      <c r="M23">
        <f t="shared" si="4"/>
        <v>2025</v>
      </c>
      <c r="N23">
        <f t="shared" si="5"/>
        <v>900</v>
      </c>
      <c r="O23">
        <f t="shared" si="6"/>
        <v>400</v>
      </c>
      <c r="Q23" s="11">
        <f t="shared" si="7"/>
        <v>3.4005574388840687</v>
      </c>
      <c r="R23" s="12">
        <f t="shared" si="8"/>
        <v>0.13351914629468956</v>
      </c>
      <c r="S23" s="11"/>
      <c r="T23" s="12"/>
    </row>
    <row r="24" spans="1:20" x14ac:dyDescent="0.25">
      <c r="A24">
        <v>7</v>
      </c>
      <c r="B24">
        <v>45</v>
      </c>
      <c r="C24">
        <v>50</v>
      </c>
      <c r="E24">
        <v>6.5</v>
      </c>
      <c r="G24">
        <f t="shared" si="0"/>
        <v>7</v>
      </c>
      <c r="H24" s="10">
        <f t="shared" si="0"/>
        <v>45</v>
      </c>
      <c r="I24">
        <f t="shared" si="0"/>
        <v>50</v>
      </c>
      <c r="J24">
        <f t="shared" si="1"/>
        <v>49</v>
      </c>
      <c r="K24">
        <f t="shared" si="2"/>
        <v>315</v>
      </c>
      <c r="L24">
        <f t="shared" si="3"/>
        <v>350</v>
      </c>
      <c r="M24">
        <f t="shared" si="4"/>
        <v>2025</v>
      </c>
      <c r="N24">
        <f t="shared" si="5"/>
        <v>2250</v>
      </c>
      <c r="O24">
        <f t="shared" si="6"/>
        <v>2500</v>
      </c>
      <c r="Q24" s="11">
        <f t="shared" si="7"/>
        <v>6.2008770009629677</v>
      </c>
      <c r="R24" s="12">
        <f t="shared" si="8"/>
        <v>-4.60189229287742E-2</v>
      </c>
      <c r="S24" s="11"/>
      <c r="T24" s="12"/>
    </row>
    <row r="25" spans="1:20" x14ac:dyDescent="0.25">
      <c r="A25">
        <v>7</v>
      </c>
      <c r="B25">
        <v>45</v>
      </c>
      <c r="C25">
        <v>100</v>
      </c>
      <c r="E25">
        <v>11</v>
      </c>
      <c r="G25">
        <f t="shared" si="0"/>
        <v>7</v>
      </c>
      <c r="H25" s="10">
        <f t="shared" si="0"/>
        <v>45</v>
      </c>
      <c r="I25">
        <f t="shared" si="0"/>
        <v>100</v>
      </c>
      <c r="J25">
        <f t="shared" si="1"/>
        <v>49</v>
      </c>
      <c r="K25">
        <f t="shared" si="2"/>
        <v>315</v>
      </c>
      <c r="L25">
        <f t="shared" si="3"/>
        <v>700</v>
      </c>
      <c r="M25">
        <f t="shared" si="4"/>
        <v>2025</v>
      </c>
      <c r="N25">
        <f t="shared" si="5"/>
        <v>4500</v>
      </c>
      <c r="O25">
        <f t="shared" si="6"/>
        <v>10000</v>
      </c>
      <c r="Q25" s="11">
        <f t="shared" si="7"/>
        <v>10.731575880431103</v>
      </c>
      <c r="R25" s="12">
        <f t="shared" si="8"/>
        <v>-2.4402192688081505E-2</v>
      </c>
      <c r="S25" s="11"/>
      <c r="T25" s="12"/>
    </row>
    <row r="26" spans="1:20" x14ac:dyDescent="0.25">
      <c r="A26">
        <v>-15</v>
      </c>
      <c r="B26">
        <v>55</v>
      </c>
      <c r="C26">
        <v>50</v>
      </c>
      <c r="E26">
        <v>2.5</v>
      </c>
      <c r="G26">
        <f t="shared" si="0"/>
        <v>-15</v>
      </c>
      <c r="H26" s="10">
        <f t="shared" si="0"/>
        <v>55</v>
      </c>
      <c r="I26">
        <f t="shared" si="0"/>
        <v>50</v>
      </c>
      <c r="J26">
        <f t="shared" si="1"/>
        <v>225</v>
      </c>
      <c r="K26">
        <f t="shared" si="2"/>
        <v>-825</v>
      </c>
      <c r="L26">
        <f t="shared" si="3"/>
        <v>-750</v>
      </c>
      <c r="M26">
        <f t="shared" si="4"/>
        <v>3025</v>
      </c>
      <c r="N26">
        <f t="shared" si="5"/>
        <v>2750</v>
      </c>
      <c r="O26">
        <f t="shared" si="6"/>
        <v>2500</v>
      </c>
      <c r="Q26" s="11">
        <f t="shared" si="7"/>
        <v>2.6726823760315419</v>
      </c>
      <c r="R26" s="12">
        <f t="shared" si="8"/>
        <v>6.9072950412616768E-2</v>
      </c>
      <c r="S26" s="11"/>
      <c r="T26" s="12"/>
    </row>
    <row r="27" spans="1:20" x14ac:dyDescent="0.25">
      <c r="A27">
        <v>-15</v>
      </c>
      <c r="B27">
        <v>55</v>
      </c>
      <c r="C27">
        <v>100</v>
      </c>
      <c r="E27">
        <v>5</v>
      </c>
      <c r="G27">
        <f t="shared" si="0"/>
        <v>-15</v>
      </c>
      <c r="H27" s="10">
        <f t="shared" si="0"/>
        <v>55</v>
      </c>
      <c r="I27">
        <f t="shared" si="0"/>
        <v>100</v>
      </c>
      <c r="J27">
        <f t="shared" si="1"/>
        <v>225</v>
      </c>
      <c r="K27">
        <f t="shared" si="2"/>
        <v>-825</v>
      </c>
      <c r="L27">
        <f t="shared" si="3"/>
        <v>-1500</v>
      </c>
      <c r="M27">
        <f t="shared" si="4"/>
        <v>3025</v>
      </c>
      <c r="N27">
        <f t="shared" si="5"/>
        <v>5500</v>
      </c>
      <c r="O27">
        <f t="shared" si="6"/>
        <v>10000</v>
      </c>
      <c r="Q27" s="11">
        <f t="shared" si="7"/>
        <v>5.1503359757569669</v>
      </c>
      <c r="R27" s="12">
        <f t="shared" si="8"/>
        <v>3.0067195151393378E-2</v>
      </c>
      <c r="S27" s="11"/>
      <c r="T27" s="12"/>
    </row>
    <row r="28" spans="1:20" x14ac:dyDescent="0.25">
      <c r="A28">
        <v>-7</v>
      </c>
      <c r="B28">
        <v>55</v>
      </c>
      <c r="C28">
        <v>20</v>
      </c>
      <c r="E28">
        <v>1.3</v>
      </c>
      <c r="G28">
        <f t="shared" si="0"/>
        <v>-7</v>
      </c>
      <c r="H28" s="10">
        <f t="shared" si="0"/>
        <v>55</v>
      </c>
      <c r="I28">
        <f t="shared" si="0"/>
        <v>20</v>
      </c>
      <c r="J28">
        <f t="shared" si="1"/>
        <v>49</v>
      </c>
      <c r="K28">
        <f t="shared" si="2"/>
        <v>-385</v>
      </c>
      <c r="L28">
        <f t="shared" si="3"/>
        <v>-140</v>
      </c>
      <c r="M28">
        <f t="shared" si="4"/>
        <v>3025</v>
      </c>
      <c r="N28">
        <f t="shared" si="5"/>
        <v>1100</v>
      </c>
      <c r="O28">
        <f t="shared" si="6"/>
        <v>400</v>
      </c>
      <c r="Q28" s="11">
        <f t="shared" si="7"/>
        <v>1.1557409319226006</v>
      </c>
      <c r="R28" s="12">
        <f t="shared" si="8"/>
        <v>-0.11096851390569185</v>
      </c>
      <c r="S28" s="11"/>
      <c r="T28" s="12"/>
    </row>
    <row r="29" spans="1:20" x14ac:dyDescent="0.25">
      <c r="A29">
        <v>-7</v>
      </c>
      <c r="B29">
        <v>55</v>
      </c>
      <c r="C29">
        <v>50</v>
      </c>
      <c r="E29">
        <v>3.4</v>
      </c>
      <c r="G29">
        <f t="shared" si="0"/>
        <v>-7</v>
      </c>
      <c r="H29" s="10">
        <f t="shared" si="0"/>
        <v>55</v>
      </c>
      <c r="I29">
        <f t="shared" si="0"/>
        <v>50</v>
      </c>
      <c r="J29">
        <f t="shared" si="1"/>
        <v>49</v>
      </c>
      <c r="K29">
        <f t="shared" si="2"/>
        <v>-385</v>
      </c>
      <c r="L29">
        <f t="shared" si="3"/>
        <v>-350</v>
      </c>
      <c r="M29">
        <f t="shared" si="4"/>
        <v>3025</v>
      </c>
      <c r="N29">
        <f t="shared" si="5"/>
        <v>2750</v>
      </c>
      <c r="O29">
        <f t="shared" si="6"/>
        <v>2500</v>
      </c>
      <c r="Q29" s="11">
        <f t="shared" si="7"/>
        <v>3.1327557282482701</v>
      </c>
      <c r="R29" s="12">
        <f t="shared" si="8"/>
        <v>-7.8601256397567598E-2</v>
      </c>
      <c r="S29" s="11"/>
      <c r="T29" s="12"/>
    </row>
    <row r="30" spans="1:20" x14ac:dyDescent="0.25">
      <c r="A30">
        <v>-7</v>
      </c>
      <c r="B30">
        <v>55</v>
      </c>
      <c r="C30">
        <v>100</v>
      </c>
      <c r="E30">
        <v>6.5</v>
      </c>
      <c r="G30">
        <f t="shared" si="0"/>
        <v>-7</v>
      </c>
      <c r="H30" s="10">
        <f t="shared" si="0"/>
        <v>55</v>
      </c>
      <c r="I30">
        <f t="shared" si="0"/>
        <v>100</v>
      </c>
      <c r="J30">
        <f t="shared" si="1"/>
        <v>49</v>
      </c>
      <c r="K30">
        <f t="shared" si="2"/>
        <v>-385</v>
      </c>
      <c r="L30">
        <f t="shared" si="3"/>
        <v>-700</v>
      </c>
      <c r="M30">
        <f t="shared" si="4"/>
        <v>3025</v>
      </c>
      <c r="N30">
        <f t="shared" si="5"/>
        <v>5500</v>
      </c>
      <c r="O30">
        <f t="shared" si="6"/>
        <v>10000</v>
      </c>
      <c r="Q30" s="11">
        <f t="shared" si="7"/>
        <v>6.2912799981276954</v>
      </c>
      <c r="R30" s="12">
        <f t="shared" si="8"/>
        <v>-3.2110769518816085E-2</v>
      </c>
      <c r="S30" s="11"/>
      <c r="T30" s="12"/>
    </row>
    <row r="31" spans="1:20" x14ac:dyDescent="0.25">
      <c r="A31">
        <v>2</v>
      </c>
      <c r="B31">
        <v>55</v>
      </c>
      <c r="C31">
        <v>20</v>
      </c>
      <c r="E31">
        <v>1.8</v>
      </c>
      <c r="G31">
        <f t="shared" si="0"/>
        <v>2</v>
      </c>
      <c r="H31" s="10">
        <f t="shared" si="0"/>
        <v>55</v>
      </c>
      <c r="I31">
        <f t="shared" si="0"/>
        <v>20</v>
      </c>
      <c r="J31">
        <f t="shared" si="1"/>
        <v>4</v>
      </c>
      <c r="K31">
        <f t="shared" si="2"/>
        <v>110</v>
      </c>
      <c r="L31">
        <f t="shared" si="3"/>
        <v>40</v>
      </c>
      <c r="M31">
        <f t="shared" si="4"/>
        <v>3025</v>
      </c>
      <c r="N31">
        <f t="shared" si="5"/>
        <v>1100</v>
      </c>
      <c r="O31">
        <f t="shared" si="6"/>
        <v>400</v>
      </c>
      <c r="Q31" s="11">
        <f t="shared" si="7"/>
        <v>1.9313331580320816</v>
      </c>
      <c r="R31" s="12">
        <f t="shared" si="8"/>
        <v>7.2962865573378652E-2</v>
      </c>
      <c r="S31" s="11"/>
      <c r="T31" s="12"/>
    </row>
    <row r="32" spans="1:20" x14ac:dyDescent="0.25">
      <c r="A32">
        <v>2</v>
      </c>
      <c r="B32">
        <v>55</v>
      </c>
      <c r="C32">
        <v>50</v>
      </c>
      <c r="E32">
        <v>4.3</v>
      </c>
      <c r="G32">
        <f t="shared" si="0"/>
        <v>2</v>
      </c>
      <c r="H32" s="10">
        <f t="shared" si="0"/>
        <v>55</v>
      </c>
      <c r="I32">
        <f t="shared" si="0"/>
        <v>50</v>
      </c>
      <c r="J32">
        <f t="shared" si="1"/>
        <v>4</v>
      </c>
      <c r="K32">
        <f t="shared" si="2"/>
        <v>110</v>
      </c>
      <c r="L32">
        <f t="shared" si="3"/>
        <v>100</v>
      </c>
      <c r="M32">
        <f t="shared" si="4"/>
        <v>3025</v>
      </c>
      <c r="N32">
        <f t="shared" si="5"/>
        <v>2750</v>
      </c>
      <c r="O32">
        <f t="shared" si="6"/>
        <v>2500</v>
      </c>
      <c r="Q32" s="11">
        <f t="shared" si="7"/>
        <v>4.3679356567116985</v>
      </c>
      <c r="R32" s="12">
        <f t="shared" si="8"/>
        <v>1.5798989932953176E-2</v>
      </c>
      <c r="S32" s="11"/>
      <c r="T32" s="12"/>
    </row>
    <row r="33" spans="1:20" x14ac:dyDescent="0.25">
      <c r="A33">
        <v>2</v>
      </c>
      <c r="B33">
        <v>55</v>
      </c>
      <c r="C33">
        <v>100</v>
      </c>
      <c r="E33">
        <v>8</v>
      </c>
      <c r="G33">
        <f t="shared" si="0"/>
        <v>2</v>
      </c>
      <c r="H33" s="10">
        <f t="shared" si="0"/>
        <v>55</v>
      </c>
      <c r="I33">
        <f t="shared" si="0"/>
        <v>100</v>
      </c>
      <c r="J33">
        <f t="shared" si="1"/>
        <v>4</v>
      </c>
      <c r="K33">
        <f t="shared" si="2"/>
        <v>110</v>
      </c>
      <c r="L33">
        <f t="shared" si="3"/>
        <v>200</v>
      </c>
      <c r="M33">
        <f t="shared" si="4"/>
        <v>3025</v>
      </c>
      <c r="N33">
        <f t="shared" si="5"/>
        <v>5500</v>
      </c>
      <c r="O33">
        <f t="shared" si="6"/>
        <v>10000</v>
      </c>
      <c r="Q33" s="11">
        <f t="shared" si="7"/>
        <v>8.2924394305143689</v>
      </c>
      <c r="R33" s="12">
        <f t="shared" si="8"/>
        <v>3.6554928814296117E-2</v>
      </c>
      <c r="S33" s="11"/>
      <c r="T33" s="12"/>
    </row>
    <row r="34" spans="1:20" x14ac:dyDescent="0.25">
      <c r="A34">
        <v>7</v>
      </c>
      <c r="B34">
        <v>55</v>
      </c>
      <c r="C34">
        <v>20</v>
      </c>
      <c r="E34">
        <v>2.8</v>
      </c>
      <c r="G34">
        <f t="shared" si="0"/>
        <v>7</v>
      </c>
      <c r="H34" s="10">
        <f t="shared" si="0"/>
        <v>55</v>
      </c>
      <c r="I34">
        <f t="shared" si="0"/>
        <v>20</v>
      </c>
      <c r="J34">
        <f t="shared" si="1"/>
        <v>49</v>
      </c>
      <c r="K34">
        <f t="shared" si="2"/>
        <v>385</v>
      </c>
      <c r="L34">
        <f t="shared" si="3"/>
        <v>140</v>
      </c>
      <c r="M34">
        <f t="shared" si="4"/>
        <v>3025</v>
      </c>
      <c r="N34">
        <f t="shared" si="5"/>
        <v>1100</v>
      </c>
      <c r="O34">
        <f t="shared" si="6"/>
        <v>400</v>
      </c>
      <c r="Q34" s="11">
        <f t="shared" si="7"/>
        <v>2.6905302673436999</v>
      </c>
      <c r="R34" s="12">
        <f t="shared" si="8"/>
        <v>-3.9096333091535679E-2</v>
      </c>
      <c r="S34" s="11"/>
      <c r="T34" s="12"/>
    </row>
    <row r="35" spans="1:20" x14ac:dyDescent="0.25">
      <c r="A35">
        <v>7</v>
      </c>
      <c r="B35">
        <v>55</v>
      </c>
      <c r="C35">
        <v>50</v>
      </c>
      <c r="E35">
        <v>5.7</v>
      </c>
      <c r="G35">
        <f t="shared" si="0"/>
        <v>7</v>
      </c>
      <c r="H35" s="10">
        <f t="shared" si="0"/>
        <v>55</v>
      </c>
      <c r="I35">
        <f t="shared" si="0"/>
        <v>50</v>
      </c>
      <c r="J35">
        <f t="shared" si="1"/>
        <v>49</v>
      </c>
      <c r="K35">
        <f t="shared" si="2"/>
        <v>385</v>
      </c>
      <c r="L35">
        <f t="shared" si="3"/>
        <v>350</v>
      </c>
      <c r="M35">
        <f t="shared" si="4"/>
        <v>3025</v>
      </c>
      <c r="N35">
        <f t="shared" si="5"/>
        <v>2750</v>
      </c>
      <c r="O35">
        <f t="shared" si="6"/>
        <v>2500</v>
      </c>
      <c r="Q35" s="11">
        <f t="shared" si="7"/>
        <v>5.3824592673310692</v>
      </c>
      <c r="R35" s="12">
        <f t="shared" si="8"/>
        <v>-5.5708900468233506E-2</v>
      </c>
      <c r="S35" s="11"/>
      <c r="T35" s="12"/>
    </row>
    <row r="36" spans="1:20" x14ac:dyDescent="0.25">
      <c r="A36">
        <v>7</v>
      </c>
      <c r="B36">
        <v>55</v>
      </c>
      <c r="C36">
        <v>100</v>
      </c>
      <c r="E36">
        <v>9.5</v>
      </c>
      <c r="G36">
        <f t="shared" si="0"/>
        <v>7</v>
      </c>
      <c r="H36" s="10">
        <f t="shared" si="0"/>
        <v>55</v>
      </c>
      <c r="I36">
        <f t="shared" si="0"/>
        <v>100</v>
      </c>
      <c r="J36">
        <f t="shared" si="1"/>
        <v>49</v>
      </c>
      <c r="K36">
        <f t="shared" si="2"/>
        <v>385</v>
      </c>
      <c r="L36">
        <f t="shared" si="3"/>
        <v>700</v>
      </c>
      <c r="M36">
        <f t="shared" si="4"/>
        <v>3025</v>
      </c>
      <c r="N36">
        <f t="shared" si="5"/>
        <v>5500</v>
      </c>
      <c r="O36">
        <f t="shared" si="6"/>
        <v>10000</v>
      </c>
      <c r="Q36" s="11">
        <f t="shared" si="7"/>
        <v>9.7325072099799836</v>
      </c>
      <c r="R36" s="12">
        <f t="shared" si="8"/>
        <v>2.4474443155787753E-2</v>
      </c>
      <c r="S36" s="11"/>
      <c r="T36" s="12"/>
    </row>
    <row r="39" spans="1:20" x14ac:dyDescent="0.25">
      <c r="A39" t="s">
        <v>27</v>
      </c>
      <c r="G39" s="4" t="s">
        <v>1</v>
      </c>
      <c r="H39" s="4" t="s">
        <v>2</v>
      </c>
      <c r="I39" s="4" t="s">
        <v>3</v>
      </c>
      <c r="J39" s="4" t="s">
        <v>4</v>
      </c>
      <c r="K39" s="4" t="s">
        <v>5</v>
      </c>
      <c r="L39" s="4" t="s">
        <v>6</v>
      </c>
      <c r="M39" s="4" t="s">
        <v>7</v>
      </c>
      <c r="N39" s="4" t="s">
        <v>8</v>
      </c>
      <c r="O39" s="4" t="s">
        <v>9</v>
      </c>
      <c r="P39" s="4" t="s">
        <v>10</v>
      </c>
    </row>
    <row r="40" spans="1:20" x14ac:dyDescent="0.25">
      <c r="A40" s="1"/>
      <c r="C40" s="1"/>
      <c r="D40" s="1"/>
      <c r="E40" s="1"/>
      <c r="F40" s="1"/>
      <c r="G40" s="4">
        <f t="array" ref="G40:P40">LINEST(E42:E74,G42:O74)</f>
        <v>1.1357965747063398E-4</v>
      </c>
      <c r="H40" s="4">
        <v>2.5572961085970847E-4</v>
      </c>
      <c r="I40" s="4">
        <v>-1.1045454545454564E-3</v>
      </c>
      <c r="J40" s="4">
        <v>2.6033567691994983E-4</v>
      </c>
      <c r="K40" s="4">
        <v>5.3502869355874733E-4</v>
      </c>
      <c r="L40" s="4">
        <v>-2.5368317912456581E-4</v>
      </c>
      <c r="M40" s="4">
        <v>1.0051309840707833E-2</v>
      </c>
      <c r="N40" s="4">
        <v>0.10536901322527308</v>
      </c>
      <c r="O40" s="4">
        <v>-3.204445007037194E-2</v>
      </c>
      <c r="P40" s="4">
        <v>-2.3018576484288467</v>
      </c>
    </row>
    <row r="41" spans="1:20" ht="45" x14ac:dyDescent="0.25">
      <c r="A41" s="5" t="s">
        <v>11</v>
      </c>
      <c r="B41" s="5" t="s">
        <v>12</v>
      </c>
      <c r="C41" s="5" t="s">
        <v>13</v>
      </c>
      <c r="D41" s="6"/>
      <c r="E41" s="7" t="s">
        <v>14</v>
      </c>
      <c r="F41" s="3"/>
      <c r="G41" s="8" t="s">
        <v>17</v>
      </c>
      <c r="H41" s="8" t="s">
        <v>18</v>
      </c>
      <c r="I41" s="8" t="s">
        <v>0</v>
      </c>
      <c r="J41" s="8" t="s">
        <v>19</v>
      </c>
      <c r="K41" s="8" t="s">
        <v>20</v>
      </c>
      <c r="L41" s="8" t="s">
        <v>21</v>
      </c>
      <c r="M41" s="8" t="s">
        <v>22</v>
      </c>
      <c r="N41" s="8" t="s">
        <v>23</v>
      </c>
      <c r="O41" s="8" t="s">
        <v>24</v>
      </c>
      <c r="P41" s="3"/>
      <c r="Q41" s="9" t="s">
        <v>14</v>
      </c>
      <c r="R41" s="9" t="s">
        <v>15</v>
      </c>
    </row>
    <row r="42" spans="1:20" x14ac:dyDescent="0.25">
      <c r="A42">
        <v>-15</v>
      </c>
      <c r="B42">
        <v>35</v>
      </c>
      <c r="C42">
        <v>50</v>
      </c>
      <c r="E42">
        <v>1.1499999999999999</v>
      </c>
      <c r="F42" s="2"/>
      <c r="G42">
        <f t="shared" ref="G42:I74" si="9">A42</f>
        <v>-15</v>
      </c>
      <c r="H42" s="10">
        <f t="shared" si="9"/>
        <v>35</v>
      </c>
      <c r="I42">
        <f t="shared" si="9"/>
        <v>50</v>
      </c>
      <c r="J42">
        <f t="shared" ref="J42:J74" si="10">G42^2</f>
        <v>225</v>
      </c>
      <c r="K42">
        <f t="shared" ref="K42:K74" si="11">G42*H42</f>
        <v>-525</v>
      </c>
      <c r="L42">
        <f t="shared" ref="L42:L74" si="12">G42*I42</f>
        <v>-750</v>
      </c>
      <c r="M42">
        <f t="shared" ref="M42:M74" si="13">H42^2</f>
        <v>1225</v>
      </c>
      <c r="N42">
        <f t="shared" ref="N42:N74" si="14">H42*I42</f>
        <v>1750</v>
      </c>
      <c r="O42">
        <f t="shared" ref="O42:O74" si="15">I42^2</f>
        <v>2500</v>
      </c>
      <c r="Q42" s="11">
        <f t="shared" ref="Q42:Q74" si="16">$P$40+$O$40*G42+$N$40*H42+$M$40*I42+$L$40*J42+$K$40*K42+$J$40*L42+$I$40*M42+$H$40*N42+$G$40*O42</f>
        <v>1.2144773012982402</v>
      </c>
      <c r="R42" s="12">
        <f t="shared" ref="R42:R74" si="17">(Q42-E42)/E42</f>
        <v>5.606721852020892E-2</v>
      </c>
    </row>
    <row r="43" spans="1:20" x14ac:dyDescent="0.25">
      <c r="A43">
        <v>-15</v>
      </c>
      <c r="B43">
        <v>35</v>
      </c>
      <c r="C43">
        <v>100</v>
      </c>
      <c r="E43">
        <v>2.8</v>
      </c>
      <c r="F43" s="2"/>
      <c r="G43">
        <f t="shared" si="9"/>
        <v>-15</v>
      </c>
      <c r="H43" s="10">
        <f t="shared" si="9"/>
        <v>35</v>
      </c>
      <c r="I43">
        <f t="shared" si="9"/>
        <v>100</v>
      </c>
      <c r="J43">
        <f t="shared" si="10"/>
        <v>225</v>
      </c>
      <c r="K43">
        <f t="shared" si="11"/>
        <v>-525</v>
      </c>
      <c r="L43">
        <f t="shared" si="12"/>
        <v>-1500</v>
      </c>
      <c r="M43">
        <f t="shared" si="13"/>
        <v>1225</v>
      </c>
      <c r="N43">
        <f t="shared" si="14"/>
        <v>3500</v>
      </c>
      <c r="O43">
        <f t="shared" si="15"/>
        <v>10000</v>
      </c>
      <c r="Q43" s="11">
        <f t="shared" si="16"/>
        <v>2.8211652856779144</v>
      </c>
      <c r="R43" s="12">
        <f t="shared" si="17"/>
        <v>7.5590305992551919E-3</v>
      </c>
    </row>
    <row r="44" spans="1:20" x14ac:dyDescent="0.25">
      <c r="A44">
        <v>-7</v>
      </c>
      <c r="B44">
        <v>35</v>
      </c>
      <c r="C44">
        <v>20</v>
      </c>
      <c r="E44">
        <v>0.55000000000000004</v>
      </c>
      <c r="F44" s="2"/>
      <c r="G44">
        <f t="shared" si="9"/>
        <v>-7</v>
      </c>
      <c r="H44" s="10">
        <f t="shared" si="9"/>
        <v>35</v>
      </c>
      <c r="I44">
        <f t="shared" si="9"/>
        <v>20</v>
      </c>
      <c r="J44">
        <f t="shared" si="10"/>
        <v>49</v>
      </c>
      <c r="K44">
        <f t="shared" si="11"/>
        <v>-245</v>
      </c>
      <c r="L44">
        <f t="shared" si="12"/>
        <v>-140</v>
      </c>
      <c r="M44">
        <f t="shared" si="13"/>
        <v>1225</v>
      </c>
      <c r="N44">
        <f t="shared" si="14"/>
        <v>700</v>
      </c>
      <c r="O44">
        <f t="shared" si="15"/>
        <v>400</v>
      </c>
      <c r="Q44" s="11">
        <f t="shared" si="16"/>
        <v>0.50281007006654699</v>
      </c>
      <c r="R44" s="12">
        <f t="shared" si="17"/>
        <v>-8.5799872606278277E-2</v>
      </c>
    </row>
    <row r="45" spans="1:20" x14ac:dyDescent="0.25">
      <c r="A45">
        <v>-7</v>
      </c>
      <c r="B45">
        <v>35</v>
      </c>
      <c r="C45">
        <v>50</v>
      </c>
      <c r="E45">
        <v>1.25</v>
      </c>
      <c r="F45" s="2"/>
      <c r="G45">
        <f t="shared" si="9"/>
        <v>-7</v>
      </c>
      <c r="H45" s="10">
        <f t="shared" si="9"/>
        <v>35</v>
      </c>
      <c r="I45">
        <f t="shared" si="9"/>
        <v>50</v>
      </c>
      <c r="J45">
        <f t="shared" si="10"/>
        <v>49</v>
      </c>
      <c r="K45">
        <f t="shared" si="11"/>
        <v>-245</v>
      </c>
      <c r="L45">
        <f t="shared" si="12"/>
        <v>-350</v>
      </c>
      <c r="M45">
        <f t="shared" si="13"/>
        <v>1225</v>
      </c>
      <c r="N45">
        <f t="shared" si="14"/>
        <v>1750</v>
      </c>
      <c r="O45">
        <f t="shared" si="15"/>
        <v>2500</v>
      </c>
      <c r="Q45" s="11">
        <f t="shared" si="16"/>
        <v>1.2567122452256179</v>
      </c>
      <c r="R45" s="12">
        <f t="shared" si="17"/>
        <v>5.369796180494291E-3</v>
      </c>
    </row>
    <row r="46" spans="1:20" x14ac:dyDescent="0.25">
      <c r="A46">
        <v>-7</v>
      </c>
      <c r="B46">
        <v>35</v>
      </c>
      <c r="C46">
        <v>100</v>
      </c>
      <c r="E46">
        <v>3</v>
      </c>
      <c r="F46" s="2"/>
      <c r="G46">
        <f t="shared" si="9"/>
        <v>-7</v>
      </c>
      <c r="H46" s="10">
        <f t="shared" si="9"/>
        <v>35</v>
      </c>
      <c r="I46">
        <f t="shared" si="9"/>
        <v>100</v>
      </c>
      <c r="J46">
        <f t="shared" si="10"/>
        <v>49</v>
      </c>
      <c r="K46">
        <f t="shared" si="11"/>
        <v>-245</v>
      </c>
      <c r="L46">
        <f t="shared" si="12"/>
        <v>-700</v>
      </c>
      <c r="M46">
        <f t="shared" si="13"/>
        <v>1225</v>
      </c>
      <c r="N46">
        <f t="shared" si="14"/>
        <v>3500</v>
      </c>
      <c r="O46">
        <f t="shared" si="15"/>
        <v>10000</v>
      </c>
      <c r="Q46" s="11">
        <f t="shared" si="16"/>
        <v>2.9675345003732718</v>
      </c>
      <c r="R46" s="12">
        <f t="shared" si="17"/>
        <v>-1.0821833208909393E-2</v>
      </c>
    </row>
    <row r="47" spans="1:20" x14ac:dyDescent="0.25">
      <c r="A47">
        <v>2</v>
      </c>
      <c r="B47">
        <v>35</v>
      </c>
      <c r="C47">
        <v>20</v>
      </c>
      <c r="E47">
        <v>0.5</v>
      </c>
      <c r="F47" s="2"/>
      <c r="G47">
        <f t="shared" si="9"/>
        <v>2</v>
      </c>
      <c r="H47" s="10">
        <f t="shared" si="9"/>
        <v>35</v>
      </c>
      <c r="I47">
        <f t="shared" si="9"/>
        <v>20</v>
      </c>
      <c r="J47">
        <f t="shared" si="10"/>
        <v>4</v>
      </c>
      <c r="K47">
        <f t="shared" si="11"/>
        <v>70</v>
      </c>
      <c r="L47">
        <f t="shared" si="12"/>
        <v>40</v>
      </c>
      <c r="M47">
        <f t="shared" si="13"/>
        <v>1225</v>
      </c>
      <c r="N47">
        <f t="shared" si="14"/>
        <v>700</v>
      </c>
      <c r="O47">
        <f t="shared" si="15"/>
        <v>400</v>
      </c>
      <c r="Q47" s="11">
        <f t="shared" si="16"/>
        <v>0.44122022281040113</v>
      </c>
      <c r="R47" s="12">
        <f t="shared" si="17"/>
        <v>-0.11755955437919774</v>
      </c>
    </row>
    <row r="48" spans="1:20" x14ac:dyDescent="0.25">
      <c r="A48">
        <v>2</v>
      </c>
      <c r="B48">
        <v>35</v>
      </c>
      <c r="C48">
        <v>50</v>
      </c>
      <c r="E48">
        <v>1.2</v>
      </c>
      <c r="F48" s="2"/>
      <c r="G48">
        <f t="shared" si="9"/>
        <v>2</v>
      </c>
      <c r="H48" s="10">
        <f t="shared" si="9"/>
        <v>35</v>
      </c>
      <c r="I48">
        <f t="shared" si="9"/>
        <v>50</v>
      </c>
      <c r="J48">
        <f t="shared" si="10"/>
        <v>4</v>
      </c>
      <c r="K48">
        <f t="shared" si="11"/>
        <v>70</v>
      </c>
      <c r="L48">
        <f t="shared" si="12"/>
        <v>100</v>
      </c>
      <c r="M48">
        <f t="shared" si="13"/>
        <v>1225</v>
      </c>
      <c r="N48">
        <f t="shared" si="14"/>
        <v>1750</v>
      </c>
      <c r="O48">
        <f t="shared" si="15"/>
        <v>2500</v>
      </c>
      <c r="Q48" s="11">
        <f t="shared" si="16"/>
        <v>1.2654130307378586</v>
      </c>
      <c r="R48" s="12">
        <f t="shared" si="17"/>
        <v>5.4510858948215543E-2</v>
      </c>
    </row>
    <row r="49" spans="1:18" x14ac:dyDescent="0.25">
      <c r="A49">
        <v>2</v>
      </c>
      <c r="B49">
        <v>35</v>
      </c>
      <c r="C49">
        <v>100</v>
      </c>
      <c r="E49">
        <v>3.1</v>
      </c>
      <c r="F49" s="2"/>
      <c r="G49">
        <f t="shared" si="9"/>
        <v>2</v>
      </c>
      <c r="H49" s="10">
        <f t="shared" si="9"/>
        <v>35</v>
      </c>
      <c r="I49">
        <f t="shared" si="9"/>
        <v>100</v>
      </c>
      <c r="J49">
        <f t="shared" si="10"/>
        <v>4</v>
      </c>
      <c r="K49">
        <f t="shared" si="11"/>
        <v>70</v>
      </c>
      <c r="L49">
        <f t="shared" si="12"/>
        <v>200</v>
      </c>
      <c r="M49">
        <f t="shared" si="13"/>
        <v>1225</v>
      </c>
      <c r="N49">
        <f t="shared" si="14"/>
        <v>3500</v>
      </c>
      <c r="O49">
        <f t="shared" si="15"/>
        <v>10000</v>
      </c>
      <c r="Q49" s="11">
        <f t="shared" si="16"/>
        <v>3.0933863404994897</v>
      </c>
      <c r="R49" s="12">
        <f t="shared" si="17"/>
        <v>-2.1334385485517436E-3</v>
      </c>
    </row>
    <row r="50" spans="1:18" x14ac:dyDescent="0.25">
      <c r="A50">
        <v>7</v>
      </c>
      <c r="B50">
        <v>35</v>
      </c>
      <c r="C50">
        <v>20</v>
      </c>
      <c r="E50">
        <v>0.45</v>
      </c>
      <c r="F50" s="2"/>
      <c r="G50">
        <f t="shared" si="9"/>
        <v>7</v>
      </c>
      <c r="H50" s="10">
        <f t="shared" si="9"/>
        <v>35</v>
      </c>
      <c r="I50">
        <f t="shared" si="9"/>
        <v>20</v>
      </c>
      <c r="J50">
        <f t="shared" si="10"/>
        <v>49</v>
      </c>
      <c r="K50">
        <f t="shared" si="11"/>
        <v>245</v>
      </c>
      <c r="L50">
        <f t="shared" si="12"/>
        <v>140</v>
      </c>
      <c r="M50">
        <f t="shared" si="13"/>
        <v>1225</v>
      </c>
      <c r="N50">
        <f t="shared" si="14"/>
        <v>700</v>
      </c>
      <c r="O50">
        <f t="shared" si="15"/>
        <v>400</v>
      </c>
      <c r="Q50" s="11">
        <f t="shared" si="16"/>
        <v>0.38924581846271206</v>
      </c>
      <c r="R50" s="12">
        <f t="shared" si="17"/>
        <v>-0.13500929230508435</v>
      </c>
    </row>
    <row r="51" spans="1:18" x14ac:dyDescent="0.25">
      <c r="A51">
        <v>7</v>
      </c>
      <c r="B51">
        <v>35</v>
      </c>
      <c r="C51">
        <v>50</v>
      </c>
      <c r="E51">
        <v>1.1499999999999999</v>
      </c>
      <c r="F51" s="2"/>
      <c r="G51">
        <f t="shared" si="9"/>
        <v>7</v>
      </c>
      <c r="H51" s="10">
        <f t="shared" si="9"/>
        <v>35</v>
      </c>
      <c r="I51">
        <f t="shared" si="9"/>
        <v>50</v>
      </c>
      <c r="J51">
        <f t="shared" si="10"/>
        <v>49</v>
      </c>
      <c r="K51">
        <f t="shared" si="11"/>
        <v>245</v>
      </c>
      <c r="L51">
        <f t="shared" si="12"/>
        <v>350</v>
      </c>
      <c r="M51">
        <f t="shared" si="13"/>
        <v>1225</v>
      </c>
      <c r="N51">
        <f t="shared" si="14"/>
        <v>1750</v>
      </c>
      <c r="O51">
        <f t="shared" si="15"/>
        <v>2500</v>
      </c>
      <c r="Q51" s="11">
        <f t="shared" si="16"/>
        <v>1.2524889779281621</v>
      </c>
      <c r="R51" s="12">
        <f t="shared" si="17"/>
        <v>8.9120850372314916E-2</v>
      </c>
    </row>
    <row r="52" spans="1:18" x14ac:dyDescent="0.25">
      <c r="A52">
        <v>7</v>
      </c>
      <c r="B52">
        <v>35</v>
      </c>
      <c r="C52">
        <v>100</v>
      </c>
      <c r="E52">
        <v>3.2</v>
      </c>
      <c r="F52" s="2"/>
      <c r="G52">
        <f t="shared" si="9"/>
        <v>7</v>
      </c>
      <c r="H52" s="10">
        <f t="shared" si="9"/>
        <v>35</v>
      </c>
      <c r="I52">
        <f t="shared" si="9"/>
        <v>100</v>
      </c>
      <c r="J52">
        <f t="shared" si="10"/>
        <v>49</v>
      </c>
      <c r="K52">
        <f t="shared" si="11"/>
        <v>245</v>
      </c>
      <c r="L52">
        <f t="shared" si="12"/>
        <v>700</v>
      </c>
      <c r="M52">
        <f t="shared" si="13"/>
        <v>1225</v>
      </c>
      <c r="N52">
        <f t="shared" si="14"/>
        <v>3500</v>
      </c>
      <c r="O52">
        <f t="shared" si="15"/>
        <v>10000</v>
      </c>
      <c r="Q52" s="11">
        <f t="shared" si="16"/>
        <v>3.1455462069197808</v>
      </c>
      <c r="R52" s="12">
        <f t="shared" si="17"/>
        <v>-1.701681033756855E-2</v>
      </c>
    </row>
    <row r="53" spans="1:18" x14ac:dyDescent="0.25">
      <c r="A53">
        <v>-15</v>
      </c>
      <c r="B53">
        <v>45</v>
      </c>
      <c r="C53">
        <v>50</v>
      </c>
      <c r="E53">
        <v>1.5</v>
      </c>
      <c r="F53" s="2"/>
      <c r="G53">
        <f t="shared" si="9"/>
        <v>-15</v>
      </c>
      <c r="H53" s="10">
        <f t="shared" si="9"/>
        <v>45</v>
      </c>
      <c r="I53">
        <f t="shared" si="9"/>
        <v>50</v>
      </c>
      <c r="J53">
        <f t="shared" si="10"/>
        <v>225</v>
      </c>
      <c r="K53">
        <f t="shared" si="11"/>
        <v>-675</v>
      </c>
      <c r="L53">
        <f t="shared" si="12"/>
        <v>-750</v>
      </c>
      <c r="M53">
        <f t="shared" si="13"/>
        <v>2025</v>
      </c>
      <c r="N53">
        <f t="shared" si="14"/>
        <v>2250</v>
      </c>
      <c r="O53">
        <f t="shared" si="15"/>
        <v>2500</v>
      </c>
      <c r="Q53" s="11">
        <f t="shared" si="16"/>
        <v>1.4321415713106487</v>
      </c>
      <c r="R53" s="12">
        <f t="shared" si="17"/>
        <v>-4.523895245956755E-2</v>
      </c>
    </row>
    <row r="54" spans="1:18" x14ac:dyDescent="0.25">
      <c r="A54">
        <v>-15</v>
      </c>
      <c r="B54">
        <v>45</v>
      </c>
      <c r="C54">
        <v>100</v>
      </c>
      <c r="E54">
        <v>3.3</v>
      </c>
      <c r="F54" s="2"/>
      <c r="G54">
        <f t="shared" si="9"/>
        <v>-15</v>
      </c>
      <c r="H54" s="10">
        <f t="shared" si="9"/>
        <v>45</v>
      </c>
      <c r="I54">
        <f t="shared" si="9"/>
        <v>100</v>
      </c>
      <c r="J54">
        <f t="shared" si="10"/>
        <v>225</v>
      </c>
      <c r="K54">
        <f t="shared" si="11"/>
        <v>-675</v>
      </c>
      <c r="L54">
        <f t="shared" si="12"/>
        <v>-1500</v>
      </c>
      <c r="M54">
        <f t="shared" si="13"/>
        <v>2025</v>
      </c>
      <c r="N54">
        <f t="shared" si="14"/>
        <v>4500</v>
      </c>
      <c r="O54">
        <f t="shared" si="15"/>
        <v>10000</v>
      </c>
      <c r="Q54" s="11">
        <f t="shared" si="16"/>
        <v>3.1666943611201765</v>
      </c>
      <c r="R54" s="12">
        <f t="shared" si="17"/>
        <v>-4.0395648145400996E-2</v>
      </c>
    </row>
    <row r="55" spans="1:18" x14ac:dyDescent="0.25">
      <c r="A55">
        <v>-7</v>
      </c>
      <c r="B55">
        <v>45</v>
      </c>
      <c r="C55">
        <v>20</v>
      </c>
      <c r="E55">
        <v>0.63</v>
      </c>
      <c r="F55" s="2"/>
      <c r="G55">
        <f t="shared" si="9"/>
        <v>-7</v>
      </c>
      <c r="H55" s="10">
        <f t="shared" si="9"/>
        <v>45</v>
      </c>
      <c r="I55">
        <f t="shared" si="9"/>
        <v>20</v>
      </c>
      <c r="J55">
        <f t="shared" si="10"/>
        <v>49</v>
      </c>
      <c r="K55">
        <f t="shared" si="11"/>
        <v>-315</v>
      </c>
      <c r="L55">
        <f t="shared" si="12"/>
        <v>-140</v>
      </c>
      <c r="M55">
        <f t="shared" si="13"/>
        <v>2025</v>
      </c>
      <c r="N55">
        <f t="shared" si="14"/>
        <v>900</v>
      </c>
      <c r="O55">
        <f t="shared" si="15"/>
        <v>400</v>
      </c>
      <c r="Q55" s="11">
        <f t="shared" si="16"/>
        <v>0.68655775230574245</v>
      </c>
      <c r="R55" s="12">
        <f t="shared" si="17"/>
        <v>8.9774210009114994E-2</v>
      </c>
    </row>
    <row r="56" spans="1:18" x14ac:dyDescent="0.25">
      <c r="A56">
        <v>-7</v>
      </c>
      <c r="B56">
        <v>45</v>
      </c>
      <c r="C56">
        <v>50</v>
      </c>
      <c r="E56">
        <v>1.4</v>
      </c>
      <c r="F56" s="2"/>
      <c r="G56">
        <f t="shared" si="9"/>
        <v>-7</v>
      </c>
      <c r="H56" s="10">
        <f t="shared" si="9"/>
        <v>45</v>
      </c>
      <c r="I56">
        <f t="shared" si="9"/>
        <v>50</v>
      </c>
      <c r="J56">
        <f t="shared" si="10"/>
        <v>49</v>
      </c>
      <c r="K56">
        <f t="shared" si="11"/>
        <v>-315</v>
      </c>
      <c r="L56">
        <f t="shared" si="12"/>
        <v>-350</v>
      </c>
      <c r="M56">
        <f t="shared" si="13"/>
        <v>2025</v>
      </c>
      <c r="N56">
        <f t="shared" si="14"/>
        <v>2250</v>
      </c>
      <c r="O56">
        <f t="shared" si="15"/>
        <v>2500</v>
      </c>
      <c r="Q56" s="11">
        <f t="shared" si="16"/>
        <v>1.5171788107227258</v>
      </c>
      <c r="R56" s="12">
        <f t="shared" si="17"/>
        <v>8.3699150516232751E-2</v>
      </c>
    </row>
    <row r="57" spans="1:18" x14ac:dyDescent="0.25">
      <c r="A57">
        <v>-7</v>
      </c>
      <c r="B57">
        <v>45</v>
      </c>
      <c r="C57">
        <v>100</v>
      </c>
      <c r="E57">
        <v>3.4</v>
      </c>
      <c r="F57" s="2"/>
      <c r="G57">
        <f t="shared" si="9"/>
        <v>-7</v>
      </c>
      <c r="H57" s="10">
        <f t="shared" si="9"/>
        <v>45</v>
      </c>
      <c r="I57">
        <f t="shared" si="9"/>
        <v>100</v>
      </c>
      <c r="J57">
        <f t="shared" si="10"/>
        <v>49</v>
      </c>
      <c r="K57">
        <f t="shared" si="11"/>
        <v>-315</v>
      </c>
      <c r="L57">
        <f t="shared" si="12"/>
        <v>-700</v>
      </c>
      <c r="M57">
        <f t="shared" si="13"/>
        <v>2025</v>
      </c>
      <c r="N57">
        <f t="shared" si="14"/>
        <v>4500</v>
      </c>
      <c r="O57">
        <f t="shared" si="15"/>
        <v>10000</v>
      </c>
      <c r="Q57" s="11">
        <f t="shared" si="16"/>
        <v>3.3558658713002338</v>
      </c>
      <c r="R57" s="12">
        <f t="shared" si="17"/>
        <v>-1.2980626088166492E-2</v>
      </c>
    </row>
    <row r="58" spans="1:18" x14ac:dyDescent="0.25">
      <c r="A58">
        <v>2</v>
      </c>
      <c r="B58">
        <v>45</v>
      </c>
      <c r="C58">
        <v>20</v>
      </c>
      <c r="E58">
        <v>0.65</v>
      </c>
      <c r="F58" s="2"/>
      <c r="G58">
        <f t="shared" si="9"/>
        <v>2</v>
      </c>
      <c r="H58" s="10">
        <f t="shared" si="9"/>
        <v>45</v>
      </c>
      <c r="I58">
        <f t="shared" si="9"/>
        <v>20</v>
      </c>
      <c r="J58">
        <f t="shared" si="10"/>
        <v>4</v>
      </c>
      <c r="K58">
        <f t="shared" si="11"/>
        <v>90</v>
      </c>
      <c r="L58">
        <f t="shared" si="12"/>
        <v>40</v>
      </c>
      <c r="M58">
        <f t="shared" si="13"/>
        <v>2025</v>
      </c>
      <c r="N58">
        <f t="shared" si="14"/>
        <v>900</v>
      </c>
      <c r="O58">
        <f t="shared" si="15"/>
        <v>400</v>
      </c>
      <c r="Q58" s="11">
        <f t="shared" si="16"/>
        <v>0.67312048746988373</v>
      </c>
      <c r="R58" s="12">
        <f t="shared" si="17"/>
        <v>3.5569980722898013E-2</v>
      </c>
    </row>
    <row r="59" spans="1:18" x14ac:dyDescent="0.25">
      <c r="A59">
        <v>2</v>
      </c>
      <c r="B59">
        <v>45</v>
      </c>
      <c r="C59">
        <v>50</v>
      </c>
      <c r="E59">
        <v>1.5</v>
      </c>
      <c r="G59">
        <f t="shared" si="9"/>
        <v>2</v>
      </c>
      <c r="H59" s="10">
        <f t="shared" si="9"/>
        <v>45</v>
      </c>
      <c r="I59">
        <f t="shared" si="9"/>
        <v>50</v>
      </c>
      <c r="J59">
        <f t="shared" si="10"/>
        <v>4</v>
      </c>
      <c r="K59">
        <f t="shared" si="11"/>
        <v>90</v>
      </c>
      <c r="L59">
        <f t="shared" si="12"/>
        <v>100</v>
      </c>
      <c r="M59">
        <f t="shared" si="13"/>
        <v>2025</v>
      </c>
      <c r="N59">
        <f t="shared" si="14"/>
        <v>2250</v>
      </c>
      <c r="O59">
        <f t="shared" si="15"/>
        <v>2500</v>
      </c>
      <c r="Q59" s="11">
        <f t="shared" si="16"/>
        <v>1.5740321786552536</v>
      </c>
      <c r="R59" s="12">
        <f t="shared" si="17"/>
        <v>4.9354785770169052E-2</v>
      </c>
    </row>
    <row r="60" spans="1:18" x14ac:dyDescent="0.25">
      <c r="A60">
        <v>2</v>
      </c>
      <c r="B60">
        <v>45</v>
      </c>
      <c r="C60">
        <v>100</v>
      </c>
      <c r="E60">
        <v>3.45</v>
      </c>
      <c r="G60">
        <f t="shared" si="9"/>
        <v>2</v>
      </c>
      <c r="H60" s="10">
        <f t="shared" si="9"/>
        <v>45</v>
      </c>
      <c r="I60">
        <f t="shared" si="9"/>
        <v>100</v>
      </c>
      <c r="J60">
        <f t="shared" si="10"/>
        <v>4</v>
      </c>
      <c r="K60">
        <f t="shared" si="11"/>
        <v>90</v>
      </c>
      <c r="L60">
        <f t="shared" si="12"/>
        <v>200</v>
      </c>
      <c r="M60">
        <f t="shared" si="13"/>
        <v>2025</v>
      </c>
      <c r="N60">
        <f t="shared" si="14"/>
        <v>4500</v>
      </c>
      <c r="O60">
        <f t="shared" si="15"/>
        <v>10000</v>
      </c>
      <c r="Q60" s="11">
        <f t="shared" si="16"/>
        <v>3.5298702938467392</v>
      </c>
      <c r="R60" s="12">
        <f t="shared" si="17"/>
        <v>2.3150809810648997E-2</v>
      </c>
    </row>
    <row r="61" spans="1:18" x14ac:dyDescent="0.25">
      <c r="A61">
        <v>7</v>
      </c>
      <c r="B61">
        <v>45</v>
      </c>
      <c r="C61">
        <v>20</v>
      </c>
      <c r="E61">
        <v>0.7</v>
      </c>
      <c r="G61">
        <f t="shared" si="9"/>
        <v>7</v>
      </c>
      <c r="H61" s="10">
        <f t="shared" si="9"/>
        <v>45</v>
      </c>
      <c r="I61">
        <f t="shared" si="9"/>
        <v>20</v>
      </c>
      <c r="J61">
        <f t="shared" si="10"/>
        <v>49</v>
      </c>
      <c r="K61">
        <f t="shared" si="11"/>
        <v>315</v>
      </c>
      <c r="L61">
        <f t="shared" si="12"/>
        <v>140</v>
      </c>
      <c r="M61">
        <f t="shared" si="13"/>
        <v>2025</v>
      </c>
      <c r="N61">
        <f t="shared" si="14"/>
        <v>900</v>
      </c>
      <c r="O61">
        <f t="shared" si="15"/>
        <v>400</v>
      </c>
      <c r="Q61" s="11">
        <f t="shared" si="16"/>
        <v>0.64789751780013183</v>
      </c>
      <c r="R61" s="12">
        <f t="shared" si="17"/>
        <v>-7.4432117428383043E-2</v>
      </c>
    </row>
    <row r="62" spans="1:18" x14ac:dyDescent="0.25">
      <c r="A62">
        <v>7</v>
      </c>
      <c r="B62">
        <v>45</v>
      </c>
      <c r="C62">
        <v>50</v>
      </c>
      <c r="E62">
        <v>1.7</v>
      </c>
      <c r="G62">
        <f t="shared" si="9"/>
        <v>7</v>
      </c>
      <c r="H62" s="10">
        <f t="shared" si="9"/>
        <v>45</v>
      </c>
      <c r="I62">
        <f t="shared" si="9"/>
        <v>50</v>
      </c>
      <c r="J62">
        <f t="shared" si="10"/>
        <v>49</v>
      </c>
      <c r="K62">
        <f t="shared" si="11"/>
        <v>315</v>
      </c>
      <c r="L62">
        <f t="shared" si="12"/>
        <v>350</v>
      </c>
      <c r="M62">
        <f t="shared" si="13"/>
        <v>2025</v>
      </c>
      <c r="N62">
        <f t="shared" si="14"/>
        <v>2250</v>
      </c>
      <c r="O62">
        <f t="shared" si="15"/>
        <v>2500</v>
      </c>
      <c r="Q62" s="11">
        <f t="shared" si="16"/>
        <v>1.5878595605234942</v>
      </c>
      <c r="R62" s="12">
        <f t="shared" si="17"/>
        <v>-6.5964964397944567E-2</v>
      </c>
    </row>
    <row r="63" spans="1:18" x14ac:dyDescent="0.25">
      <c r="A63">
        <v>7</v>
      </c>
      <c r="B63">
        <v>45</v>
      </c>
      <c r="C63">
        <v>100</v>
      </c>
      <c r="E63">
        <v>3.55</v>
      </c>
      <c r="G63">
        <f t="shared" si="9"/>
        <v>7</v>
      </c>
      <c r="H63" s="10">
        <f t="shared" si="9"/>
        <v>45</v>
      </c>
      <c r="I63">
        <f t="shared" si="9"/>
        <v>100</v>
      </c>
      <c r="J63">
        <f t="shared" si="10"/>
        <v>49</v>
      </c>
      <c r="K63">
        <f t="shared" si="11"/>
        <v>315</v>
      </c>
      <c r="L63">
        <f t="shared" si="12"/>
        <v>700</v>
      </c>
      <c r="M63">
        <f t="shared" si="13"/>
        <v>2025</v>
      </c>
      <c r="N63">
        <f t="shared" si="14"/>
        <v>4500</v>
      </c>
      <c r="O63">
        <f t="shared" si="15"/>
        <v>10000</v>
      </c>
      <c r="Q63" s="11">
        <f t="shared" si="16"/>
        <v>3.6087815949449671</v>
      </c>
      <c r="R63" s="12">
        <f t="shared" si="17"/>
        <v>1.6558195759145709E-2</v>
      </c>
    </row>
    <row r="64" spans="1:18" x14ac:dyDescent="0.25">
      <c r="A64">
        <v>-15</v>
      </c>
      <c r="B64">
        <v>55</v>
      </c>
      <c r="C64">
        <v>50</v>
      </c>
      <c r="E64">
        <v>1.6</v>
      </c>
      <c r="G64">
        <f t="shared" si="9"/>
        <v>-15</v>
      </c>
      <c r="H64" s="10">
        <f t="shared" si="9"/>
        <v>55</v>
      </c>
      <c r="I64">
        <f t="shared" si="9"/>
        <v>50</v>
      </c>
      <c r="J64">
        <f t="shared" si="10"/>
        <v>225</v>
      </c>
      <c r="K64">
        <f t="shared" si="11"/>
        <v>-825</v>
      </c>
      <c r="L64">
        <f t="shared" si="12"/>
        <v>-750</v>
      </c>
      <c r="M64">
        <f t="shared" si="13"/>
        <v>3025</v>
      </c>
      <c r="N64">
        <f t="shared" si="14"/>
        <v>2750</v>
      </c>
      <c r="O64">
        <f t="shared" si="15"/>
        <v>2500</v>
      </c>
      <c r="Q64" s="11">
        <f t="shared" si="16"/>
        <v>1.4288967504139647</v>
      </c>
      <c r="R64" s="12">
        <f t="shared" si="17"/>
        <v>-0.10693953099127212</v>
      </c>
    </row>
    <row r="65" spans="1:18" x14ac:dyDescent="0.25">
      <c r="A65">
        <v>-15</v>
      </c>
      <c r="B65">
        <v>55</v>
      </c>
      <c r="C65">
        <v>100</v>
      </c>
      <c r="E65">
        <v>3</v>
      </c>
      <c r="G65">
        <f t="shared" si="9"/>
        <v>-15</v>
      </c>
      <c r="H65" s="10">
        <f t="shared" si="9"/>
        <v>55</v>
      </c>
      <c r="I65">
        <f t="shared" si="9"/>
        <v>100</v>
      </c>
      <c r="J65">
        <f t="shared" si="10"/>
        <v>225</v>
      </c>
      <c r="K65">
        <f t="shared" si="11"/>
        <v>-825</v>
      </c>
      <c r="L65">
        <f t="shared" si="12"/>
        <v>-1500</v>
      </c>
      <c r="M65">
        <f t="shared" si="13"/>
        <v>3025</v>
      </c>
      <c r="N65">
        <f t="shared" si="14"/>
        <v>5500</v>
      </c>
      <c r="O65">
        <f t="shared" si="15"/>
        <v>10000</v>
      </c>
      <c r="Q65" s="11">
        <f t="shared" si="16"/>
        <v>3.2913143456533471</v>
      </c>
      <c r="R65" s="12">
        <f t="shared" si="17"/>
        <v>9.7104781884449043E-2</v>
      </c>
    </row>
    <row r="66" spans="1:18" x14ac:dyDescent="0.25">
      <c r="A66">
        <v>-7</v>
      </c>
      <c r="B66">
        <v>55</v>
      </c>
      <c r="C66">
        <v>20</v>
      </c>
      <c r="E66">
        <v>0.6</v>
      </c>
      <c r="G66">
        <f t="shared" si="9"/>
        <v>-7</v>
      </c>
      <c r="H66" s="10">
        <f t="shared" si="9"/>
        <v>55</v>
      </c>
      <c r="I66">
        <f t="shared" si="9"/>
        <v>20</v>
      </c>
      <c r="J66">
        <f t="shared" si="10"/>
        <v>49</v>
      </c>
      <c r="K66">
        <f t="shared" si="11"/>
        <v>-385</v>
      </c>
      <c r="L66">
        <f t="shared" si="12"/>
        <v>-140</v>
      </c>
      <c r="M66">
        <f t="shared" si="13"/>
        <v>3025</v>
      </c>
      <c r="N66">
        <f t="shared" si="14"/>
        <v>1100</v>
      </c>
      <c r="O66">
        <f t="shared" si="15"/>
        <v>400</v>
      </c>
      <c r="Q66" s="11">
        <f t="shared" si="16"/>
        <v>0.64939634363584542</v>
      </c>
      <c r="R66" s="12">
        <f t="shared" si="17"/>
        <v>8.2327239393075735E-2</v>
      </c>
    </row>
    <row r="67" spans="1:18" x14ac:dyDescent="0.25">
      <c r="A67">
        <v>-7</v>
      </c>
      <c r="B67">
        <v>55</v>
      </c>
      <c r="C67">
        <v>50</v>
      </c>
      <c r="E67">
        <v>1.5</v>
      </c>
      <c r="G67">
        <f t="shared" si="9"/>
        <v>-7</v>
      </c>
      <c r="H67" s="10">
        <f t="shared" si="9"/>
        <v>55</v>
      </c>
      <c r="I67">
        <f t="shared" si="9"/>
        <v>50</v>
      </c>
      <c r="J67">
        <f t="shared" si="10"/>
        <v>49</v>
      </c>
      <c r="K67">
        <f t="shared" si="11"/>
        <v>-385</v>
      </c>
      <c r="L67">
        <f t="shared" si="12"/>
        <v>-350</v>
      </c>
      <c r="M67">
        <f t="shared" si="13"/>
        <v>3025</v>
      </c>
      <c r="N67">
        <f t="shared" si="14"/>
        <v>2750</v>
      </c>
      <c r="O67">
        <f t="shared" si="15"/>
        <v>2500</v>
      </c>
      <c r="Q67" s="11">
        <f t="shared" si="16"/>
        <v>1.5567362853107407</v>
      </c>
      <c r="R67" s="12">
        <f t="shared" si="17"/>
        <v>3.782419020716047E-2</v>
      </c>
    </row>
    <row r="68" spans="1:18" x14ac:dyDescent="0.25">
      <c r="A68">
        <v>-7</v>
      </c>
      <c r="B68">
        <v>55</v>
      </c>
      <c r="C68">
        <v>100</v>
      </c>
      <c r="E68">
        <v>3.7</v>
      </c>
      <c r="G68">
        <f t="shared" si="9"/>
        <v>-7</v>
      </c>
      <c r="H68" s="10">
        <f t="shared" si="9"/>
        <v>55</v>
      </c>
      <c r="I68">
        <f t="shared" si="9"/>
        <v>100</v>
      </c>
      <c r="J68">
        <f t="shared" si="10"/>
        <v>49</v>
      </c>
      <c r="K68">
        <f t="shared" si="11"/>
        <v>-385</v>
      </c>
      <c r="L68">
        <f t="shared" si="12"/>
        <v>-700</v>
      </c>
      <c r="M68">
        <f t="shared" si="13"/>
        <v>3025</v>
      </c>
      <c r="N68">
        <f t="shared" si="14"/>
        <v>5500</v>
      </c>
      <c r="O68">
        <f t="shared" si="15"/>
        <v>10000</v>
      </c>
      <c r="Q68" s="11">
        <f t="shared" si="16"/>
        <v>3.5232881513181034</v>
      </c>
      <c r="R68" s="12">
        <f t="shared" si="17"/>
        <v>-4.7759959103215358E-2</v>
      </c>
    </row>
    <row r="69" spans="1:18" x14ac:dyDescent="0.25">
      <c r="A69">
        <v>2</v>
      </c>
      <c r="B69">
        <v>55</v>
      </c>
      <c r="C69">
        <v>20</v>
      </c>
      <c r="E69">
        <v>0.65</v>
      </c>
      <c r="G69">
        <f t="shared" si="9"/>
        <v>2</v>
      </c>
      <c r="H69" s="10">
        <f t="shared" si="9"/>
        <v>55</v>
      </c>
      <c r="I69">
        <f t="shared" si="9"/>
        <v>20</v>
      </c>
      <c r="J69">
        <f t="shared" si="10"/>
        <v>4</v>
      </c>
      <c r="K69">
        <f t="shared" si="11"/>
        <v>110</v>
      </c>
      <c r="L69">
        <f t="shared" si="12"/>
        <v>40</v>
      </c>
      <c r="M69">
        <f t="shared" si="13"/>
        <v>3025</v>
      </c>
      <c r="N69">
        <f t="shared" si="14"/>
        <v>1100</v>
      </c>
      <c r="O69">
        <f t="shared" si="15"/>
        <v>400</v>
      </c>
      <c r="Q69" s="11">
        <f t="shared" si="16"/>
        <v>0.68411166122027423</v>
      </c>
      <c r="R69" s="12">
        <f t="shared" si="17"/>
        <v>5.247947880042185E-2</v>
      </c>
    </row>
    <row r="70" spans="1:18" x14ac:dyDescent="0.25">
      <c r="A70">
        <v>2</v>
      </c>
      <c r="B70">
        <v>55</v>
      </c>
      <c r="C70">
        <v>50</v>
      </c>
      <c r="E70">
        <v>1.8</v>
      </c>
      <c r="G70">
        <f t="shared" si="9"/>
        <v>2</v>
      </c>
      <c r="H70" s="10">
        <f t="shared" si="9"/>
        <v>55</v>
      </c>
      <c r="I70">
        <f t="shared" si="9"/>
        <v>50</v>
      </c>
      <c r="J70">
        <f t="shared" si="10"/>
        <v>4</v>
      </c>
      <c r="K70">
        <f t="shared" si="11"/>
        <v>110</v>
      </c>
      <c r="L70">
        <f t="shared" si="12"/>
        <v>100</v>
      </c>
      <c r="M70">
        <f t="shared" si="13"/>
        <v>3025</v>
      </c>
      <c r="N70">
        <f t="shared" si="14"/>
        <v>2750</v>
      </c>
      <c r="O70">
        <f t="shared" si="15"/>
        <v>2500</v>
      </c>
      <c r="Q70" s="11">
        <f t="shared" si="16"/>
        <v>1.6617422356635561</v>
      </c>
      <c r="R70" s="12">
        <f t="shared" si="17"/>
        <v>-7.6809869075802215E-2</v>
      </c>
    </row>
    <row r="71" spans="1:18" x14ac:dyDescent="0.25">
      <c r="A71">
        <v>2</v>
      </c>
      <c r="B71">
        <v>55</v>
      </c>
      <c r="C71">
        <v>100</v>
      </c>
      <c r="E71">
        <v>3.8</v>
      </c>
      <c r="G71">
        <f t="shared" si="9"/>
        <v>2</v>
      </c>
      <c r="H71" s="10">
        <f t="shared" si="9"/>
        <v>55</v>
      </c>
      <c r="I71">
        <f t="shared" si="9"/>
        <v>100</v>
      </c>
      <c r="J71">
        <f t="shared" si="10"/>
        <v>4</v>
      </c>
      <c r="K71">
        <f t="shared" si="11"/>
        <v>110</v>
      </c>
      <c r="L71">
        <f t="shared" si="12"/>
        <v>200</v>
      </c>
      <c r="M71">
        <f t="shared" si="13"/>
        <v>3025</v>
      </c>
      <c r="N71">
        <f t="shared" si="14"/>
        <v>5500</v>
      </c>
      <c r="O71">
        <f t="shared" si="15"/>
        <v>10000</v>
      </c>
      <c r="Q71" s="11">
        <f t="shared" si="16"/>
        <v>3.7454451562848967</v>
      </c>
      <c r="R71" s="12">
        <f t="shared" si="17"/>
        <v>-1.4356537819763976E-2</v>
      </c>
    </row>
    <row r="72" spans="1:18" x14ac:dyDescent="0.25">
      <c r="A72">
        <v>7</v>
      </c>
      <c r="B72">
        <v>55</v>
      </c>
      <c r="C72">
        <v>20</v>
      </c>
      <c r="E72">
        <v>0.63</v>
      </c>
      <c r="G72">
        <f t="shared" si="9"/>
        <v>7</v>
      </c>
      <c r="H72" s="10">
        <f t="shared" si="9"/>
        <v>55</v>
      </c>
      <c r="I72">
        <f t="shared" si="9"/>
        <v>20</v>
      </c>
      <c r="J72">
        <f t="shared" si="10"/>
        <v>49</v>
      </c>
      <c r="K72">
        <f t="shared" si="11"/>
        <v>385</v>
      </c>
      <c r="L72">
        <f t="shared" si="12"/>
        <v>140</v>
      </c>
      <c r="M72">
        <f t="shared" si="13"/>
        <v>3025</v>
      </c>
      <c r="N72">
        <f t="shared" si="14"/>
        <v>1100</v>
      </c>
      <c r="O72">
        <f t="shared" si="15"/>
        <v>400</v>
      </c>
      <c r="Q72" s="11">
        <f t="shared" si="16"/>
        <v>0.68564012622845993</v>
      </c>
      <c r="R72" s="12">
        <f t="shared" si="17"/>
        <v>8.8317660680095125E-2</v>
      </c>
    </row>
    <row r="73" spans="1:18" x14ac:dyDescent="0.25">
      <c r="A73">
        <v>7</v>
      </c>
      <c r="B73">
        <v>55</v>
      </c>
      <c r="C73">
        <v>50</v>
      </c>
      <c r="E73">
        <v>1.7</v>
      </c>
      <c r="G73">
        <f t="shared" si="9"/>
        <v>7</v>
      </c>
      <c r="H73" s="10">
        <f t="shared" si="9"/>
        <v>55</v>
      </c>
      <c r="I73">
        <f t="shared" si="9"/>
        <v>50</v>
      </c>
      <c r="J73">
        <f t="shared" si="10"/>
        <v>49</v>
      </c>
      <c r="K73">
        <f t="shared" si="11"/>
        <v>385</v>
      </c>
      <c r="L73">
        <f t="shared" si="12"/>
        <v>350</v>
      </c>
      <c r="M73">
        <f t="shared" si="13"/>
        <v>3025</v>
      </c>
      <c r="N73">
        <f t="shared" si="14"/>
        <v>2750</v>
      </c>
      <c r="O73">
        <f t="shared" si="15"/>
        <v>2500</v>
      </c>
      <c r="Q73" s="11">
        <f t="shared" si="16"/>
        <v>1.7023210522097352</v>
      </c>
      <c r="R73" s="12">
        <f t="shared" si="17"/>
        <v>1.3653248292560113E-3</v>
      </c>
    </row>
    <row r="74" spans="1:18" x14ac:dyDescent="0.25">
      <c r="A74">
        <v>7</v>
      </c>
      <c r="B74">
        <v>55</v>
      </c>
      <c r="C74">
        <v>100</v>
      </c>
      <c r="E74">
        <v>3.8</v>
      </c>
      <c r="G74">
        <f t="shared" si="9"/>
        <v>7</v>
      </c>
      <c r="H74" s="10">
        <f t="shared" si="9"/>
        <v>55</v>
      </c>
      <c r="I74">
        <f t="shared" si="9"/>
        <v>100</v>
      </c>
      <c r="J74">
        <f t="shared" si="10"/>
        <v>49</v>
      </c>
      <c r="K74">
        <f t="shared" si="11"/>
        <v>385</v>
      </c>
      <c r="L74">
        <f t="shared" si="12"/>
        <v>700</v>
      </c>
      <c r="M74">
        <f t="shared" si="13"/>
        <v>3025</v>
      </c>
      <c r="N74">
        <f t="shared" si="14"/>
        <v>5500</v>
      </c>
      <c r="O74">
        <f t="shared" si="15"/>
        <v>10000</v>
      </c>
      <c r="Q74" s="11">
        <f t="shared" si="16"/>
        <v>3.8511078920610617</v>
      </c>
      <c r="R74" s="12">
        <f t="shared" si="17"/>
        <v>1.3449445279226821E-2</v>
      </c>
    </row>
    <row r="77" spans="1:18" x14ac:dyDescent="0.25">
      <c r="A77" t="s">
        <v>28</v>
      </c>
      <c r="G77" s="4" t="s">
        <v>1</v>
      </c>
      <c r="H77" s="4" t="s">
        <v>2</v>
      </c>
      <c r="I77" s="4" t="s">
        <v>3</v>
      </c>
      <c r="J77" s="4" t="s">
        <v>4</v>
      </c>
      <c r="K77" s="4" t="s">
        <v>5</v>
      </c>
      <c r="L77" s="4" t="s">
        <v>6</v>
      </c>
      <c r="M77" s="4" t="s">
        <v>7</v>
      </c>
      <c r="N77" s="4" t="s">
        <v>8</v>
      </c>
      <c r="O77" s="4" t="s">
        <v>9</v>
      </c>
      <c r="P77" s="4" t="s">
        <v>10</v>
      </c>
    </row>
    <row r="78" spans="1:18" x14ac:dyDescent="0.25">
      <c r="A78" s="1"/>
      <c r="C78" s="1"/>
      <c r="D78" s="1"/>
      <c r="E78" s="1"/>
      <c r="F78" s="1"/>
      <c r="G78" s="4">
        <f t="array" ref="G78:P78">LINEST(E80:E112,G80:O112)</f>
        <v>1.9734414893758209E-2</v>
      </c>
      <c r="H78" s="4">
        <v>5.8354877815415623E-2</v>
      </c>
      <c r="I78" s="4">
        <v>6.6472630848902245E-2</v>
      </c>
      <c r="J78" s="4">
        <v>-0.308245205813511</v>
      </c>
      <c r="K78" s="4">
        <v>5.8977283103868504E-3</v>
      </c>
      <c r="L78" s="4">
        <v>-1.1563825833210868E-2</v>
      </c>
      <c r="M78" s="4">
        <v>9.9604062450267001</v>
      </c>
      <c r="N78" s="4">
        <v>-5.9793454638756858</v>
      </c>
      <c r="O78" s="4">
        <v>-1.0645717351162847</v>
      </c>
      <c r="P78" s="4">
        <v>124.57084268270083</v>
      </c>
    </row>
    <row r="79" spans="1:18" ht="45" x14ac:dyDescent="0.25">
      <c r="A79" s="5" t="s">
        <v>11</v>
      </c>
      <c r="B79" s="5" t="s">
        <v>12</v>
      </c>
      <c r="C79" s="5" t="s">
        <v>14</v>
      </c>
      <c r="E79" s="7" t="s">
        <v>13</v>
      </c>
      <c r="F79" s="3"/>
      <c r="G79" s="8" t="s">
        <v>17</v>
      </c>
      <c r="H79" s="8" t="s">
        <v>18</v>
      </c>
      <c r="I79" s="8" t="s">
        <v>0</v>
      </c>
      <c r="J79" s="8" t="s">
        <v>19</v>
      </c>
      <c r="K79" s="8" t="s">
        <v>20</v>
      </c>
      <c r="L79" s="8" t="s">
        <v>21</v>
      </c>
      <c r="M79" s="8" t="s">
        <v>22</v>
      </c>
      <c r="N79" s="8" t="s">
        <v>23</v>
      </c>
      <c r="O79" s="8" t="s">
        <v>24</v>
      </c>
      <c r="P79" s="3"/>
      <c r="Q79" s="9" t="s">
        <v>16</v>
      </c>
      <c r="R79" s="9" t="s">
        <v>15</v>
      </c>
    </row>
    <row r="80" spans="1:18" x14ac:dyDescent="0.25">
      <c r="A80">
        <v>-15</v>
      </c>
      <c r="B80">
        <v>35</v>
      </c>
      <c r="C80" s="11">
        <f>E4</f>
        <v>2.5</v>
      </c>
      <c r="E80">
        <v>50</v>
      </c>
      <c r="F80" s="2"/>
      <c r="G80">
        <f t="shared" ref="G80:I112" si="18">A80</f>
        <v>-15</v>
      </c>
      <c r="H80" s="10">
        <f t="shared" si="18"/>
        <v>35</v>
      </c>
      <c r="I80">
        <f t="shared" si="18"/>
        <v>2.5</v>
      </c>
      <c r="J80">
        <f t="shared" ref="J80:J112" si="19">G80^2</f>
        <v>225</v>
      </c>
      <c r="K80">
        <f t="shared" ref="K80:K112" si="20">G80*H80</f>
        <v>-525</v>
      </c>
      <c r="L80">
        <f t="shared" ref="L80:L112" si="21">G80*I80</f>
        <v>-37.5</v>
      </c>
      <c r="M80">
        <f t="shared" ref="M80:M112" si="22">H80^2</f>
        <v>1225</v>
      </c>
      <c r="N80">
        <f t="shared" ref="N80:N112" si="23">H80*I80</f>
        <v>87.5</v>
      </c>
      <c r="O80">
        <f t="shared" ref="O80:O112" si="24">I80^2</f>
        <v>6.25</v>
      </c>
      <c r="Q80" s="11">
        <f t="shared" ref="Q80:Q101" si="25">$P$78+$O$78*G80+$N$78*H80+$M$78*I80+$L$78*J80+$K$78*K80+$J$78*L80+$I$78*M80+$H$78*N80+$G$78*O80</f>
        <v>48.682734820784063</v>
      </c>
      <c r="R80" s="12">
        <f t="shared" ref="R80:R112" si="26">(Q80-E80)/E80</f>
        <v>-2.6345303584318743E-2</v>
      </c>
    </row>
    <row r="81" spans="1:18" x14ac:dyDescent="0.25">
      <c r="A81">
        <v>-15</v>
      </c>
      <c r="B81">
        <v>35</v>
      </c>
      <c r="C81" s="11">
        <f t="shared" ref="C81:C112" si="27">E5</f>
        <v>5.5</v>
      </c>
      <c r="E81">
        <v>100</v>
      </c>
      <c r="F81" s="2"/>
      <c r="G81">
        <f t="shared" si="18"/>
        <v>-15</v>
      </c>
      <c r="H81" s="10">
        <f t="shared" si="18"/>
        <v>35</v>
      </c>
      <c r="I81">
        <f t="shared" si="18"/>
        <v>5.5</v>
      </c>
      <c r="J81">
        <f t="shared" si="19"/>
        <v>225</v>
      </c>
      <c r="K81">
        <f t="shared" si="20"/>
        <v>-525</v>
      </c>
      <c r="L81">
        <f t="shared" si="21"/>
        <v>-82.5</v>
      </c>
      <c r="M81">
        <f t="shared" si="22"/>
        <v>1225</v>
      </c>
      <c r="N81">
        <f t="shared" si="23"/>
        <v>192.5</v>
      </c>
      <c r="O81">
        <f t="shared" si="24"/>
        <v>30.25</v>
      </c>
      <c r="Q81" s="11">
        <f t="shared" si="25"/>
        <v>99.035875945540994</v>
      </c>
      <c r="R81" s="12">
        <f t="shared" si="26"/>
        <v>-9.6412405445900611E-3</v>
      </c>
    </row>
    <row r="82" spans="1:18" x14ac:dyDescent="0.25">
      <c r="A82">
        <v>-7</v>
      </c>
      <c r="B82">
        <v>35</v>
      </c>
      <c r="C82" s="11">
        <f t="shared" si="27"/>
        <v>1.5</v>
      </c>
      <c r="E82">
        <v>20</v>
      </c>
      <c r="F82" s="2"/>
      <c r="G82">
        <f t="shared" si="18"/>
        <v>-7</v>
      </c>
      <c r="H82" s="10">
        <f t="shared" si="18"/>
        <v>35</v>
      </c>
      <c r="I82">
        <f t="shared" si="18"/>
        <v>1.5</v>
      </c>
      <c r="J82">
        <f t="shared" si="19"/>
        <v>49</v>
      </c>
      <c r="K82">
        <f t="shared" si="20"/>
        <v>-245</v>
      </c>
      <c r="L82">
        <f t="shared" si="21"/>
        <v>-10.5</v>
      </c>
      <c r="M82">
        <f t="shared" si="22"/>
        <v>1225</v>
      </c>
      <c r="N82">
        <f t="shared" si="23"/>
        <v>52.5</v>
      </c>
      <c r="O82">
        <f t="shared" si="24"/>
        <v>2.25</v>
      </c>
      <c r="Q82" s="11">
        <f t="shared" si="25"/>
        <v>23.448373028301141</v>
      </c>
      <c r="R82" s="12">
        <f t="shared" si="26"/>
        <v>0.17241865141505705</v>
      </c>
    </row>
    <row r="83" spans="1:18" x14ac:dyDescent="0.25">
      <c r="A83">
        <v>-7</v>
      </c>
      <c r="B83">
        <v>35</v>
      </c>
      <c r="C83" s="11">
        <f t="shared" si="27"/>
        <v>3.5</v>
      </c>
      <c r="E83">
        <v>50</v>
      </c>
      <c r="F83" s="2"/>
      <c r="G83">
        <f t="shared" si="18"/>
        <v>-7</v>
      </c>
      <c r="H83" s="10">
        <f t="shared" si="18"/>
        <v>35</v>
      </c>
      <c r="I83">
        <f t="shared" si="18"/>
        <v>3.5</v>
      </c>
      <c r="J83">
        <f t="shared" si="19"/>
        <v>49</v>
      </c>
      <c r="K83">
        <f t="shared" si="20"/>
        <v>-245</v>
      </c>
      <c r="L83">
        <f t="shared" si="21"/>
        <v>-24.5</v>
      </c>
      <c r="M83">
        <f t="shared" si="22"/>
        <v>1225</v>
      </c>
      <c r="N83">
        <f t="shared" si="23"/>
        <v>122.5</v>
      </c>
      <c r="O83">
        <f t="shared" si="24"/>
        <v>12.25</v>
      </c>
      <c r="Q83" s="11">
        <f t="shared" si="25"/>
        <v>51.966803995760365</v>
      </c>
      <c r="R83" s="12">
        <f t="shared" si="26"/>
        <v>3.9336079915207309E-2</v>
      </c>
    </row>
    <row r="84" spans="1:18" x14ac:dyDescent="0.25">
      <c r="A84">
        <v>-7</v>
      </c>
      <c r="B84">
        <v>35</v>
      </c>
      <c r="C84" s="11">
        <f t="shared" si="27"/>
        <v>6.5</v>
      </c>
      <c r="E84">
        <v>100</v>
      </c>
      <c r="F84" s="2"/>
      <c r="G84">
        <f t="shared" si="18"/>
        <v>-7</v>
      </c>
      <c r="H84" s="10">
        <f t="shared" si="18"/>
        <v>35</v>
      </c>
      <c r="I84">
        <f t="shared" si="18"/>
        <v>6.5</v>
      </c>
      <c r="J84">
        <f t="shared" si="19"/>
        <v>49</v>
      </c>
      <c r="K84">
        <f t="shared" si="20"/>
        <v>-245</v>
      </c>
      <c r="L84">
        <f t="shared" si="21"/>
        <v>-45.5</v>
      </c>
      <c r="M84">
        <f t="shared" si="22"/>
        <v>1225</v>
      </c>
      <c r="N84">
        <f t="shared" si="23"/>
        <v>227.5</v>
      </c>
      <c r="O84">
        <f t="shared" si="24"/>
        <v>42.25</v>
      </c>
      <c r="Q84" s="11">
        <f t="shared" si="25"/>
        <v>95.040466670355585</v>
      </c>
      <c r="R84" s="12">
        <f t="shared" si="26"/>
        <v>-4.9595333296444152E-2</v>
      </c>
    </row>
    <row r="85" spans="1:18" x14ac:dyDescent="0.25">
      <c r="A85">
        <v>2</v>
      </c>
      <c r="B85">
        <v>35</v>
      </c>
      <c r="C85" s="11">
        <f t="shared" si="27"/>
        <v>2.5</v>
      </c>
      <c r="E85">
        <v>20</v>
      </c>
      <c r="F85" s="2"/>
      <c r="G85">
        <f t="shared" si="18"/>
        <v>2</v>
      </c>
      <c r="H85" s="10">
        <f t="shared" si="18"/>
        <v>35</v>
      </c>
      <c r="I85">
        <f t="shared" si="18"/>
        <v>2.5</v>
      </c>
      <c r="J85">
        <f t="shared" si="19"/>
        <v>4</v>
      </c>
      <c r="K85">
        <f t="shared" si="20"/>
        <v>70</v>
      </c>
      <c r="L85">
        <f t="shared" si="21"/>
        <v>5</v>
      </c>
      <c r="M85">
        <f t="shared" si="22"/>
        <v>1225</v>
      </c>
      <c r="N85">
        <f t="shared" si="23"/>
        <v>87.5</v>
      </c>
      <c r="O85">
        <f t="shared" si="24"/>
        <v>6.25</v>
      </c>
      <c r="Q85" s="11">
        <f t="shared" si="25"/>
        <v>23.549347930552795</v>
      </c>
      <c r="R85" s="12">
        <f t="shared" si="26"/>
        <v>0.17746739652763974</v>
      </c>
    </row>
    <row r="86" spans="1:18" x14ac:dyDescent="0.25">
      <c r="A86">
        <v>2</v>
      </c>
      <c r="B86">
        <v>35</v>
      </c>
      <c r="C86" s="11">
        <f t="shared" si="27"/>
        <v>4.5</v>
      </c>
      <c r="E86">
        <v>50</v>
      </c>
      <c r="F86" s="2"/>
      <c r="G86">
        <f t="shared" si="18"/>
        <v>2</v>
      </c>
      <c r="H86" s="10">
        <f t="shared" si="18"/>
        <v>35</v>
      </c>
      <c r="I86">
        <f t="shared" si="18"/>
        <v>4.5</v>
      </c>
      <c r="J86">
        <f t="shared" si="19"/>
        <v>4</v>
      </c>
      <c r="K86">
        <f t="shared" si="20"/>
        <v>70</v>
      </c>
      <c r="L86">
        <f t="shared" si="21"/>
        <v>9</v>
      </c>
      <c r="M86">
        <f t="shared" si="22"/>
        <v>1225</v>
      </c>
      <c r="N86">
        <f t="shared" si="23"/>
        <v>157.5</v>
      </c>
      <c r="O86">
        <f t="shared" si="24"/>
        <v>20.25</v>
      </c>
      <c r="Q86" s="11">
        <f t="shared" si="25"/>
        <v>46.59830285294386</v>
      </c>
      <c r="R86" s="12">
        <f t="shared" si="26"/>
        <v>-6.8033942941122805E-2</v>
      </c>
    </row>
    <row r="87" spans="1:18" x14ac:dyDescent="0.25">
      <c r="A87">
        <v>2</v>
      </c>
      <c r="B87">
        <v>35</v>
      </c>
      <c r="C87" s="11">
        <f t="shared" si="27"/>
        <v>9</v>
      </c>
      <c r="E87">
        <v>100</v>
      </c>
      <c r="F87" s="2"/>
      <c r="G87">
        <f t="shared" si="18"/>
        <v>2</v>
      </c>
      <c r="H87" s="10">
        <f t="shared" si="18"/>
        <v>35</v>
      </c>
      <c r="I87">
        <f t="shared" si="18"/>
        <v>9</v>
      </c>
      <c r="J87">
        <f t="shared" si="19"/>
        <v>4</v>
      </c>
      <c r="K87">
        <f t="shared" si="20"/>
        <v>70</v>
      </c>
      <c r="L87">
        <f t="shared" si="21"/>
        <v>18</v>
      </c>
      <c r="M87">
        <f t="shared" si="22"/>
        <v>1225</v>
      </c>
      <c r="N87">
        <f t="shared" si="23"/>
        <v>315</v>
      </c>
      <c r="O87">
        <f t="shared" si="24"/>
        <v>81</v>
      </c>
      <c r="Q87" s="11">
        <f t="shared" si="25"/>
        <v>99.035683063966175</v>
      </c>
      <c r="R87" s="12">
        <f t="shared" si="26"/>
        <v>-9.6431693603382489E-3</v>
      </c>
    </row>
    <row r="88" spans="1:18" x14ac:dyDescent="0.25">
      <c r="A88">
        <v>7</v>
      </c>
      <c r="B88">
        <v>35</v>
      </c>
      <c r="C88" s="11">
        <f t="shared" si="27"/>
        <v>3</v>
      </c>
      <c r="E88">
        <v>20</v>
      </c>
      <c r="F88" s="2"/>
      <c r="G88">
        <f t="shared" si="18"/>
        <v>7</v>
      </c>
      <c r="H88" s="10">
        <f t="shared" si="18"/>
        <v>35</v>
      </c>
      <c r="I88">
        <f t="shared" si="18"/>
        <v>3</v>
      </c>
      <c r="J88">
        <f t="shared" si="19"/>
        <v>49</v>
      </c>
      <c r="K88">
        <f t="shared" si="20"/>
        <v>245</v>
      </c>
      <c r="L88">
        <f t="shared" si="21"/>
        <v>21</v>
      </c>
      <c r="M88">
        <f t="shared" si="22"/>
        <v>1225</v>
      </c>
      <c r="N88">
        <f t="shared" si="23"/>
        <v>105</v>
      </c>
      <c r="O88">
        <f t="shared" si="24"/>
        <v>9</v>
      </c>
      <c r="Q88" s="11">
        <f t="shared" si="25"/>
        <v>19.861979379019346</v>
      </c>
      <c r="R88" s="12">
        <f t="shared" si="26"/>
        <v>-6.9010310490327242E-3</v>
      </c>
    </row>
    <row r="89" spans="1:18" x14ac:dyDescent="0.25">
      <c r="A89">
        <v>7</v>
      </c>
      <c r="B89">
        <v>35</v>
      </c>
      <c r="C89" s="11">
        <f t="shared" si="27"/>
        <v>6.2</v>
      </c>
      <c r="E89">
        <v>50</v>
      </c>
      <c r="F89" s="2"/>
      <c r="G89">
        <f t="shared" si="18"/>
        <v>7</v>
      </c>
      <c r="H89" s="10">
        <f t="shared" si="18"/>
        <v>35</v>
      </c>
      <c r="I89">
        <f t="shared" si="18"/>
        <v>6.2</v>
      </c>
      <c r="J89">
        <f t="shared" si="19"/>
        <v>49</v>
      </c>
      <c r="K89">
        <f t="shared" si="20"/>
        <v>245</v>
      </c>
      <c r="L89">
        <f t="shared" si="21"/>
        <v>43.4</v>
      </c>
      <c r="M89">
        <f t="shared" si="22"/>
        <v>1225</v>
      </c>
      <c r="N89">
        <f t="shared" si="23"/>
        <v>217</v>
      </c>
      <c r="O89">
        <f t="shared" si="24"/>
        <v>38.440000000000005</v>
      </c>
      <c r="Q89" s="11">
        <f t="shared" si="25"/>
        <v>51.947314242680939</v>
      </c>
      <c r="R89" s="12">
        <f t="shared" si="26"/>
        <v>3.8946284853618778E-2</v>
      </c>
    </row>
    <row r="90" spans="1:18" x14ac:dyDescent="0.25">
      <c r="A90">
        <v>7</v>
      </c>
      <c r="B90">
        <v>35</v>
      </c>
      <c r="C90" s="11">
        <f t="shared" si="27"/>
        <v>11</v>
      </c>
      <c r="E90">
        <v>100</v>
      </c>
      <c r="F90" s="2"/>
      <c r="G90">
        <f t="shared" si="18"/>
        <v>7</v>
      </c>
      <c r="H90" s="10">
        <f t="shared" si="18"/>
        <v>35</v>
      </c>
      <c r="I90">
        <f t="shared" si="18"/>
        <v>11</v>
      </c>
      <c r="J90">
        <f t="shared" si="19"/>
        <v>49</v>
      </c>
      <c r="K90">
        <f t="shared" si="20"/>
        <v>245</v>
      </c>
      <c r="L90">
        <f t="shared" si="21"/>
        <v>77</v>
      </c>
      <c r="M90">
        <f t="shared" si="22"/>
        <v>1225</v>
      </c>
      <c r="N90">
        <f t="shared" si="23"/>
        <v>385</v>
      </c>
      <c r="O90">
        <f t="shared" si="24"/>
        <v>121</v>
      </c>
      <c r="Q90" s="11">
        <f t="shared" si="25"/>
        <v>100.83311807009362</v>
      </c>
      <c r="R90" s="12">
        <f t="shared" si="26"/>
        <v>8.3311807009361864E-3</v>
      </c>
    </row>
    <row r="91" spans="1:18" x14ac:dyDescent="0.25">
      <c r="A91">
        <v>-15</v>
      </c>
      <c r="B91">
        <v>45</v>
      </c>
      <c r="C91" s="11">
        <f t="shared" si="27"/>
        <v>3</v>
      </c>
      <c r="E91">
        <v>50</v>
      </c>
      <c r="F91" s="2"/>
      <c r="G91">
        <f t="shared" si="18"/>
        <v>-15</v>
      </c>
      <c r="H91" s="10">
        <f t="shared" si="18"/>
        <v>45</v>
      </c>
      <c r="I91">
        <f t="shared" si="18"/>
        <v>3</v>
      </c>
      <c r="J91">
        <f t="shared" si="19"/>
        <v>225</v>
      </c>
      <c r="K91">
        <f t="shared" si="20"/>
        <v>-675</v>
      </c>
      <c r="L91">
        <f t="shared" si="21"/>
        <v>-45</v>
      </c>
      <c r="M91">
        <f t="shared" si="22"/>
        <v>2025</v>
      </c>
      <c r="N91">
        <f t="shared" si="23"/>
        <v>135</v>
      </c>
      <c r="O91">
        <f t="shared" si="24"/>
        <v>9</v>
      </c>
      <c r="Q91" s="11">
        <f t="shared" si="25"/>
        <v>51.300894117895737</v>
      </c>
      <c r="R91" s="12">
        <f t="shared" si="26"/>
        <v>2.6017882357914742E-2</v>
      </c>
    </row>
    <row r="92" spans="1:18" x14ac:dyDescent="0.25">
      <c r="A92">
        <v>-15</v>
      </c>
      <c r="B92">
        <v>45</v>
      </c>
      <c r="C92" s="11">
        <f t="shared" si="27"/>
        <v>6</v>
      </c>
      <c r="E92">
        <v>100</v>
      </c>
      <c r="F92" s="2"/>
      <c r="G92">
        <f t="shared" si="18"/>
        <v>-15</v>
      </c>
      <c r="H92" s="10">
        <f t="shared" si="18"/>
        <v>45</v>
      </c>
      <c r="I92">
        <f t="shared" si="18"/>
        <v>6</v>
      </c>
      <c r="J92">
        <f t="shared" si="19"/>
        <v>225</v>
      </c>
      <c r="K92">
        <f t="shared" si="20"/>
        <v>-675</v>
      </c>
      <c r="L92">
        <f t="shared" si="21"/>
        <v>-90</v>
      </c>
      <c r="M92">
        <f t="shared" si="22"/>
        <v>2025</v>
      </c>
      <c r="N92">
        <f t="shared" si="23"/>
        <v>270</v>
      </c>
      <c r="O92">
        <f t="shared" si="24"/>
        <v>36</v>
      </c>
      <c r="Q92" s="11">
        <f t="shared" si="25"/>
        <v>103.46388482179641</v>
      </c>
      <c r="R92" s="12">
        <f t="shared" si="26"/>
        <v>3.4638848217964126E-2</v>
      </c>
    </row>
    <row r="93" spans="1:18" x14ac:dyDescent="0.25">
      <c r="A93">
        <v>-7</v>
      </c>
      <c r="B93">
        <v>45</v>
      </c>
      <c r="C93" s="11">
        <f t="shared" si="27"/>
        <v>1.5</v>
      </c>
      <c r="E93">
        <v>20</v>
      </c>
      <c r="F93" s="2"/>
      <c r="G93">
        <f t="shared" si="18"/>
        <v>-7</v>
      </c>
      <c r="H93" s="10">
        <f t="shared" si="18"/>
        <v>45</v>
      </c>
      <c r="I93">
        <f t="shared" si="18"/>
        <v>1.5</v>
      </c>
      <c r="J93">
        <f t="shared" si="19"/>
        <v>49</v>
      </c>
      <c r="K93">
        <f t="shared" si="20"/>
        <v>-315</v>
      </c>
      <c r="L93">
        <f t="shared" si="21"/>
        <v>-10.5</v>
      </c>
      <c r="M93">
        <f t="shared" si="22"/>
        <v>2025</v>
      </c>
      <c r="N93">
        <f t="shared" si="23"/>
        <v>67.5</v>
      </c>
      <c r="O93">
        <f t="shared" si="24"/>
        <v>2.25</v>
      </c>
      <c r="Q93" s="11">
        <f t="shared" si="25"/>
        <v>17.295505254170241</v>
      </c>
      <c r="R93" s="12">
        <f t="shared" si="26"/>
        <v>-0.13522473729148796</v>
      </c>
    </row>
    <row r="94" spans="1:18" x14ac:dyDescent="0.25">
      <c r="A94">
        <v>-7</v>
      </c>
      <c r="B94">
        <v>45</v>
      </c>
      <c r="C94" s="11">
        <f t="shared" si="27"/>
        <v>3.5</v>
      </c>
      <c r="E94">
        <v>50</v>
      </c>
      <c r="F94" s="2"/>
      <c r="G94">
        <f t="shared" si="18"/>
        <v>-7</v>
      </c>
      <c r="H94" s="10">
        <f t="shared" si="18"/>
        <v>45</v>
      </c>
      <c r="I94">
        <f t="shared" si="18"/>
        <v>3.5</v>
      </c>
      <c r="J94">
        <f t="shared" si="19"/>
        <v>49</v>
      </c>
      <c r="K94">
        <f t="shared" si="20"/>
        <v>-315</v>
      </c>
      <c r="L94">
        <f t="shared" si="21"/>
        <v>-24.5</v>
      </c>
      <c r="M94">
        <f t="shared" si="22"/>
        <v>2025</v>
      </c>
      <c r="N94">
        <f t="shared" si="23"/>
        <v>157.5</v>
      </c>
      <c r="O94">
        <f t="shared" si="24"/>
        <v>12.25</v>
      </c>
      <c r="Q94" s="11">
        <f t="shared" si="25"/>
        <v>46.981033777937775</v>
      </c>
      <c r="R94" s="12">
        <f t="shared" si="26"/>
        <v>-6.0379324441244504E-2</v>
      </c>
    </row>
    <row r="95" spans="1:18" x14ac:dyDescent="0.25">
      <c r="A95">
        <v>-7</v>
      </c>
      <c r="B95">
        <v>45</v>
      </c>
      <c r="C95" s="11">
        <f t="shared" si="27"/>
        <v>7.5</v>
      </c>
      <c r="E95">
        <v>100</v>
      </c>
      <c r="F95" s="2"/>
      <c r="G95">
        <f t="shared" si="18"/>
        <v>-7</v>
      </c>
      <c r="H95" s="10">
        <f t="shared" si="18"/>
        <v>45</v>
      </c>
      <c r="I95">
        <f t="shared" si="18"/>
        <v>7.5</v>
      </c>
      <c r="J95">
        <f t="shared" si="19"/>
        <v>49</v>
      </c>
      <c r="K95">
        <f t="shared" si="20"/>
        <v>-315</v>
      </c>
      <c r="L95">
        <f t="shared" si="21"/>
        <v>-52.5</v>
      </c>
      <c r="M95">
        <f t="shared" si="22"/>
        <v>2025</v>
      </c>
      <c r="N95">
        <f t="shared" si="23"/>
        <v>337.5</v>
      </c>
      <c r="O95">
        <f t="shared" si="24"/>
        <v>56.25</v>
      </c>
      <c r="Q95" s="11">
        <f t="shared" si="25"/>
        <v>106.82571678292307</v>
      </c>
      <c r="R95" s="12">
        <f t="shared" si="26"/>
        <v>6.8257167829230664E-2</v>
      </c>
    </row>
    <row r="96" spans="1:18" x14ac:dyDescent="0.25">
      <c r="A96">
        <v>2</v>
      </c>
      <c r="B96">
        <v>45</v>
      </c>
      <c r="C96" s="11">
        <f t="shared" si="27"/>
        <v>2.5</v>
      </c>
      <c r="E96">
        <v>20</v>
      </c>
      <c r="F96" s="2"/>
      <c r="G96">
        <f t="shared" si="18"/>
        <v>2</v>
      </c>
      <c r="H96" s="10">
        <f t="shared" si="18"/>
        <v>45</v>
      </c>
      <c r="I96">
        <f t="shared" si="18"/>
        <v>2.5</v>
      </c>
      <c r="J96">
        <f t="shared" si="19"/>
        <v>4</v>
      </c>
      <c r="K96">
        <f t="shared" si="20"/>
        <v>90</v>
      </c>
      <c r="L96">
        <f t="shared" si="21"/>
        <v>5</v>
      </c>
      <c r="M96">
        <f t="shared" si="22"/>
        <v>2025</v>
      </c>
      <c r="N96">
        <f t="shared" si="23"/>
        <v>112.5</v>
      </c>
      <c r="O96">
        <f t="shared" si="24"/>
        <v>6.25</v>
      </c>
      <c r="Q96" s="11">
        <f t="shared" si="25"/>
        <v>18.510824482510873</v>
      </c>
      <c r="R96" s="12">
        <f t="shared" si="26"/>
        <v>-7.4458775874456332E-2</v>
      </c>
    </row>
    <row r="97" spans="1:18" x14ac:dyDescent="0.25">
      <c r="A97">
        <v>2</v>
      </c>
      <c r="B97">
        <v>45</v>
      </c>
      <c r="C97" s="11">
        <f t="shared" si="27"/>
        <v>5</v>
      </c>
      <c r="E97">
        <v>50</v>
      </c>
      <c r="G97">
        <f t="shared" si="18"/>
        <v>2</v>
      </c>
      <c r="H97" s="10">
        <f t="shared" si="18"/>
        <v>45</v>
      </c>
      <c r="I97">
        <f t="shared" si="18"/>
        <v>5</v>
      </c>
      <c r="J97">
        <f t="shared" si="19"/>
        <v>4</v>
      </c>
      <c r="K97">
        <f t="shared" si="20"/>
        <v>90</v>
      </c>
      <c r="L97">
        <f t="shared" si="21"/>
        <v>10</v>
      </c>
      <c r="M97">
        <f t="shared" si="22"/>
        <v>2025</v>
      </c>
      <c r="N97">
        <f t="shared" si="23"/>
        <v>225</v>
      </c>
      <c r="O97">
        <f t="shared" si="24"/>
        <v>25</v>
      </c>
      <c r="Q97" s="11">
        <f t="shared" si="25"/>
        <v>48.805558099502306</v>
      </c>
      <c r="R97" s="12">
        <f t="shared" si="26"/>
        <v>-2.3888838009953874E-2</v>
      </c>
    </row>
    <row r="98" spans="1:18" x14ac:dyDescent="0.25">
      <c r="A98">
        <v>2</v>
      </c>
      <c r="B98">
        <v>45</v>
      </c>
      <c r="C98" s="11">
        <f t="shared" si="27"/>
        <v>9</v>
      </c>
      <c r="E98">
        <v>100</v>
      </c>
      <c r="G98">
        <f t="shared" si="18"/>
        <v>2</v>
      </c>
      <c r="H98" s="10">
        <f t="shared" si="18"/>
        <v>45</v>
      </c>
      <c r="I98">
        <f t="shared" si="18"/>
        <v>9</v>
      </c>
      <c r="J98">
        <f t="shared" si="19"/>
        <v>4</v>
      </c>
      <c r="K98">
        <f t="shared" si="20"/>
        <v>90</v>
      </c>
      <c r="L98">
        <f t="shared" si="21"/>
        <v>18</v>
      </c>
      <c r="M98">
        <f t="shared" si="22"/>
        <v>2025</v>
      </c>
      <c r="N98">
        <f t="shared" si="23"/>
        <v>405</v>
      </c>
      <c r="O98">
        <f t="shared" si="24"/>
        <v>81</v>
      </c>
      <c r="Q98" s="11">
        <f t="shared" si="25"/>
        <v>97.790226673926284</v>
      </c>
      <c r="R98" s="12">
        <f t="shared" si="26"/>
        <v>-2.2097733260737159E-2</v>
      </c>
    </row>
    <row r="99" spans="1:18" x14ac:dyDescent="0.25">
      <c r="A99">
        <v>7</v>
      </c>
      <c r="B99">
        <v>45</v>
      </c>
      <c r="C99" s="11">
        <f t="shared" si="27"/>
        <v>3</v>
      </c>
      <c r="E99">
        <v>20</v>
      </c>
      <c r="G99">
        <f t="shared" si="18"/>
        <v>7</v>
      </c>
      <c r="H99" s="10">
        <f t="shared" si="18"/>
        <v>45</v>
      </c>
      <c r="I99">
        <f t="shared" si="18"/>
        <v>3</v>
      </c>
      <c r="J99">
        <f t="shared" si="19"/>
        <v>49</v>
      </c>
      <c r="K99">
        <f t="shared" si="20"/>
        <v>315</v>
      </c>
      <c r="L99">
        <f t="shared" si="21"/>
        <v>21</v>
      </c>
      <c r="M99">
        <f t="shared" si="22"/>
        <v>2025</v>
      </c>
      <c r="N99">
        <f t="shared" si="23"/>
        <v>135</v>
      </c>
      <c r="O99">
        <f t="shared" si="24"/>
        <v>9</v>
      </c>
      <c r="Q99" s="11">
        <f t="shared" si="25"/>
        <v>15.410116735573833</v>
      </c>
      <c r="R99" s="12">
        <f t="shared" si="26"/>
        <v>-0.22949416322130833</v>
      </c>
    </row>
    <row r="100" spans="1:18" x14ac:dyDescent="0.25">
      <c r="A100">
        <v>7</v>
      </c>
      <c r="B100">
        <v>45</v>
      </c>
      <c r="C100" s="11">
        <f t="shared" si="27"/>
        <v>6.5</v>
      </c>
      <c r="E100">
        <v>50</v>
      </c>
      <c r="G100">
        <f t="shared" si="18"/>
        <v>7</v>
      </c>
      <c r="H100" s="10">
        <f t="shared" si="18"/>
        <v>45</v>
      </c>
      <c r="I100">
        <f t="shared" si="18"/>
        <v>6.5</v>
      </c>
      <c r="J100">
        <f t="shared" si="19"/>
        <v>49</v>
      </c>
      <c r="K100">
        <f t="shared" si="20"/>
        <v>315</v>
      </c>
      <c r="L100">
        <f t="shared" si="21"/>
        <v>45.5</v>
      </c>
      <c r="M100">
        <f t="shared" si="22"/>
        <v>2025</v>
      </c>
      <c r="N100">
        <f t="shared" si="23"/>
        <v>292.5</v>
      </c>
      <c r="O100">
        <f t="shared" si="24"/>
        <v>42.25</v>
      </c>
      <c r="Q100" s="11">
        <f t="shared" si="25"/>
        <v>52.566593601881685</v>
      </c>
      <c r="R100" s="12">
        <f t="shared" si="26"/>
        <v>5.1331872037633702E-2</v>
      </c>
    </row>
    <row r="101" spans="1:18" x14ac:dyDescent="0.25">
      <c r="A101">
        <v>7</v>
      </c>
      <c r="B101">
        <v>45</v>
      </c>
      <c r="C101" s="11">
        <f t="shared" si="27"/>
        <v>11</v>
      </c>
      <c r="E101">
        <v>100</v>
      </c>
      <c r="G101">
        <f t="shared" si="18"/>
        <v>7</v>
      </c>
      <c r="H101" s="10">
        <f t="shared" si="18"/>
        <v>45</v>
      </c>
      <c r="I101">
        <f t="shared" si="18"/>
        <v>11</v>
      </c>
      <c r="J101">
        <f t="shared" si="19"/>
        <v>49</v>
      </c>
      <c r="K101">
        <f t="shared" si="20"/>
        <v>315</v>
      </c>
      <c r="L101">
        <f t="shared" si="21"/>
        <v>77</v>
      </c>
      <c r="M101">
        <f t="shared" si="22"/>
        <v>2025</v>
      </c>
      <c r="N101">
        <f t="shared" si="23"/>
        <v>495</v>
      </c>
      <c r="O101">
        <f t="shared" si="24"/>
        <v>121</v>
      </c>
      <c r="Q101" s="11">
        <f t="shared" si="25"/>
        <v>101.04964565188136</v>
      </c>
      <c r="R101" s="12">
        <f t="shared" si="26"/>
        <v>1.049645651881363E-2</v>
      </c>
    </row>
    <row r="102" spans="1:18" x14ac:dyDescent="0.25">
      <c r="A102">
        <v>-15</v>
      </c>
      <c r="B102">
        <v>55</v>
      </c>
      <c r="C102" s="11">
        <f t="shared" si="27"/>
        <v>2.5</v>
      </c>
      <c r="E102">
        <v>50</v>
      </c>
      <c r="G102">
        <f t="shared" si="18"/>
        <v>-15</v>
      </c>
      <c r="H102" s="10">
        <f t="shared" si="18"/>
        <v>55</v>
      </c>
      <c r="I102">
        <f t="shared" si="18"/>
        <v>2.5</v>
      </c>
      <c r="J102">
        <f t="shared" si="19"/>
        <v>225</v>
      </c>
      <c r="K102">
        <f t="shared" si="20"/>
        <v>-825</v>
      </c>
      <c r="L102">
        <f t="shared" si="21"/>
        <v>-37.5</v>
      </c>
      <c r="M102">
        <f t="shared" si="22"/>
        <v>3025</v>
      </c>
      <c r="N102">
        <f t="shared" si="23"/>
        <v>137.5</v>
      </c>
      <c r="O102">
        <f t="shared" si="24"/>
        <v>6.25</v>
      </c>
      <c r="Q102" s="11">
        <f>$P$78+$O$78*G102+$N$78*H102+$M$78*I102+$L$78*J102+$K$78*K102+$J$78*L102+$I$78*M102+$H$78*N102+$G$78*O102</f>
        <v>49.894986468949163</v>
      </c>
      <c r="R102" s="12">
        <f t="shared" si="26"/>
        <v>-2.1002706210167333E-3</v>
      </c>
    </row>
    <row r="103" spans="1:18" x14ac:dyDescent="0.25">
      <c r="A103">
        <v>-15</v>
      </c>
      <c r="B103">
        <v>55</v>
      </c>
      <c r="C103" s="11">
        <f t="shared" si="27"/>
        <v>5</v>
      </c>
      <c r="E103">
        <v>100</v>
      </c>
      <c r="G103">
        <f t="shared" si="18"/>
        <v>-15</v>
      </c>
      <c r="H103" s="10">
        <f t="shared" si="18"/>
        <v>55</v>
      </c>
      <c r="I103">
        <f t="shared" si="18"/>
        <v>5</v>
      </c>
      <c r="J103">
        <f t="shared" si="19"/>
        <v>225</v>
      </c>
      <c r="K103">
        <f t="shared" si="20"/>
        <v>-825</v>
      </c>
      <c r="L103">
        <f t="shared" si="21"/>
        <v>-75</v>
      </c>
      <c r="M103">
        <f t="shared" si="22"/>
        <v>3025</v>
      </c>
      <c r="N103">
        <f t="shared" si="23"/>
        <v>275</v>
      </c>
      <c r="O103">
        <f t="shared" si="24"/>
        <v>25</v>
      </c>
      <c r="Q103" s="11">
        <f>$P$78+$O$78*G103+$N$78*H103+$M$78*I103+$L$78*J103+$K$78*K103+$J$78*L103+$I$78*M103+$H$78*N103+$G$78*O103</f>
        <v>94.749013278400184</v>
      </c>
      <c r="R103" s="12">
        <f t="shared" si="26"/>
        <v>-5.2509867215998159E-2</v>
      </c>
    </row>
    <row r="104" spans="1:18" x14ac:dyDescent="0.25">
      <c r="A104">
        <v>-7</v>
      </c>
      <c r="B104">
        <v>55</v>
      </c>
      <c r="C104" s="11">
        <f t="shared" si="27"/>
        <v>1.3</v>
      </c>
      <c r="E104">
        <v>20</v>
      </c>
      <c r="G104">
        <f t="shared" si="18"/>
        <v>-7</v>
      </c>
      <c r="H104" s="10">
        <f t="shared" si="18"/>
        <v>55</v>
      </c>
      <c r="I104">
        <f t="shared" si="18"/>
        <v>1.3</v>
      </c>
      <c r="J104">
        <f t="shared" si="19"/>
        <v>49</v>
      </c>
      <c r="K104">
        <f t="shared" si="20"/>
        <v>-385</v>
      </c>
      <c r="L104">
        <f t="shared" si="21"/>
        <v>-9.1</v>
      </c>
      <c r="M104">
        <f t="shared" si="22"/>
        <v>3025</v>
      </c>
      <c r="N104">
        <f t="shared" si="23"/>
        <v>71.5</v>
      </c>
      <c r="O104">
        <f t="shared" si="24"/>
        <v>1.6900000000000002</v>
      </c>
      <c r="Q104" s="11">
        <f t="shared" ref="Q104:Q112" si="28">$P$78+$O$78*G104+$N$78*H104+$M$78*I104+$L$78*J104+$K$78*K104+$J$78*L104+$I$78*M104+$H$78*N104+$G$78*O104</f>
        <v>21.360584184365489</v>
      </c>
      <c r="R104" s="12">
        <f t="shared" si="26"/>
        <v>6.8029209218274461E-2</v>
      </c>
    </row>
    <row r="105" spans="1:18" x14ac:dyDescent="0.25">
      <c r="A105">
        <v>-7</v>
      </c>
      <c r="B105">
        <v>55</v>
      </c>
      <c r="C105" s="11">
        <f t="shared" si="27"/>
        <v>3.4</v>
      </c>
      <c r="E105">
        <v>50</v>
      </c>
      <c r="G105">
        <f t="shared" si="18"/>
        <v>-7</v>
      </c>
      <c r="H105" s="10">
        <f t="shared" si="18"/>
        <v>55</v>
      </c>
      <c r="I105">
        <f t="shared" si="18"/>
        <v>3.4</v>
      </c>
      <c r="J105">
        <f t="shared" si="19"/>
        <v>49</v>
      </c>
      <c r="K105">
        <f t="shared" si="20"/>
        <v>-385</v>
      </c>
      <c r="L105">
        <f t="shared" si="21"/>
        <v>-23.8</v>
      </c>
      <c r="M105">
        <f t="shared" si="22"/>
        <v>3025</v>
      </c>
      <c r="N105">
        <f t="shared" si="23"/>
        <v>187</v>
      </c>
      <c r="O105">
        <f t="shared" si="24"/>
        <v>11.559999999999999</v>
      </c>
      <c r="Q105" s="11">
        <f t="shared" si="28"/>
        <v>53.74340888706206</v>
      </c>
      <c r="R105" s="12">
        <f t="shared" si="26"/>
        <v>7.4868177741241201E-2</v>
      </c>
    </row>
    <row r="106" spans="1:18" x14ac:dyDescent="0.25">
      <c r="A106">
        <v>-7</v>
      </c>
      <c r="B106">
        <v>55</v>
      </c>
      <c r="C106" s="11">
        <f t="shared" si="27"/>
        <v>6.5</v>
      </c>
      <c r="E106">
        <v>100</v>
      </c>
      <c r="G106">
        <f t="shared" si="18"/>
        <v>-7</v>
      </c>
      <c r="H106" s="10">
        <f t="shared" si="18"/>
        <v>55</v>
      </c>
      <c r="I106">
        <f t="shared" si="18"/>
        <v>6.5</v>
      </c>
      <c r="J106">
        <f t="shared" si="19"/>
        <v>49</v>
      </c>
      <c r="K106">
        <f t="shared" si="20"/>
        <v>-385</v>
      </c>
      <c r="L106">
        <f t="shared" si="21"/>
        <v>-45.5</v>
      </c>
      <c r="M106">
        <f t="shared" si="22"/>
        <v>3025</v>
      </c>
      <c r="N106">
        <f t="shared" si="23"/>
        <v>357.5</v>
      </c>
      <c r="O106">
        <f t="shared" si="24"/>
        <v>42.25</v>
      </c>
      <c r="Q106" s="11">
        <f t="shared" si="28"/>
        <v>101.86474507341583</v>
      </c>
      <c r="R106" s="12">
        <f t="shared" si="26"/>
        <v>1.8647450734158327E-2</v>
      </c>
    </row>
    <row r="107" spans="1:18" x14ac:dyDescent="0.25">
      <c r="A107">
        <v>2</v>
      </c>
      <c r="B107">
        <v>55</v>
      </c>
      <c r="C107" s="11">
        <f t="shared" si="27"/>
        <v>1.8</v>
      </c>
      <c r="E107">
        <v>20</v>
      </c>
      <c r="G107">
        <f t="shared" si="18"/>
        <v>2</v>
      </c>
      <c r="H107" s="10">
        <f t="shared" si="18"/>
        <v>55</v>
      </c>
      <c r="I107">
        <f t="shared" si="18"/>
        <v>1.8</v>
      </c>
      <c r="J107">
        <f t="shared" si="19"/>
        <v>4</v>
      </c>
      <c r="K107">
        <f t="shared" si="20"/>
        <v>110</v>
      </c>
      <c r="L107">
        <f t="shared" si="21"/>
        <v>3.6</v>
      </c>
      <c r="M107">
        <f t="shared" si="22"/>
        <v>3025</v>
      </c>
      <c r="N107">
        <f t="shared" si="23"/>
        <v>99</v>
      </c>
      <c r="O107">
        <f t="shared" si="24"/>
        <v>3.24</v>
      </c>
      <c r="Q107" s="11">
        <f t="shared" si="28"/>
        <v>17.920022736145938</v>
      </c>
      <c r="R107" s="12">
        <f t="shared" si="26"/>
        <v>-0.10399886319270309</v>
      </c>
    </row>
    <row r="108" spans="1:18" x14ac:dyDescent="0.25">
      <c r="A108">
        <v>2</v>
      </c>
      <c r="B108">
        <v>55</v>
      </c>
      <c r="C108" s="11">
        <f t="shared" si="27"/>
        <v>4.3</v>
      </c>
      <c r="E108">
        <v>50</v>
      </c>
      <c r="G108">
        <f t="shared" si="18"/>
        <v>2</v>
      </c>
      <c r="H108" s="10">
        <f t="shared" si="18"/>
        <v>55</v>
      </c>
      <c r="I108">
        <f t="shared" si="18"/>
        <v>4.3</v>
      </c>
      <c r="J108">
        <f t="shared" si="19"/>
        <v>4</v>
      </c>
      <c r="K108">
        <f t="shared" si="20"/>
        <v>110</v>
      </c>
      <c r="L108">
        <f t="shared" si="21"/>
        <v>8.6</v>
      </c>
      <c r="M108">
        <f t="shared" si="22"/>
        <v>3025</v>
      </c>
      <c r="N108">
        <f t="shared" si="23"/>
        <v>236.5</v>
      </c>
      <c r="O108">
        <f t="shared" si="24"/>
        <v>18.489999999999998</v>
      </c>
      <c r="Q108" s="11">
        <f t="shared" si="28"/>
        <v>49.604557846394577</v>
      </c>
      <c r="R108" s="12">
        <f t="shared" si="26"/>
        <v>-7.9088430721084534E-3</v>
      </c>
    </row>
    <row r="109" spans="1:18" x14ac:dyDescent="0.25">
      <c r="A109">
        <v>2</v>
      </c>
      <c r="B109">
        <v>55</v>
      </c>
      <c r="C109" s="11">
        <f t="shared" si="27"/>
        <v>8</v>
      </c>
      <c r="E109">
        <v>100</v>
      </c>
      <c r="G109">
        <f t="shared" si="18"/>
        <v>2</v>
      </c>
      <c r="H109" s="10">
        <f t="shared" si="18"/>
        <v>55</v>
      </c>
      <c r="I109">
        <f t="shared" si="18"/>
        <v>8</v>
      </c>
      <c r="J109">
        <f t="shared" si="19"/>
        <v>4</v>
      </c>
      <c r="K109">
        <f t="shared" si="20"/>
        <v>110</v>
      </c>
      <c r="L109">
        <f t="shared" si="21"/>
        <v>16</v>
      </c>
      <c r="M109">
        <f t="shared" si="22"/>
        <v>3025</v>
      </c>
      <c r="N109">
        <f t="shared" si="23"/>
        <v>440</v>
      </c>
      <c r="O109">
        <f t="shared" si="24"/>
        <v>64</v>
      </c>
      <c r="Q109" s="11">
        <f t="shared" si="28"/>
        <v>96.950377287225422</v>
      </c>
      <c r="R109" s="12">
        <f t="shared" si="26"/>
        <v>-3.0496227127745783E-2</v>
      </c>
    </row>
    <row r="110" spans="1:18" x14ac:dyDescent="0.25">
      <c r="A110">
        <v>7</v>
      </c>
      <c r="B110">
        <v>55</v>
      </c>
      <c r="C110" s="11">
        <f t="shared" si="27"/>
        <v>2.8</v>
      </c>
      <c r="E110">
        <v>20</v>
      </c>
      <c r="G110">
        <f t="shared" si="18"/>
        <v>7</v>
      </c>
      <c r="H110" s="10">
        <f t="shared" si="18"/>
        <v>55</v>
      </c>
      <c r="I110">
        <f t="shared" si="18"/>
        <v>2.8</v>
      </c>
      <c r="J110">
        <f t="shared" si="19"/>
        <v>49</v>
      </c>
      <c r="K110">
        <f t="shared" si="20"/>
        <v>385</v>
      </c>
      <c r="L110">
        <f t="shared" si="21"/>
        <v>19.599999999999998</v>
      </c>
      <c r="M110">
        <f t="shared" si="22"/>
        <v>3025</v>
      </c>
      <c r="N110">
        <f t="shared" si="23"/>
        <v>154</v>
      </c>
      <c r="O110">
        <f t="shared" si="24"/>
        <v>7.839999999999999</v>
      </c>
      <c r="Q110" s="11">
        <f t="shared" si="28"/>
        <v>22.027446723796029</v>
      </c>
      <c r="R110" s="12">
        <f t="shared" si="26"/>
        <v>0.10137233618980143</v>
      </c>
    </row>
    <row r="111" spans="1:18" x14ac:dyDescent="0.25">
      <c r="A111">
        <v>7</v>
      </c>
      <c r="B111">
        <v>55</v>
      </c>
      <c r="C111" s="11">
        <f t="shared" si="27"/>
        <v>5.7</v>
      </c>
      <c r="E111">
        <v>50</v>
      </c>
      <c r="G111">
        <f t="shared" si="18"/>
        <v>7</v>
      </c>
      <c r="H111" s="10">
        <f t="shared" si="18"/>
        <v>55</v>
      </c>
      <c r="I111">
        <f t="shared" si="18"/>
        <v>5.7</v>
      </c>
      <c r="J111">
        <f t="shared" si="19"/>
        <v>49</v>
      </c>
      <c r="K111">
        <f t="shared" si="20"/>
        <v>385</v>
      </c>
      <c r="L111">
        <f t="shared" si="21"/>
        <v>39.9</v>
      </c>
      <c r="M111">
        <f t="shared" si="22"/>
        <v>3025</v>
      </c>
      <c r="N111">
        <f t="shared" si="23"/>
        <v>313.5</v>
      </c>
      <c r="O111">
        <f t="shared" si="24"/>
        <v>32.49</v>
      </c>
      <c r="Q111" s="11">
        <f t="shared" si="28"/>
        <v>54.449303495049122</v>
      </c>
      <c r="R111" s="12">
        <f t="shared" si="26"/>
        <v>8.8986069900982442E-2</v>
      </c>
    </row>
    <row r="112" spans="1:18" x14ac:dyDescent="0.25">
      <c r="A112">
        <v>7</v>
      </c>
      <c r="B112">
        <v>55</v>
      </c>
      <c r="C112" s="11">
        <f t="shared" si="27"/>
        <v>9.5</v>
      </c>
      <c r="E112">
        <v>100</v>
      </c>
      <c r="G112">
        <f t="shared" si="18"/>
        <v>7</v>
      </c>
      <c r="H112" s="10">
        <f t="shared" si="18"/>
        <v>55</v>
      </c>
      <c r="I112">
        <f t="shared" si="18"/>
        <v>9.5</v>
      </c>
      <c r="J112">
        <f t="shared" si="19"/>
        <v>49</v>
      </c>
      <c r="K112">
        <f t="shared" si="20"/>
        <v>385</v>
      </c>
      <c r="L112">
        <f t="shared" si="21"/>
        <v>66.5</v>
      </c>
      <c r="M112">
        <f t="shared" si="22"/>
        <v>3025</v>
      </c>
      <c r="N112">
        <f t="shared" si="23"/>
        <v>522.5</v>
      </c>
      <c r="O112">
        <f t="shared" si="24"/>
        <v>90.25</v>
      </c>
      <c r="Q112" s="11">
        <f t="shared" si="28"/>
        <v>97.435554019196559</v>
      </c>
      <c r="R112" s="12">
        <f t="shared" si="26"/>
        <v>-2.5644459808034412E-2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4337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14337" r:id="rId4"/>
      </mc:Fallback>
    </mc:AlternateContent>
    <mc:AlternateContent xmlns:mc="http://schemas.openxmlformats.org/markup-compatibility/2006">
      <mc:Choice Requires="x14">
        <oleObject progId="Equation.3" shapeId="14338" r:id="rId6">
          <objectPr defaultSize="0" autoPict="0" r:id="rId5">
            <anchor moveWithCells="1" sizeWithCells="1">
              <from>
                <xdr:col>6</xdr:col>
                <xdr:colOff>171450</xdr:colOff>
                <xdr:row>40</xdr:row>
                <xdr:rowOff>38100</xdr:rowOff>
              </from>
              <to>
                <xdr:col>14</xdr:col>
                <xdr:colOff>1466850</xdr:colOff>
                <xdr:row>40</xdr:row>
                <xdr:rowOff>647700</xdr:rowOff>
              </to>
            </anchor>
          </objectPr>
        </oleObject>
      </mc:Choice>
      <mc:Fallback>
        <oleObject progId="Equation.3" shapeId="14338" r:id="rId6"/>
      </mc:Fallback>
    </mc:AlternateContent>
    <mc:AlternateContent xmlns:mc="http://schemas.openxmlformats.org/markup-compatibility/2006">
      <mc:Choice Requires="x14">
        <oleObject progId="Equation.3" shapeId="14339" r:id="rId7">
          <objectPr defaultSize="0" autoPict="0" r:id="rId5">
            <anchor moveWithCells="1" sizeWithCells="1">
              <from>
                <xdr:col>6</xdr:col>
                <xdr:colOff>171450</xdr:colOff>
                <xdr:row>78</xdr:row>
                <xdr:rowOff>38100</xdr:rowOff>
              </from>
              <to>
                <xdr:col>14</xdr:col>
                <xdr:colOff>1466850</xdr:colOff>
                <xdr:row>78</xdr:row>
                <xdr:rowOff>647700</xdr:rowOff>
              </to>
            </anchor>
          </objectPr>
        </oleObject>
      </mc:Choice>
      <mc:Fallback>
        <oleObject progId="Equation.3" shapeId="14339" r:id="rId7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ist15"/>
  <dimension ref="A1:T164"/>
  <sheetViews>
    <sheetView zoomScale="70" zoomScaleNormal="70" workbookViewId="0">
      <selection sqref="A1:XFD1048576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LINEST(E4:E53,G4:O53)</f>
        <v>-7.4596939576434781E-4</v>
      </c>
      <c r="H2" s="4">
        <v>-6.7072324101194306E-4</v>
      </c>
      <c r="I2" s="4">
        <v>-1.3439807359305297E-3</v>
      </c>
      <c r="J2" s="4">
        <v>4.0907711110370493E-3</v>
      </c>
      <c r="K2" s="4">
        <v>-2.8928802280426E-3</v>
      </c>
      <c r="L2" s="4">
        <v>6.5780754383654412E-3</v>
      </c>
      <c r="M2" s="4">
        <v>0.24776554366980888</v>
      </c>
      <c r="N2" s="4">
        <v>0.13195821932428065</v>
      </c>
      <c r="O2" s="4">
        <v>0.21897247025834038</v>
      </c>
      <c r="P2" s="4">
        <v>-4.1450476030058701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20</v>
      </c>
      <c r="E4">
        <v>1.66</v>
      </c>
      <c r="F4" s="2"/>
      <c r="G4">
        <f t="shared" ref="G4:I53" si="0">A4</f>
        <v>-15</v>
      </c>
      <c r="H4" s="10">
        <f t="shared" si="0"/>
        <v>35</v>
      </c>
      <c r="I4">
        <f t="shared" si="0"/>
        <v>20</v>
      </c>
      <c r="J4">
        <f t="shared" ref="J4:J53" si="1">G4^2</f>
        <v>225</v>
      </c>
      <c r="K4">
        <f t="shared" ref="K4:K53" si="2">G4*H4</f>
        <v>-525</v>
      </c>
      <c r="L4">
        <f t="shared" ref="L4:L53" si="3">G4*I4</f>
        <v>-300</v>
      </c>
      <c r="M4">
        <f t="shared" ref="M4:M53" si="4">H4^2</f>
        <v>1225</v>
      </c>
      <c r="N4">
        <f t="shared" ref="N4:N53" si="5">H4*I4</f>
        <v>700</v>
      </c>
      <c r="O4">
        <f t="shared" ref="O4:O53" si="6">I4^2</f>
        <v>400</v>
      </c>
      <c r="Q4" s="11">
        <f>$P$2+$O$2*G4+$N$2*H4+$M$2*I4+$L$2*J4+$K$2*K4+$J$2*L4+$I$2*M4+$H$2*N4+$G$2*O4</f>
        <v>1.5015412243794997</v>
      </c>
      <c r="R4" s="12">
        <f t="shared" ref="R4:R53" si="7">(Q4-E4)/E4</f>
        <v>-9.5457093747289321E-2</v>
      </c>
      <c r="S4" s="11"/>
      <c r="T4" s="12"/>
    </row>
    <row r="5" spans="1:20" x14ac:dyDescent="0.25">
      <c r="A5">
        <v>-15</v>
      </c>
      <c r="B5">
        <v>35</v>
      </c>
      <c r="C5">
        <v>50</v>
      </c>
      <c r="E5">
        <v>4.74</v>
      </c>
      <c r="F5" s="2"/>
      <c r="G5">
        <f t="shared" si="0"/>
        <v>-15</v>
      </c>
      <c r="H5" s="10">
        <f t="shared" si="0"/>
        <v>35</v>
      </c>
      <c r="I5">
        <f t="shared" si="0"/>
        <v>50</v>
      </c>
      <c r="J5">
        <f t="shared" si="1"/>
        <v>225</v>
      </c>
      <c r="K5">
        <f t="shared" si="2"/>
        <v>-525</v>
      </c>
      <c r="L5">
        <f t="shared" si="3"/>
        <v>-750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ref="Q5:Q53" si="8">$P$2+$O$2*G5+$N$2*H5+$M$2*I5+$L$2*J5+$K$2*K5+$J$2*L5+$I$2*M5+$H$2*N5+$G$2*O5</f>
        <v>4.8228654003394249</v>
      </c>
      <c r="R5" s="12">
        <f t="shared" si="7"/>
        <v>1.7482151970342759E-2</v>
      </c>
      <c r="S5" s="11"/>
      <c r="T5" s="12"/>
    </row>
    <row r="6" spans="1:20" x14ac:dyDescent="0.25">
      <c r="A6">
        <v>-15</v>
      </c>
      <c r="B6">
        <v>35</v>
      </c>
      <c r="C6">
        <v>100</v>
      </c>
      <c r="E6">
        <v>7.78</v>
      </c>
      <c r="F6" s="2"/>
      <c r="G6">
        <f t="shared" si="0"/>
        <v>-15</v>
      </c>
      <c r="H6" s="10">
        <f t="shared" si="0"/>
        <v>35</v>
      </c>
      <c r="I6">
        <f t="shared" si="0"/>
        <v>100</v>
      </c>
      <c r="J6">
        <f t="shared" si="1"/>
        <v>225</v>
      </c>
      <c r="K6">
        <f t="shared" si="2"/>
        <v>-525</v>
      </c>
      <c r="L6">
        <f t="shared" si="3"/>
        <v>-1500</v>
      </c>
      <c r="M6">
        <f t="shared" si="4"/>
        <v>1225</v>
      </c>
      <c r="N6">
        <f t="shared" si="5"/>
        <v>3500</v>
      </c>
      <c r="O6">
        <f t="shared" si="6"/>
        <v>10000</v>
      </c>
      <c r="Q6" s="11">
        <f t="shared" si="8"/>
        <v>7.3745281105485683</v>
      </c>
      <c r="R6" s="12">
        <f t="shared" si="7"/>
        <v>-5.2117209441058091E-2</v>
      </c>
      <c r="S6" s="11"/>
      <c r="T6" s="12"/>
    </row>
    <row r="7" spans="1:20" x14ac:dyDescent="0.25">
      <c r="A7">
        <v>-7</v>
      </c>
      <c r="B7">
        <v>35</v>
      </c>
      <c r="C7">
        <v>20</v>
      </c>
      <c r="E7">
        <v>2.3199999999999998</v>
      </c>
      <c r="F7" s="2"/>
      <c r="G7">
        <f t="shared" si="0"/>
        <v>-7</v>
      </c>
      <c r="H7" s="10">
        <f t="shared" si="0"/>
        <v>35</v>
      </c>
      <c r="I7">
        <f t="shared" si="0"/>
        <v>20</v>
      </c>
      <c r="J7">
        <f t="shared" si="1"/>
        <v>49</v>
      </c>
      <c r="K7">
        <f t="shared" si="2"/>
        <v>-245</v>
      </c>
      <c r="L7">
        <f t="shared" si="3"/>
        <v>-140</v>
      </c>
      <c r="M7">
        <f t="shared" si="4"/>
        <v>1225</v>
      </c>
      <c r="N7">
        <f t="shared" si="5"/>
        <v>700</v>
      </c>
      <c r="O7">
        <f t="shared" si="6"/>
        <v>400</v>
      </c>
      <c r="Q7" s="11">
        <f t="shared" si="8"/>
        <v>1.9400966232079058</v>
      </c>
      <c r="R7" s="12">
        <f t="shared" si="7"/>
        <v>-0.16375145551383366</v>
      </c>
      <c r="S7" s="11"/>
      <c r="T7" s="12"/>
    </row>
    <row r="8" spans="1:20" x14ac:dyDescent="0.25">
      <c r="A8">
        <v>-7</v>
      </c>
      <c r="B8">
        <v>35</v>
      </c>
      <c r="C8">
        <v>50</v>
      </c>
      <c r="E8">
        <v>6.28</v>
      </c>
      <c r="F8" s="2"/>
      <c r="G8">
        <f t="shared" si="0"/>
        <v>-7</v>
      </c>
      <c r="H8" s="10">
        <f t="shared" si="0"/>
        <v>35</v>
      </c>
      <c r="I8">
        <f t="shared" si="0"/>
        <v>50</v>
      </c>
      <c r="J8">
        <f t="shared" si="1"/>
        <v>49</v>
      </c>
      <c r="K8">
        <f t="shared" si="2"/>
        <v>-245</v>
      </c>
      <c r="L8">
        <f t="shared" si="3"/>
        <v>-350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8"/>
        <v>6.243205865816722</v>
      </c>
      <c r="R8" s="12">
        <f t="shared" si="7"/>
        <v>-5.8589385642162832E-3</v>
      </c>
      <c r="S8" s="11"/>
      <c r="T8" s="12"/>
    </row>
    <row r="9" spans="1:20" x14ac:dyDescent="0.25">
      <c r="A9">
        <v>-7</v>
      </c>
      <c r="B9">
        <v>35</v>
      </c>
      <c r="C9">
        <v>100</v>
      </c>
      <c r="E9">
        <v>10.4</v>
      </c>
      <c r="F9" s="2"/>
      <c r="G9">
        <f t="shared" si="0"/>
        <v>-7</v>
      </c>
      <c r="H9" s="10">
        <f t="shared" si="0"/>
        <v>35</v>
      </c>
      <c r="I9">
        <f t="shared" si="0"/>
        <v>100</v>
      </c>
      <c r="J9">
        <f t="shared" si="1"/>
        <v>49</v>
      </c>
      <c r="K9">
        <f t="shared" si="2"/>
        <v>-245</v>
      </c>
      <c r="L9">
        <f t="shared" si="3"/>
        <v>-700</v>
      </c>
      <c r="M9">
        <f t="shared" si="4"/>
        <v>1225</v>
      </c>
      <c r="N9">
        <f t="shared" si="5"/>
        <v>3500</v>
      </c>
      <c r="O9">
        <f t="shared" si="6"/>
        <v>10000</v>
      </c>
      <c r="Q9" s="11">
        <f t="shared" si="8"/>
        <v>10.431177020440693</v>
      </c>
      <c r="R9" s="12">
        <f t="shared" si="7"/>
        <v>2.9977904269896404E-3</v>
      </c>
      <c r="S9" s="11"/>
      <c r="T9" s="12"/>
    </row>
    <row r="10" spans="1:20" x14ac:dyDescent="0.25">
      <c r="A10">
        <v>2</v>
      </c>
      <c r="B10">
        <v>35</v>
      </c>
      <c r="C10">
        <v>20</v>
      </c>
      <c r="E10">
        <v>4.1399999999999997</v>
      </c>
      <c r="F10" s="2"/>
      <c r="G10">
        <f t="shared" si="0"/>
        <v>2</v>
      </c>
      <c r="H10" s="10">
        <f t="shared" si="0"/>
        <v>35</v>
      </c>
      <c r="I10">
        <f t="shared" si="0"/>
        <v>20</v>
      </c>
      <c r="J10">
        <f t="shared" si="1"/>
        <v>4</v>
      </c>
      <c r="K10">
        <f t="shared" si="2"/>
        <v>70</v>
      </c>
      <c r="L10">
        <f t="shared" si="3"/>
        <v>40</v>
      </c>
      <c r="M10">
        <f t="shared" si="4"/>
        <v>1225</v>
      </c>
      <c r="N10">
        <f t="shared" si="5"/>
        <v>700</v>
      </c>
      <c r="O10">
        <f t="shared" si="6"/>
        <v>400</v>
      </c>
      <c r="Q10" s="11">
        <f t="shared" si="8"/>
        <v>3.4399169889597743</v>
      </c>
      <c r="R10" s="12">
        <f t="shared" si="7"/>
        <v>-0.16910217657976462</v>
      </c>
      <c r="S10" s="11"/>
      <c r="T10" s="12"/>
    </row>
    <row r="11" spans="1:20" x14ac:dyDescent="0.25">
      <c r="A11">
        <v>2</v>
      </c>
      <c r="B11">
        <v>35</v>
      </c>
      <c r="C11">
        <v>50</v>
      </c>
      <c r="E11">
        <v>8.31</v>
      </c>
      <c r="F11" s="2"/>
      <c r="G11">
        <f t="shared" si="0"/>
        <v>2</v>
      </c>
      <c r="H11" s="10">
        <f t="shared" si="0"/>
        <v>35</v>
      </c>
      <c r="I11">
        <f t="shared" si="0"/>
        <v>50</v>
      </c>
      <c r="J11">
        <f t="shared" si="1"/>
        <v>4</v>
      </c>
      <c r="K11">
        <f t="shared" si="2"/>
        <v>70</v>
      </c>
      <c r="L11">
        <f t="shared" si="3"/>
        <v>100</v>
      </c>
      <c r="M11">
        <f t="shared" si="4"/>
        <v>1225</v>
      </c>
      <c r="N11">
        <f t="shared" si="5"/>
        <v>1750</v>
      </c>
      <c r="O11">
        <f t="shared" si="6"/>
        <v>2500</v>
      </c>
      <c r="Q11" s="11">
        <f t="shared" si="8"/>
        <v>8.8475344315485938</v>
      </c>
      <c r="R11" s="12">
        <f t="shared" si="7"/>
        <v>6.4685250487195339E-2</v>
      </c>
      <c r="S11" s="11"/>
      <c r="T11" s="12"/>
    </row>
    <row r="12" spans="1:20" x14ac:dyDescent="0.25">
      <c r="A12">
        <v>2</v>
      </c>
      <c r="B12">
        <v>35</v>
      </c>
      <c r="C12">
        <v>100</v>
      </c>
      <c r="E12">
        <v>13.4</v>
      </c>
      <c r="F12" s="2"/>
      <c r="G12">
        <f t="shared" si="0"/>
        <v>2</v>
      </c>
      <c r="H12" s="10">
        <f t="shared" si="0"/>
        <v>35</v>
      </c>
      <c r="I12">
        <f t="shared" si="0"/>
        <v>100</v>
      </c>
      <c r="J12">
        <f t="shared" si="1"/>
        <v>4</v>
      </c>
      <c r="K12">
        <f t="shared" si="2"/>
        <v>70</v>
      </c>
      <c r="L12">
        <f t="shared" si="3"/>
        <v>200</v>
      </c>
      <c r="M12">
        <f t="shared" si="4"/>
        <v>1225</v>
      </c>
      <c r="N12">
        <f t="shared" si="5"/>
        <v>3500</v>
      </c>
      <c r="O12">
        <f t="shared" si="6"/>
        <v>10000</v>
      </c>
      <c r="Q12" s="11">
        <f t="shared" si="8"/>
        <v>14.876352586139234</v>
      </c>
      <c r="R12" s="12">
        <f t="shared" si="7"/>
        <v>0.11017556612979354</v>
      </c>
      <c r="S12" s="11"/>
      <c r="T12" s="12"/>
    </row>
    <row r="13" spans="1:20" x14ac:dyDescent="0.25">
      <c r="A13">
        <v>7</v>
      </c>
      <c r="B13">
        <v>35</v>
      </c>
      <c r="C13">
        <v>20</v>
      </c>
      <c r="E13">
        <v>4.8899999999999997</v>
      </c>
      <c r="F13" s="2"/>
      <c r="G13">
        <f t="shared" si="0"/>
        <v>7</v>
      </c>
      <c r="H13" s="10">
        <f t="shared" si="0"/>
        <v>35</v>
      </c>
      <c r="I13">
        <f t="shared" si="0"/>
        <v>20</v>
      </c>
      <c r="J13">
        <f t="shared" si="1"/>
        <v>49</v>
      </c>
      <c r="K13">
        <f t="shared" si="2"/>
        <v>245</v>
      </c>
      <c r="L13">
        <f t="shared" si="3"/>
        <v>140</v>
      </c>
      <c r="M13">
        <f t="shared" si="4"/>
        <v>1225</v>
      </c>
      <c r="N13">
        <f t="shared" si="5"/>
        <v>700</v>
      </c>
      <c r="O13">
        <f t="shared" si="6"/>
        <v>400</v>
      </c>
      <c r="Q13" s="11">
        <f t="shared" si="8"/>
        <v>4.7336158061741713</v>
      </c>
      <c r="R13" s="12">
        <f t="shared" si="7"/>
        <v>-3.1980407735343226E-2</v>
      </c>
      <c r="S13" s="11"/>
      <c r="T13" s="12"/>
    </row>
    <row r="14" spans="1:20" x14ac:dyDescent="0.25">
      <c r="A14">
        <v>7</v>
      </c>
      <c r="B14">
        <v>35</v>
      </c>
      <c r="C14">
        <v>50</v>
      </c>
      <c r="E14">
        <v>11.3</v>
      </c>
      <c r="F14" s="2"/>
      <c r="G14">
        <f t="shared" si="0"/>
        <v>7</v>
      </c>
      <c r="H14" s="10">
        <f t="shared" si="0"/>
        <v>35</v>
      </c>
      <c r="I14">
        <f t="shared" si="0"/>
        <v>50</v>
      </c>
      <c r="J14">
        <f t="shared" si="1"/>
        <v>49</v>
      </c>
      <c r="K14">
        <f t="shared" si="2"/>
        <v>245</v>
      </c>
      <c r="L14">
        <f t="shared" si="3"/>
        <v>350</v>
      </c>
      <c r="M14">
        <f t="shared" si="4"/>
        <v>1225</v>
      </c>
      <c r="N14">
        <f t="shared" si="5"/>
        <v>1750</v>
      </c>
      <c r="O14">
        <f t="shared" si="6"/>
        <v>2500</v>
      </c>
      <c r="Q14" s="11">
        <f t="shared" si="8"/>
        <v>10.754848915418547</v>
      </c>
      <c r="R14" s="12">
        <f t="shared" si="7"/>
        <v>-4.8243458812518014E-2</v>
      </c>
      <c r="S14" s="11"/>
      <c r="T14" s="12"/>
    </row>
    <row r="15" spans="1:20" x14ac:dyDescent="0.25">
      <c r="A15">
        <v>7</v>
      </c>
      <c r="B15">
        <v>35</v>
      </c>
      <c r="C15">
        <v>100</v>
      </c>
      <c r="E15">
        <v>17.8</v>
      </c>
      <c r="F15" s="2"/>
      <c r="G15">
        <f t="shared" si="0"/>
        <v>7</v>
      </c>
      <c r="H15" s="10">
        <f t="shared" si="0"/>
        <v>35</v>
      </c>
      <c r="I15">
        <f t="shared" si="0"/>
        <v>100</v>
      </c>
      <c r="J15">
        <f t="shared" si="1"/>
        <v>49</v>
      </c>
      <c r="K15">
        <f t="shared" si="2"/>
        <v>245</v>
      </c>
      <c r="L15">
        <f t="shared" si="3"/>
        <v>700</v>
      </c>
      <c r="M15">
        <f t="shared" si="4"/>
        <v>1225</v>
      </c>
      <c r="N15">
        <f t="shared" si="5"/>
        <v>3500</v>
      </c>
      <c r="O15">
        <f t="shared" si="6"/>
        <v>10000</v>
      </c>
      <c r="Q15" s="11">
        <f t="shared" si="8"/>
        <v>17.806359847768455</v>
      </c>
      <c r="R15" s="12">
        <f t="shared" si="7"/>
        <v>3.5729481845249043E-4</v>
      </c>
      <c r="S15" s="11"/>
      <c r="T15" s="12"/>
    </row>
    <row r="16" spans="1:20" x14ac:dyDescent="0.25">
      <c r="A16">
        <v>12</v>
      </c>
      <c r="B16">
        <v>35</v>
      </c>
      <c r="C16">
        <v>20</v>
      </c>
      <c r="E16">
        <v>5.65</v>
      </c>
      <c r="F16" s="2"/>
      <c r="G16">
        <f t="shared" si="0"/>
        <v>12</v>
      </c>
      <c r="H16" s="10">
        <f t="shared" si="0"/>
        <v>35</v>
      </c>
      <c r="I16">
        <f t="shared" si="0"/>
        <v>20</v>
      </c>
      <c r="J16">
        <f t="shared" si="1"/>
        <v>144</v>
      </c>
      <c r="K16">
        <f t="shared" si="2"/>
        <v>420</v>
      </c>
      <c r="L16">
        <f t="shared" si="3"/>
        <v>240</v>
      </c>
      <c r="M16">
        <f t="shared" si="4"/>
        <v>1225</v>
      </c>
      <c r="N16">
        <f t="shared" si="5"/>
        <v>700</v>
      </c>
      <c r="O16">
        <f t="shared" si="6"/>
        <v>400</v>
      </c>
      <c r="Q16" s="11">
        <f t="shared" si="8"/>
        <v>6.3562183953068372</v>
      </c>
      <c r="R16" s="12">
        <f t="shared" si="7"/>
        <v>0.12499440624899766</v>
      </c>
      <c r="S16" s="11"/>
      <c r="T16" s="12"/>
    </row>
    <row r="17" spans="1:20" x14ac:dyDescent="0.25">
      <c r="A17">
        <v>12</v>
      </c>
      <c r="B17">
        <v>35</v>
      </c>
      <c r="C17">
        <v>50</v>
      </c>
      <c r="E17">
        <v>13.2</v>
      </c>
      <c r="F17" s="2"/>
      <c r="G17">
        <f t="shared" si="0"/>
        <v>12</v>
      </c>
      <c r="H17" s="10">
        <f t="shared" si="0"/>
        <v>35</v>
      </c>
      <c r="I17">
        <f t="shared" si="0"/>
        <v>50</v>
      </c>
      <c r="J17">
        <f t="shared" si="1"/>
        <v>144</v>
      </c>
      <c r="K17">
        <f t="shared" si="2"/>
        <v>420</v>
      </c>
      <c r="L17">
        <f t="shared" si="3"/>
        <v>600</v>
      </c>
      <c r="M17">
        <f t="shared" si="4"/>
        <v>1225</v>
      </c>
      <c r="N17">
        <f t="shared" si="5"/>
        <v>1750</v>
      </c>
      <c r="O17">
        <f t="shared" si="6"/>
        <v>2500</v>
      </c>
      <c r="Q17" s="11">
        <f t="shared" si="8"/>
        <v>12.991067171206774</v>
      </c>
      <c r="R17" s="12">
        <f t="shared" si="7"/>
        <v>-1.5828244605547354E-2</v>
      </c>
      <c r="S17" s="11"/>
      <c r="T17" s="12"/>
    </row>
    <row r="18" spans="1:20" x14ac:dyDescent="0.25">
      <c r="A18">
        <v>12</v>
      </c>
      <c r="B18">
        <v>35</v>
      </c>
      <c r="C18">
        <v>100</v>
      </c>
      <c r="E18">
        <v>21.7</v>
      </c>
      <c r="F18" s="2"/>
      <c r="G18">
        <f t="shared" si="0"/>
        <v>12</v>
      </c>
      <c r="H18" s="10">
        <f t="shared" si="0"/>
        <v>35</v>
      </c>
      <c r="I18">
        <f t="shared" si="0"/>
        <v>100</v>
      </c>
      <c r="J18">
        <f t="shared" si="1"/>
        <v>144</v>
      </c>
      <c r="K18">
        <f t="shared" si="2"/>
        <v>420</v>
      </c>
      <c r="L18">
        <f t="shared" si="3"/>
        <v>1200</v>
      </c>
      <c r="M18">
        <f t="shared" si="4"/>
        <v>1225</v>
      </c>
      <c r="N18">
        <f t="shared" si="5"/>
        <v>3500</v>
      </c>
      <c r="O18">
        <f t="shared" si="6"/>
        <v>10000</v>
      </c>
      <c r="Q18" s="11">
        <f t="shared" si="8"/>
        <v>21.065270881315946</v>
      </c>
      <c r="R18" s="12">
        <f t="shared" si="7"/>
        <v>-2.9250189801108429E-2</v>
      </c>
      <c r="S18" s="11"/>
      <c r="T18" s="12"/>
    </row>
    <row r="19" spans="1:20" x14ac:dyDescent="0.25">
      <c r="A19">
        <v>-15</v>
      </c>
      <c r="B19">
        <v>45</v>
      </c>
      <c r="C19">
        <v>20</v>
      </c>
      <c r="E19">
        <v>1.59</v>
      </c>
      <c r="F19" s="2"/>
      <c r="G19">
        <f t="shared" si="0"/>
        <v>-15</v>
      </c>
      <c r="H19" s="10">
        <f t="shared" si="0"/>
        <v>45</v>
      </c>
      <c r="I19">
        <f t="shared" si="0"/>
        <v>20</v>
      </c>
      <c r="J19">
        <f t="shared" si="1"/>
        <v>225</v>
      </c>
      <c r="K19">
        <f t="shared" si="2"/>
        <v>-675</v>
      </c>
      <c r="L19">
        <f t="shared" si="3"/>
        <v>-300</v>
      </c>
      <c r="M19">
        <f t="shared" si="4"/>
        <v>2025</v>
      </c>
      <c r="N19">
        <f t="shared" si="5"/>
        <v>900</v>
      </c>
      <c r="O19">
        <f t="shared" si="6"/>
        <v>400</v>
      </c>
      <c r="Q19" s="11">
        <f t="shared" si="8"/>
        <v>2.0457262148818844</v>
      </c>
      <c r="R19" s="12">
        <f t="shared" si="7"/>
        <v>0.28662026093200271</v>
      </c>
      <c r="S19" s="11"/>
      <c r="T19" s="12"/>
    </row>
    <row r="20" spans="1:20" x14ac:dyDescent="0.25">
      <c r="A20">
        <v>-15</v>
      </c>
      <c r="B20">
        <v>45</v>
      </c>
      <c r="C20">
        <v>50</v>
      </c>
      <c r="E20">
        <v>4.5999999999999996</v>
      </c>
      <c r="F20" s="2"/>
      <c r="G20">
        <f t="shared" si="0"/>
        <v>-15</v>
      </c>
      <c r="H20" s="10">
        <f t="shared" si="0"/>
        <v>45</v>
      </c>
      <c r="I20">
        <f t="shared" si="0"/>
        <v>50</v>
      </c>
      <c r="J20">
        <f t="shared" si="1"/>
        <v>225</v>
      </c>
      <c r="K20">
        <f t="shared" si="2"/>
        <v>-675</v>
      </c>
      <c r="L20">
        <f t="shared" si="3"/>
        <v>-750</v>
      </c>
      <c r="M20">
        <f t="shared" si="4"/>
        <v>2025</v>
      </c>
      <c r="N20">
        <f t="shared" si="5"/>
        <v>2250</v>
      </c>
      <c r="O20">
        <f t="shared" si="6"/>
        <v>2500</v>
      </c>
      <c r="Q20" s="11">
        <f t="shared" si="8"/>
        <v>5.1658334185382246</v>
      </c>
      <c r="R20" s="12">
        <f t="shared" si="7"/>
        <v>0.12300726489961414</v>
      </c>
      <c r="S20" s="11"/>
      <c r="T20" s="12"/>
    </row>
    <row r="21" spans="1:20" x14ac:dyDescent="0.25">
      <c r="A21">
        <v>-15</v>
      </c>
      <c r="B21">
        <v>45</v>
      </c>
      <c r="C21">
        <v>100</v>
      </c>
      <c r="E21">
        <v>7.66</v>
      </c>
      <c r="F21" s="2"/>
      <c r="G21">
        <f t="shared" si="0"/>
        <v>-15</v>
      </c>
      <c r="H21" s="10">
        <f t="shared" si="0"/>
        <v>45</v>
      </c>
      <c r="I21">
        <f t="shared" si="0"/>
        <v>100</v>
      </c>
      <c r="J21">
        <f t="shared" si="1"/>
        <v>225</v>
      </c>
      <c r="K21">
        <f t="shared" si="2"/>
        <v>-675</v>
      </c>
      <c r="L21">
        <f t="shared" si="3"/>
        <v>-1500</v>
      </c>
      <c r="M21">
        <f t="shared" si="4"/>
        <v>2025</v>
      </c>
      <c r="N21">
        <f t="shared" si="5"/>
        <v>4500</v>
      </c>
      <c r="O21">
        <f t="shared" si="6"/>
        <v>10000</v>
      </c>
      <c r="Q21" s="11">
        <f t="shared" si="8"/>
        <v>7.3821345082413989</v>
      </c>
      <c r="R21" s="12">
        <f t="shared" si="7"/>
        <v>-3.62748683757965E-2</v>
      </c>
      <c r="S21" s="11"/>
      <c r="T21" s="12"/>
    </row>
    <row r="22" spans="1:20" x14ac:dyDescent="0.25">
      <c r="A22">
        <v>-7</v>
      </c>
      <c r="B22">
        <v>45</v>
      </c>
      <c r="C22">
        <v>20</v>
      </c>
      <c r="E22">
        <v>2.17</v>
      </c>
      <c r="F22" s="2"/>
      <c r="G22">
        <f t="shared" si="0"/>
        <v>-7</v>
      </c>
      <c r="H22" s="10">
        <f t="shared" si="0"/>
        <v>45</v>
      </c>
      <c r="I22">
        <f t="shared" si="0"/>
        <v>20</v>
      </c>
      <c r="J22">
        <f t="shared" si="1"/>
        <v>49</v>
      </c>
      <c r="K22">
        <f t="shared" si="2"/>
        <v>-315</v>
      </c>
      <c r="L22">
        <f t="shared" si="3"/>
        <v>-140</v>
      </c>
      <c r="M22">
        <f t="shared" si="4"/>
        <v>2025</v>
      </c>
      <c r="N22">
        <f t="shared" si="5"/>
        <v>900</v>
      </c>
      <c r="O22">
        <f t="shared" si="6"/>
        <v>400</v>
      </c>
      <c r="Q22" s="11">
        <f t="shared" si="8"/>
        <v>2.252851195466882</v>
      </c>
      <c r="R22" s="12">
        <f t="shared" si="7"/>
        <v>3.8180274408701392E-2</v>
      </c>
      <c r="S22" s="11"/>
      <c r="T22" s="12"/>
    </row>
    <row r="23" spans="1:20" x14ac:dyDescent="0.25">
      <c r="A23">
        <v>-7</v>
      </c>
      <c r="B23">
        <v>45</v>
      </c>
      <c r="C23">
        <v>50</v>
      </c>
      <c r="E23">
        <v>7.05</v>
      </c>
      <c r="F23" s="2"/>
      <c r="G23">
        <f t="shared" si="0"/>
        <v>-7</v>
      </c>
      <c r="H23" s="10">
        <f t="shared" si="0"/>
        <v>45</v>
      </c>
      <c r="I23">
        <f t="shared" si="0"/>
        <v>50</v>
      </c>
      <c r="J23">
        <f t="shared" si="1"/>
        <v>49</v>
      </c>
      <c r="K23">
        <f t="shared" si="2"/>
        <v>-315</v>
      </c>
      <c r="L23">
        <f t="shared" si="3"/>
        <v>-350</v>
      </c>
      <c r="M23">
        <f t="shared" si="4"/>
        <v>2025</v>
      </c>
      <c r="N23">
        <f t="shared" si="5"/>
        <v>2250</v>
      </c>
      <c r="O23">
        <f t="shared" si="6"/>
        <v>2500</v>
      </c>
      <c r="Q23" s="11">
        <f t="shared" si="8"/>
        <v>6.3547434657721142</v>
      </c>
      <c r="R23" s="12">
        <f t="shared" si="7"/>
        <v>-9.8617948117430576E-2</v>
      </c>
      <c r="S23" s="11"/>
      <c r="T23" s="12"/>
    </row>
    <row r="24" spans="1:20" x14ac:dyDescent="0.25">
      <c r="A24">
        <v>-7</v>
      </c>
      <c r="B24">
        <v>45</v>
      </c>
      <c r="C24">
        <v>100</v>
      </c>
      <c r="E24">
        <v>10.5</v>
      </c>
      <c r="F24" s="2"/>
      <c r="G24">
        <f t="shared" si="0"/>
        <v>-7</v>
      </c>
      <c r="H24" s="10">
        <f t="shared" si="0"/>
        <v>45</v>
      </c>
      <c r="I24">
        <f t="shared" si="0"/>
        <v>100</v>
      </c>
      <c r="J24">
        <f t="shared" si="1"/>
        <v>49</v>
      </c>
      <c r="K24">
        <f t="shared" si="2"/>
        <v>-315</v>
      </c>
      <c r="L24">
        <f t="shared" si="3"/>
        <v>-700</v>
      </c>
      <c r="M24">
        <f t="shared" si="4"/>
        <v>2025</v>
      </c>
      <c r="N24">
        <f t="shared" si="5"/>
        <v>4500</v>
      </c>
      <c r="O24">
        <f t="shared" si="6"/>
        <v>10000</v>
      </c>
      <c r="Q24" s="11">
        <f t="shared" si="8"/>
        <v>10.207352999890112</v>
      </c>
      <c r="R24" s="12">
        <f t="shared" si="7"/>
        <v>-2.7871142867608358E-2</v>
      </c>
      <c r="S24" s="11"/>
      <c r="T24" s="12"/>
    </row>
    <row r="25" spans="1:20" x14ac:dyDescent="0.25">
      <c r="A25">
        <v>2</v>
      </c>
      <c r="B25">
        <v>45</v>
      </c>
      <c r="C25">
        <v>20</v>
      </c>
      <c r="E25">
        <v>3.9</v>
      </c>
      <c r="F25" s="2"/>
      <c r="G25">
        <f t="shared" si="0"/>
        <v>2</v>
      </c>
      <c r="H25" s="10">
        <f t="shared" si="0"/>
        <v>45</v>
      </c>
      <c r="I25">
        <f t="shared" si="0"/>
        <v>20</v>
      </c>
      <c r="J25">
        <f t="shared" si="1"/>
        <v>4</v>
      </c>
      <c r="K25">
        <f t="shared" si="2"/>
        <v>90</v>
      </c>
      <c r="L25">
        <f t="shared" si="3"/>
        <v>40</v>
      </c>
      <c r="M25">
        <f t="shared" si="4"/>
        <v>2025</v>
      </c>
      <c r="N25">
        <f t="shared" si="5"/>
        <v>900</v>
      </c>
      <c r="O25">
        <f t="shared" si="6"/>
        <v>400</v>
      </c>
      <c r="Q25" s="11">
        <f t="shared" si="8"/>
        <v>3.4923123406949164</v>
      </c>
      <c r="R25" s="12">
        <f t="shared" si="7"/>
        <v>-0.10453529725771374</v>
      </c>
      <c r="S25" s="11"/>
      <c r="T25" s="12"/>
    </row>
    <row r="26" spans="1:20" x14ac:dyDescent="0.25">
      <c r="A26">
        <v>2</v>
      </c>
      <c r="B26">
        <v>45</v>
      </c>
      <c r="C26">
        <v>50</v>
      </c>
      <c r="E26">
        <v>7.74</v>
      </c>
      <c r="G26">
        <f t="shared" si="0"/>
        <v>2</v>
      </c>
      <c r="H26" s="10">
        <f t="shared" si="0"/>
        <v>45</v>
      </c>
      <c r="I26">
        <f t="shared" si="0"/>
        <v>50</v>
      </c>
      <c r="J26">
        <f t="shared" si="1"/>
        <v>4</v>
      </c>
      <c r="K26">
        <f t="shared" si="2"/>
        <v>90</v>
      </c>
      <c r="L26">
        <f t="shared" si="3"/>
        <v>100</v>
      </c>
      <c r="M26">
        <f t="shared" si="4"/>
        <v>2025</v>
      </c>
      <c r="N26">
        <f t="shared" si="5"/>
        <v>2250</v>
      </c>
      <c r="O26">
        <f t="shared" si="6"/>
        <v>2500</v>
      </c>
      <c r="Q26" s="11">
        <f t="shared" si="8"/>
        <v>8.6987128109801546</v>
      </c>
      <c r="R26" s="12">
        <f t="shared" si="7"/>
        <v>0.12386470426100185</v>
      </c>
      <c r="S26" s="11"/>
      <c r="T26" s="12"/>
    </row>
    <row r="27" spans="1:20" x14ac:dyDescent="0.25">
      <c r="A27">
        <v>2</v>
      </c>
      <c r="B27">
        <v>45</v>
      </c>
      <c r="C27">
        <v>100</v>
      </c>
      <c r="E27">
        <v>13.5</v>
      </c>
      <c r="G27">
        <f t="shared" si="0"/>
        <v>2</v>
      </c>
      <c r="H27" s="10">
        <f t="shared" si="0"/>
        <v>45</v>
      </c>
      <c r="I27">
        <f t="shared" si="0"/>
        <v>100</v>
      </c>
      <c r="J27">
        <f t="shared" si="1"/>
        <v>4</v>
      </c>
      <c r="K27">
        <f t="shared" si="2"/>
        <v>90</v>
      </c>
      <c r="L27">
        <f t="shared" si="3"/>
        <v>200</v>
      </c>
      <c r="M27">
        <f t="shared" si="4"/>
        <v>2025</v>
      </c>
      <c r="N27">
        <f t="shared" si="5"/>
        <v>4500</v>
      </c>
      <c r="O27">
        <f t="shared" si="6"/>
        <v>10000</v>
      </c>
      <c r="Q27" s="11">
        <f t="shared" si="8"/>
        <v>14.392169345064822</v>
      </c>
      <c r="R27" s="12">
        <f t="shared" si="7"/>
        <v>6.6086618152949778E-2</v>
      </c>
      <c r="S27" s="11"/>
      <c r="T27" s="12"/>
    </row>
    <row r="28" spans="1:20" x14ac:dyDescent="0.25">
      <c r="A28">
        <v>7</v>
      </c>
      <c r="B28">
        <v>45</v>
      </c>
      <c r="C28">
        <v>20</v>
      </c>
      <c r="E28">
        <v>4.59</v>
      </c>
      <c r="G28">
        <f t="shared" si="0"/>
        <v>7</v>
      </c>
      <c r="H28" s="10">
        <f t="shared" si="0"/>
        <v>45</v>
      </c>
      <c r="I28">
        <f t="shared" si="0"/>
        <v>20</v>
      </c>
      <c r="J28">
        <f t="shared" si="1"/>
        <v>49</v>
      </c>
      <c r="K28">
        <f t="shared" si="2"/>
        <v>315</v>
      </c>
      <c r="L28">
        <f t="shared" si="3"/>
        <v>140</v>
      </c>
      <c r="M28">
        <f t="shared" si="4"/>
        <v>2025</v>
      </c>
      <c r="N28">
        <f t="shared" si="5"/>
        <v>900</v>
      </c>
      <c r="O28">
        <f t="shared" si="6"/>
        <v>400</v>
      </c>
      <c r="Q28" s="11">
        <f t="shared" si="8"/>
        <v>4.6413671465071831</v>
      </c>
      <c r="R28" s="12">
        <f t="shared" si="7"/>
        <v>1.1191099456902661E-2</v>
      </c>
      <c r="S28" s="11"/>
      <c r="T28" s="12"/>
    </row>
    <row r="29" spans="1:20" x14ac:dyDescent="0.25">
      <c r="A29">
        <v>7</v>
      </c>
      <c r="B29">
        <v>45</v>
      </c>
      <c r="C29">
        <v>50</v>
      </c>
      <c r="E29">
        <v>10.8</v>
      </c>
      <c r="G29">
        <f t="shared" si="0"/>
        <v>7</v>
      </c>
      <c r="H29" s="10">
        <f t="shared" si="0"/>
        <v>45</v>
      </c>
      <c r="I29">
        <f t="shared" si="0"/>
        <v>50</v>
      </c>
      <c r="J29">
        <f t="shared" si="1"/>
        <v>49</v>
      </c>
      <c r="K29">
        <f t="shared" si="2"/>
        <v>315</v>
      </c>
      <c r="L29">
        <f t="shared" si="3"/>
        <v>350</v>
      </c>
      <c r="M29">
        <f t="shared" si="4"/>
        <v>2025</v>
      </c>
      <c r="N29">
        <f t="shared" si="5"/>
        <v>2250</v>
      </c>
      <c r="O29">
        <f t="shared" si="6"/>
        <v>2500</v>
      </c>
      <c r="Q29" s="11">
        <f t="shared" si="8"/>
        <v>10.461383283447976</v>
      </c>
      <c r="R29" s="12">
        <f t="shared" si="7"/>
        <v>-3.1353399680743042E-2</v>
      </c>
      <c r="S29" s="11"/>
      <c r="T29" s="12"/>
    </row>
    <row r="30" spans="1:20" x14ac:dyDescent="0.25">
      <c r="A30">
        <v>7</v>
      </c>
      <c r="B30">
        <v>45</v>
      </c>
      <c r="C30">
        <v>100</v>
      </c>
      <c r="E30">
        <v>17.399999999999999</v>
      </c>
      <c r="G30">
        <f t="shared" si="0"/>
        <v>7</v>
      </c>
      <c r="H30" s="10">
        <f t="shared" si="0"/>
        <v>45</v>
      </c>
      <c r="I30">
        <f t="shared" si="0"/>
        <v>100</v>
      </c>
      <c r="J30">
        <f t="shared" si="1"/>
        <v>49</v>
      </c>
      <c r="K30">
        <f t="shared" si="2"/>
        <v>315</v>
      </c>
      <c r="L30">
        <f t="shared" si="3"/>
        <v>700</v>
      </c>
      <c r="M30">
        <f t="shared" si="4"/>
        <v>2025</v>
      </c>
      <c r="N30">
        <f t="shared" si="5"/>
        <v>4500</v>
      </c>
      <c r="O30">
        <f t="shared" si="6"/>
        <v>10000</v>
      </c>
      <c r="Q30" s="11">
        <f t="shared" si="8"/>
        <v>17.177532595291908</v>
      </c>
      <c r="R30" s="12">
        <f t="shared" si="7"/>
        <v>-1.2785483029200633E-2</v>
      </c>
      <c r="S30" s="11"/>
      <c r="T30" s="12"/>
    </row>
    <row r="31" spans="1:20" x14ac:dyDescent="0.25">
      <c r="A31">
        <v>12</v>
      </c>
      <c r="B31">
        <v>45</v>
      </c>
      <c r="C31">
        <v>20</v>
      </c>
      <c r="E31">
        <v>5.48</v>
      </c>
      <c r="G31">
        <f t="shared" si="0"/>
        <v>12</v>
      </c>
      <c r="H31" s="10">
        <f t="shared" si="0"/>
        <v>45</v>
      </c>
      <c r="I31">
        <f t="shared" si="0"/>
        <v>20</v>
      </c>
      <c r="J31">
        <f t="shared" si="1"/>
        <v>144</v>
      </c>
      <c r="K31">
        <f t="shared" si="2"/>
        <v>540</v>
      </c>
      <c r="L31">
        <f t="shared" si="3"/>
        <v>240</v>
      </c>
      <c r="M31">
        <f t="shared" si="4"/>
        <v>2025</v>
      </c>
      <c r="N31">
        <f t="shared" si="5"/>
        <v>900</v>
      </c>
      <c r="O31">
        <f t="shared" si="6"/>
        <v>400</v>
      </c>
      <c r="Q31" s="11">
        <f t="shared" si="8"/>
        <v>6.1193257242377213</v>
      </c>
      <c r="R31" s="12">
        <f t="shared" si="7"/>
        <v>0.11666527814556948</v>
      </c>
      <c r="S31" s="11"/>
      <c r="T31" s="12"/>
    </row>
    <row r="32" spans="1:20" x14ac:dyDescent="0.25">
      <c r="A32">
        <v>12</v>
      </c>
      <c r="B32">
        <v>45</v>
      </c>
      <c r="C32">
        <v>50</v>
      </c>
      <c r="E32">
        <v>12.6</v>
      </c>
      <c r="G32">
        <f t="shared" si="0"/>
        <v>12</v>
      </c>
      <c r="H32" s="10">
        <f t="shared" si="0"/>
        <v>45</v>
      </c>
      <c r="I32">
        <f t="shared" si="0"/>
        <v>50</v>
      </c>
      <c r="J32">
        <f t="shared" si="1"/>
        <v>144</v>
      </c>
      <c r="K32">
        <f t="shared" si="2"/>
        <v>540</v>
      </c>
      <c r="L32">
        <f t="shared" si="3"/>
        <v>600</v>
      </c>
      <c r="M32">
        <f t="shared" si="4"/>
        <v>2025</v>
      </c>
      <c r="N32">
        <f t="shared" si="5"/>
        <v>2250</v>
      </c>
      <c r="O32">
        <f t="shared" si="6"/>
        <v>2500</v>
      </c>
      <c r="Q32" s="11">
        <f t="shared" si="8"/>
        <v>12.552957527834074</v>
      </c>
      <c r="R32" s="12">
        <f t="shared" si="7"/>
        <v>-3.7335295369781965E-3</v>
      </c>
      <c r="S32" s="11"/>
      <c r="T32" s="12"/>
    </row>
    <row r="33" spans="1:20" x14ac:dyDescent="0.25">
      <c r="A33">
        <v>12</v>
      </c>
      <c r="B33">
        <v>45</v>
      </c>
      <c r="C33">
        <v>100</v>
      </c>
      <c r="E33">
        <v>20.5</v>
      </c>
      <c r="G33">
        <f t="shared" si="0"/>
        <v>12</v>
      </c>
      <c r="H33" s="10">
        <f t="shared" si="0"/>
        <v>45</v>
      </c>
      <c r="I33">
        <f t="shared" si="0"/>
        <v>100</v>
      </c>
      <c r="J33">
        <f t="shared" si="1"/>
        <v>144</v>
      </c>
      <c r="K33">
        <f t="shared" si="2"/>
        <v>540</v>
      </c>
      <c r="L33">
        <f t="shared" si="3"/>
        <v>1200</v>
      </c>
      <c r="M33">
        <f t="shared" si="4"/>
        <v>2025</v>
      </c>
      <c r="N33">
        <f t="shared" si="5"/>
        <v>4500</v>
      </c>
      <c r="O33">
        <f t="shared" si="6"/>
        <v>10000</v>
      </c>
      <c r="Q33" s="11">
        <f t="shared" si="8"/>
        <v>20.29179961743727</v>
      </c>
      <c r="R33" s="12">
        <f t="shared" si="7"/>
        <v>-1.0156116222572179E-2</v>
      </c>
      <c r="S33" s="11"/>
      <c r="T33" s="12"/>
    </row>
    <row r="34" spans="1:20" x14ac:dyDescent="0.25">
      <c r="A34">
        <v>-7</v>
      </c>
      <c r="B34">
        <v>55</v>
      </c>
      <c r="C34">
        <v>20</v>
      </c>
      <c r="E34">
        <v>2.0699999999999998</v>
      </c>
      <c r="G34">
        <f t="shared" si="0"/>
        <v>-7</v>
      </c>
      <c r="H34" s="10">
        <f t="shared" si="0"/>
        <v>55</v>
      </c>
      <c r="I34">
        <f t="shared" si="0"/>
        <v>20</v>
      </c>
      <c r="J34">
        <f t="shared" si="1"/>
        <v>49</v>
      </c>
      <c r="K34">
        <f t="shared" si="2"/>
        <v>-385</v>
      </c>
      <c r="L34">
        <f t="shared" si="3"/>
        <v>-140</v>
      </c>
      <c r="M34">
        <f t="shared" si="4"/>
        <v>3025</v>
      </c>
      <c r="N34">
        <f t="shared" si="5"/>
        <v>1100</v>
      </c>
      <c r="O34">
        <f t="shared" si="6"/>
        <v>400</v>
      </c>
      <c r="Q34" s="11">
        <f t="shared" si="8"/>
        <v>2.2968096205397521</v>
      </c>
      <c r="R34" s="12">
        <f t="shared" si="7"/>
        <v>0.10956986499504942</v>
      </c>
      <c r="S34" s="11"/>
      <c r="T34" s="12"/>
    </row>
    <row r="35" spans="1:20" x14ac:dyDescent="0.25">
      <c r="A35">
        <v>-7</v>
      </c>
      <c r="B35">
        <v>55</v>
      </c>
      <c r="C35">
        <v>50</v>
      </c>
      <c r="E35">
        <v>5.97</v>
      </c>
      <c r="G35">
        <f t="shared" si="0"/>
        <v>-7</v>
      </c>
      <c r="H35" s="10">
        <f t="shared" si="0"/>
        <v>55</v>
      </c>
      <c r="I35">
        <f t="shared" si="0"/>
        <v>50</v>
      </c>
      <c r="J35">
        <f t="shared" si="1"/>
        <v>49</v>
      </c>
      <c r="K35">
        <f t="shared" si="2"/>
        <v>-385</v>
      </c>
      <c r="L35">
        <f t="shared" si="3"/>
        <v>-350</v>
      </c>
      <c r="M35">
        <f t="shared" si="4"/>
        <v>3025</v>
      </c>
      <c r="N35">
        <f t="shared" si="5"/>
        <v>2750</v>
      </c>
      <c r="O35">
        <f t="shared" si="6"/>
        <v>2500</v>
      </c>
      <c r="Q35" s="11">
        <f t="shared" si="8"/>
        <v>6.1974849185413996</v>
      </c>
      <c r="R35" s="12">
        <f t="shared" si="7"/>
        <v>3.8104676472596292E-2</v>
      </c>
      <c r="S35" s="11"/>
      <c r="T35" s="12"/>
    </row>
    <row r="36" spans="1:20" x14ac:dyDescent="0.25">
      <c r="A36">
        <v>-7</v>
      </c>
      <c r="B36">
        <v>55</v>
      </c>
      <c r="C36">
        <v>100</v>
      </c>
      <c r="E36">
        <v>10.1</v>
      </c>
      <c r="G36">
        <f t="shared" si="0"/>
        <v>-7</v>
      </c>
      <c r="H36" s="10">
        <f t="shared" si="0"/>
        <v>55</v>
      </c>
      <c r="I36">
        <f t="shared" si="0"/>
        <v>100</v>
      </c>
      <c r="J36">
        <f t="shared" si="1"/>
        <v>49</v>
      </c>
      <c r="K36">
        <f t="shared" si="2"/>
        <v>-385</v>
      </c>
      <c r="L36">
        <f t="shared" si="3"/>
        <v>-700</v>
      </c>
      <c r="M36">
        <f t="shared" si="4"/>
        <v>3025</v>
      </c>
      <c r="N36">
        <f t="shared" si="5"/>
        <v>5500</v>
      </c>
      <c r="O36">
        <f t="shared" si="6"/>
        <v>10000</v>
      </c>
      <c r="Q36" s="11">
        <f t="shared" si="8"/>
        <v>9.7147328321534303</v>
      </c>
      <c r="R36" s="12">
        <f t="shared" si="7"/>
        <v>-3.8145264143224687E-2</v>
      </c>
      <c r="S36" s="11"/>
      <c r="T36" s="12"/>
    </row>
    <row r="37" spans="1:20" x14ac:dyDescent="0.25">
      <c r="A37">
        <v>2</v>
      </c>
      <c r="B37">
        <v>55</v>
      </c>
      <c r="C37">
        <v>20</v>
      </c>
      <c r="E37">
        <v>3.65</v>
      </c>
      <c r="G37">
        <f t="shared" si="0"/>
        <v>2</v>
      </c>
      <c r="H37" s="10">
        <f t="shared" si="0"/>
        <v>55</v>
      </c>
      <c r="I37">
        <f t="shared" si="0"/>
        <v>20</v>
      </c>
      <c r="J37">
        <f t="shared" si="1"/>
        <v>4</v>
      </c>
      <c r="K37">
        <f t="shared" si="2"/>
        <v>110</v>
      </c>
      <c r="L37">
        <f t="shared" si="3"/>
        <v>40</v>
      </c>
      <c r="M37">
        <f t="shared" si="4"/>
        <v>3025</v>
      </c>
      <c r="N37">
        <f t="shared" si="5"/>
        <v>1100</v>
      </c>
      <c r="O37">
        <f t="shared" si="6"/>
        <v>400</v>
      </c>
      <c r="Q37" s="11">
        <f t="shared" si="8"/>
        <v>3.2759115452439533</v>
      </c>
      <c r="R37" s="12">
        <f t="shared" si="7"/>
        <v>-0.10248998760439633</v>
      </c>
      <c r="S37" s="11"/>
      <c r="T37" s="12"/>
    </row>
    <row r="38" spans="1:20" x14ac:dyDescent="0.25">
      <c r="A38">
        <v>2</v>
      </c>
      <c r="B38">
        <v>55</v>
      </c>
      <c r="C38">
        <v>50</v>
      </c>
      <c r="E38">
        <v>7.76</v>
      </c>
      <c r="G38">
        <f t="shared" si="0"/>
        <v>2</v>
      </c>
      <c r="H38" s="10">
        <f t="shared" si="0"/>
        <v>55</v>
      </c>
      <c r="I38">
        <f t="shared" si="0"/>
        <v>50</v>
      </c>
      <c r="J38">
        <f t="shared" si="1"/>
        <v>4</v>
      </c>
      <c r="K38">
        <f t="shared" si="2"/>
        <v>110</v>
      </c>
      <c r="L38">
        <f t="shared" si="3"/>
        <v>100</v>
      </c>
      <c r="M38">
        <f t="shared" si="4"/>
        <v>3025</v>
      </c>
      <c r="N38">
        <f t="shared" si="5"/>
        <v>2750</v>
      </c>
      <c r="O38">
        <f t="shared" si="6"/>
        <v>2500</v>
      </c>
      <c r="Q38" s="11">
        <f t="shared" si="8"/>
        <v>8.281095043225605</v>
      </c>
      <c r="R38" s="12">
        <f t="shared" si="7"/>
        <v>6.7151423096083143E-2</v>
      </c>
      <c r="S38" s="11"/>
      <c r="T38" s="12"/>
    </row>
    <row r="39" spans="1:20" x14ac:dyDescent="0.25">
      <c r="A39">
        <v>2</v>
      </c>
      <c r="B39">
        <v>55</v>
      </c>
      <c r="C39">
        <v>100</v>
      </c>
      <c r="E39">
        <v>13.1</v>
      </c>
      <c r="G39">
        <f t="shared" si="0"/>
        <v>2</v>
      </c>
      <c r="H39" s="10">
        <f t="shared" si="0"/>
        <v>55</v>
      </c>
      <c r="I39">
        <f t="shared" si="0"/>
        <v>100</v>
      </c>
      <c r="J39">
        <f t="shared" si="1"/>
        <v>4</v>
      </c>
      <c r="K39">
        <f t="shared" si="2"/>
        <v>110</v>
      </c>
      <c r="L39">
        <f t="shared" si="3"/>
        <v>200</v>
      </c>
      <c r="M39">
        <f t="shared" si="4"/>
        <v>3025</v>
      </c>
      <c r="N39">
        <f t="shared" si="5"/>
        <v>5500</v>
      </c>
      <c r="O39">
        <f t="shared" si="6"/>
        <v>10000</v>
      </c>
      <c r="Q39" s="11">
        <f t="shared" si="8"/>
        <v>13.639189956804305</v>
      </c>
      <c r="R39" s="12">
        <f t="shared" si="7"/>
        <v>4.1159538687351567E-2</v>
      </c>
      <c r="S39" s="11"/>
      <c r="T39" s="12"/>
    </row>
    <row r="40" spans="1:20" x14ac:dyDescent="0.25">
      <c r="A40">
        <v>7</v>
      </c>
      <c r="B40">
        <v>55</v>
      </c>
      <c r="C40">
        <v>20</v>
      </c>
      <c r="E40">
        <v>4.41</v>
      </c>
      <c r="G40">
        <f t="shared" si="0"/>
        <v>7</v>
      </c>
      <c r="H40" s="10">
        <f t="shared" si="0"/>
        <v>55</v>
      </c>
      <c r="I40">
        <f t="shared" si="0"/>
        <v>20</v>
      </c>
      <c r="J40">
        <f t="shared" si="1"/>
        <v>49</v>
      </c>
      <c r="K40">
        <f t="shared" si="2"/>
        <v>385</v>
      </c>
      <c r="L40">
        <f t="shared" si="3"/>
        <v>140</v>
      </c>
      <c r="M40">
        <f t="shared" si="4"/>
        <v>3025</v>
      </c>
      <c r="N40">
        <f t="shared" si="5"/>
        <v>1100</v>
      </c>
      <c r="O40">
        <f t="shared" si="6"/>
        <v>400</v>
      </c>
      <c r="Q40" s="11">
        <f t="shared" si="8"/>
        <v>4.2803223396540888</v>
      </c>
      <c r="R40" s="12">
        <f t="shared" si="7"/>
        <v>-2.940536515780302E-2</v>
      </c>
      <c r="S40" s="11"/>
      <c r="T40" s="12"/>
    </row>
    <row r="41" spans="1:20" x14ac:dyDescent="0.25">
      <c r="A41">
        <v>7</v>
      </c>
      <c r="B41">
        <v>55</v>
      </c>
      <c r="C41">
        <v>50</v>
      </c>
      <c r="E41">
        <v>10.3</v>
      </c>
      <c r="G41">
        <f t="shared" si="0"/>
        <v>7</v>
      </c>
      <c r="H41" s="10">
        <f t="shared" si="0"/>
        <v>55</v>
      </c>
      <c r="I41">
        <f t="shared" si="0"/>
        <v>50</v>
      </c>
      <c r="J41">
        <f t="shared" si="1"/>
        <v>49</v>
      </c>
      <c r="K41">
        <f t="shared" si="2"/>
        <v>385</v>
      </c>
      <c r="L41">
        <f t="shared" si="3"/>
        <v>350</v>
      </c>
      <c r="M41">
        <f t="shared" si="4"/>
        <v>3025</v>
      </c>
      <c r="N41">
        <f t="shared" si="5"/>
        <v>2750</v>
      </c>
      <c r="O41">
        <f t="shared" si="6"/>
        <v>2500</v>
      </c>
      <c r="Q41" s="11">
        <f t="shared" si="8"/>
        <v>9.8991215042913012</v>
      </c>
      <c r="R41" s="12">
        <f t="shared" si="7"/>
        <v>-3.8920242301815483E-2</v>
      </c>
      <c r="S41" s="11"/>
      <c r="T41" s="12"/>
    </row>
    <row r="42" spans="1:20" x14ac:dyDescent="0.25">
      <c r="A42">
        <v>7</v>
      </c>
      <c r="B42">
        <v>55</v>
      </c>
      <c r="C42">
        <v>100</v>
      </c>
      <c r="E42">
        <v>16.899999999999999</v>
      </c>
      <c r="G42">
        <f t="shared" si="0"/>
        <v>7</v>
      </c>
      <c r="H42" s="10">
        <f t="shared" si="0"/>
        <v>55</v>
      </c>
      <c r="I42">
        <f t="shared" si="0"/>
        <v>100</v>
      </c>
      <c r="J42">
        <f t="shared" si="1"/>
        <v>49</v>
      </c>
      <c r="K42">
        <f t="shared" si="2"/>
        <v>385</v>
      </c>
      <c r="L42">
        <f t="shared" si="3"/>
        <v>700</v>
      </c>
      <c r="M42">
        <f t="shared" si="4"/>
        <v>3025</v>
      </c>
      <c r="N42">
        <f t="shared" si="5"/>
        <v>5500</v>
      </c>
      <c r="O42">
        <f t="shared" si="6"/>
        <v>10000</v>
      </c>
      <c r="Q42" s="11">
        <f t="shared" si="8"/>
        <v>16.279909195629266</v>
      </c>
      <c r="R42" s="12">
        <f t="shared" si="7"/>
        <v>-3.6691763572232722E-2</v>
      </c>
      <c r="S42" s="11"/>
      <c r="T42" s="12"/>
    </row>
    <row r="43" spans="1:20" x14ac:dyDescent="0.25">
      <c r="A43">
        <v>12</v>
      </c>
      <c r="B43">
        <v>55</v>
      </c>
      <c r="C43">
        <v>20</v>
      </c>
      <c r="E43">
        <v>5.27</v>
      </c>
      <c r="G43">
        <f t="shared" si="0"/>
        <v>12</v>
      </c>
      <c r="H43" s="10">
        <f t="shared" si="0"/>
        <v>55</v>
      </c>
      <c r="I43">
        <f t="shared" si="0"/>
        <v>20</v>
      </c>
      <c r="J43">
        <f t="shared" si="1"/>
        <v>144</v>
      </c>
      <c r="K43">
        <f t="shared" si="2"/>
        <v>660</v>
      </c>
      <c r="L43">
        <f t="shared" si="3"/>
        <v>240</v>
      </c>
      <c r="M43">
        <f t="shared" si="4"/>
        <v>3025</v>
      </c>
      <c r="N43">
        <f t="shared" si="5"/>
        <v>1100</v>
      </c>
      <c r="O43">
        <f t="shared" si="6"/>
        <v>400</v>
      </c>
      <c r="Q43" s="11">
        <f t="shared" si="8"/>
        <v>5.6136369059824966</v>
      </c>
      <c r="R43" s="12">
        <f t="shared" si="7"/>
        <v>6.5206244019449161E-2</v>
      </c>
      <c r="S43" s="11"/>
      <c r="T43" s="12"/>
    </row>
    <row r="44" spans="1:20" x14ac:dyDescent="0.25">
      <c r="A44">
        <v>12</v>
      </c>
      <c r="B44">
        <v>55</v>
      </c>
      <c r="C44">
        <v>50</v>
      </c>
      <c r="E44">
        <v>12</v>
      </c>
      <c r="G44">
        <f t="shared" si="0"/>
        <v>12</v>
      </c>
      <c r="H44" s="10">
        <f t="shared" si="0"/>
        <v>55</v>
      </c>
      <c r="I44">
        <f t="shared" si="0"/>
        <v>50</v>
      </c>
      <c r="J44">
        <f t="shared" si="1"/>
        <v>144</v>
      </c>
      <c r="K44">
        <f t="shared" si="2"/>
        <v>660</v>
      </c>
      <c r="L44">
        <f t="shared" si="3"/>
        <v>600</v>
      </c>
      <c r="M44">
        <f t="shared" si="4"/>
        <v>3025</v>
      </c>
      <c r="N44">
        <f t="shared" si="5"/>
        <v>2750</v>
      </c>
      <c r="O44">
        <f t="shared" si="6"/>
        <v>2500</v>
      </c>
      <c r="Q44" s="11">
        <f t="shared" si="8"/>
        <v>11.846051737275268</v>
      </c>
      <c r="R44" s="12">
        <f t="shared" si="7"/>
        <v>-1.2829021893727699E-2</v>
      </c>
      <c r="S44" s="11"/>
      <c r="T44" s="12"/>
    </row>
    <row r="45" spans="1:20" x14ac:dyDescent="0.25">
      <c r="A45">
        <v>12</v>
      </c>
      <c r="B45">
        <v>55</v>
      </c>
      <c r="C45">
        <v>100</v>
      </c>
      <c r="E45">
        <v>20.2</v>
      </c>
      <c r="G45">
        <f t="shared" si="0"/>
        <v>12</v>
      </c>
      <c r="H45" s="10">
        <f t="shared" si="0"/>
        <v>55</v>
      </c>
      <c r="I45">
        <f t="shared" si="0"/>
        <v>100</v>
      </c>
      <c r="J45">
        <f t="shared" si="1"/>
        <v>144</v>
      </c>
      <c r="K45">
        <f t="shared" si="2"/>
        <v>660</v>
      </c>
      <c r="L45">
        <f t="shared" si="3"/>
        <v>1200</v>
      </c>
      <c r="M45">
        <f t="shared" si="4"/>
        <v>3025</v>
      </c>
      <c r="N45">
        <f t="shared" si="5"/>
        <v>5500</v>
      </c>
      <c r="O45">
        <f t="shared" si="6"/>
        <v>10000</v>
      </c>
      <c r="Q45" s="11">
        <f t="shared" si="8"/>
        <v>19.249532206372493</v>
      </c>
      <c r="R45" s="12">
        <f t="shared" si="7"/>
        <v>-4.7052861070668646E-2</v>
      </c>
      <c r="S45" s="11"/>
      <c r="T45" s="12"/>
    </row>
    <row r="46" spans="1:20" x14ac:dyDescent="0.25">
      <c r="A46">
        <v>2</v>
      </c>
      <c r="B46">
        <v>65</v>
      </c>
      <c r="C46">
        <v>20</v>
      </c>
      <c r="E46">
        <v>3.17</v>
      </c>
      <c r="G46">
        <f t="shared" si="0"/>
        <v>2</v>
      </c>
      <c r="H46" s="10">
        <f t="shared" si="0"/>
        <v>65</v>
      </c>
      <c r="I46">
        <f t="shared" si="0"/>
        <v>20</v>
      </c>
      <c r="J46">
        <f t="shared" si="1"/>
        <v>4</v>
      </c>
      <c r="K46">
        <f t="shared" si="2"/>
        <v>130</v>
      </c>
      <c r="L46">
        <f t="shared" si="3"/>
        <v>40</v>
      </c>
      <c r="M46">
        <f t="shared" si="4"/>
        <v>4225</v>
      </c>
      <c r="N46">
        <f t="shared" si="5"/>
        <v>1300</v>
      </c>
      <c r="O46">
        <f t="shared" si="6"/>
        <v>400</v>
      </c>
      <c r="Q46" s="11">
        <f t="shared" si="8"/>
        <v>2.7907146026068825</v>
      </c>
      <c r="R46" s="12">
        <f t="shared" si="7"/>
        <v>-0.11964839034483199</v>
      </c>
      <c r="S46" s="11"/>
      <c r="T46" s="12"/>
    </row>
    <row r="47" spans="1:20" x14ac:dyDescent="0.25">
      <c r="A47">
        <v>2</v>
      </c>
      <c r="B47">
        <v>65</v>
      </c>
      <c r="C47">
        <v>50</v>
      </c>
      <c r="E47">
        <v>7.28</v>
      </c>
      <c r="G47">
        <f t="shared" si="0"/>
        <v>2</v>
      </c>
      <c r="H47" s="10">
        <f t="shared" si="0"/>
        <v>65</v>
      </c>
      <c r="I47">
        <f t="shared" si="0"/>
        <v>50</v>
      </c>
      <c r="J47">
        <f t="shared" si="1"/>
        <v>4</v>
      </c>
      <c r="K47">
        <f t="shared" si="2"/>
        <v>130</v>
      </c>
      <c r="L47">
        <f t="shared" si="3"/>
        <v>100</v>
      </c>
      <c r="M47">
        <f t="shared" si="4"/>
        <v>4225</v>
      </c>
      <c r="N47">
        <f t="shared" si="5"/>
        <v>3250</v>
      </c>
      <c r="O47">
        <f t="shared" si="6"/>
        <v>2500</v>
      </c>
      <c r="Q47" s="11">
        <f t="shared" si="8"/>
        <v>7.5946811282849547</v>
      </c>
      <c r="R47" s="12">
        <f t="shared" si="7"/>
        <v>4.3225429709471762E-2</v>
      </c>
      <c r="S47" s="11"/>
      <c r="T47" s="12"/>
    </row>
    <row r="48" spans="1:20" x14ac:dyDescent="0.25">
      <c r="A48">
        <v>7</v>
      </c>
      <c r="B48">
        <v>65</v>
      </c>
      <c r="C48">
        <v>20</v>
      </c>
      <c r="E48">
        <v>3.79</v>
      </c>
      <c r="G48">
        <f t="shared" si="0"/>
        <v>7</v>
      </c>
      <c r="H48" s="10">
        <f t="shared" si="0"/>
        <v>65</v>
      </c>
      <c r="I48">
        <f t="shared" si="0"/>
        <v>20</v>
      </c>
      <c r="J48">
        <f t="shared" si="1"/>
        <v>49</v>
      </c>
      <c r="K48">
        <f t="shared" si="2"/>
        <v>455</v>
      </c>
      <c r="L48">
        <f t="shared" si="3"/>
        <v>140</v>
      </c>
      <c r="M48">
        <f t="shared" si="4"/>
        <v>4225</v>
      </c>
      <c r="N48">
        <f t="shared" si="5"/>
        <v>1300</v>
      </c>
      <c r="O48">
        <f t="shared" si="6"/>
        <v>400</v>
      </c>
      <c r="Q48" s="11">
        <f t="shared" si="8"/>
        <v>3.6504813856148899</v>
      </c>
      <c r="R48" s="12">
        <f t="shared" si="7"/>
        <v>-3.6812299310055446E-2</v>
      </c>
      <c r="S48" s="11"/>
      <c r="T48" s="12"/>
    </row>
    <row r="49" spans="1:20" x14ac:dyDescent="0.25">
      <c r="A49">
        <v>7</v>
      </c>
      <c r="B49">
        <v>65</v>
      </c>
      <c r="C49">
        <v>50</v>
      </c>
      <c r="E49">
        <v>9.6199999999999992</v>
      </c>
      <c r="G49">
        <f t="shared" si="0"/>
        <v>7</v>
      </c>
      <c r="H49" s="10">
        <f t="shared" si="0"/>
        <v>65</v>
      </c>
      <c r="I49">
        <f t="shared" si="0"/>
        <v>50</v>
      </c>
      <c r="J49">
        <f t="shared" si="1"/>
        <v>49</v>
      </c>
      <c r="K49">
        <f t="shared" si="2"/>
        <v>455</v>
      </c>
      <c r="L49">
        <f t="shared" si="3"/>
        <v>350</v>
      </c>
      <c r="M49">
        <f t="shared" si="4"/>
        <v>4225</v>
      </c>
      <c r="N49">
        <f t="shared" si="5"/>
        <v>3250</v>
      </c>
      <c r="O49">
        <f t="shared" si="6"/>
        <v>2500</v>
      </c>
      <c r="Q49" s="11">
        <f t="shared" si="8"/>
        <v>9.0680635779485179</v>
      </c>
      <c r="R49" s="12">
        <f t="shared" si="7"/>
        <v>-5.7373848446099933E-2</v>
      </c>
      <c r="S49" s="11"/>
      <c r="T49" s="12"/>
    </row>
    <row r="50" spans="1:20" x14ac:dyDescent="0.25">
      <c r="A50">
        <v>7</v>
      </c>
      <c r="B50">
        <v>65</v>
      </c>
      <c r="C50">
        <v>100</v>
      </c>
      <c r="E50">
        <v>15.6</v>
      </c>
      <c r="G50">
        <f t="shared" si="0"/>
        <v>7</v>
      </c>
      <c r="H50" s="10">
        <f t="shared" si="0"/>
        <v>65</v>
      </c>
      <c r="I50">
        <f t="shared" si="0"/>
        <v>100</v>
      </c>
      <c r="J50">
        <f t="shared" si="1"/>
        <v>49</v>
      </c>
      <c r="K50">
        <f t="shared" si="2"/>
        <v>455</v>
      </c>
      <c r="L50">
        <f t="shared" si="3"/>
        <v>700</v>
      </c>
      <c r="M50">
        <f t="shared" si="4"/>
        <v>4225</v>
      </c>
      <c r="N50">
        <f t="shared" si="5"/>
        <v>6500</v>
      </c>
      <c r="O50">
        <f t="shared" si="6"/>
        <v>10000</v>
      </c>
      <c r="Q50" s="11">
        <f t="shared" si="8"/>
        <v>15.113489648780511</v>
      </c>
      <c r="R50" s="12">
        <f t="shared" si="7"/>
        <v>-3.1186560975608214E-2</v>
      </c>
      <c r="S50" s="11"/>
      <c r="T50" s="12"/>
    </row>
    <row r="51" spans="1:20" x14ac:dyDescent="0.25">
      <c r="A51">
        <v>12</v>
      </c>
      <c r="B51">
        <v>65</v>
      </c>
      <c r="C51">
        <v>20</v>
      </c>
      <c r="E51">
        <v>4.5199999999999996</v>
      </c>
      <c r="G51">
        <f t="shared" si="0"/>
        <v>12</v>
      </c>
      <c r="H51" s="10">
        <f t="shared" si="0"/>
        <v>65</v>
      </c>
      <c r="I51">
        <f t="shared" si="0"/>
        <v>20</v>
      </c>
      <c r="J51">
        <f t="shared" si="1"/>
        <v>144</v>
      </c>
      <c r="K51">
        <f t="shared" si="2"/>
        <v>780</v>
      </c>
      <c r="L51">
        <f t="shared" si="3"/>
        <v>240</v>
      </c>
      <c r="M51">
        <f t="shared" si="4"/>
        <v>4225</v>
      </c>
      <c r="N51">
        <f t="shared" si="5"/>
        <v>1300</v>
      </c>
      <c r="O51">
        <f t="shared" si="6"/>
        <v>400</v>
      </c>
      <c r="Q51" s="11">
        <f t="shared" si="8"/>
        <v>4.839151940541166</v>
      </c>
      <c r="R51" s="12">
        <f t="shared" si="7"/>
        <v>7.0608836402912947E-2</v>
      </c>
      <c r="S51" s="11"/>
      <c r="T51" s="12"/>
    </row>
    <row r="52" spans="1:20" x14ac:dyDescent="0.25">
      <c r="A52">
        <v>12</v>
      </c>
      <c r="B52">
        <v>65</v>
      </c>
      <c r="C52">
        <v>50</v>
      </c>
      <c r="E52">
        <v>11.1</v>
      </c>
      <c r="G52">
        <f t="shared" si="0"/>
        <v>12</v>
      </c>
      <c r="H52" s="10">
        <f t="shared" si="0"/>
        <v>65</v>
      </c>
      <c r="I52">
        <f t="shared" si="0"/>
        <v>50</v>
      </c>
      <c r="J52">
        <f t="shared" si="1"/>
        <v>144</v>
      </c>
      <c r="K52">
        <f t="shared" si="2"/>
        <v>780</v>
      </c>
      <c r="L52">
        <f t="shared" si="3"/>
        <v>600</v>
      </c>
      <c r="M52">
        <f t="shared" si="4"/>
        <v>4225</v>
      </c>
      <c r="N52">
        <f t="shared" si="5"/>
        <v>3250</v>
      </c>
      <c r="O52">
        <f t="shared" si="6"/>
        <v>2500</v>
      </c>
      <c r="Q52" s="11">
        <f t="shared" si="8"/>
        <v>10.870349799530359</v>
      </c>
      <c r="R52" s="12">
        <f t="shared" si="7"/>
        <v>-2.0689207249517151E-2</v>
      </c>
      <c r="S52" s="11"/>
      <c r="T52" s="12"/>
    </row>
    <row r="53" spans="1:20" x14ac:dyDescent="0.25">
      <c r="A53">
        <v>12</v>
      </c>
      <c r="B53">
        <v>65</v>
      </c>
      <c r="C53">
        <v>100</v>
      </c>
      <c r="E53">
        <v>16.399999999999999</v>
      </c>
      <c r="G53">
        <f t="shared" si="0"/>
        <v>12</v>
      </c>
      <c r="H53" s="10">
        <f t="shared" si="0"/>
        <v>65</v>
      </c>
      <c r="I53">
        <f t="shared" si="0"/>
        <v>100</v>
      </c>
      <c r="J53">
        <f t="shared" si="1"/>
        <v>144</v>
      </c>
      <c r="K53">
        <f t="shared" si="2"/>
        <v>780</v>
      </c>
      <c r="L53">
        <f t="shared" si="3"/>
        <v>1200</v>
      </c>
      <c r="M53">
        <f t="shared" si="4"/>
        <v>4225</v>
      </c>
      <c r="N53">
        <f t="shared" si="5"/>
        <v>6500</v>
      </c>
      <c r="O53">
        <f t="shared" si="6"/>
        <v>10000</v>
      </c>
      <c r="Q53" s="11">
        <f t="shared" si="8"/>
        <v>17.93846864812161</v>
      </c>
      <c r="R53" s="12">
        <f t="shared" si="7"/>
        <v>9.380906390985437E-2</v>
      </c>
      <c r="S53" s="11"/>
      <c r="T53" s="12"/>
    </row>
    <row r="56" spans="1:20" x14ac:dyDescent="0.25">
      <c r="A56" t="s">
        <v>27</v>
      </c>
      <c r="G56" s="4" t="s">
        <v>1</v>
      </c>
      <c r="H56" s="4" t="s">
        <v>2</v>
      </c>
      <c r="I56" s="4" t="s">
        <v>3</v>
      </c>
      <c r="J56" s="4" t="s">
        <v>4</v>
      </c>
      <c r="K56" s="4" t="s">
        <v>5</v>
      </c>
      <c r="L56" s="4" t="s">
        <v>6</v>
      </c>
      <c r="M56" s="4" t="s">
        <v>7</v>
      </c>
      <c r="N56" s="4" t="s">
        <v>8</v>
      </c>
      <c r="O56" s="4" t="s">
        <v>9</v>
      </c>
      <c r="P56" s="4" t="s">
        <v>10</v>
      </c>
    </row>
    <row r="57" spans="1:20" x14ac:dyDescent="0.25">
      <c r="A57" s="1"/>
      <c r="C57" s="1"/>
      <c r="D57" s="1"/>
      <c r="E57" s="1"/>
      <c r="F57" s="1"/>
      <c r="G57" s="4">
        <f t="array" ref="G57:P57">LINEST(E59:E109,G59:O109)</f>
        <v>1.024935514040044E-4</v>
      </c>
      <c r="H57" s="4">
        <v>6.0149661268679635E-4</v>
      </c>
      <c r="I57" s="4">
        <v>6.3046105749868747E-5</v>
      </c>
      <c r="J57" s="4">
        <v>6.4291223950606845E-4</v>
      </c>
      <c r="K57" s="4">
        <v>-1.0849857173820992E-4</v>
      </c>
      <c r="L57" s="4">
        <v>5.7707995292147934E-4</v>
      </c>
      <c r="M57" s="4">
        <v>1.8246321130598937E-2</v>
      </c>
      <c r="N57" s="4">
        <v>1.6403372218702958E-2</v>
      </c>
      <c r="O57" s="4">
        <v>-1.0670836199569586E-2</v>
      </c>
      <c r="P57" s="4">
        <v>-0.67051709533760961</v>
      </c>
    </row>
    <row r="58" spans="1:20" ht="45" x14ac:dyDescent="0.25">
      <c r="A58" s="5" t="s">
        <v>11</v>
      </c>
      <c r="B58" s="5" t="s">
        <v>12</v>
      </c>
      <c r="C58" s="5" t="s">
        <v>13</v>
      </c>
      <c r="D58" s="6"/>
      <c r="E58" s="7" t="s">
        <v>14</v>
      </c>
      <c r="F58" s="3"/>
      <c r="G58" s="8" t="s">
        <v>17</v>
      </c>
      <c r="H58" s="8" t="s">
        <v>18</v>
      </c>
      <c r="I58" s="8" t="s">
        <v>0</v>
      </c>
      <c r="J58" s="8" t="s">
        <v>19</v>
      </c>
      <c r="K58" s="8" t="s">
        <v>20</v>
      </c>
      <c r="L58" s="8" t="s">
        <v>21</v>
      </c>
      <c r="M58" s="8" t="s">
        <v>22</v>
      </c>
      <c r="N58" s="8" t="s">
        <v>23</v>
      </c>
      <c r="O58" s="8" t="s">
        <v>24</v>
      </c>
      <c r="P58" s="3"/>
      <c r="Q58" s="9" t="s">
        <v>14</v>
      </c>
      <c r="R58" s="9" t="s">
        <v>15</v>
      </c>
    </row>
    <row r="59" spans="1:20" x14ac:dyDescent="0.25">
      <c r="A59">
        <v>-15</v>
      </c>
      <c r="B59">
        <v>35</v>
      </c>
      <c r="C59">
        <v>20</v>
      </c>
      <c r="E59">
        <v>0.93</v>
      </c>
      <c r="F59" s="2"/>
      <c r="G59">
        <f t="shared" ref="G59:I109" si="9">A59</f>
        <v>-15</v>
      </c>
      <c r="H59" s="10">
        <f t="shared" si="9"/>
        <v>35</v>
      </c>
      <c r="I59">
        <f t="shared" si="9"/>
        <v>20</v>
      </c>
      <c r="J59">
        <f t="shared" ref="J59:J109" si="10">G59^2</f>
        <v>225</v>
      </c>
      <c r="K59">
        <f t="shared" ref="K59:K109" si="11">G59*H59</f>
        <v>-525</v>
      </c>
      <c r="L59">
        <f t="shared" ref="L59:L109" si="12">G59*I59</f>
        <v>-300</v>
      </c>
      <c r="M59">
        <f t="shared" ref="M59:M109" si="13">H59^2</f>
        <v>1225</v>
      </c>
      <c r="N59">
        <f t="shared" ref="N59:N109" si="14">H59*I59</f>
        <v>700</v>
      </c>
      <c r="O59">
        <f t="shared" ref="O59:O109" si="15">I59^2</f>
        <v>400</v>
      </c>
      <c r="Q59" s="11">
        <f>$P$57+$O$57*G59+$N$57*H59+$M$57*I59+$L$57*J59+$K$57*K59+$J$57*L59+$I$57*M59+$H$57*N59+$G$57*O59</f>
        <v>0.9617974946265373</v>
      </c>
      <c r="R59" s="12">
        <f t="shared" ref="R59:R109" si="16">(Q59-E59)/E59</f>
        <v>3.4190854437136826E-2</v>
      </c>
    </row>
    <row r="60" spans="1:20" x14ac:dyDescent="0.25">
      <c r="A60">
        <v>-15</v>
      </c>
      <c r="B60">
        <v>35</v>
      </c>
      <c r="C60">
        <v>50</v>
      </c>
      <c r="E60">
        <v>2.1</v>
      </c>
      <c r="F60" s="2"/>
      <c r="G60">
        <f t="shared" si="9"/>
        <v>-15</v>
      </c>
      <c r="H60" s="10">
        <f t="shared" si="9"/>
        <v>35</v>
      </c>
      <c r="I60">
        <f t="shared" si="9"/>
        <v>50</v>
      </c>
      <c r="J60">
        <f t="shared" si="10"/>
        <v>225</v>
      </c>
      <c r="K60">
        <f t="shared" si="11"/>
        <v>-525</v>
      </c>
      <c r="L60">
        <f t="shared" si="12"/>
        <v>-750</v>
      </c>
      <c r="M60">
        <f t="shared" si="13"/>
        <v>1225</v>
      </c>
      <c r="N60">
        <f t="shared" si="14"/>
        <v>1750</v>
      </c>
      <c r="O60">
        <f t="shared" si="15"/>
        <v>2500</v>
      </c>
      <c r="Q60" s="11">
        <f t="shared" ref="Q60:Q109" si="17">$P$57+$O$57*G60+$N$57*H60+$M$57*I60+$L$57*J60+$K$57*K60+$J$57*L60+$I$57*M60+$H$57*N60+$G$57*O60</f>
        <v>2.0666845220363199</v>
      </c>
      <c r="R60" s="12">
        <f t="shared" si="16"/>
        <v>-1.5864513316038178E-2</v>
      </c>
    </row>
    <row r="61" spans="1:20" x14ac:dyDescent="0.25">
      <c r="A61">
        <v>-15</v>
      </c>
      <c r="B61">
        <v>35</v>
      </c>
      <c r="C61">
        <v>100</v>
      </c>
      <c r="E61">
        <v>4.3600000000000003</v>
      </c>
      <c r="F61" s="2"/>
      <c r="G61">
        <f t="shared" si="9"/>
        <v>-15</v>
      </c>
      <c r="H61" s="10">
        <f t="shared" si="9"/>
        <v>35</v>
      </c>
      <c r="I61">
        <f t="shared" si="9"/>
        <v>100</v>
      </c>
      <c r="J61">
        <f t="shared" si="10"/>
        <v>225</v>
      </c>
      <c r="K61">
        <f t="shared" si="11"/>
        <v>-525</v>
      </c>
      <c r="L61">
        <f t="shared" si="12"/>
        <v>-1500</v>
      </c>
      <c r="M61">
        <f t="shared" si="13"/>
        <v>1225</v>
      </c>
      <c r="N61">
        <f t="shared" si="14"/>
        <v>3500</v>
      </c>
      <c r="O61">
        <f t="shared" si="15"/>
        <v>10000</v>
      </c>
      <c r="Q61" s="11">
        <f t="shared" si="17"/>
        <v>4.318137106668642</v>
      </c>
      <c r="R61" s="12">
        <f t="shared" si="16"/>
        <v>-9.6015810393023579E-3</v>
      </c>
    </row>
    <row r="62" spans="1:20" x14ac:dyDescent="0.25">
      <c r="A62">
        <v>-7</v>
      </c>
      <c r="B62">
        <v>35</v>
      </c>
      <c r="C62">
        <v>20</v>
      </c>
      <c r="E62">
        <v>0.94</v>
      </c>
      <c r="F62" s="2"/>
      <c r="G62">
        <f t="shared" si="9"/>
        <v>-7</v>
      </c>
      <c r="H62" s="10">
        <f t="shared" si="9"/>
        <v>35</v>
      </c>
      <c r="I62">
        <f t="shared" si="9"/>
        <v>20</v>
      </c>
      <c r="J62">
        <f t="shared" si="10"/>
        <v>49</v>
      </c>
      <c r="K62">
        <f t="shared" si="11"/>
        <v>-245</v>
      </c>
      <c r="L62">
        <f t="shared" si="12"/>
        <v>-140</v>
      </c>
      <c r="M62">
        <f t="shared" si="13"/>
        <v>1225</v>
      </c>
      <c r="N62">
        <f t="shared" si="14"/>
        <v>700</v>
      </c>
      <c r="O62">
        <f t="shared" si="15"/>
        <v>400</v>
      </c>
      <c r="Q62" s="11">
        <f t="shared" si="17"/>
        <v>0.84735109155007249</v>
      </c>
      <c r="R62" s="12">
        <f t="shared" si="16"/>
        <v>-9.856266856375262E-2</v>
      </c>
    </row>
    <row r="63" spans="1:20" x14ac:dyDescent="0.25">
      <c r="A63">
        <v>-7</v>
      </c>
      <c r="B63">
        <v>35</v>
      </c>
      <c r="C63">
        <v>50</v>
      </c>
      <c r="E63">
        <v>2.15</v>
      </c>
      <c r="F63" s="2"/>
      <c r="G63">
        <f t="shared" si="9"/>
        <v>-7</v>
      </c>
      <c r="H63" s="10">
        <f t="shared" si="9"/>
        <v>35</v>
      </c>
      <c r="I63">
        <f t="shared" si="9"/>
        <v>50</v>
      </c>
      <c r="J63">
        <f t="shared" si="10"/>
        <v>49</v>
      </c>
      <c r="K63">
        <f t="shared" si="11"/>
        <v>-245</v>
      </c>
      <c r="L63">
        <f t="shared" si="12"/>
        <v>-350</v>
      </c>
      <c r="M63">
        <f t="shared" si="13"/>
        <v>1225</v>
      </c>
      <c r="N63">
        <f t="shared" si="14"/>
        <v>1750</v>
      </c>
      <c r="O63">
        <f t="shared" si="15"/>
        <v>2500</v>
      </c>
      <c r="Q63" s="11">
        <f t="shared" si="17"/>
        <v>2.1065370564413115</v>
      </c>
      <c r="R63" s="12">
        <f t="shared" si="16"/>
        <v>-2.0215322585436468E-2</v>
      </c>
    </row>
    <row r="64" spans="1:20" x14ac:dyDescent="0.25">
      <c r="A64">
        <v>-7</v>
      </c>
      <c r="B64">
        <v>35</v>
      </c>
      <c r="C64">
        <v>100</v>
      </c>
      <c r="E64">
        <v>4.57</v>
      </c>
      <c r="F64" s="2"/>
      <c r="G64">
        <f t="shared" si="9"/>
        <v>-7</v>
      </c>
      <c r="H64" s="10">
        <f t="shared" si="9"/>
        <v>35</v>
      </c>
      <c r="I64">
        <f t="shared" si="9"/>
        <v>100</v>
      </c>
      <c r="J64">
        <f t="shared" si="10"/>
        <v>49</v>
      </c>
      <c r="K64">
        <f t="shared" si="11"/>
        <v>-245</v>
      </c>
      <c r="L64">
        <f t="shared" si="12"/>
        <v>-700</v>
      </c>
      <c r="M64">
        <f t="shared" si="13"/>
        <v>1225</v>
      </c>
      <c r="N64">
        <f t="shared" si="14"/>
        <v>3500</v>
      </c>
      <c r="O64">
        <f t="shared" si="15"/>
        <v>10000</v>
      </c>
      <c r="Q64" s="11">
        <f t="shared" si="17"/>
        <v>4.6151545368760605</v>
      </c>
      <c r="R64" s="12">
        <f t="shared" si="16"/>
        <v>9.8806426424639365E-3</v>
      </c>
    </row>
    <row r="65" spans="1:18" x14ac:dyDescent="0.25">
      <c r="A65">
        <v>2</v>
      </c>
      <c r="B65">
        <v>35</v>
      </c>
      <c r="C65">
        <v>20</v>
      </c>
      <c r="E65">
        <v>0.91</v>
      </c>
      <c r="F65" s="2"/>
      <c r="G65">
        <f t="shared" si="9"/>
        <v>2</v>
      </c>
      <c r="H65" s="10">
        <f t="shared" si="9"/>
        <v>35</v>
      </c>
      <c r="I65">
        <f t="shared" si="9"/>
        <v>20</v>
      </c>
      <c r="J65">
        <f t="shared" si="10"/>
        <v>4</v>
      </c>
      <c r="K65">
        <f t="shared" si="11"/>
        <v>70</v>
      </c>
      <c r="L65">
        <f t="shared" si="12"/>
        <v>40</v>
      </c>
      <c r="M65">
        <f t="shared" si="13"/>
        <v>1225</v>
      </c>
      <c r="N65">
        <f t="shared" si="14"/>
        <v>700</v>
      </c>
      <c r="O65">
        <f t="shared" si="15"/>
        <v>400</v>
      </c>
      <c r="Q65" s="11">
        <f t="shared" si="17"/>
        <v>0.80689212088603579</v>
      </c>
      <c r="R65" s="12">
        <f t="shared" si="16"/>
        <v>-0.11330536166369697</v>
      </c>
    </row>
    <row r="66" spans="1:18" x14ac:dyDescent="0.25">
      <c r="A66">
        <v>2</v>
      </c>
      <c r="B66">
        <v>35</v>
      </c>
      <c r="C66">
        <v>50</v>
      </c>
      <c r="E66">
        <v>2.21</v>
      </c>
      <c r="F66" s="2"/>
      <c r="G66">
        <f t="shared" si="9"/>
        <v>2</v>
      </c>
      <c r="H66" s="10">
        <f t="shared" si="9"/>
        <v>35</v>
      </c>
      <c r="I66">
        <f t="shared" si="9"/>
        <v>50</v>
      </c>
      <c r="J66">
        <f t="shared" si="10"/>
        <v>4</v>
      </c>
      <c r="K66">
        <f t="shared" si="11"/>
        <v>70</v>
      </c>
      <c r="L66">
        <f t="shared" si="12"/>
        <v>100</v>
      </c>
      <c r="M66">
        <f t="shared" si="13"/>
        <v>1225</v>
      </c>
      <c r="N66">
        <f t="shared" si="14"/>
        <v>1750</v>
      </c>
      <c r="O66">
        <f t="shared" si="15"/>
        <v>2500</v>
      </c>
      <c r="Q66" s="11">
        <f t="shared" si="17"/>
        <v>2.2396643904439131</v>
      </c>
      <c r="R66" s="12">
        <f t="shared" si="16"/>
        <v>1.3422801105843037E-2</v>
      </c>
    </row>
    <row r="67" spans="1:18" x14ac:dyDescent="0.25">
      <c r="A67">
        <v>2</v>
      </c>
      <c r="B67">
        <v>35</v>
      </c>
      <c r="C67">
        <v>100</v>
      </c>
      <c r="E67">
        <v>4.75</v>
      </c>
      <c r="F67" s="2"/>
      <c r="G67">
        <f t="shared" si="9"/>
        <v>2</v>
      </c>
      <c r="H67" s="10">
        <f t="shared" si="9"/>
        <v>35</v>
      </c>
      <c r="I67">
        <f t="shared" si="9"/>
        <v>100</v>
      </c>
      <c r="J67">
        <f t="shared" si="10"/>
        <v>4</v>
      </c>
      <c r="K67">
        <f t="shared" si="11"/>
        <v>70</v>
      </c>
      <c r="L67">
        <f t="shared" si="12"/>
        <v>200</v>
      </c>
      <c r="M67">
        <f t="shared" si="13"/>
        <v>1225</v>
      </c>
      <c r="N67">
        <f t="shared" si="14"/>
        <v>3500</v>
      </c>
      <c r="O67">
        <f t="shared" si="15"/>
        <v>10000</v>
      </c>
      <c r="Q67" s="11">
        <f t="shared" si="17"/>
        <v>5.0375923786563934</v>
      </c>
      <c r="R67" s="12">
        <f t="shared" si="16"/>
        <v>6.0545763927661776E-2</v>
      </c>
    </row>
    <row r="68" spans="1:18" x14ac:dyDescent="0.25">
      <c r="A68">
        <v>7</v>
      </c>
      <c r="B68">
        <v>35</v>
      </c>
      <c r="C68">
        <v>20</v>
      </c>
      <c r="E68">
        <v>0.9</v>
      </c>
      <c r="F68" s="2"/>
      <c r="G68">
        <f t="shared" si="9"/>
        <v>7</v>
      </c>
      <c r="H68" s="10">
        <f t="shared" si="9"/>
        <v>35</v>
      </c>
      <c r="I68">
        <f t="shared" si="9"/>
        <v>20</v>
      </c>
      <c r="J68">
        <f t="shared" si="10"/>
        <v>49</v>
      </c>
      <c r="K68">
        <f t="shared" si="11"/>
        <v>245</v>
      </c>
      <c r="L68">
        <f t="shared" si="12"/>
        <v>140</v>
      </c>
      <c r="M68">
        <f t="shared" si="13"/>
        <v>1225</v>
      </c>
      <c r="N68">
        <f t="shared" si="14"/>
        <v>700</v>
      </c>
      <c r="O68">
        <f t="shared" si="15"/>
        <v>400</v>
      </c>
      <c r="Q68" s="11">
        <f t="shared" si="17"/>
        <v>0.82481051166607444</v>
      </c>
      <c r="R68" s="12">
        <f t="shared" si="16"/>
        <v>-8.354387592658398E-2</v>
      </c>
    </row>
    <row r="69" spans="1:18" x14ac:dyDescent="0.25">
      <c r="A69">
        <v>7</v>
      </c>
      <c r="B69">
        <v>35</v>
      </c>
      <c r="C69">
        <v>50</v>
      </c>
      <c r="E69">
        <v>2.37</v>
      </c>
      <c r="F69" s="2"/>
      <c r="G69">
        <f t="shared" si="9"/>
        <v>7</v>
      </c>
      <c r="H69" s="10">
        <f t="shared" si="9"/>
        <v>35</v>
      </c>
      <c r="I69">
        <f t="shared" si="9"/>
        <v>50</v>
      </c>
      <c r="J69">
        <f t="shared" si="10"/>
        <v>49</v>
      </c>
      <c r="K69">
        <f t="shared" si="11"/>
        <v>245</v>
      </c>
      <c r="L69">
        <f t="shared" si="12"/>
        <v>350</v>
      </c>
      <c r="M69">
        <f t="shared" si="13"/>
        <v>1225</v>
      </c>
      <c r="N69">
        <f t="shared" si="14"/>
        <v>1750</v>
      </c>
      <c r="O69">
        <f t="shared" si="15"/>
        <v>2500</v>
      </c>
      <c r="Q69" s="11">
        <f t="shared" si="17"/>
        <v>2.3540196171498624</v>
      </c>
      <c r="R69" s="12">
        <f t="shared" si="16"/>
        <v>-6.7427775738977628E-3</v>
      </c>
    </row>
    <row r="70" spans="1:18" x14ac:dyDescent="0.25">
      <c r="A70">
        <v>7</v>
      </c>
      <c r="B70">
        <v>35</v>
      </c>
      <c r="C70">
        <v>100</v>
      </c>
      <c r="E70">
        <v>5.25</v>
      </c>
      <c r="F70" s="2"/>
      <c r="G70">
        <f t="shared" si="9"/>
        <v>7</v>
      </c>
      <c r="H70" s="10">
        <f t="shared" si="9"/>
        <v>35</v>
      </c>
      <c r="I70">
        <f t="shared" si="9"/>
        <v>100</v>
      </c>
      <c r="J70">
        <f t="shared" si="10"/>
        <v>49</v>
      </c>
      <c r="K70">
        <f t="shared" si="11"/>
        <v>245</v>
      </c>
      <c r="L70">
        <f t="shared" si="12"/>
        <v>700</v>
      </c>
      <c r="M70">
        <f t="shared" si="13"/>
        <v>1225</v>
      </c>
      <c r="N70">
        <f t="shared" si="14"/>
        <v>3500</v>
      </c>
      <c r="O70">
        <f t="shared" si="15"/>
        <v>10000</v>
      </c>
      <c r="Q70" s="11">
        <f t="shared" si="17"/>
        <v>5.31267566523886</v>
      </c>
      <c r="R70" s="12">
        <f t="shared" si="16"/>
        <v>1.1938221950259054E-2</v>
      </c>
    </row>
    <row r="71" spans="1:18" x14ac:dyDescent="0.25">
      <c r="A71">
        <v>12</v>
      </c>
      <c r="B71">
        <v>35</v>
      </c>
      <c r="C71">
        <v>20</v>
      </c>
      <c r="E71">
        <v>0.88</v>
      </c>
      <c r="F71" s="2"/>
      <c r="G71">
        <f t="shared" si="9"/>
        <v>12</v>
      </c>
      <c r="H71" s="10">
        <f t="shared" si="9"/>
        <v>35</v>
      </c>
      <c r="I71">
        <f t="shared" si="9"/>
        <v>20</v>
      </c>
      <c r="J71">
        <f t="shared" si="10"/>
        <v>144</v>
      </c>
      <c r="K71">
        <f t="shared" si="11"/>
        <v>420</v>
      </c>
      <c r="L71">
        <f t="shared" si="12"/>
        <v>240</v>
      </c>
      <c r="M71">
        <f t="shared" si="13"/>
        <v>1225</v>
      </c>
      <c r="N71">
        <f t="shared" si="14"/>
        <v>700</v>
      </c>
      <c r="O71">
        <f t="shared" si="15"/>
        <v>400</v>
      </c>
      <c r="Q71" s="11">
        <f t="shared" si="17"/>
        <v>0.87158290009218731</v>
      </c>
      <c r="R71" s="12">
        <f t="shared" si="16"/>
        <v>-9.5648862588780647E-3</v>
      </c>
    </row>
    <row r="72" spans="1:18" x14ac:dyDescent="0.25">
      <c r="A72">
        <v>12</v>
      </c>
      <c r="B72">
        <v>35</v>
      </c>
      <c r="C72">
        <v>50</v>
      </c>
      <c r="E72">
        <v>2.37</v>
      </c>
      <c r="F72" s="2"/>
      <c r="G72">
        <f t="shared" si="9"/>
        <v>12</v>
      </c>
      <c r="H72" s="10">
        <f t="shared" si="9"/>
        <v>35</v>
      </c>
      <c r="I72">
        <f t="shared" si="9"/>
        <v>50</v>
      </c>
      <c r="J72">
        <f t="shared" si="10"/>
        <v>144</v>
      </c>
      <c r="K72">
        <f t="shared" si="11"/>
        <v>420</v>
      </c>
      <c r="L72">
        <f t="shared" si="12"/>
        <v>600</v>
      </c>
      <c r="M72">
        <f t="shared" si="13"/>
        <v>1225</v>
      </c>
      <c r="N72">
        <f t="shared" si="14"/>
        <v>1750</v>
      </c>
      <c r="O72">
        <f t="shared" si="15"/>
        <v>2500</v>
      </c>
      <c r="Q72" s="11">
        <f t="shared" si="17"/>
        <v>2.4972288415018853</v>
      </c>
      <c r="R72" s="12">
        <f t="shared" si="16"/>
        <v>5.3683055486027503E-2</v>
      </c>
    </row>
    <row r="73" spans="1:18" x14ac:dyDescent="0.25">
      <c r="A73">
        <v>12</v>
      </c>
      <c r="B73">
        <v>35</v>
      </c>
      <c r="C73">
        <v>100</v>
      </c>
      <c r="E73">
        <v>5.7</v>
      </c>
      <c r="F73" s="2"/>
      <c r="G73">
        <f t="shared" si="9"/>
        <v>12</v>
      </c>
      <c r="H73" s="10">
        <f t="shared" si="9"/>
        <v>35</v>
      </c>
      <c r="I73">
        <f t="shared" si="9"/>
        <v>100</v>
      </c>
      <c r="J73">
        <f t="shared" si="10"/>
        <v>144</v>
      </c>
      <c r="K73">
        <f t="shared" si="11"/>
        <v>420</v>
      </c>
      <c r="L73">
        <f t="shared" si="12"/>
        <v>1200</v>
      </c>
      <c r="M73">
        <f t="shared" si="13"/>
        <v>1225</v>
      </c>
      <c r="N73">
        <f t="shared" si="14"/>
        <v>3500</v>
      </c>
      <c r="O73">
        <f t="shared" si="15"/>
        <v>10000</v>
      </c>
      <c r="Q73" s="11">
        <f t="shared" si="17"/>
        <v>5.6166129494673989</v>
      </c>
      <c r="R73" s="12">
        <f t="shared" si="16"/>
        <v>-1.4629307110982686E-2</v>
      </c>
    </row>
    <row r="74" spans="1:18" x14ac:dyDescent="0.25">
      <c r="A74">
        <v>-15</v>
      </c>
      <c r="B74">
        <v>45</v>
      </c>
      <c r="C74">
        <v>20</v>
      </c>
      <c r="E74">
        <v>1.2</v>
      </c>
      <c r="F74" s="2"/>
      <c r="G74">
        <f t="shared" si="9"/>
        <v>-15</v>
      </c>
      <c r="H74" s="10">
        <f t="shared" si="9"/>
        <v>45</v>
      </c>
      <c r="I74">
        <f t="shared" si="9"/>
        <v>20</v>
      </c>
      <c r="J74">
        <f t="shared" si="10"/>
        <v>225</v>
      </c>
      <c r="K74">
        <f t="shared" si="11"/>
        <v>-675</v>
      </c>
      <c r="L74">
        <f t="shared" si="12"/>
        <v>-300</v>
      </c>
      <c r="M74">
        <f t="shared" si="13"/>
        <v>2025</v>
      </c>
      <c r="N74">
        <f t="shared" si="14"/>
        <v>900</v>
      </c>
      <c r="O74">
        <f t="shared" si="15"/>
        <v>400</v>
      </c>
      <c r="Q74" s="11">
        <f t="shared" si="17"/>
        <v>1.3128422097115526</v>
      </c>
      <c r="R74" s="12">
        <f t="shared" si="16"/>
        <v>9.4035174759627235E-2</v>
      </c>
    </row>
    <row r="75" spans="1:18" x14ac:dyDescent="0.25">
      <c r="A75">
        <v>-15</v>
      </c>
      <c r="B75">
        <v>45</v>
      </c>
      <c r="C75">
        <v>50</v>
      </c>
      <c r="E75">
        <v>2.6</v>
      </c>
      <c r="F75" s="2"/>
      <c r="G75">
        <f t="shared" si="9"/>
        <v>-15</v>
      </c>
      <c r="H75" s="10">
        <f t="shared" si="9"/>
        <v>45</v>
      </c>
      <c r="I75">
        <f t="shared" si="9"/>
        <v>50</v>
      </c>
      <c r="J75">
        <f t="shared" si="10"/>
        <v>225</v>
      </c>
      <c r="K75">
        <f t="shared" si="11"/>
        <v>-675</v>
      </c>
      <c r="L75">
        <f t="shared" si="12"/>
        <v>-750</v>
      </c>
      <c r="M75">
        <f t="shared" si="13"/>
        <v>2025</v>
      </c>
      <c r="N75">
        <f t="shared" si="14"/>
        <v>2250</v>
      </c>
      <c r="O75">
        <f t="shared" si="15"/>
        <v>2500</v>
      </c>
      <c r="Q75" s="11">
        <f t="shared" si="17"/>
        <v>2.5981782209273745</v>
      </c>
      <c r="R75" s="12">
        <f t="shared" si="16"/>
        <v>-7.0068425870215207E-4</v>
      </c>
    </row>
    <row r="76" spans="1:18" x14ac:dyDescent="0.25">
      <c r="A76">
        <v>-15</v>
      </c>
      <c r="B76">
        <v>45</v>
      </c>
      <c r="C76">
        <v>100</v>
      </c>
      <c r="E76">
        <v>5.23</v>
      </c>
      <c r="F76" s="2"/>
      <c r="G76">
        <f t="shared" si="9"/>
        <v>-15</v>
      </c>
      <c r="H76" s="10">
        <f t="shared" si="9"/>
        <v>45</v>
      </c>
      <c r="I76">
        <f t="shared" si="9"/>
        <v>100</v>
      </c>
      <c r="J76">
        <f t="shared" si="10"/>
        <v>225</v>
      </c>
      <c r="K76">
        <f t="shared" si="11"/>
        <v>-675</v>
      </c>
      <c r="L76">
        <f t="shared" si="12"/>
        <v>-1500</v>
      </c>
      <c r="M76">
        <f t="shared" si="13"/>
        <v>2025</v>
      </c>
      <c r="N76">
        <f t="shared" si="14"/>
        <v>4500</v>
      </c>
      <c r="O76">
        <f t="shared" si="15"/>
        <v>10000</v>
      </c>
      <c r="Q76" s="11">
        <f t="shared" si="17"/>
        <v>5.1503791119030939</v>
      </c>
      <c r="R76" s="12">
        <f t="shared" si="16"/>
        <v>-1.5223879177228773E-2</v>
      </c>
    </row>
    <row r="77" spans="1:18" x14ac:dyDescent="0.25">
      <c r="A77">
        <v>-7</v>
      </c>
      <c r="B77">
        <v>45</v>
      </c>
      <c r="C77">
        <v>20</v>
      </c>
      <c r="E77">
        <v>1.19</v>
      </c>
      <c r="F77" s="2"/>
      <c r="G77">
        <f t="shared" si="9"/>
        <v>-7</v>
      </c>
      <c r="H77" s="10">
        <f t="shared" si="9"/>
        <v>45</v>
      </c>
      <c r="I77">
        <f t="shared" si="9"/>
        <v>20</v>
      </c>
      <c r="J77">
        <f t="shared" si="10"/>
        <v>49</v>
      </c>
      <c r="K77">
        <f t="shared" si="11"/>
        <v>-315</v>
      </c>
      <c r="L77">
        <f t="shared" si="12"/>
        <v>-140</v>
      </c>
      <c r="M77">
        <f t="shared" si="13"/>
        <v>2025</v>
      </c>
      <c r="N77">
        <f t="shared" si="14"/>
        <v>900</v>
      </c>
      <c r="O77">
        <f t="shared" si="15"/>
        <v>400</v>
      </c>
      <c r="Q77" s="11">
        <f t="shared" si="17"/>
        <v>1.1897159208960308</v>
      </c>
      <c r="R77" s="12">
        <f t="shared" si="16"/>
        <v>-2.3872193610849056E-4</v>
      </c>
    </row>
    <row r="78" spans="1:18" x14ac:dyDescent="0.25">
      <c r="A78">
        <v>-7</v>
      </c>
      <c r="B78">
        <v>45</v>
      </c>
      <c r="C78">
        <v>50</v>
      </c>
      <c r="E78">
        <v>2.75</v>
      </c>
      <c r="F78" s="2"/>
      <c r="G78">
        <f t="shared" si="9"/>
        <v>-7</v>
      </c>
      <c r="H78" s="10">
        <f t="shared" si="9"/>
        <v>45</v>
      </c>
      <c r="I78">
        <f t="shared" si="9"/>
        <v>50</v>
      </c>
      <c r="J78">
        <f t="shared" si="10"/>
        <v>49</v>
      </c>
      <c r="K78">
        <f t="shared" si="11"/>
        <v>-315</v>
      </c>
      <c r="L78">
        <f t="shared" si="12"/>
        <v>-350</v>
      </c>
      <c r="M78">
        <f t="shared" si="13"/>
        <v>2025</v>
      </c>
      <c r="N78">
        <f t="shared" si="14"/>
        <v>2250</v>
      </c>
      <c r="O78">
        <f t="shared" si="15"/>
        <v>2500</v>
      </c>
      <c r="Q78" s="11">
        <f t="shared" si="17"/>
        <v>2.629350869593309</v>
      </c>
      <c r="R78" s="12">
        <f t="shared" si="16"/>
        <v>-4.3872411056978547E-2</v>
      </c>
    </row>
    <row r="79" spans="1:18" x14ac:dyDescent="0.25">
      <c r="A79">
        <v>-7</v>
      </c>
      <c r="B79">
        <v>45</v>
      </c>
      <c r="C79">
        <v>100</v>
      </c>
      <c r="E79">
        <v>5.52</v>
      </c>
      <c r="F79" s="2"/>
      <c r="G79">
        <f t="shared" si="9"/>
        <v>-7</v>
      </c>
      <c r="H79" s="10">
        <f t="shared" si="9"/>
        <v>45</v>
      </c>
      <c r="I79">
        <f t="shared" si="9"/>
        <v>100</v>
      </c>
      <c r="J79">
        <f t="shared" si="10"/>
        <v>49</v>
      </c>
      <c r="K79">
        <f t="shared" si="11"/>
        <v>-315</v>
      </c>
      <c r="L79">
        <f t="shared" si="12"/>
        <v>-700</v>
      </c>
      <c r="M79">
        <f t="shared" si="13"/>
        <v>2025</v>
      </c>
      <c r="N79">
        <f t="shared" si="14"/>
        <v>4500</v>
      </c>
      <c r="O79">
        <f t="shared" si="15"/>
        <v>10000</v>
      </c>
      <c r="Q79" s="11">
        <f t="shared" si="17"/>
        <v>5.4387166563714562</v>
      </c>
      <c r="R79" s="12">
        <f t="shared" si="16"/>
        <v>-1.4725243410968007E-2</v>
      </c>
    </row>
    <row r="80" spans="1:18" x14ac:dyDescent="0.25">
      <c r="A80">
        <v>2</v>
      </c>
      <c r="B80">
        <v>45</v>
      </c>
      <c r="C80">
        <v>20</v>
      </c>
      <c r="E80">
        <v>1.17</v>
      </c>
      <c r="F80" s="2"/>
      <c r="G80">
        <f t="shared" si="9"/>
        <v>2</v>
      </c>
      <c r="H80" s="10">
        <f t="shared" si="9"/>
        <v>45</v>
      </c>
      <c r="I80">
        <f t="shared" si="9"/>
        <v>20</v>
      </c>
      <c r="J80">
        <f t="shared" si="10"/>
        <v>4</v>
      </c>
      <c r="K80">
        <f t="shared" si="11"/>
        <v>90</v>
      </c>
      <c r="L80">
        <f t="shared" si="12"/>
        <v>40</v>
      </c>
      <c r="M80">
        <f t="shared" si="13"/>
        <v>2025</v>
      </c>
      <c r="N80">
        <f t="shared" si="14"/>
        <v>900</v>
      </c>
      <c r="O80">
        <f t="shared" si="15"/>
        <v>400</v>
      </c>
      <c r="Q80" s="11">
        <f t="shared" si="17"/>
        <v>1.1394920787755554</v>
      </c>
      <c r="R80" s="12">
        <f t="shared" si="16"/>
        <v>-2.6075146345679118E-2</v>
      </c>
    </row>
    <row r="81" spans="1:18" x14ac:dyDescent="0.25">
      <c r="A81">
        <v>2</v>
      </c>
      <c r="B81">
        <v>45</v>
      </c>
      <c r="C81">
        <v>50</v>
      </c>
      <c r="E81">
        <v>2.66</v>
      </c>
      <c r="G81">
        <f t="shared" si="9"/>
        <v>2</v>
      </c>
      <c r="H81" s="10">
        <f t="shared" si="9"/>
        <v>45</v>
      </c>
      <c r="I81">
        <f t="shared" si="9"/>
        <v>50</v>
      </c>
      <c r="J81">
        <f t="shared" si="10"/>
        <v>4</v>
      </c>
      <c r="K81">
        <f t="shared" si="11"/>
        <v>90</v>
      </c>
      <c r="L81">
        <f t="shared" si="12"/>
        <v>100</v>
      </c>
      <c r="M81">
        <f t="shared" si="13"/>
        <v>2025</v>
      </c>
      <c r="N81">
        <f t="shared" si="14"/>
        <v>2250</v>
      </c>
      <c r="O81">
        <f t="shared" si="15"/>
        <v>2500</v>
      </c>
      <c r="Q81" s="11">
        <f t="shared" si="17"/>
        <v>2.7527133321394719</v>
      </c>
      <c r="R81" s="12">
        <f t="shared" si="16"/>
        <v>3.4854636142658553E-2</v>
      </c>
    </row>
    <row r="82" spans="1:18" x14ac:dyDescent="0.25">
      <c r="A82">
        <v>2</v>
      </c>
      <c r="B82">
        <v>45</v>
      </c>
      <c r="C82">
        <v>100</v>
      </c>
      <c r="E82">
        <v>5.73</v>
      </c>
      <c r="G82">
        <f t="shared" si="9"/>
        <v>2</v>
      </c>
      <c r="H82" s="10">
        <f t="shared" si="9"/>
        <v>45</v>
      </c>
      <c r="I82">
        <f t="shared" si="9"/>
        <v>100</v>
      </c>
      <c r="J82">
        <f t="shared" si="10"/>
        <v>4</v>
      </c>
      <c r="K82">
        <f t="shared" si="11"/>
        <v>90</v>
      </c>
      <c r="L82">
        <f t="shared" si="12"/>
        <v>200</v>
      </c>
      <c r="M82">
        <f t="shared" si="13"/>
        <v>2025</v>
      </c>
      <c r="N82">
        <f t="shared" si="14"/>
        <v>4500</v>
      </c>
      <c r="O82">
        <f t="shared" si="15"/>
        <v>10000</v>
      </c>
      <c r="Q82" s="11">
        <f t="shared" si="17"/>
        <v>5.8513896266953509</v>
      </c>
      <c r="R82" s="12">
        <f t="shared" si="16"/>
        <v>2.1184926124843014E-2</v>
      </c>
    </row>
    <row r="83" spans="1:18" x14ac:dyDescent="0.25">
      <c r="A83">
        <v>7</v>
      </c>
      <c r="B83">
        <v>45</v>
      </c>
      <c r="C83">
        <v>20</v>
      </c>
      <c r="E83">
        <v>1.18</v>
      </c>
      <c r="G83">
        <f t="shared" si="9"/>
        <v>7</v>
      </c>
      <c r="H83" s="10">
        <f t="shared" si="9"/>
        <v>45</v>
      </c>
      <c r="I83">
        <f t="shared" si="9"/>
        <v>20</v>
      </c>
      <c r="J83">
        <f t="shared" si="10"/>
        <v>49</v>
      </c>
      <c r="K83">
        <f t="shared" si="11"/>
        <v>315</v>
      </c>
      <c r="L83">
        <f t="shared" si="12"/>
        <v>140</v>
      </c>
      <c r="M83">
        <f t="shared" si="13"/>
        <v>2025</v>
      </c>
      <c r="N83">
        <f t="shared" si="14"/>
        <v>900</v>
      </c>
      <c r="O83">
        <f t="shared" si="15"/>
        <v>400</v>
      </c>
      <c r="Q83" s="11">
        <f t="shared" si="17"/>
        <v>1.1519855409686837</v>
      </c>
      <c r="R83" s="12">
        <f t="shared" si="16"/>
        <v>-2.3741066975691758E-2</v>
      </c>
    </row>
    <row r="84" spans="1:18" x14ac:dyDescent="0.25">
      <c r="A84">
        <v>7</v>
      </c>
      <c r="B84">
        <v>45</v>
      </c>
      <c r="C84">
        <v>50</v>
      </c>
      <c r="E84">
        <v>2.86</v>
      </c>
      <c r="G84">
        <f t="shared" si="9"/>
        <v>7</v>
      </c>
      <c r="H84" s="10">
        <f t="shared" si="9"/>
        <v>45</v>
      </c>
      <c r="I84">
        <f t="shared" si="9"/>
        <v>50</v>
      </c>
      <c r="J84">
        <f t="shared" si="10"/>
        <v>49</v>
      </c>
      <c r="K84">
        <f t="shared" si="11"/>
        <v>315</v>
      </c>
      <c r="L84">
        <f t="shared" si="12"/>
        <v>350</v>
      </c>
      <c r="M84">
        <f t="shared" si="13"/>
        <v>2025</v>
      </c>
      <c r="N84">
        <f t="shared" si="14"/>
        <v>2250</v>
      </c>
      <c r="O84">
        <f t="shared" si="15"/>
        <v>2500</v>
      </c>
      <c r="Q84" s="11">
        <f t="shared" si="17"/>
        <v>2.8616436302585102</v>
      </c>
      <c r="R84" s="12">
        <f t="shared" si="16"/>
        <v>5.7469589458403192E-4</v>
      </c>
    </row>
    <row r="85" spans="1:18" x14ac:dyDescent="0.25">
      <c r="A85">
        <v>7</v>
      </c>
      <c r="B85">
        <v>45</v>
      </c>
      <c r="C85">
        <v>100</v>
      </c>
      <c r="E85">
        <v>6.22</v>
      </c>
      <c r="G85">
        <f t="shared" si="9"/>
        <v>7</v>
      </c>
      <c r="H85" s="10">
        <f t="shared" si="9"/>
        <v>45</v>
      </c>
      <c r="I85">
        <f t="shared" si="9"/>
        <v>100</v>
      </c>
      <c r="J85">
        <f t="shared" si="10"/>
        <v>49</v>
      </c>
      <c r="K85">
        <f t="shared" si="11"/>
        <v>315</v>
      </c>
      <c r="L85">
        <f t="shared" si="12"/>
        <v>700</v>
      </c>
      <c r="M85">
        <f t="shared" si="13"/>
        <v>2025</v>
      </c>
      <c r="N85">
        <f t="shared" si="14"/>
        <v>4500</v>
      </c>
      <c r="O85">
        <f t="shared" si="15"/>
        <v>10000</v>
      </c>
      <c r="Q85" s="11">
        <f t="shared" si="17"/>
        <v>6.1210479846909056</v>
      </c>
      <c r="R85" s="12">
        <f t="shared" si="16"/>
        <v>-1.5908684133294878E-2</v>
      </c>
    </row>
    <row r="86" spans="1:18" x14ac:dyDescent="0.25">
      <c r="A86">
        <v>12</v>
      </c>
      <c r="B86">
        <v>45</v>
      </c>
      <c r="C86">
        <v>20</v>
      </c>
      <c r="E86">
        <v>1.17</v>
      </c>
      <c r="G86">
        <f t="shared" si="9"/>
        <v>12</v>
      </c>
      <c r="H86" s="10">
        <f t="shared" si="9"/>
        <v>45</v>
      </c>
      <c r="I86">
        <f t="shared" si="9"/>
        <v>20</v>
      </c>
      <c r="J86">
        <f t="shared" si="10"/>
        <v>144</v>
      </c>
      <c r="K86">
        <f t="shared" si="11"/>
        <v>540</v>
      </c>
      <c r="L86">
        <f t="shared" si="12"/>
        <v>240</v>
      </c>
      <c r="M86">
        <f t="shared" si="13"/>
        <v>2025</v>
      </c>
      <c r="N86">
        <f t="shared" si="14"/>
        <v>900</v>
      </c>
      <c r="O86">
        <f t="shared" si="15"/>
        <v>400</v>
      </c>
      <c r="Q86" s="11">
        <f t="shared" si="17"/>
        <v>1.193333000807886</v>
      </c>
      <c r="R86" s="12">
        <f t="shared" si="16"/>
        <v>1.9942735733235923E-2</v>
      </c>
    </row>
    <row r="87" spans="1:18" x14ac:dyDescent="0.25">
      <c r="A87">
        <v>12</v>
      </c>
      <c r="B87">
        <v>45</v>
      </c>
      <c r="C87">
        <v>50</v>
      </c>
      <c r="E87">
        <v>2.89</v>
      </c>
      <c r="G87">
        <f t="shared" si="9"/>
        <v>12</v>
      </c>
      <c r="H87" s="10">
        <f t="shared" si="9"/>
        <v>45</v>
      </c>
      <c r="I87">
        <f t="shared" si="9"/>
        <v>50</v>
      </c>
      <c r="J87">
        <f t="shared" si="10"/>
        <v>144</v>
      </c>
      <c r="K87">
        <f t="shared" si="11"/>
        <v>540</v>
      </c>
      <c r="L87">
        <f t="shared" si="12"/>
        <v>600</v>
      </c>
      <c r="M87">
        <f t="shared" si="13"/>
        <v>2025</v>
      </c>
      <c r="N87">
        <f t="shared" si="14"/>
        <v>2250</v>
      </c>
      <c r="O87">
        <f t="shared" si="15"/>
        <v>2500</v>
      </c>
      <c r="Q87" s="11">
        <f t="shared" si="17"/>
        <v>2.9994279260236225</v>
      </c>
      <c r="R87" s="12">
        <f t="shared" si="16"/>
        <v>3.7864334264229201E-2</v>
      </c>
    </row>
    <row r="88" spans="1:18" x14ac:dyDescent="0.25">
      <c r="A88">
        <v>12</v>
      </c>
      <c r="B88">
        <v>45</v>
      </c>
      <c r="C88">
        <v>100</v>
      </c>
      <c r="E88">
        <v>6.7</v>
      </c>
      <c r="G88">
        <f t="shared" si="9"/>
        <v>12</v>
      </c>
      <c r="H88" s="10">
        <f t="shared" si="9"/>
        <v>45</v>
      </c>
      <c r="I88">
        <f t="shared" si="9"/>
        <v>100</v>
      </c>
      <c r="J88">
        <f t="shared" si="10"/>
        <v>144</v>
      </c>
      <c r="K88">
        <f t="shared" si="11"/>
        <v>540</v>
      </c>
      <c r="L88">
        <f t="shared" si="12"/>
        <v>1200</v>
      </c>
      <c r="M88">
        <f t="shared" si="13"/>
        <v>2025</v>
      </c>
      <c r="N88">
        <f t="shared" si="14"/>
        <v>4500</v>
      </c>
      <c r="O88">
        <f t="shared" si="15"/>
        <v>10000</v>
      </c>
      <c r="Q88" s="11">
        <f t="shared" si="17"/>
        <v>6.4195603403325361</v>
      </c>
      <c r="R88" s="12">
        <f t="shared" si="16"/>
        <v>-4.1856665622009563E-2</v>
      </c>
    </row>
    <row r="89" spans="1:18" x14ac:dyDescent="0.25">
      <c r="A89">
        <v>-15</v>
      </c>
      <c r="B89">
        <v>55</v>
      </c>
      <c r="C89">
        <v>50</v>
      </c>
      <c r="E89">
        <v>3.1</v>
      </c>
      <c r="G89">
        <f t="shared" si="9"/>
        <v>-15</v>
      </c>
      <c r="H89" s="10">
        <f t="shared" si="9"/>
        <v>55</v>
      </c>
      <c r="I89">
        <f t="shared" si="9"/>
        <v>50</v>
      </c>
      <c r="J89">
        <f t="shared" si="10"/>
        <v>225</v>
      </c>
      <c r="K89">
        <f t="shared" si="11"/>
        <v>-825</v>
      </c>
      <c r="L89">
        <f t="shared" si="12"/>
        <v>-750</v>
      </c>
      <c r="M89">
        <f t="shared" si="13"/>
        <v>3025</v>
      </c>
      <c r="N89">
        <f t="shared" si="14"/>
        <v>2750</v>
      </c>
      <c r="O89">
        <f t="shared" si="15"/>
        <v>2500</v>
      </c>
      <c r="Q89" s="11">
        <f t="shared" si="17"/>
        <v>3.1422811409684024</v>
      </c>
      <c r="R89" s="12">
        <f t="shared" si="16"/>
        <v>1.3639077731742676E-2</v>
      </c>
    </row>
    <row r="90" spans="1:18" x14ac:dyDescent="0.25">
      <c r="A90">
        <v>-7</v>
      </c>
      <c r="B90">
        <v>55</v>
      </c>
      <c r="C90">
        <v>20</v>
      </c>
      <c r="E90">
        <v>1.48</v>
      </c>
      <c r="G90">
        <f t="shared" si="9"/>
        <v>-7</v>
      </c>
      <c r="H90" s="10">
        <f t="shared" si="9"/>
        <v>55</v>
      </c>
      <c r="I90">
        <f t="shared" si="9"/>
        <v>20</v>
      </c>
      <c r="J90">
        <f t="shared" si="10"/>
        <v>49</v>
      </c>
      <c r="K90">
        <f t="shared" si="11"/>
        <v>-385</v>
      </c>
      <c r="L90">
        <f t="shared" si="12"/>
        <v>-140</v>
      </c>
      <c r="M90">
        <f t="shared" si="13"/>
        <v>3025</v>
      </c>
      <c r="N90">
        <f t="shared" si="14"/>
        <v>1100</v>
      </c>
      <c r="O90">
        <f t="shared" si="15"/>
        <v>400</v>
      </c>
      <c r="Q90" s="11">
        <f t="shared" si="17"/>
        <v>1.5446899713919633</v>
      </c>
      <c r="R90" s="12">
        <f t="shared" si="16"/>
        <v>4.3709440129704936E-2</v>
      </c>
    </row>
    <row r="91" spans="1:18" x14ac:dyDescent="0.25">
      <c r="A91">
        <v>-7</v>
      </c>
      <c r="B91">
        <v>55</v>
      </c>
      <c r="C91">
        <v>50</v>
      </c>
      <c r="E91">
        <v>3.17</v>
      </c>
      <c r="G91">
        <f t="shared" si="9"/>
        <v>-7</v>
      </c>
      <c r="H91" s="10">
        <f t="shared" si="9"/>
        <v>55</v>
      </c>
      <c r="I91">
        <f t="shared" si="9"/>
        <v>50</v>
      </c>
      <c r="J91">
        <f t="shared" si="10"/>
        <v>49</v>
      </c>
      <c r="K91">
        <f t="shared" si="11"/>
        <v>-385</v>
      </c>
      <c r="L91">
        <f t="shared" si="12"/>
        <v>-350</v>
      </c>
      <c r="M91">
        <f t="shared" si="13"/>
        <v>3025</v>
      </c>
      <c r="N91">
        <f t="shared" si="14"/>
        <v>2750</v>
      </c>
      <c r="O91">
        <f t="shared" si="15"/>
        <v>2500</v>
      </c>
      <c r="Q91" s="11">
        <f t="shared" si="17"/>
        <v>3.1647739038952802</v>
      </c>
      <c r="R91" s="12">
        <f t="shared" si="16"/>
        <v>-1.6486107585866534E-3</v>
      </c>
    </row>
    <row r="92" spans="1:18" x14ac:dyDescent="0.25">
      <c r="A92">
        <v>-7</v>
      </c>
      <c r="B92">
        <v>55</v>
      </c>
      <c r="C92">
        <v>100</v>
      </c>
      <c r="E92">
        <v>6.24</v>
      </c>
      <c r="G92">
        <f t="shared" si="9"/>
        <v>-7</v>
      </c>
      <c r="H92" s="10">
        <f t="shared" si="9"/>
        <v>55</v>
      </c>
      <c r="I92">
        <f t="shared" si="9"/>
        <v>100</v>
      </c>
      <c r="J92">
        <f t="shared" si="10"/>
        <v>49</v>
      </c>
      <c r="K92">
        <f t="shared" si="11"/>
        <v>-385</v>
      </c>
      <c r="L92">
        <f t="shared" si="12"/>
        <v>-700</v>
      </c>
      <c r="M92">
        <f t="shared" si="13"/>
        <v>3025</v>
      </c>
      <c r="N92">
        <f t="shared" si="14"/>
        <v>5500</v>
      </c>
      <c r="O92">
        <f t="shared" si="15"/>
        <v>10000</v>
      </c>
      <c r="Q92" s="11">
        <f t="shared" si="17"/>
        <v>6.2748879970168261</v>
      </c>
      <c r="R92" s="12">
        <f t="shared" si="16"/>
        <v>5.5910251629528651E-3</v>
      </c>
    </row>
    <row r="93" spans="1:18" x14ac:dyDescent="0.25">
      <c r="A93">
        <v>2</v>
      </c>
      <c r="B93">
        <v>55</v>
      </c>
      <c r="C93">
        <v>20</v>
      </c>
      <c r="E93">
        <v>1.45</v>
      </c>
      <c r="G93">
        <f t="shared" si="9"/>
        <v>2</v>
      </c>
      <c r="H93" s="10">
        <f t="shared" si="9"/>
        <v>55</v>
      </c>
      <c r="I93">
        <f t="shared" si="9"/>
        <v>20</v>
      </c>
      <c r="J93">
        <f t="shared" si="10"/>
        <v>4</v>
      </c>
      <c r="K93">
        <f t="shared" si="11"/>
        <v>110</v>
      </c>
      <c r="L93">
        <f t="shared" si="12"/>
        <v>40</v>
      </c>
      <c r="M93">
        <f t="shared" si="13"/>
        <v>3025</v>
      </c>
      <c r="N93">
        <f t="shared" si="14"/>
        <v>1100</v>
      </c>
      <c r="O93">
        <f t="shared" si="15"/>
        <v>400</v>
      </c>
      <c r="Q93" s="11">
        <f t="shared" si="17"/>
        <v>1.4847012578150489</v>
      </c>
      <c r="R93" s="12">
        <f t="shared" si="16"/>
        <v>2.3931901941413074E-2</v>
      </c>
    </row>
    <row r="94" spans="1:18" x14ac:dyDescent="0.25">
      <c r="A94">
        <v>2</v>
      </c>
      <c r="B94">
        <v>55</v>
      </c>
      <c r="C94">
        <v>50</v>
      </c>
      <c r="E94">
        <v>3.2</v>
      </c>
      <c r="G94">
        <f t="shared" si="9"/>
        <v>2</v>
      </c>
      <c r="H94" s="10">
        <f t="shared" si="9"/>
        <v>55</v>
      </c>
      <c r="I94">
        <f t="shared" si="9"/>
        <v>50</v>
      </c>
      <c r="J94">
        <f t="shared" si="10"/>
        <v>4</v>
      </c>
      <c r="K94">
        <f t="shared" si="11"/>
        <v>110</v>
      </c>
      <c r="L94">
        <f t="shared" si="12"/>
        <v>100</v>
      </c>
      <c r="M94">
        <f t="shared" si="13"/>
        <v>3025</v>
      </c>
      <c r="N94">
        <f t="shared" si="14"/>
        <v>2750</v>
      </c>
      <c r="O94">
        <f t="shared" si="15"/>
        <v>2500</v>
      </c>
      <c r="Q94" s="11">
        <f t="shared" si="17"/>
        <v>3.2783714949850045</v>
      </c>
      <c r="R94" s="12">
        <f t="shared" si="16"/>
        <v>2.4491092182813839E-2</v>
      </c>
    </row>
    <row r="95" spans="1:18" x14ac:dyDescent="0.25">
      <c r="A95">
        <v>2</v>
      </c>
      <c r="B95">
        <v>55</v>
      </c>
      <c r="C95">
        <v>100</v>
      </c>
      <c r="E95">
        <v>6.42</v>
      </c>
      <c r="G95">
        <f t="shared" si="9"/>
        <v>2</v>
      </c>
      <c r="H95" s="10">
        <f t="shared" si="9"/>
        <v>55</v>
      </c>
      <c r="I95">
        <f t="shared" si="9"/>
        <v>100</v>
      </c>
      <c r="J95">
        <f t="shared" si="10"/>
        <v>4</v>
      </c>
      <c r="K95">
        <f t="shared" si="11"/>
        <v>110</v>
      </c>
      <c r="L95">
        <f t="shared" si="12"/>
        <v>200</v>
      </c>
      <c r="M95">
        <f t="shared" si="13"/>
        <v>3025</v>
      </c>
      <c r="N95">
        <f t="shared" si="14"/>
        <v>5500</v>
      </c>
      <c r="O95">
        <f t="shared" si="15"/>
        <v>10000</v>
      </c>
      <c r="Q95" s="11">
        <f t="shared" si="17"/>
        <v>6.6777960958842808</v>
      </c>
      <c r="R95" s="12">
        <f t="shared" si="16"/>
        <v>4.0155155122162133E-2</v>
      </c>
    </row>
    <row r="96" spans="1:18" x14ac:dyDescent="0.25">
      <c r="A96">
        <v>7</v>
      </c>
      <c r="B96">
        <v>55</v>
      </c>
      <c r="C96">
        <v>20</v>
      </c>
      <c r="E96">
        <v>1.46</v>
      </c>
      <c r="G96">
        <f t="shared" si="9"/>
        <v>7</v>
      </c>
      <c r="H96" s="10">
        <f t="shared" si="9"/>
        <v>55</v>
      </c>
      <c r="I96">
        <f t="shared" si="9"/>
        <v>20</v>
      </c>
      <c r="J96">
        <f t="shared" si="10"/>
        <v>49</v>
      </c>
      <c r="K96">
        <f t="shared" si="11"/>
        <v>385</v>
      </c>
      <c r="L96">
        <f t="shared" si="12"/>
        <v>140</v>
      </c>
      <c r="M96">
        <f t="shared" si="13"/>
        <v>3025</v>
      </c>
      <c r="N96">
        <f t="shared" si="14"/>
        <v>1100</v>
      </c>
      <c r="O96">
        <f t="shared" si="15"/>
        <v>400</v>
      </c>
      <c r="Q96" s="11">
        <f t="shared" si="17"/>
        <v>1.4917697914212664</v>
      </c>
      <c r="R96" s="12">
        <f t="shared" si="16"/>
        <v>2.1760131110456479E-2</v>
      </c>
    </row>
    <row r="97" spans="1:18" x14ac:dyDescent="0.25">
      <c r="A97">
        <v>7</v>
      </c>
      <c r="B97">
        <v>55</v>
      </c>
      <c r="C97">
        <v>50</v>
      </c>
      <c r="E97">
        <v>3.37</v>
      </c>
      <c r="G97">
        <f t="shared" si="9"/>
        <v>7</v>
      </c>
      <c r="H97" s="10">
        <f t="shared" si="9"/>
        <v>55</v>
      </c>
      <c r="I97">
        <f t="shared" si="9"/>
        <v>50</v>
      </c>
      <c r="J97">
        <f t="shared" si="10"/>
        <v>49</v>
      </c>
      <c r="K97">
        <f t="shared" si="11"/>
        <v>385</v>
      </c>
      <c r="L97">
        <f t="shared" si="12"/>
        <v>350</v>
      </c>
      <c r="M97">
        <f t="shared" si="13"/>
        <v>3025</v>
      </c>
      <c r="N97">
        <f t="shared" si="14"/>
        <v>2750</v>
      </c>
      <c r="O97">
        <f t="shared" si="15"/>
        <v>2500</v>
      </c>
      <c r="Q97" s="11">
        <f t="shared" si="17"/>
        <v>3.3818768645171322</v>
      </c>
      <c r="R97" s="12">
        <f t="shared" si="16"/>
        <v>3.524292141582226E-3</v>
      </c>
    </row>
    <row r="98" spans="1:18" x14ac:dyDescent="0.25">
      <c r="A98">
        <v>7</v>
      </c>
      <c r="B98">
        <v>55</v>
      </c>
      <c r="C98">
        <v>100</v>
      </c>
      <c r="E98">
        <v>7.06</v>
      </c>
      <c r="G98">
        <f t="shared" si="9"/>
        <v>7</v>
      </c>
      <c r="H98" s="10">
        <f t="shared" si="9"/>
        <v>55</v>
      </c>
      <c r="I98">
        <f t="shared" si="9"/>
        <v>100</v>
      </c>
      <c r="J98">
        <f t="shared" si="10"/>
        <v>49</v>
      </c>
      <c r="K98">
        <f t="shared" si="11"/>
        <v>385</v>
      </c>
      <c r="L98">
        <f t="shared" si="12"/>
        <v>700</v>
      </c>
      <c r="M98">
        <f t="shared" si="13"/>
        <v>3025</v>
      </c>
      <c r="N98">
        <f t="shared" si="14"/>
        <v>5500</v>
      </c>
      <c r="O98">
        <f t="shared" si="15"/>
        <v>10000</v>
      </c>
      <c r="Q98" s="11">
        <f t="shared" si="17"/>
        <v>6.9420295252929254</v>
      </c>
      <c r="R98" s="12">
        <f t="shared" si="16"/>
        <v>-1.6709698967007681E-2</v>
      </c>
    </row>
    <row r="99" spans="1:18" x14ac:dyDescent="0.25">
      <c r="A99">
        <v>12</v>
      </c>
      <c r="B99">
        <v>55</v>
      </c>
      <c r="C99">
        <v>20</v>
      </c>
      <c r="E99">
        <v>1.45</v>
      </c>
      <c r="G99">
        <f t="shared" si="9"/>
        <v>12</v>
      </c>
      <c r="H99" s="10">
        <f t="shared" si="9"/>
        <v>55</v>
      </c>
      <c r="I99">
        <f t="shared" si="9"/>
        <v>20</v>
      </c>
      <c r="J99">
        <f t="shared" si="10"/>
        <v>144</v>
      </c>
      <c r="K99">
        <f t="shared" si="11"/>
        <v>660</v>
      </c>
      <c r="L99">
        <f t="shared" si="12"/>
        <v>240</v>
      </c>
      <c r="M99">
        <f t="shared" si="13"/>
        <v>3025</v>
      </c>
      <c r="N99">
        <f t="shared" si="14"/>
        <v>1100</v>
      </c>
      <c r="O99">
        <f t="shared" si="15"/>
        <v>400</v>
      </c>
      <c r="Q99" s="11">
        <f t="shared" si="17"/>
        <v>1.5276923226735584</v>
      </c>
      <c r="R99" s="12">
        <f t="shared" si="16"/>
        <v>5.3580912188660977E-2</v>
      </c>
    </row>
    <row r="100" spans="1:18" x14ac:dyDescent="0.25">
      <c r="A100">
        <v>12</v>
      </c>
      <c r="B100">
        <v>55</v>
      </c>
      <c r="C100">
        <v>50</v>
      </c>
      <c r="E100">
        <v>3.39</v>
      </c>
      <c r="G100">
        <f t="shared" si="9"/>
        <v>12</v>
      </c>
      <c r="H100" s="10">
        <f t="shared" si="9"/>
        <v>55</v>
      </c>
      <c r="I100">
        <f t="shared" si="9"/>
        <v>50</v>
      </c>
      <c r="J100">
        <f t="shared" si="10"/>
        <v>144</v>
      </c>
      <c r="K100">
        <f t="shared" si="11"/>
        <v>660</v>
      </c>
      <c r="L100">
        <f t="shared" si="12"/>
        <v>600</v>
      </c>
      <c r="M100">
        <f t="shared" si="13"/>
        <v>3025</v>
      </c>
      <c r="N100">
        <f t="shared" si="14"/>
        <v>2750</v>
      </c>
      <c r="O100">
        <f t="shared" si="15"/>
        <v>2500</v>
      </c>
      <c r="Q100" s="11">
        <f t="shared" si="17"/>
        <v>3.5142362316953348</v>
      </c>
      <c r="R100" s="12">
        <f t="shared" si="16"/>
        <v>3.6647855957325871E-2</v>
      </c>
    </row>
    <row r="101" spans="1:18" x14ac:dyDescent="0.25">
      <c r="A101">
        <v>12</v>
      </c>
      <c r="B101">
        <v>55</v>
      </c>
      <c r="C101">
        <v>100</v>
      </c>
      <c r="E101">
        <v>7.61</v>
      </c>
      <c r="G101">
        <f t="shared" si="9"/>
        <v>12</v>
      </c>
      <c r="H101" s="10">
        <f t="shared" si="9"/>
        <v>55</v>
      </c>
      <c r="I101">
        <f t="shared" si="9"/>
        <v>100</v>
      </c>
      <c r="J101">
        <f t="shared" si="10"/>
        <v>144</v>
      </c>
      <c r="K101">
        <f t="shared" si="11"/>
        <v>660</v>
      </c>
      <c r="L101">
        <f t="shared" si="12"/>
        <v>1200</v>
      </c>
      <c r="M101">
        <f t="shared" si="13"/>
        <v>3025</v>
      </c>
      <c r="N101">
        <f t="shared" si="14"/>
        <v>5500</v>
      </c>
      <c r="O101">
        <f t="shared" si="15"/>
        <v>10000</v>
      </c>
      <c r="Q101" s="11">
        <f t="shared" si="17"/>
        <v>7.2351169523476457</v>
      </c>
      <c r="R101" s="12">
        <f t="shared" si="16"/>
        <v>-4.92618985088508E-2</v>
      </c>
    </row>
    <row r="102" spans="1:18" x14ac:dyDescent="0.25">
      <c r="A102">
        <v>2</v>
      </c>
      <c r="B102">
        <v>65</v>
      </c>
      <c r="C102">
        <v>20</v>
      </c>
      <c r="E102">
        <v>1.87</v>
      </c>
      <c r="G102">
        <f t="shared" si="9"/>
        <v>2</v>
      </c>
      <c r="H102" s="10">
        <f t="shared" si="9"/>
        <v>65</v>
      </c>
      <c r="I102">
        <f t="shared" si="9"/>
        <v>20</v>
      </c>
      <c r="J102">
        <f t="shared" si="10"/>
        <v>4</v>
      </c>
      <c r="K102">
        <f t="shared" si="11"/>
        <v>130</v>
      </c>
      <c r="L102">
        <f t="shared" si="12"/>
        <v>40</v>
      </c>
      <c r="M102">
        <f t="shared" si="13"/>
        <v>4225</v>
      </c>
      <c r="N102">
        <f t="shared" si="14"/>
        <v>1300</v>
      </c>
      <c r="O102">
        <f t="shared" si="15"/>
        <v>400</v>
      </c>
      <c r="Q102" s="11">
        <f t="shared" si="17"/>
        <v>1.8425196580045158</v>
      </c>
      <c r="R102" s="12">
        <f t="shared" si="16"/>
        <v>-1.4695370051061135E-2</v>
      </c>
    </row>
    <row r="103" spans="1:18" x14ac:dyDescent="0.25">
      <c r="A103">
        <v>2</v>
      </c>
      <c r="B103">
        <v>65</v>
      </c>
      <c r="C103">
        <v>50</v>
      </c>
      <c r="E103">
        <v>3.86</v>
      </c>
      <c r="G103">
        <f t="shared" si="9"/>
        <v>2</v>
      </c>
      <c r="H103" s="10">
        <f t="shared" si="9"/>
        <v>65</v>
      </c>
      <c r="I103">
        <f t="shared" si="9"/>
        <v>50</v>
      </c>
      <c r="J103">
        <f t="shared" si="10"/>
        <v>4</v>
      </c>
      <c r="K103">
        <f t="shared" si="11"/>
        <v>130</v>
      </c>
      <c r="L103">
        <f t="shared" si="12"/>
        <v>100</v>
      </c>
      <c r="M103">
        <f t="shared" si="13"/>
        <v>4225</v>
      </c>
      <c r="N103">
        <f t="shared" si="14"/>
        <v>3250</v>
      </c>
      <c r="O103">
        <f t="shared" si="15"/>
        <v>2500</v>
      </c>
      <c r="Q103" s="11">
        <f t="shared" si="17"/>
        <v>3.8166388789805104</v>
      </c>
      <c r="R103" s="12">
        <f t="shared" si="16"/>
        <v>-1.123345104131853E-2</v>
      </c>
    </row>
    <row r="104" spans="1:18" x14ac:dyDescent="0.25">
      <c r="A104">
        <v>7</v>
      </c>
      <c r="B104">
        <v>65</v>
      </c>
      <c r="C104">
        <v>20</v>
      </c>
      <c r="E104">
        <v>1.87</v>
      </c>
      <c r="G104">
        <f t="shared" si="9"/>
        <v>7</v>
      </c>
      <c r="H104" s="10">
        <f t="shared" si="9"/>
        <v>65</v>
      </c>
      <c r="I104">
        <f t="shared" si="9"/>
        <v>20</v>
      </c>
      <c r="J104">
        <f t="shared" si="10"/>
        <v>49</v>
      </c>
      <c r="K104">
        <f t="shared" si="11"/>
        <v>455</v>
      </c>
      <c r="L104">
        <f t="shared" si="12"/>
        <v>140</v>
      </c>
      <c r="M104">
        <f t="shared" si="13"/>
        <v>4225</v>
      </c>
      <c r="N104">
        <f t="shared" si="14"/>
        <v>1300</v>
      </c>
      <c r="O104">
        <f t="shared" si="15"/>
        <v>400</v>
      </c>
      <c r="Q104" s="11">
        <f t="shared" si="17"/>
        <v>1.8441632630238232</v>
      </c>
      <c r="R104" s="12">
        <f t="shared" si="16"/>
        <v>-1.3816436885656119E-2</v>
      </c>
    </row>
    <row r="105" spans="1:18" x14ac:dyDescent="0.25">
      <c r="A105">
        <v>7</v>
      </c>
      <c r="B105">
        <v>65</v>
      </c>
      <c r="C105">
        <v>50</v>
      </c>
      <c r="E105">
        <v>4.1399999999999997</v>
      </c>
      <c r="G105">
        <f t="shared" si="9"/>
        <v>7</v>
      </c>
      <c r="H105" s="10">
        <f t="shared" si="9"/>
        <v>65</v>
      </c>
      <c r="I105">
        <f t="shared" si="9"/>
        <v>50</v>
      </c>
      <c r="J105">
        <f t="shared" si="10"/>
        <v>49</v>
      </c>
      <c r="K105">
        <f t="shared" si="11"/>
        <v>455</v>
      </c>
      <c r="L105">
        <f t="shared" si="12"/>
        <v>350</v>
      </c>
      <c r="M105">
        <f t="shared" si="13"/>
        <v>4225</v>
      </c>
      <c r="N105">
        <f t="shared" si="14"/>
        <v>3250</v>
      </c>
      <c r="O105">
        <f t="shared" si="15"/>
        <v>2500</v>
      </c>
      <c r="Q105" s="11">
        <f t="shared" si="17"/>
        <v>3.914719319925728</v>
      </c>
      <c r="R105" s="12">
        <f t="shared" si="16"/>
        <v>-5.4415623206345826E-2</v>
      </c>
    </row>
    <row r="106" spans="1:18" x14ac:dyDescent="0.25">
      <c r="A106">
        <v>7</v>
      </c>
      <c r="B106">
        <v>65</v>
      </c>
      <c r="C106">
        <v>100</v>
      </c>
      <c r="E106">
        <v>8.1</v>
      </c>
      <c r="G106">
        <f t="shared" si="9"/>
        <v>7</v>
      </c>
      <c r="H106" s="10">
        <f t="shared" si="9"/>
        <v>65</v>
      </c>
      <c r="I106">
        <f t="shared" si="9"/>
        <v>100</v>
      </c>
      <c r="J106">
        <f t="shared" si="10"/>
        <v>49</v>
      </c>
      <c r="K106">
        <f t="shared" si="11"/>
        <v>455</v>
      </c>
      <c r="L106">
        <f t="shared" si="12"/>
        <v>700</v>
      </c>
      <c r="M106">
        <f t="shared" si="13"/>
        <v>4225</v>
      </c>
      <c r="N106">
        <f t="shared" si="14"/>
        <v>6500</v>
      </c>
      <c r="O106">
        <f t="shared" si="15"/>
        <v>10000</v>
      </c>
      <c r="Q106" s="11">
        <f t="shared" si="17"/>
        <v>7.7756202870449194</v>
      </c>
      <c r="R106" s="12">
        <f t="shared" si="16"/>
        <v>-4.0046878142602507E-2</v>
      </c>
    </row>
    <row r="107" spans="1:18" x14ac:dyDescent="0.25">
      <c r="A107">
        <v>12</v>
      </c>
      <c r="B107">
        <v>65</v>
      </c>
      <c r="C107">
        <v>20</v>
      </c>
      <c r="E107">
        <v>1.86</v>
      </c>
      <c r="G107">
        <f t="shared" si="9"/>
        <v>12</v>
      </c>
      <c r="H107" s="10">
        <f t="shared" si="9"/>
        <v>65</v>
      </c>
      <c r="I107">
        <f t="shared" si="9"/>
        <v>20</v>
      </c>
      <c r="J107">
        <f t="shared" si="10"/>
        <v>144</v>
      </c>
      <c r="K107">
        <f t="shared" si="11"/>
        <v>780</v>
      </c>
      <c r="L107">
        <f t="shared" si="12"/>
        <v>240</v>
      </c>
      <c r="M107">
        <f t="shared" si="13"/>
        <v>4225</v>
      </c>
      <c r="N107">
        <f t="shared" si="14"/>
        <v>1300</v>
      </c>
      <c r="O107">
        <f t="shared" si="15"/>
        <v>400</v>
      </c>
      <c r="Q107" s="11">
        <f t="shared" si="17"/>
        <v>1.8746608656892043</v>
      </c>
      <c r="R107" s="12">
        <f t="shared" si="16"/>
        <v>7.8821858544108683E-3</v>
      </c>
    </row>
    <row r="108" spans="1:18" x14ac:dyDescent="0.25">
      <c r="A108">
        <v>12</v>
      </c>
      <c r="B108">
        <v>65</v>
      </c>
      <c r="C108">
        <v>50</v>
      </c>
      <c r="E108">
        <v>4.17</v>
      </c>
      <c r="G108">
        <f t="shared" si="9"/>
        <v>12</v>
      </c>
      <c r="H108" s="10">
        <f t="shared" si="9"/>
        <v>65</v>
      </c>
      <c r="I108">
        <f t="shared" si="9"/>
        <v>50</v>
      </c>
      <c r="J108">
        <f t="shared" si="10"/>
        <v>144</v>
      </c>
      <c r="K108">
        <f t="shared" si="11"/>
        <v>780</v>
      </c>
      <c r="L108">
        <f t="shared" si="12"/>
        <v>600</v>
      </c>
      <c r="M108">
        <f t="shared" si="13"/>
        <v>4225</v>
      </c>
      <c r="N108">
        <f t="shared" si="14"/>
        <v>3250</v>
      </c>
      <c r="O108">
        <f t="shared" si="15"/>
        <v>2500</v>
      </c>
      <c r="Q108" s="11">
        <f t="shared" si="17"/>
        <v>4.04165375851702</v>
      </c>
      <c r="R108" s="12">
        <f t="shared" si="16"/>
        <v>-3.0778475175774558E-2</v>
      </c>
    </row>
    <row r="109" spans="1:18" x14ac:dyDescent="0.25">
      <c r="A109">
        <v>12</v>
      </c>
      <c r="B109">
        <v>65</v>
      </c>
      <c r="C109">
        <v>100</v>
      </c>
      <c r="E109">
        <v>7.39</v>
      </c>
      <c r="G109">
        <f t="shared" si="9"/>
        <v>12</v>
      </c>
      <c r="H109" s="10">
        <f t="shared" si="9"/>
        <v>65</v>
      </c>
      <c r="I109">
        <f t="shared" si="9"/>
        <v>100</v>
      </c>
      <c r="J109">
        <f t="shared" si="10"/>
        <v>144</v>
      </c>
      <c r="K109">
        <f t="shared" si="11"/>
        <v>780</v>
      </c>
      <c r="L109">
        <f t="shared" si="12"/>
        <v>1200</v>
      </c>
      <c r="M109">
        <f t="shared" si="13"/>
        <v>4225</v>
      </c>
      <c r="N109">
        <f t="shared" si="14"/>
        <v>6500</v>
      </c>
      <c r="O109">
        <f t="shared" si="15"/>
        <v>10000</v>
      </c>
      <c r="Q109" s="11">
        <f t="shared" si="17"/>
        <v>8.0632827855127278</v>
      </c>
      <c r="R109" s="12">
        <f t="shared" si="16"/>
        <v>9.1107278147865789E-2</v>
      </c>
    </row>
    <row r="112" spans="1:18" x14ac:dyDescent="0.25">
      <c r="A112" t="s">
        <v>28</v>
      </c>
      <c r="G112" s="4" t="s">
        <v>1</v>
      </c>
      <c r="H112" s="4" t="s">
        <v>2</v>
      </c>
      <c r="I112" s="4" t="s">
        <v>3</v>
      </c>
      <c r="J112" s="4" t="s">
        <v>4</v>
      </c>
      <c r="K112" s="4" t="s">
        <v>5</v>
      </c>
      <c r="L112" s="4" t="s">
        <v>6</v>
      </c>
      <c r="M112" s="4" t="s">
        <v>7</v>
      </c>
      <c r="N112" s="4" t="s">
        <v>8</v>
      </c>
      <c r="O112" s="4" t="s">
        <v>9</v>
      </c>
      <c r="P112" s="4" t="s">
        <v>10</v>
      </c>
    </row>
    <row r="113" spans="1:18" x14ac:dyDescent="0.25">
      <c r="A113" s="1"/>
      <c r="C113" s="1"/>
      <c r="D113" s="1"/>
      <c r="E113" s="1"/>
      <c r="F113" s="1"/>
      <c r="G113" s="4">
        <f t="array" ref="G113:P113">LINEST(E115:E164,G115:O164)</f>
        <v>0.1615729510465117</v>
      </c>
      <c r="H113" s="4">
        <v>4.4429742982159307E-2</v>
      </c>
      <c r="I113" s="4">
        <v>1.2213173272765936E-2</v>
      </c>
      <c r="J113" s="4">
        <v>-0.37600182477143584</v>
      </c>
      <c r="K113" s="4">
        <v>-8.2912200970094128E-4</v>
      </c>
      <c r="L113" s="4">
        <v>3.7560085253575917E-2</v>
      </c>
      <c r="M113" s="4">
        <v>3.633683998719814</v>
      </c>
      <c r="N113" s="4">
        <v>-1.2698355614342485</v>
      </c>
      <c r="O113" s="4">
        <v>0.47490980508947078</v>
      </c>
      <c r="P113" s="4">
        <v>29.634693865606444</v>
      </c>
    </row>
    <row r="114" spans="1:18" ht="45" x14ac:dyDescent="0.25">
      <c r="A114" s="5" t="s">
        <v>11</v>
      </c>
      <c r="B114" s="5" t="s">
        <v>12</v>
      </c>
      <c r="C114" s="5" t="s">
        <v>63</v>
      </c>
      <c r="E114" s="7" t="s">
        <v>13</v>
      </c>
      <c r="F114" s="3"/>
      <c r="G114" s="8" t="s">
        <v>17</v>
      </c>
      <c r="H114" s="8" t="s">
        <v>18</v>
      </c>
      <c r="I114" s="8" t="s">
        <v>0</v>
      </c>
      <c r="J114" s="8" t="s">
        <v>19</v>
      </c>
      <c r="K114" s="8" t="s">
        <v>20</v>
      </c>
      <c r="L114" s="8" t="s">
        <v>21</v>
      </c>
      <c r="M114" s="8" t="s">
        <v>22</v>
      </c>
      <c r="N114" s="8" t="s">
        <v>23</v>
      </c>
      <c r="O114" s="8" t="s">
        <v>24</v>
      </c>
      <c r="P114" s="3"/>
      <c r="Q114" s="9" t="s">
        <v>16</v>
      </c>
      <c r="R114" s="9" t="s">
        <v>15</v>
      </c>
    </row>
    <row r="115" spans="1:18" x14ac:dyDescent="0.25">
      <c r="A115">
        <v>-15</v>
      </c>
      <c r="B115">
        <v>35</v>
      </c>
      <c r="C115">
        <f>E4</f>
        <v>1.66</v>
      </c>
      <c r="E115">
        <v>20</v>
      </c>
      <c r="F115" s="2"/>
      <c r="G115">
        <f t="shared" ref="G115:I164" si="18">A115</f>
        <v>-15</v>
      </c>
      <c r="H115" s="10">
        <f t="shared" si="18"/>
        <v>35</v>
      </c>
      <c r="I115">
        <f t="shared" si="18"/>
        <v>1.66</v>
      </c>
      <c r="J115">
        <f t="shared" ref="J115:J164" si="19">G115^2</f>
        <v>225</v>
      </c>
      <c r="K115">
        <f t="shared" ref="K115:K164" si="20">G115*H115</f>
        <v>-525</v>
      </c>
      <c r="L115">
        <f t="shared" ref="L115:L164" si="21">G115*I115</f>
        <v>-24.9</v>
      </c>
      <c r="M115">
        <f t="shared" ref="M115:M164" si="22">H115^2</f>
        <v>1225</v>
      </c>
      <c r="N115">
        <f t="shared" ref="N115:N164" si="23">H115*I115</f>
        <v>58.099999999999994</v>
      </c>
      <c r="O115">
        <f t="shared" ref="O115:O164" si="24">I115^2</f>
        <v>2.7555999999999998</v>
      </c>
      <c r="Q115" s="11">
        <f>$P$113+$O$113*G115+$N$113*H115+$M$113*I115+$L$113*J115+$K$113*K115+$J$113*L115+$I$113*M115+$H$113*N115+$G$113*O115</f>
        <v>20.335207001202395</v>
      </c>
      <c r="R115" s="12">
        <f t="shared" ref="R115:R164" si="25">(Q115-E115)/E115</f>
        <v>1.6760350060119757E-2</v>
      </c>
    </row>
    <row r="116" spans="1:18" x14ac:dyDescent="0.25">
      <c r="A116">
        <v>-15</v>
      </c>
      <c r="B116">
        <v>35</v>
      </c>
      <c r="C116">
        <f t="shared" ref="C116:C164" si="26">E5</f>
        <v>4.74</v>
      </c>
      <c r="E116">
        <v>50</v>
      </c>
      <c r="F116" s="2"/>
      <c r="G116">
        <f t="shared" si="18"/>
        <v>-15</v>
      </c>
      <c r="H116" s="10">
        <f t="shared" si="18"/>
        <v>35</v>
      </c>
      <c r="I116">
        <f t="shared" si="18"/>
        <v>4.74</v>
      </c>
      <c r="J116">
        <f t="shared" si="19"/>
        <v>225</v>
      </c>
      <c r="K116">
        <f t="shared" si="20"/>
        <v>-525</v>
      </c>
      <c r="L116">
        <f t="shared" si="21"/>
        <v>-71.100000000000009</v>
      </c>
      <c r="M116">
        <f t="shared" si="22"/>
        <v>1225</v>
      </c>
      <c r="N116">
        <f t="shared" si="23"/>
        <v>165.9</v>
      </c>
      <c r="O116">
        <f t="shared" si="24"/>
        <v>22.467600000000001</v>
      </c>
      <c r="Q116" s="11">
        <f t="shared" ref="Q116:Q164" si="27">$P$113+$O$113*G116+$N$113*H116+$M$113*I116+$L$113*J116+$K$113*K116+$J$113*L116+$I$113*M116+$H$113*N116+$G$113*O116</f>
        <v>56.87269032620538</v>
      </c>
      <c r="R116" s="12">
        <f t="shared" si="25"/>
        <v>0.1374538065241076</v>
      </c>
    </row>
    <row r="117" spans="1:18" x14ac:dyDescent="0.25">
      <c r="A117">
        <v>-15</v>
      </c>
      <c r="B117">
        <v>35</v>
      </c>
      <c r="C117">
        <f t="shared" si="26"/>
        <v>7.78</v>
      </c>
      <c r="E117">
        <v>100</v>
      </c>
      <c r="F117" s="2"/>
      <c r="G117">
        <f t="shared" si="18"/>
        <v>-15</v>
      </c>
      <c r="H117" s="10">
        <f t="shared" si="18"/>
        <v>35</v>
      </c>
      <c r="I117">
        <f t="shared" si="18"/>
        <v>7.78</v>
      </c>
      <c r="J117">
        <f t="shared" si="19"/>
        <v>225</v>
      </c>
      <c r="K117">
        <f t="shared" si="20"/>
        <v>-525</v>
      </c>
      <c r="L117">
        <f t="shared" si="21"/>
        <v>-116.7</v>
      </c>
      <c r="M117">
        <f t="shared" si="22"/>
        <v>1225</v>
      </c>
      <c r="N117">
        <f t="shared" si="23"/>
        <v>272.3</v>
      </c>
      <c r="O117">
        <f t="shared" si="24"/>
        <v>60.528400000000005</v>
      </c>
      <c r="Q117" s="11">
        <f t="shared" si="27"/>
        <v>95.941693320383919</v>
      </c>
      <c r="R117" s="12">
        <f t="shared" si="25"/>
        <v>-4.0583066796160805E-2</v>
      </c>
    </row>
    <row r="118" spans="1:18" x14ac:dyDescent="0.25">
      <c r="A118">
        <v>-7</v>
      </c>
      <c r="B118">
        <v>35</v>
      </c>
      <c r="C118">
        <f t="shared" si="26"/>
        <v>2.3199999999999998</v>
      </c>
      <c r="E118">
        <v>20</v>
      </c>
      <c r="F118" s="2"/>
      <c r="G118">
        <f t="shared" si="18"/>
        <v>-7</v>
      </c>
      <c r="H118" s="10">
        <f t="shared" si="18"/>
        <v>35</v>
      </c>
      <c r="I118">
        <f t="shared" si="18"/>
        <v>2.3199999999999998</v>
      </c>
      <c r="J118">
        <f t="shared" si="19"/>
        <v>49</v>
      </c>
      <c r="K118">
        <f t="shared" si="20"/>
        <v>-245</v>
      </c>
      <c r="L118">
        <f t="shared" si="21"/>
        <v>-16.239999999999998</v>
      </c>
      <c r="M118">
        <f t="shared" si="22"/>
        <v>1225</v>
      </c>
      <c r="N118">
        <f t="shared" si="23"/>
        <v>81.199999999999989</v>
      </c>
      <c r="O118">
        <f t="shared" si="24"/>
        <v>5.3823999999999996</v>
      </c>
      <c r="Q118" s="11">
        <f t="shared" si="27"/>
        <v>17.884558801903836</v>
      </c>
      <c r="R118" s="12">
        <f t="shared" si="25"/>
        <v>-0.1057720599048082</v>
      </c>
    </row>
    <row r="119" spans="1:18" x14ac:dyDescent="0.25">
      <c r="A119">
        <v>-7</v>
      </c>
      <c r="B119">
        <v>35</v>
      </c>
      <c r="C119">
        <f t="shared" si="26"/>
        <v>6.28</v>
      </c>
      <c r="E119">
        <v>50</v>
      </c>
      <c r="F119" s="2"/>
      <c r="G119">
        <f t="shared" si="18"/>
        <v>-7</v>
      </c>
      <c r="H119" s="10">
        <f t="shared" si="18"/>
        <v>35</v>
      </c>
      <c r="I119">
        <f t="shared" si="18"/>
        <v>6.28</v>
      </c>
      <c r="J119">
        <f t="shared" si="19"/>
        <v>49</v>
      </c>
      <c r="K119">
        <f t="shared" si="20"/>
        <v>-245</v>
      </c>
      <c r="L119">
        <f t="shared" si="21"/>
        <v>-43.96</v>
      </c>
      <c r="M119">
        <f t="shared" si="22"/>
        <v>1225</v>
      </c>
      <c r="N119">
        <f t="shared" si="23"/>
        <v>219.8</v>
      </c>
      <c r="O119">
        <f t="shared" si="24"/>
        <v>39.438400000000001</v>
      </c>
      <c r="Q119" s="11">
        <f t="shared" si="27"/>
        <v>54.357208817665786</v>
      </c>
      <c r="R119" s="12">
        <f t="shared" si="25"/>
        <v>8.7144176353315714E-2</v>
      </c>
    </row>
    <row r="120" spans="1:18" x14ac:dyDescent="0.25">
      <c r="A120">
        <v>-7</v>
      </c>
      <c r="B120">
        <v>35</v>
      </c>
      <c r="C120">
        <f t="shared" si="26"/>
        <v>10.4</v>
      </c>
      <c r="E120">
        <v>100</v>
      </c>
      <c r="F120" s="2"/>
      <c r="G120">
        <f t="shared" si="18"/>
        <v>-7</v>
      </c>
      <c r="H120" s="10">
        <f t="shared" si="18"/>
        <v>35</v>
      </c>
      <c r="I120">
        <f t="shared" si="18"/>
        <v>10.4</v>
      </c>
      <c r="J120">
        <f t="shared" si="19"/>
        <v>49</v>
      </c>
      <c r="K120">
        <f t="shared" si="20"/>
        <v>-245</v>
      </c>
      <c r="L120">
        <f t="shared" si="21"/>
        <v>-72.8</v>
      </c>
      <c r="M120">
        <f t="shared" si="22"/>
        <v>1225</v>
      </c>
      <c r="N120">
        <f t="shared" si="23"/>
        <v>364</v>
      </c>
      <c r="O120">
        <f t="shared" si="24"/>
        <v>108.16000000000001</v>
      </c>
      <c r="Q120" s="11">
        <f t="shared" si="27"/>
        <v>97.682200169464977</v>
      </c>
      <c r="R120" s="12">
        <f t="shared" si="25"/>
        <v>-2.3177998305350229E-2</v>
      </c>
    </row>
    <row r="121" spans="1:18" x14ac:dyDescent="0.25">
      <c r="A121">
        <v>2</v>
      </c>
      <c r="B121">
        <v>35</v>
      </c>
      <c r="C121">
        <f t="shared" si="26"/>
        <v>4.1399999999999997</v>
      </c>
      <c r="E121">
        <v>20</v>
      </c>
      <c r="F121" s="2"/>
      <c r="G121">
        <f t="shared" si="18"/>
        <v>2</v>
      </c>
      <c r="H121" s="10">
        <f t="shared" si="18"/>
        <v>35</v>
      </c>
      <c r="I121">
        <f t="shared" si="18"/>
        <v>4.1399999999999997</v>
      </c>
      <c r="J121">
        <f t="shared" si="19"/>
        <v>4</v>
      </c>
      <c r="K121">
        <f t="shared" si="20"/>
        <v>70</v>
      </c>
      <c r="L121">
        <f t="shared" si="21"/>
        <v>8.2799999999999994</v>
      </c>
      <c r="M121">
        <f t="shared" si="22"/>
        <v>1225</v>
      </c>
      <c r="N121">
        <f t="shared" si="23"/>
        <v>144.89999999999998</v>
      </c>
      <c r="O121">
        <f t="shared" si="24"/>
        <v>17.139599999999998</v>
      </c>
      <c r="Q121" s="11">
        <f t="shared" si="27"/>
        <v>22.330930040524407</v>
      </c>
      <c r="R121" s="12">
        <f t="shared" si="25"/>
        <v>0.11654650202622037</v>
      </c>
    </row>
    <row r="122" spans="1:18" x14ac:dyDescent="0.25">
      <c r="A122">
        <v>2</v>
      </c>
      <c r="B122">
        <v>35</v>
      </c>
      <c r="C122">
        <f t="shared" si="26"/>
        <v>8.31</v>
      </c>
      <c r="E122">
        <v>50</v>
      </c>
      <c r="F122" s="2"/>
      <c r="G122">
        <f t="shared" si="18"/>
        <v>2</v>
      </c>
      <c r="H122" s="10">
        <f t="shared" si="18"/>
        <v>35</v>
      </c>
      <c r="I122">
        <f t="shared" si="18"/>
        <v>8.31</v>
      </c>
      <c r="J122">
        <f t="shared" si="19"/>
        <v>4</v>
      </c>
      <c r="K122">
        <f t="shared" si="20"/>
        <v>70</v>
      </c>
      <c r="L122">
        <f t="shared" si="21"/>
        <v>16.62</v>
      </c>
      <c r="M122">
        <f t="shared" si="22"/>
        <v>1225</v>
      </c>
      <c r="N122">
        <f t="shared" si="23"/>
        <v>290.85000000000002</v>
      </c>
      <c r="O122">
        <f t="shared" si="24"/>
        <v>69.056100000000015</v>
      </c>
      <c r="Q122" s="11">
        <f t="shared" si="27"/>
        <v>49.220360197844641</v>
      </c>
      <c r="R122" s="12">
        <f t="shared" si="25"/>
        <v>-1.5592796043107171E-2</v>
      </c>
    </row>
    <row r="123" spans="1:18" x14ac:dyDescent="0.25">
      <c r="A123">
        <v>2</v>
      </c>
      <c r="B123">
        <v>35</v>
      </c>
      <c r="C123">
        <f t="shared" si="26"/>
        <v>13.4</v>
      </c>
      <c r="E123">
        <v>100</v>
      </c>
      <c r="F123" s="2"/>
      <c r="G123">
        <f t="shared" si="18"/>
        <v>2</v>
      </c>
      <c r="H123" s="10">
        <f t="shared" si="18"/>
        <v>35</v>
      </c>
      <c r="I123">
        <f t="shared" si="18"/>
        <v>13.4</v>
      </c>
      <c r="J123">
        <f t="shared" si="19"/>
        <v>4</v>
      </c>
      <c r="K123">
        <f t="shared" si="20"/>
        <v>70</v>
      </c>
      <c r="L123">
        <f t="shared" si="21"/>
        <v>26.8</v>
      </c>
      <c r="M123">
        <f t="shared" si="22"/>
        <v>1225</v>
      </c>
      <c r="N123">
        <f t="shared" si="23"/>
        <v>469</v>
      </c>
      <c r="O123">
        <f t="shared" si="24"/>
        <v>179.56</v>
      </c>
      <c r="Q123" s="11">
        <f t="shared" si="27"/>
        <v>89.657713112575578</v>
      </c>
      <c r="R123" s="12">
        <f t="shared" si="25"/>
        <v>-0.10342286887424422</v>
      </c>
    </row>
    <row r="124" spans="1:18" x14ac:dyDescent="0.25">
      <c r="A124">
        <v>7</v>
      </c>
      <c r="B124">
        <v>35</v>
      </c>
      <c r="C124">
        <f t="shared" si="26"/>
        <v>4.8899999999999997</v>
      </c>
      <c r="E124">
        <v>20</v>
      </c>
      <c r="F124" s="2"/>
      <c r="G124">
        <f t="shared" si="18"/>
        <v>7</v>
      </c>
      <c r="H124" s="10">
        <f t="shared" si="18"/>
        <v>35</v>
      </c>
      <c r="I124">
        <f t="shared" si="18"/>
        <v>4.8899999999999997</v>
      </c>
      <c r="J124">
        <f t="shared" si="19"/>
        <v>49</v>
      </c>
      <c r="K124">
        <f t="shared" si="20"/>
        <v>245</v>
      </c>
      <c r="L124">
        <f t="shared" si="21"/>
        <v>34.229999999999997</v>
      </c>
      <c r="M124">
        <f t="shared" si="22"/>
        <v>1225</v>
      </c>
      <c r="N124">
        <f t="shared" si="23"/>
        <v>171.14999999999998</v>
      </c>
      <c r="O124">
        <f t="shared" si="24"/>
        <v>23.912099999999995</v>
      </c>
      <c r="Q124" s="11">
        <f t="shared" si="27"/>
        <v>21.479135761150296</v>
      </c>
      <c r="R124" s="12">
        <f t="shared" si="25"/>
        <v>7.3956788057514794E-2</v>
      </c>
    </row>
    <row r="125" spans="1:18" x14ac:dyDescent="0.25">
      <c r="A125">
        <v>7</v>
      </c>
      <c r="B125">
        <v>35</v>
      </c>
      <c r="C125">
        <f t="shared" si="26"/>
        <v>11.3</v>
      </c>
      <c r="E125">
        <v>50</v>
      </c>
      <c r="F125" s="2"/>
      <c r="G125">
        <f t="shared" si="18"/>
        <v>7</v>
      </c>
      <c r="H125" s="10">
        <f t="shared" si="18"/>
        <v>35</v>
      </c>
      <c r="I125">
        <f t="shared" si="18"/>
        <v>11.3</v>
      </c>
      <c r="J125">
        <f t="shared" si="19"/>
        <v>49</v>
      </c>
      <c r="K125">
        <f t="shared" si="20"/>
        <v>245</v>
      </c>
      <c r="L125">
        <f t="shared" si="21"/>
        <v>79.100000000000009</v>
      </c>
      <c r="M125">
        <f t="shared" si="22"/>
        <v>1225</v>
      </c>
      <c r="N125">
        <f t="shared" si="23"/>
        <v>395.5</v>
      </c>
      <c r="O125">
        <f t="shared" si="24"/>
        <v>127.69000000000001</v>
      </c>
      <c r="Q125" s="11">
        <f t="shared" si="27"/>
        <v>54.635362709907199</v>
      </c>
      <c r="R125" s="12">
        <f t="shared" si="25"/>
        <v>9.2707254198143976E-2</v>
      </c>
    </row>
    <row r="126" spans="1:18" x14ac:dyDescent="0.25">
      <c r="A126">
        <v>7</v>
      </c>
      <c r="B126">
        <v>35</v>
      </c>
      <c r="C126">
        <f t="shared" si="26"/>
        <v>17.8</v>
      </c>
      <c r="E126">
        <v>100</v>
      </c>
      <c r="F126" s="2"/>
      <c r="G126">
        <f t="shared" si="18"/>
        <v>7</v>
      </c>
      <c r="H126" s="10">
        <f t="shared" si="18"/>
        <v>35</v>
      </c>
      <c r="I126">
        <f t="shared" si="18"/>
        <v>17.8</v>
      </c>
      <c r="J126">
        <f t="shared" si="19"/>
        <v>49</v>
      </c>
      <c r="K126">
        <f t="shared" si="20"/>
        <v>245</v>
      </c>
      <c r="L126">
        <f t="shared" si="21"/>
        <v>124.60000000000001</v>
      </c>
      <c r="M126">
        <f t="shared" si="22"/>
        <v>1225</v>
      </c>
      <c r="N126">
        <f t="shared" si="23"/>
        <v>623</v>
      </c>
      <c r="O126">
        <f t="shared" si="24"/>
        <v>316.84000000000003</v>
      </c>
      <c r="Q126" s="11">
        <f t="shared" si="27"/>
        <v>101.8155158933746</v>
      </c>
      <c r="R126" s="12">
        <f t="shared" si="25"/>
        <v>1.8155158933745953E-2</v>
      </c>
    </row>
    <row r="127" spans="1:18" x14ac:dyDescent="0.25">
      <c r="A127">
        <v>12</v>
      </c>
      <c r="B127">
        <v>35</v>
      </c>
      <c r="C127">
        <f t="shared" si="26"/>
        <v>5.65</v>
      </c>
      <c r="E127">
        <v>20</v>
      </c>
      <c r="F127" s="2"/>
      <c r="G127">
        <f t="shared" si="18"/>
        <v>12</v>
      </c>
      <c r="H127" s="10">
        <f t="shared" si="18"/>
        <v>35</v>
      </c>
      <c r="I127">
        <f t="shared" si="18"/>
        <v>5.65</v>
      </c>
      <c r="J127">
        <f t="shared" si="19"/>
        <v>144</v>
      </c>
      <c r="K127">
        <f t="shared" si="20"/>
        <v>420</v>
      </c>
      <c r="L127">
        <f t="shared" si="21"/>
        <v>67.800000000000011</v>
      </c>
      <c r="M127">
        <f t="shared" si="22"/>
        <v>1225</v>
      </c>
      <c r="N127">
        <f t="shared" si="23"/>
        <v>197.75</v>
      </c>
      <c r="O127">
        <f t="shared" si="24"/>
        <v>31.922500000000003</v>
      </c>
      <c r="Q127" s="11">
        <f t="shared" si="27"/>
        <v>19.892110245828071</v>
      </c>
      <c r="R127" s="12">
        <f t="shared" si="25"/>
        <v>-5.3944877085964297E-3</v>
      </c>
    </row>
    <row r="128" spans="1:18" x14ac:dyDescent="0.25">
      <c r="A128">
        <v>12</v>
      </c>
      <c r="B128">
        <v>35</v>
      </c>
      <c r="C128">
        <f t="shared" si="26"/>
        <v>13.2</v>
      </c>
      <c r="E128">
        <v>50</v>
      </c>
      <c r="F128" s="2"/>
      <c r="G128">
        <f t="shared" si="18"/>
        <v>12</v>
      </c>
      <c r="H128" s="10">
        <f t="shared" si="18"/>
        <v>35</v>
      </c>
      <c r="I128">
        <f t="shared" si="18"/>
        <v>13.2</v>
      </c>
      <c r="J128">
        <f t="shared" si="19"/>
        <v>144</v>
      </c>
      <c r="K128">
        <f t="shared" si="20"/>
        <v>420</v>
      </c>
      <c r="L128">
        <f t="shared" si="21"/>
        <v>158.39999999999998</v>
      </c>
      <c r="M128">
        <f t="shared" si="22"/>
        <v>1225</v>
      </c>
      <c r="N128">
        <f t="shared" si="23"/>
        <v>462</v>
      </c>
      <c r="O128">
        <f t="shared" si="24"/>
        <v>174.23999999999998</v>
      </c>
      <c r="Q128" s="11">
        <f t="shared" si="27"/>
        <v>47.995877155468094</v>
      </c>
      <c r="R128" s="12">
        <f t="shared" si="25"/>
        <v>-4.0082456890638128E-2</v>
      </c>
    </row>
    <row r="129" spans="1:18" x14ac:dyDescent="0.25">
      <c r="A129">
        <v>12</v>
      </c>
      <c r="B129">
        <v>35</v>
      </c>
      <c r="C129">
        <f t="shared" si="26"/>
        <v>21.7</v>
      </c>
      <c r="E129">
        <v>100</v>
      </c>
      <c r="F129" s="2"/>
      <c r="G129">
        <f t="shared" si="18"/>
        <v>12</v>
      </c>
      <c r="H129" s="10">
        <f t="shared" si="18"/>
        <v>35</v>
      </c>
      <c r="I129">
        <f t="shared" si="18"/>
        <v>21.7</v>
      </c>
      <c r="J129">
        <f t="shared" si="19"/>
        <v>144</v>
      </c>
      <c r="K129">
        <f t="shared" si="20"/>
        <v>420</v>
      </c>
      <c r="L129">
        <f t="shared" si="21"/>
        <v>260.39999999999998</v>
      </c>
      <c r="M129">
        <f t="shared" si="22"/>
        <v>1225</v>
      </c>
      <c r="N129">
        <f t="shared" si="23"/>
        <v>759.5</v>
      </c>
      <c r="O129">
        <f t="shared" si="24"/>
        <v>470.89</v>
      </c>
      <c r="Q129" s="11">
        <f t="shared" si="27"/>
        <v>101.67846948304016</v>
      </c>
      <c r="R129" s="12">
        <f t="shared" si="25"/>
        <v>1.6784694830401604E-2</v>
      </c>
    </row>
    <row r="130" spans="1:18" x14ac:dyDescent="0.25">
      <c r="A130">
        <v>-15</v>
      </c>
      <c r="B130">
        <v>45</v>
      </c>
      <c r="C130">
        <f t="shared" si="26"/>
        <v>1.59</v>
      </c>
      <c r="E130">
        <v>20</v>
      </c>
      <c r="F130" s="2"/>
      <c r="G130">
        <f t="shared" si="18"/>
        <v>-15</v>
      </c>
      <c r="H130" s="10">
        <f t="shared" si="18"/>
        <v>45</v>
      </c>
      <c r="I130">
        <f t="shared" si="18"/>
        <v>1.59</v>
      </c>
      <c r="J130">
        <f t="shared" si="19"/>
        <v>225</v>
      </c>
      <c r="K130">
        <f t="shared" si="20"/>
        <v>-675</v>
      </c>
      <c r="L130">
        <f t="shared" si="21"/>
        <v>-23.85</v>
      </c>
      <c r="M130">
        <f t="shared" si="22"/>
        <v>2025</v>
      </c>
      <c r="N130">
        <f t="shared" si="23"/>
        <v>71.55</v>
      </c>
      <c r="O130">
        <f t="shared" si="24"/>
        <v>2.5281000000000002</v>
      </c>
      <c r="Q130" s="11">
        <f t="shared" si="27"/>
        <v>17.443420707354374</v>
      </c>
      <c r="R130" s="12">
        <f t="shared" si="25"/>
        <v>-0.1278289646322813</v>
      </c>
    </row>
    <row r="131" spans="1:18" x14ac:dyDescent="0.25">
      <c r="A131">
        <v>-15</v>
      </c>
      <c r="B131">
        <v>45</v>
      </c>
      <c r="C131">
        <f t="shared" si="26"/>
        <v>4.5999999999999996</v>
      </c>
      <c r="E131">
        <v>50</v>
      </c>
      <c r="F131" s="2"/>
      <c r="G131">
        <f t="shared" si="18"/>
        <v>-15</v>
      </c>
      <c r="H131" s="10">
        <f t="shared" si="18"/>
        <v>45</v>
      </c>
      <c r="I131">
        <f t="shared" si="18"/>
        <v>4.5999999999999996</v>
      </c>
      <c r="J131">
        <f t="shared" si="19"/>
        <v>225</v>
      </c>
      <c r="K131">
        <f t="shared" si="20"/>
        <v>-675</v>
      </c>
      <c r="L131">
        <f t="shared" si="21"/>
        <v>-69</v>
      </c>
      <c r="M131">
        <f t="shared" si="22"/>
        <v>2025</v>
      </c>
      <c r="N131">
        <f t="shared" si="23"/>
        <v>206.99999999999997</v>
      </c>
      <c r="O131">
        <f t="shared" si="24"/>
        <v>21.159999999999997</v>
      </c>
      <c r="Q131" s="11">
        <f t="shared" si="27"/>
        <v>54.385711685468316</v>
      </c>
      <c r="R131" s="12">
        <f t="shared" si="25"/>
        <v>8.7714233709366318E-2</v>
      </c>
    </row>
    <row r="132" spans="1:18" x14ac:dyDescent="0.25">
      <c r="A132">
        <v>-15</v>
      </c>
      <c r="B132">
        <v>45</v>
      </c>
      <c r="C132">
        <f t="shared" si="26"/>
        <v>7.66</v>
      </c>
      <c r="E132">
        <v>100</v>
      </c>
      <c r="F132" s="2"/>
      <c r="G132">
        <f t="shared" si="18"/>
        <v>-15</v>
      </c>
      <c r="H132" s="10">
        <f t="shared" si="18"/>
        <v>45</v>
      </c>
      <c r="I132">
        <f t="shared" si="18"/>
        <v>7.66</v>
      </c>
      <c r="J132">
        <f t="shared" si="19"/>
        <v>225</v>
      </c>
      <c r="K132">
        <f t="shared" si="20"/>
        <v>-675</v>
      </c>
      <c r="L132">
        <f t="shared" si="21"/>
        <v>-114.9</v>
      </c>
      <c r="M132">
        <f t="shared" si="22"/>
        <v>2025</v>
      </c>
      <c r="N132">
        <f t="shared" si="23"/>
        <v>344.7</v>
      </c>
      <c r="O132">
        <f t="shared" si="24"/>
        <v>58.675600000000003</v>
      </c>
      <c r="Q132" s="11">
        <f t="shared" si="27"/>
        <v>94.942750289483712</v>
      </c>
      <c r="R132" s="12">
        <f t="shared" si="25"/>
        <v>-5.0572497105162879E-2</v>
      </c>
    </row>
    <row r="133" spans="1:18" x14ac:dyDescent="0.25">
      <c r="A133">
        <v>-7</v>
      </c>
      <c r="B133">
        <v>45</v>
      </c>
      <c r="C133">
        <f t="shared" si="26"/>
        <v>2.17</v>
      </c>
      <c r="E133">
        <v>20</v>
      </c>
      <c r="F133" s="2"/>
      <c r="G133">
        <f t="shared" si="18"/>
        <v>-7</v>
      </c>
      <c r="H133" s="10">
        <f t="shared" si="18"/>
        <v>45</v>
      </c>
      <c r="I133">
        <f t="shared" si="18"/>
        <v>2.17</v>
      </c>
      <c r="J133">
        <f t="shared" si="19"/>
        <v>49</v>
      </c>
      <c r="K133">
        <f t="shared" si="20"/>
        <v>-315</v>
      </c>
      <c r="L133">
        <f t="shared" si="21"/>
        <v>-15.19</v>
      </c>
      <c r="M133">
        <f t="shared" si="22"/>
        <v>2025</v>
      </c>
      <c r="N133">
        <f t="shared" si="23"/>
        <v>97.649999999999991</v>
      </c>
      <c r="O133">
        <f t="shared" si="24"/>
        <v>4.7088999999999999</v>
      </c>
      <c r="Q133" s="11">
        <f t="shared" si="27"/>
        <v>14.696975720161884</v>
      </c>
      <c r="R133" s="12">
        <f t="shared" si="25"/>
        <v>-0.26515121399190578</v>
      </c>
    </row>
    <row r="134" spans="1:18" x14ac:dyDescent="0.25">
      <c r="A134">
        <v>-7</v>
      </c>
      <c r="B134">
        <v>45</v>
      </c>
      <c r="C134">
        <f t="shared" si="26"/>
        <v>7.05</v>
      </c>
      <c r="E134">
        <v>50</v>
      </c>
      <c r="F134" s="2"/>
      <c r="G134">
        <f t="shared" si="18"/>
        <v>-7</v>
      </c>
      <c r="H134" s="10">
        <f t="shared" si="18"/>
        <v>45</v>
      </c>
      <c r="I134">
        <f t="shared" si="18"/>
        <v>7.05</v>
      </c>
      <c r="J134">
        <f t="shared" si="19"/>
        <v>49</v>
      </c>
      <c r="K134">
        <f t="shared" si="20"/>
        <v>-315</v>
      </c>
      <c r="L134">
        <f t="shared" si="21"/>
        <v>-49.35</v>
      </c>
      <c r="M134">
        <f t="shared" si="22"/>
        <v>2025</v>
      </c>
      <c r="N134">
        <f t="shared" si="23"/>
        <v>317.25</v>
      </c>
      <c r="O134">
        <f t="shared" si="24"/>
        <v>49.702500000000001</v>
      </c>
      <c r="Q134" s="11">
        <f t="shared" si="27"/>
        <v>62.300096257195342</v>
      </c>
      <c r="R134" s="12">
        <f t="shared" si="25"/>
        <v>0.24600192514390684</v>
      </c>
    </row>
    <row r="135" spans="1:18" x14ac:dyDescent="0.25">
      <c r="A135">
        <v>-7</v>
      </c>
      <c r="B135">
        <v>45</v>
      </c>
      <c r="C135">
        <f t="shared" si="26"/>
        <v>10.5</v>
      </c>
      <c r="E135">
        <v>100</v>
      </c>
      <c r="F135" s="2"/>
      <c r="G135">
        <f t="shared" si="18"/>
        <v>-7</v>
      </c>
      <c r="H135" s="10">
        <f t="shared" si="18"/>
        <v>45</v>
      </c>
      <c r="I135">
        <f t="shared" si="18"/>
        <v>10.5</v>
      </c>
      <c r="J135">
        <f t="shared" si="19"/>
        <v>49</v>
      </c>
      <c r="K135">
        <f t="shared" si="20"/>
        <v>-315</v>
      </c>
      <c r="L135">
        <f t="shared" si="21"/>
        <v>-73.5</v>
      </c>
      <c r="M135">
        <f t="shared" si="22"/>
        <v>2025</v>
      </c>
      <c r="N135">
        <f t="shared" si="23"/>
        <v>472.5</v>
      </c>
      <c r="O135">
        <f t="shared" si="24"/>
        <v>110.25</v>
      </c>
      <c r="Q135" s="11">
        <f t="shared" si="27"/>
        <v>100.59730597247778</v>
      </c>
      <c r="R135" s="12">
        <f t="shared" si="25"/>
        <v>5.9730597247778404E-3</v>
      </c>
    </row>
    <row r="136" spans="1:18" x14ac:dyDescent="0.25">
      <c r="A136">
        <v>2</v>
      </c>
      <c r="B136">
        <v>45</v>
      </c>
      <c r="C136">
        <f t="shared" si="26"/>
        <v>3.9</v>
      </c>
      <c r="E136">
        <v>20</v>
      </c>
      <c r="F136" s="2"/>
      <c r="G136">
        <f t="shared" si="18"/>
        <v>2</v>
      </c>
      <c r="H136" s="10">
        <f t="shared" si="18"/>
        <v>45</v>
      </c>
      <c r="I136">
        <f t="shared" si="18"/>
        <v>3.9</v>
      </c>
      <c r="J136">
        <f t="shared" si="19"/>
        <v>4</v>
      </c>
      <c r="K136">
        <f t="shared" si="20"/>
        <v>90</v>
      </c>
      <c r="L136">
        <f t="shared" si="21"/>
        <v>7.8</v>
      </c>
      <c r="M136">
        <f t="shared" si="22"/>
        <v>2025</v>
      </c>
      <c r="N136">
        <f t="shared" si="23"/>
        <v>175.5</v>
      </c>
      <c r="O136">
        <f t="shared" si="24"/>
        <v>15.209999999999999</v>
      </c>
      <c r="Q136" s="11">
        <f t="shared" si="27"/>
        <v>19.742706289312917</v>
      </c>
      <c r="R136" s="12">
        <f t="shared" si="25"/>
        <v>-1.2864685534354159E-2</v>
      </c>
    </row>
    <row r="137" spans="1:18" x14ac:dyDescent="0.25">
      <c r="A137">
        <v>2</v>
      </c>
      <c r="B137">
        <v>45</v>
      </c>
      <c r="C137">
        <f t="shared" si="26"/>
        <v>7.74</v>
      </c>
      <c r="E137">
        <v>50</v>
      </c>
      <c r="G137">
        <f t="shared" si="18"/>
        <v>2</v>
      </c>
      <c r="H137" s="10">
        <f t="shared" si="18"/>
        <v>45</v>
      </c>
      <c r="I137">
        <f t="shared" si="18"/>
        <v>7.74</v>
      </c>
      <c r="J137">
        <f t="shared" si="19"/>
        <v>4</v>
      </c>
      <c r="K137">
        <f t="shared" si="20"/>
        <v>90</v>
      </c>
      <c r="L137">
        <f t="shared" si="21"/>
        <v>15.48</v>
      </c>
      <c r="M137">
        <f t="shared" si="22"/>
        <v>2025</v>
      </c>
      <c r="N137">
        <f t="shared" si="23"/>
        <v>348.3</v>
      </c>
      <c r="O137">
        <f t="shared" si="24"/>
        <v>59.907600000000002</v>
      </c>
      <c r="Q137" s="11">
        <f t="shared" si="27"/>
        <v>45.70774155416607</v>
      </c>
      <c r="R137" s="12">
        <f t="shared" si="25"/>
        <v>-8.5845168916678607E-2</v>
      </c>
    </row>
    <row r="138" spans="1:18" x14ac:dyDescent="0.25">
      <c r="A138">
        <v>2</v>
      </c>
      <c r="B138">
        <v>45</v>
      </c>
      <c r="C138">
        <f t="shared" si="26"/>
        <v>13.5</v>
      </c>
      <c r="E138">
        <v>100</v>
      </c>
      <c r="G138">
        <f t="shared" si="18"/>
        <v>2</v>
      </c>
      <c r="H138" s="10">
        <f t="shared" si="18"/>
        <v>45</v>
      </c>
      <c r="I138">
        <f t="shared" si="18"/>
        <v>13.5</v>
      </c>
      <c r="J138">
        <f t="shared" si="19"/>
        <v>4</v>
      </c>
      <c r="K138">
        <f t="shared" si="20"/>
        <v>90</v>
      </c>
      <c r="L138">
        <f t="shared" si="21"/>
        <v>27</v>
      </c>
      <c r="M138">
        <f t="shared" si="22"/>
        <v>2025</v>
      </c>
      <c r="N138">
        <f t="shared" si="23"/>
        <v>607.5</v>
      </c>
      <c r="O138">
        <f t="shared" si="24"/>
        <v>182.25</v>
      </c>
      <c r="Q138" s="11">
        <f t="shared" si="27"/>
        <v>93.589632352513703</v>
      </c>
      <c r="R138" s="12">
        <f t="shared" si="25"/>
        <v>-6.4103676474862967E-2</v>
      </c>
    </row>
    <row r="139" spans="1:18" x14ac:dyDescent="0.25">
      <c r="A139">
        <v>7</v>
      </c>
      <c r="B139">
        <v>45</v>
      </c>
      <c r="C139">
        <f t="shared" si="26"/>
        <v>4.59</v>
      </c>
      <c r="E139">
        <v>20</v>
      </c>
      <c r="G139">
        <f t="shared" si="18"/>
        <v>7</v>
      </c>
      <c r="H139" s="10">
        <f t="shared" si="18"/>
        <v>45</v>
      </c>
      <c r="I139">
        <f t="shared" si="18"/>
        <v>4.59</v>
      </c>
      <c r="J139">
        <f t="shared" si="19"/>
        <v>49</v>
      </c>
      <c r="K139">
        <f t="shared" si="20"/>
        <v>315</v>
      </c>
      <c r="L139">
        <f t="shared" si="21"/>
        <v>32.129999999999995</v>
      </c>
      <c r="M139">
        <f t="shared" si="22"/>
        <v>2025</v>
      </c>
      <c r="N139">
        <f t="shared" si="23"/>
        <v>206.54999999999998</v>
      </c>
      <c r="O139">
        <f t="shared" si="24"/>
        <v>21.068099999999998</v>
      </c>
      <c r="Q139" s="11">
        <f t="shared" si="27"/>
        <v>19.30607828553773</v>
      </c>
      <c r="R139" s="12">
        <f t="shared" si="25"/>
        <v>-3.4696085723113515E-2</v>
      </c>
    </row>
    <row r="140" spans="1:18" x14ac:dyDescent="0.25">
      <c r="A140">
        <v>7</v>
      </c>
      <c r="B140">
        <v>45</v>
      </c>
      <c r="C140">
        <f t="shared" si="26"/>
        <v>10.8</v>
      </c>
      <c r="E140">
        <v>50</v>
      </c>
      <c r="G140">
        <f t="shared" si="18"/>
        <v>7</v>
      </c>
      <c r="H140" s="10">
        <f t="shared" si="18"/>
        <v>45</v>
      </c>
      <c r="I140">
        <f t="shared" si="18"/>
        <v>10.8</v>
      </c>
      <c r="J140">
        <f t="shared" si="19"/>
        <v>49</v>
      </c>
      <c r="K140">
        <f t="shared" si="20"/>
        <v>315</v>
      </c>
      <c r="L140">
        <f t="shared" si="21"/>
        <v>75.600000000000009</v>
      </c>
      <c r="M140">
        <f t="shared" si="22"/>
        <v>2025</v>
      </c>
      <c r="N140">
        <f t="shared" si="23"/>
        <v>486.00000000000006</v>
      </c>
      <c r="O140">
        <f t="shared" si="24"/>
        <v>116.64000000000001</v>
      </c>
      <c r="Q140" s="11">
        <f t="shared" si="27"/>
        <v>53.384182191259995</v>
      </c>
      <c r="R140" s="12">
        <f t="shared" si="25"/>
        <v>6.768364382519991E-2</v>
      </c>
    </row>
    <row r="141" spans="1:18" x14ac:dyDescent="0.25">
      <c r="A141">
        <v>7</v>
      </c>
      <c r="B141">
        <v>45</v>
      </c>
      <c r="C141">
        <f t="shared" si="26"/>
        <v>17.399999999999999</v>
      </c>
      <c r="E141">
        <v>100</v>
      </c>
      <c r="G141">
        <f t="shared" si="18"/>
        <v>7</v>
      </c>
      <c r="H141" s="10">
        <f t="shared" si="18"/>
        <v>45</v>
      </c>
      <c r="I141">
        <f t="shared" si="18"/>
        <v>17.399999999999999</v>
      </c>
      <c r="J141">
        <f t="shared" si="19"/>
        <v>49</v>
      </c>
      <c r="K141">
        <f t="shared" si="20"/>
        <v>315</v>
      </c>
      <c r="L141">
        <f t="shared" si="21"/>
        <v>121.79999999999998</v>
      </c>
      <c r="M141">
        <f t="shared" si="22"/>
        <v>2025</v>
      </c>
      <c r="N141">
        <f t="shared" si="23"/>
        <v>782.99999999999989</v>
      </c>
      <c r="O141">
        <f t="shared" si="24"/>
        <v>302.75999999999993</v>
      </c>
      <c r="Q141" s="11">
        <f t="shared" si="27"/>
        <v>103.26280359284848</v>
      </c>
      <c r="R141" s="12">
        <f t="shared" si="25"/>
        <v>3.2628035928484851E-2</v>
      </c>
    </row>
    <row r="142" spans="1:18" x14ac:dyDescent="0.25">
      <c r="A142">
        <v>12</v>
      </c>
      <c r="B142">
        <v>45</v>
      </c>
      <c r="C142">
        <f t="shared" si="26"/>
        <v>5.48</v>
      </c>
      <c r="E142">
        <v>20</v>
      </c>
      <c r="G142">
        <f t="shared" si="18"/>
        <v>12</v>
      </c>
      <c r="H142" s="10">
        <f t="shared" si="18"/>
        <v>45</v>
      </c>
      <c r="I142">
        <f t="shared" si="18"/>
        <v>5.48</v>
      </c>
      <c r="J142">
        <f t="shared" si="19"/>
        <v>144</v>
      </c>
      <c r="K142">
        <f t="shared" si="20"/>
        <v>540</v>
      </c>
      <c r="L142">
        <f t="shared" si="21"/>
        <v>65.760000000000005</v>
      </c>
      <c r="M142">
        <f t="shared" si="22"/>
        <v>2025</v>
      </c>
      <c r="N142">
        <f t="shared" si="23"/>
        <v>246.60000000000002</v>
      </c>
      <c r="O142">
        <f t="shared" si="24"/>
        <v>30.030400000000004</v>
      </c>
      <c r="Q142" s="11">
        <f t="shared" si="27"/>
        <v>18.878796815288968</v>
      </c>
      <c r="R142" s="12">
        <f t="shared" si="25"/>
        <v>-5.606015923555159E-2</v>
      </c>
    </row>
    <row r="143" spans="1:18" x14ac:dyDescent="0.25">
      <c r="A143">
        <v>12</v>
      </c>
      <c r="B143">
        <v>45</v>
      </c>
      <c r="C143">
        <f t="shared" si="26"/>
        <v>12.6</v>
      </c>
      <c r="E143">
        <v>50</v>
      </c>
      <c r="G143">
        <f t="shared" si="18"/>
        <v>12</v>
      </c>
      <c r="H143" s="10">
        <f t="shared" si="18"/>
        <v>45</v>
      </c>
      <c r="I143">
        <f t="shared" si="18"/>
        <v>12.6</v>
      </c>
      <c r="J143">
        <f t="shared" si="19"/>
        <v>144</v>
      </c>
      <c r="K143">
        <f t="shared" si="20"/>
        <v>540</v>
      </c>
      <c r="L143">
        <f t="shared" si="21"/>
        <v>151.19999999999999</v>
      </c>
      <c r="M143">
        <f t="shared" si="22"/>
        <v>2025</v>
      </c>
      <c r="N143">
        <f t="shared" si="23"/>
        <v>567</v>
      </c>
      <c r="O143">
        <f t="shared" si="24"/>
        <v>158.76</v>
      </c>
      <c r="Q143" s="11">
        <f t="shared" si="27"/>
        <v>47.659541988223438</v>
      </c>
      <c r="R143" s="12">
        <f t="shared" si="25"/>
        <v>-4.6809160235531236E-2</v>
      </c>
    </row>
    <row r="144" spans="1:18" x14ac:dyDescent="0.25">
      <c r="A144">
        <v>12</v>
      </c>
      <c r="B144">
        <v>45</v>
      </c>
      <c r="C144">
        <f t="shared" si="26"/>
        <v>20.5</v>
      </c>
      <c r="E144">
        <v>100</v>
      </c>
      <c r="G144">
        <f t="shared" si="18"/>
        <v>12</v>
      </c>
      <c r="H144" s="10">
        <f t="shared" si="18"/>
        <v>45</v>
      </c>
      <c r="I144">
        <f t="shared" si="18"/>
        <v>20.5</v>
      </c>
      <c r="J144">
        <f t="shared" si="19"/>
        <v>144</v>
      </c>
      <c r="K144">
        <f t="shared" si="20"/>
        <v>540</v>
      </c>
      <c r="L144">
        <f t="shared" si="21"/>
        <v>246</v>
      </c>
      <c r="M144">
        <f t="shared" si="22"/>
        <v>2025</v>
      </c>
      <c r="N144">
        <f t="shared" si="23"/>
        <v>922.5</v>
      </c>
      <c r="O144">
        <f t="shared" si="24"/>
        <v>420.25</v>
      </c>
      <c r="Q144" s="11">
        <f t="shared" si="27"/>
        <v>98.76515718908783</v>
      </c>
      <c r="R144" s="12">
        <f t="shared" si="25"/>
        <v>-1.2348428109121699E-2</v>
      </c>
    </row>
    <row r="145" spans="1:18" x14ac:dyDescent="0.25">
      <c r="A145">
        <v>-7</v>
      </c>
      <c r="B145">
        <v>55</v>
      </c>
      <c r="C145">
        <f t="shared" si="26"/>
        <v>2.0699999999999998</v>
      </c>
      <c r="E145">
        <v>20</v>
      </c>
      <c r="G145">
        <f t="shared" si="18"/>
        <v>-7</v>
      </c>
      <c r="H145" s="10">
        <f t="shared" si="18"/>
        <v>55</v>
      </c>
      <c r="I145">
        <f t="shared" si="18"/>
        <v>2.0699999999999998</v>
      </c>
      <c r="J145">
        <f t="shared" si="19"/>
        <v>49</v>
      </c>
      <c r="K145">
        <f t="shared" si="20"/>
        <v>-385</v>
      </c>
      <c r="L145">
        <f t="shared" si="21"/>
        <v>-14.489999999999998</v>
      </c>
      <c r="M145">
        <f t="shared" si="22"/>
        <v>3025</v>
      </c>
      <c r="N145">
        <f t="shared" si="23"/>
        <v>113.85</v>
      </c>
      <c r="O145">
        <f t="shared" si="24"/>
        <v>4.2848999999999995</v>
      </c>
      <c r="Q145" s="11">
        <f t="shared" si="27"/>
        <v>14.294517147119683</v>
      </c>
      <c r="R145" s="12">
        <f t="shared" si="25"/>
        <v>-0.28527414264401585</v>
      </c>
    </row>
    <row r="146" spans="1:18" x14ac:dyDescent="0.25">
      <c r="A146">
        <v>-7</v>
      </c>
      <c r="B146">
        <v>55</v>
      </c>
      <c r="C146">
        <f t="shared" si="26"/>
        <v>5.97</v>
      </c>
      <c r="E146">
        <v>50</v>
      </c>
      <c r="G146">
        <f t="shared" si="18"/>
        <v>-7</v>
      </c>
      <c r="H146" s="10">
        <f t="shared" si="18"/>
        <v>55</v>
      </c>
      <c r="I146">
        <f t="shared" si="18"/>
        <v>5.97</v>
      </c>
      <c r="J146">
        <f t="shared" si="19"/>
        <v>49</v>
      </c>
      <c r="K146">
        <f t="shared" si="20"/>
        <v>-385</v>
      </c>
      <c r="L146">
        <f t="shared" si="21"/>
        <v>-41.79</v>
      </c>
      <c r="M146">
        <f t="shared" si="22"/>
        <v>3025</v>
      </c>
      <c r="N146">
        <f t="shared" si="23"/>
        <v>328.34999999999997</v>
      </c>
      <c r="O146">
        <f t="shared" si="24"/>
        <v>35.640899999999995</v>
      </c>
      <c r="Q146" s="11">
        <f t="shared" si="27"/>
        <v>53.327195881074744</v>
      </c>
      <c r="R146" s="12">
        <f t="shared" si="25"/>
        <v>6.6543917621494864E-2</v>
      </c>
    </row>
    <row r="147" spans="1:18" x14ac:dyDescent="0.25">
      <c r="A147">
        <v>-7</v>
      </c>
      <c r="B147">
        <v>55</v>
      </c>
      <c r="C147">
        <f t="shared" si="26"/>
        <v>10.1</v>
      </c>
      <c r="E147">
        <v>100</v>
      </c>
      <c r="G147">
        <f t="shared" si="18"/>
        <v>-7</v>
      </c>
      <c r="H147" s="10">
        <f t="shared" si="18"/>
        <v>55</v>
      </c>
      <c r="I147">
        <f t="shared" si="18"/>
        <v>10.1</v>
      </c>
      <c r="J147">
        <f t="shared" si="19"/>
        <v>49</v>
      </c>
      <c r="K147">
        <f t="shared" si="20"/>
        <v>-385</v>
      </c>
      <c r="L147">
        <f t="shared" si="21"/>
        <v>-70.7</v>
      </c>
      <c r="M147">
        <f t="shared" si="22"/>
        <v>3025</v>
      </c>
      <c r="N147">
        <f t="shared" si="23"/>
        <v>555.5</v>
      </c>
      <c r="O147">
        <f t="shared" si="24"/>
        <v>102.00999999999999</v>
      </c>
      <c r="Q147" s="11">
        <f t="shared" si="27"/>
        <v>100.02019101362832</v>
      </c>
      <c r="R147" s="12">
        <f t="shared" si="25"/>
        <v>2.019101362832032E-4</v>
      </c>
    </row>
    <row r="148" spans="1:18" x14ac:dyDescent="0.25">
      <c r="A148">
        <v>2</v>
      </c>
      <c r="B148">
        <v>55</v>
      </c>
      <c r="C148">
        <f t="shared" si="26"/>
        <v>3.65</v>
      </c>
      <c r="E148">
        <v>20</v>
      </c>
      <c r="G148">
        <f t="shared" si="18"/>
        <v>2</v>
      </c>
      <c r="H148" s="10">
        <f t="shared" si="18"/>
        <v>55</v>
      </c>
      <c r="I148">
        <f t="shared" si="18"/>
        <v>3.65</v>
      </c>
      <c r="J148">
        <f t="shared" si="19"/>
        <v>4</v>
      </c>
      <c r="K148">
        <f t="shared" si="20"/>
        <v>110</v>
      </c>
      <c r="L148">
        <f t="shared" si="21"/>
        <v>7.3</v>
      </c>
      <c r="M148">
        <f t="shared" si="22"/>
        <v>3025</v>
      </c>
      <c r="N148">
        <f t="shared" si="23"/>
        <v>200.75</v>
      </c>
      <c r="O148">
        <f t="shared" si="24"/>
        <v>13.3225</v>
      </c>
      <c r="Q148" s="11">
        <f t="shared" si="27"/>
        <v>19.337403485447354</v>
      </c>
      <c r="R148" s="12">
        <f t="shared" si="25"/>
        <v>-3.3129825727632324E-2</v>
      </c>
    </row>
    <row r="149" spans="1:18" x14ac:dyDescent="0.25">
      <c r="A149">
        <v>2</v>
      </c>
      <c r="B149">
        <v>55</v>
      </c>
      <c r="C149">
        <f t="shared" si="26"/>
        <v>7.76</v>
      </c>
      <c r="E149">
        <v>50</v>
      </c>
      <c r="G149">
        <f t="shared" si="18"/>
        <v>2</v>
      </c>
      <c r="H149" s="10">
        <f t="shared" si="18"/>
        <v>55</v>
      </c>
      <c r="I149">
        <f t="shared" si="18"/>
        <v>7.76</v>
      </c>
      <c r="J149">
        <f t="shared" si="19"/>
        <v>4</v>
      </c>
      <c r="K149">
        <f t="shared" si="20"/>
        <v>110</v>
      </c>
      <c r="L149">
        <f t="shared" si="21"/>
        <v>15.52</v>
      </c>
      <c r="M149">
        <f t="shared" si="22"/>
        <v>3025</v>
      </c>
      <c r="N149">
        <f t="shared" si="23"/>
        <v>426.8</v>
      </c>
      <c r="O149">
        <f t="shared" si="24"/>
        <v>60.217599999999997</v>
      </c>
      <c r="Q149" s="11">
        <f t="shared" si="27"/>
        <v>48.80143281830297</v>
      </c>
      <c r="R149" s="12">
        <f t="shared" si="25"/>
        <v>-2.397134363394059E-2</v>
      </c>
    </row>
    <row r="150" spans="1:18" x14ac:dyDescent="0.25">
      <c r="A150">
        <v>2</v>
      </c>
      <c r="B150">
        <v>55</v>
      </c>
      <c r="C150">
        <f t="shared" si="26"/>
        <v>13.1</v>
      </c>
      <c r="E150">
        <v>100</v>
      </c>
      <c r="G150">
        <f t="shared" si="18"/>
        <v>2</v>
      </c>
      <c r="H150" s="10">
        <f t="shared" si="18"/>
        <v>55</v>
      </c>
      <c r="I150">
        <f t="shared" si="18"/>
        <v>13.1</v>
      </c>
      <c r="J150">
        <f t="shared" si="19"/>
        <v>4</v>
      </c>
      <c r="K150">
        <f t="shared" si="20"/>
        <v>110</v>
      </c>
      <c r="L150">
        <f t="shared" si="21"/>
        <v>26.2</v>
      </c>
      <c r="M150">
        <f t="shared" si="22"/>
        <v>3025</v>
      </c>
      <c r="N150">
        <f t="shared" si="23"/>
        <v>720.5</v>
      </c>
      <c r="O150">
        <f t="shared" si="24"/>
        <v>171.60999999999999</v>
      </c>
      <c r="Q150" s="11">
        <f t="shared" si="27"/>
        <v>95.236620188921478</v>
      </c>
      <c r="R150" s="12">
        <f t="shared" si="25"/>
        <v>-4.7633798110785219E-2</v>
      </c>
    </row>
    <row r="151" spans="1:18" x14ac:dyDescent="0.25">
      <c r="A151">
        <v>7</v>
      </c>
      <c r="B151">
        <v>55</v>
      </c>
      <c r="C151">
        <f t="shared" si="26"/>
        <v>4.41</v>
      </c>
      <c r="E151">
        <v>20</v>
      </c>
      <c r="G151">
        <f t="shared" si="18"/>
        <v>7</v>
      </c>
      <c r="H151" s="10">
        <f t="shared" si="18"/>
        <v>55</v>
      </c>
      <c r="I151">
        <f t="shared" si="18"/>
        <v>4.41</v>
      </c>
      <c r="J151">
        <f t="shared" si="19"/>
        <v>49</v>
      </c>
      <c r="K151">
        <f t="shared" si="20"/>
        <v>385</v>
      </c>
      <c r="L151">
        <f t="shared" si="21"/>
        <v>30.87</v>
      </c>
      <c r="M151">
        <f t="shared" si="22"/>
        <v>3025</v>
      </c>
      <c r="N151">
        <f t="shared" si="23"/>
        <v>242.55</v>
      </c>
      <c r="O151">
        <f t="shared" si="24"/>
        <v>19.4481</v>
      </c>
      <c r="Q151" s="11">
        <f t="shared" si="27"/>
        <v>19.92027914938695</v>
      </c>
      <c r="R151" s="12">
        <f t="shared" si="25"/>
        <v>-3.9860425306525119E-3</v>
      </c>
    </row>
    <row r="152" spans="1:18" x14ac:dyDescent="0.25">
      <c r="A152">
        <v>7</v>
      </c>
      <c r="B152">
        <v>55</v>
      </c>
      <c r="C152">
        <f t="shared" si="26"/>
        <v>10.3</v>
      </c>
      <c r="E152">
        <v>50</v>
      </c>
      <c r="G152">
        <f t="shared" si="18"/>
        <v>7</v>
      </c>
      <c r="H152" s="10">
        <f t="shared" si="18"/>
        <v>55</v>
      </c>
      <c r="I152">
        <f t="shared" si="18"/>
        <v>10.3</v>
      </c>
      <c r="J152">
        <f t="shared" si="19"/>
        <v>49</v>
      </c>
      <c r="K152">
        <f t="shared" si="20"/>
        <v>385</v>
      </c>
      <c r="L152">
        <f t="shared" si="21"/>
        <v>72.100000000000009</v>
      </c>
      <c r="M152">
        <f t="shared" si="22"/>
        <v>3025</v>
      </c>
      <c r="N152">
        <f t="shared" si="23"/>
        <v>566.5</v>
      </c>
      <c r="O152">
        <f t="shared" si="24"/>
        <v>106.09000000000002</v>
      </c>
      <c r="Q152" s="11">
        <f t="shared" si="27"/>
        <v>54.212125372867625</v>
      </c>
      <c r="R152" s="12">
        <f t="shared" si="25"/>
        <v>8.4242507457352497E-2</v>
      </c>
    </row>
    <row r="153" spans="1:18" x14ac:dyDescent="0.25">
      <c r="A153">
        <v>7</v>
      </c>
      <c r="B153">
        <v>55</v>
      </c>
      <c r="C153">
        <f t="shared" si="26"/>
        <v>16.899999999999999</v>
      </c>
      <c r="E153">
        <v>100</v>
      </c>
      <c r="G153">
        <f t="shared" si="18"/>
        <v>7</v>
      </c>
      <c r="H153" s="10">
        <f t="shared" si="18"/>
        <v>55</v>
      </c>
      <c r="I153">
        <f t="shared" si="18"/>
        <v>16.899999999999999</v>
      </c>
      <c r="J153">
        <f t="shared" si="19"/>
        <v>49</v>
      </c>
      <c r="K153">
        <f t="shared" si="20"/>
        <v>385</v>
      </c>
      <c r="L153">
        <f t="shared" si="21"/>
        <v>118.29999999999998</v>
      </c>
      <c r="M153">
        <f t="shared" si="22"/>
        <v>3025</v>
      </c>
      <c r="N153">
        <f t="shared" si="23"/>
        <v>929.49999999999989</v>
      </c>
      <c r="O153">
        <f t="shared" si="24"/>
        <v>285.60999999999996</v>
      </c>
      <c r="Q153" s="11">
        <f t="shared" si="27"/>
        <v>105.95672833437166</v>
      </c>
      <c r="R153" s="12">
        <f t="shared" si="25"/>
        <v>5.9567283343716609E-2</v>
      </c>
    </row>
    <row r="154" spans="1:18" x14ac:dyDescent="0.25">
      <c r="A154">
        <v>12</v>
      </c>
      <c r="B154">
        <v>55</v>
      </c>
      <c r="C154">
        <f t="shared" si="26"/>
        <v>5.27</v>
      </c>
      <c r="E154">
        <v>20</v>
      </c>
      <c r="G154">
        <f t="shared" si="18"/>
        <v>12</v>
      </c>
      <c r="H154" s="10">
        <f t="shared" si="18"/>
        <v>55</v>
      </c>
      <c r="I154">
        <f t="shared" si="18"/>
        <v>5.27</v>
      </c>
      <c r="J154">
        <f t="shared" si="19"/>
        <v>144</v>
      </c>
      <c r="K154">
        <f t="shared" si="20"/>
        <v>660</v>
      </c>
      <c r="L154">
        <f t="shared" si="21"/>
        <v>63.239999999999995</v>
      </c>
      <c r="M154">
        <f t="shared" si="22"/>
        <v>3025</v>
      </c>
      <c r="N154">
        <f t="shared" si="23"/>
        <v>289.84999999999997</v>
      </c>
      <c r="O154">
        <f t="shared" si="24"/>
        <v>27.772899999999996</v>
      </c>
      <c r="Q154" s="11">
        <f t="shared" si="27"/>
        <v>20.03540623823206</v>
      </c>
      <c r="R154" s="12">
        <f t="shared" si="25"/>
        <v>1.7703119116029952E-3</v>
      </c>
    </row>
    <row r="155" spans="1:18" x14ac:dyDescent="0.25">
      <c r="A155">
        <v>12</v>
      </c>
      <c r="B155">
        <v>55</v>
      </c>
      <c r="C155">
        <f t="shared" si="26"/>
        <v>12</v>
      </c>
      <c r="E155">
        <v>50</v>
      </c>
      <c r="G155">
        <f t="shared" si="18"/>
        <v>12</v>
      </c>
      <c r="H155" s="10">
        <f t="shared" si="18"/>
        <v>55</v>
      </c>
      <c r="I155">
        <f t="shared" si="18"/>
        <v>12</v>
      </c>
      <c r="J155">
        <f t="shared" si="19"/>
        <v>144</v>
      </c>
      <c r="K155">
        <f t="shared" si="20"/>
        <v>660</v>
      </c>
      <c r="L155">
        <f t="shared" si="21"/>
        <v>144</v>
      </c>
      <c r="M155">
        <f t="shared" si="22"/>
        <v>3025</v>
      </c>
      <c r="N155">
        <f t="shared" si="23"/>
        <v>660</v>
      </c>
      <c r="O155">
        <f t="shared" si="24"/>
        <v>144</v>
      </c>
      <c r="Q155" s="11">
        <f t="shared" si="27"/>
        <v>49.349017084499536</v>
      </c>
      <c r="R155" s="12">
        <f t="shared" si="25"/>
        <v>-1.3019658310009277E-2</v>
      </c>
    </row>
    <row r="156" spans="1:18" x14ac:dyDescent="0.25">
      <c r="A156">
        <v>12</v>
      </c>
      <c r="B156">
        <v>55</v>
      </c>
      <c r="C156">
        <f t="shared" si="26"/>
        <v>20.2</v>
      </c>
      <c r="E156">
        <v>100</v>
      </c>
      <c r="G156">
        <f t="shared" si="18"/>
        <v>12</v>
      </c>
      <c r="H156" s="10">
        <f t="shared" si="18"/>
        <v>55</v>
      </c>
      <c r="I156">
        <f t="shared" si="18"/>
        <v>20.2</v>
      </c>
      <c r="J156">
        <f t="shared" si="19"/>
        <v>144</v>
      </c>
      <c r="K156">
        <f t="shared" si="20"/>
        <v>660</v>
      </c>
      <c r="L156">
        <f t="shared" si="21"/>
        <v>242.39999999999998</v>
      </c>
      <c r="M156">
        <f t="shared" si="22"/>
        <v>3025</v>
      </c>
      <c r="N156">
        <f t="shared" si="23"/>
        <v>1111</v>
      </c>
      <c r="O156">
        <f t="shared" si="24"/>
        <v>408.03999999999996</v>
      </c>
      <c r="Q156" s="11">
        <f t="shared" si="27"/>
        <v>104.84618239576753</v>
      </c>
      <c r="R156" s="12">
        <f t="shared" si="25"/>
        <v>4.846182395767528E-2</v>
      </c>
    </row>
    <row r="157" spans="1:18" x14ac:dyDescent="0.25">
      <c r="A157">
        <v>2</v>
      </c>
      <c r="B157">
        <v>65</v>
      </c>
      <c r="C157">
        <f t="shared" si="26"/>
        <v>3.17</v>
      </c>
      <c r="E157">
        <v>20</v>
      </c>
      <c r="G157">
        <f t="shared" si="18"/>
        <v>2</v>
      </c>
      <c r="H157" s="10">
        <f t="shared" si="18"/>
        <v>65</v>
      </c>
      <c r="I157">
        <f t="shared" si="18"/>
        <v>3.17</v>
      </c>
      <c r="J157">
        <f t="shared" si="19"/>
        <v>4</v>
      </c>
      <c r="K157">
        <f t="shared" si="20"/>
        <v>130</v>
      </c>
      <c r="L157">
        <f t="shared" si="21"/>
        <v>6.34</v>
      </c>
      <c r="M157">
        <f t="shared" si="22"/>
        <v>4225</v>
      </c>
      <c r="N157">
        <f t="shared" si="23"/>
        <v>206.04999999999998</v>
      </c>
      <c r="O157">
        <f t="shared" si="24"/>
        <v>10.0489</v>
      </c>
      <c r="Q157" s="11">
        <f t="shared" si="27"/>
        <v>19.601619215884618</v>
      </c>
      <c r="R157" s="12">
        <f t="shared" si="25"/>
        <v>-1.9919039205769096E-2</v>
      </c>
    </row>
    <row r="158" spans="1:18" x14ac:dyDescent="0.25">
      <c r="A158">
        <v>2</v>
      </c>
      <c r="B158">
        <v>65</v>
      </c>
      <c r="C158">
        <f t="shared" si="26"/>
        <v>7.28</v>
      </c>
      <c r="E158">
        <v>50</v>
      </c>
      <c r="G158">
        <f t="shared" si="18"/>
        <v>2</v>
      </c>
      <c r="H158" s="10">
        <f t="shared" si="18"/>
        <v>65</v>
      </c>
      <c r="I158">
        <f t="shared" si="18"/>
        <v>7.28</v>
      </c>
      <c r="J158">
        <f t="shared" si="19"/>
        <v>4</v>
      </c>
      <c r="K158">
        <f t="shared" si="20"/>
        <v>130</v>
      </c>
      <c r="L158">
        <f t="shared" si="21"/>
        <v>14.56</v>
      </c>
      <c r="M158">
        <f t="shared" si="22"/>
        <v>4225</v>
      </c>
      <c r="N158">
        <f t="shared" si="23"/>
        <v>473.2</v>
      </c>
      <c r="O158">
        <f t="shared" si="24"/>
        <v>52.998400000000004</v>
      </c>
      <c r="Q158" s="11">
        <f t="shared" si="27"/>
        <v>50.254208749657863</v>
      </c>
      <c r="R158" s="12">
        <f t="shared" si="25"/>
        <v>5.0841749931572625E-3</v>
      </c>
    </row>
    <row r="159" spans="1:18" x14ac:dyDescent="0.25">
      <c r="A159">
        <v>7</v>
      </c>
      <c r="B159">
        <v>65</v>
      </c>
      <c r="C159">
        <f t="shared" si="26"/>
        <v>3.79</v>
      </c>
      <c r="E159">
        <v>20</v>
      </c>
      <c r="G159">
        <f t="shared" si="18"/>
        <v>7</v>
      </c>
      <c r="H159" s="10">
        <f t="shared" si="18"/>
        <v>65</v>
      </c>
      <c r="I159">
        <f t="shared" si="18"/>
        <v>3.79</v>
      </c>
      <c r="J159">
        <f t="shared" si="19"/>
        <v>49</v>
      </c>
      <c r="K159">
        <f t="shared" si="20"/>
        <v>455</v>
      </c>
      <c r="L159">
        <f t="shared" si="21"/>
        <v>26.53</v>
      </c>
      <c r="M159">
        <f t="shared" si="22"/>
        <v>4225</v>
      </c>
      <c r="N159">
        <f t="shared" si="23"/>
        <v>246.35</v>
      </c>
      <c r="O159">
        <f t="shared" si="24"/>
        <v>14.364100000000001</v>
      </c>
      <c r="Q159" s="11">
        <f t="shared" si="27"/>
        <v>20.546052902197999</v>
      </c>
      <c r="R159" s="12">
        <f t="shared" si="25"/>
        <v>2.7302645109899971E-2</v>
      </c>
    </row>
    <row r="160" spans="1:18" x14ac:dyDescent="0.25">
      <c r="A160">
        <v>7</v>
      </c>
      <c r="B160">
        <v>65</v>
      </c>
      <c r="C160">
        <f t="shared" si="26"/>
        <v>9.6199999999999992</v>
      </c>
      <c r="E160">
        <v>50</v>
      </c>
      <c r="G160">
        <f t="shared" si="18"/>
        <v>7</v>
      </c>
      <c r="H160" s="10">
        <f t="shared" si="18"/>
        <v>65</v>
      </c>
      <c r="I160">
        <f t="shared" si="18"/>
        <v>9.6199999999999992</v>
      </c>
      <c r="J160">
        <f t="shared" si="19"/>
        <v>49</v>
      </c>
      <c r="K160">
        <f t="shared" si="20"/>
        <v>455</v>
      </c>
      <c r="L160">
        <f t="shared" si="21"/>
        <v>67.339999999999989</v>
      </c>
      <c r="M160">
        <f t="shared" si="22"/>
        <v>4225</v>
      </c>
      <c r="N160">
        <f t="shared" si="23"/>
        <v>625.29999999999995</v>
      </c>
      <c r="O160">
        <f t="shared" si="24"/>
        <v>92.544399999999982</v>
      </c>
      <c r="Q160" s="11">
        <f t="shared" si="27"/>
        <v>55.854269033603082</v>
      </c>
      <c r="R160" s="12">
        <f t="shared" si="25"/>
        <v>0.11708538067206163</v>
      </c>
    </row>
    <row r="161" spans="1:18" x14ac:dyDescent="0.25">
      <c r="A161">
        <v>7</v>
      </c>
      <c r="B161">
        <v>65</v>
      </c>
      <c r="C161">
        <f t="shared" si="26"/>
        <v>15.6</v>
      </c>
      <c r="E161">
        <v>100</v>
      </c>
      <c r="G161">
        <f t="shared" si="18"/>
        <v>7</v>
      </c>
      <c r="H161" s="10">
        <f t="shared" si="18"/>
        <v>65</v>
      </c>
      <c r="I161">
        <f t="shared" si="18"/>
        <v>15.6</v>
      </c>
      <c r="J161">
        <f t="shared" si="19"/>
        <v>49</v>
      </c>
      <c r="K161">
        <f t="shared" si="20"/>
        <v>455</v>
      </c>
      <c r="L161">
        <f t="shared" si="21"/>
        <v>109.2</v>
      </c>
      <c r="M161">
        <f t="shared" si="22"/>
        <v>4225</v>
      </c>
      <c r="N161">
        <f t="shared" si="23"/>
        <v>1014</v>
      </c>
      <c r="O161">
        <f t="shared" si="24"/>
        <v>243.35999999999999</v>
      </c>
      <c r="Q161" s="11">
        <f t="shared" si="27"/>
        <v>103.48182561403087</v>
      </c>
      <c r="R161" s="12">
        <f t="shared" si="25"/>
        <v>3.4818256140308673E-2</v>
      </c>
    </row>
    <row r="162" spans="1:18" x14ac:dyDescent="0.25">
      <c r="A162">
        <v>12</v>
      </c>
      <c r="B162">
        <v>65</v>
      </c>
      <c r="C162">
        <f t="shared" si="26"/>
        <v>4.5199999999999996</v>
      </c>
      <c r="E162">
        <v>20</v>
      </c>
      <c r="G162">
        <f t="shared" si="18"/>
        <v>12</v>
      </c>
      <c r="H162" s="10">
        <f t="shared" si="18"/>
        <v>65</v>
      </c>
      <c r="I162">
        <f t="shared" si="18"/>
        <v>4.5199999999999996</v>
      </c>
      <c r="J162">
        <f t="shared" si="19"/>
        <v>144</v>
      </c>
      <c r="K162">
        <f t="shared" si="20"/>
        <v>780</v>
      </c>
      <c r="L162">
        <f t="shared" si="21"/>
        <v>54.239999999999995</v>
      </c>
      <c r="M162">
        <f t="shared" si="22"/>
        <v>4225</v>
      </c>
      <c r="N162">
        <f t="shared" si="23"/>
        <v>293.79999999999995</v>
      </c>
      <c r="O162">
        <f t="shared" si="24"/>
        <v>20.430399999999995</v>
      </c>
      <c r="Q162" s="11">
        <f t="shared" si="27"/>
        <v>21.541265425668147</v>
      </c>
      <c r="R162" s="12">
        <f t="shared" si="25"/>
        <v>7.7063271283407356E-2</v>
      </c>
    </row>
    <row r="163" spans="1:18" x14ac:dyDescent="0.25">
      <c r="A163">
        <v>12</v>
      </c>
      <c r="B163">
        <v>65</v>
      </c>
      <c r="C163">
        <f t="shared" si="26"/>
        <v>11.1</v>
      </c>
      <c r="E163">
        <v>50</v>
      </c>
      <c r="G163">
        <f t="shared" si="18"/>
        <v>12</v>
      </c>
      <c r="H163" s="10">
        <f t="shared" si="18"/>
        <v>65</v>
      </c>
      <c r="I163">
        <f t="shared" si="18"/>
        <v>11.1</v>
      </c>
      <c r="J163">
        <f t="shared" si="19"/>
        <v>144</v>
      </c>
      <c r="K163">
        <f t="shared" si="20"/>
        <v>780</v>
      </c>
      <c r="L163">
        <f t="shared" si="21"/>
        <v>133.19999999999999</v>
      </c>
      <c r="M163">
        <f t="shared" si="22"/>
        <v>4225</v>
      </c>
      <c r="N163">
        <f t="shared" si="23"/>
        <v>721.5</v>
      </c>
      <c r="O163">
        <f t="shared" si="24"/>
        <v>123.21</v>
      </c>
      <c r="Q163" s="11">
        <f t="shared" si="27"/>
        <v>51.37080640614154</v>
      </c>
      <c r="R163" s="12">
        <f t="shared" si="25"/>
        <v>2.7416128122830799E-2</v>
      </c>
    </row>
    <row r="164" spans="1:18" x14ac:dyDescent="0.25">
      <c r="A164">
        <v>12</v>
      </c>
      <c r="B164">
        <v>65</v>
      </c>
      <c r="C164">
        <f t="shared" si="26"/>
        <v>16.399999999999999</v>
      </c>
      <c r="E164">
        <v>100</v>
      </c>
      <c r="G164">
        <f t="shared" si="18"/>
        <v>12</v>
      </c>
      <c r="H164" s="10">
        <f t="shared" si="18"/>
        <v>65</v>
      </c>
      <c r="I164">
        <f t="shared" si="18"/>
        <v>16.399999999999999</v>
      </c>
      <c r="J164">
        <f t="shared" si="19"/>
        <v>144</v>
      </c>
      <c r="K164">
        <f t="shared" si="20"/>
        <v>780</v>
      </c>
      <c r="L164">
        <f t="shared" si="21"/>
        <v>196.79999999999998</v>
      </c>
      <c r="M164">
        <f t="shared" si="22"/>
        <v>4225</v>
      </c>
      <c r="N164">
        <f t="shared" si="23"/>
        <v>1066</v>
      </c>
      <c r="O164">
        <f t="shared" si="24"/>
        <v>268.95999999999998</v>
      </c>
      <c r="Q164" s="11">
        <f t="shared" si="27"/>
        <v>85.5709196162762</v>
      </c>
      <c r="R164" s="12">
        <f t="shared" si="25"/>
        <v>-0.144290803837238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8193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8193" r:id="rId4"/>
      </mc:Fallback>
    </mc:AlternateContent>
    <mc:AlternateContent xmlns:mc="http://schemas.openxmlformats.org/markup-compatibility/2006">
      <mc:Choice Requires="x14">
        <oleObject progId="Equation.3" shapeId="8194" r:id="rId6">
          <objectPr defaultSize="0" autoPict="0" r:id="rId5">
            <anchor moveWithCells="1" sizeWithCells="1">
              <from>
                <xdr:col>6</xdr:col>
                <xdr:colOff>171450</xdr:colOff>
                <xdr:row>57</xdr:row>
                <xdr:rowOff>38100</xdr:rowOff>
              </from>
              <to>
                <xdr:col>14</xdr:col>
                <xdr:colOff>1466850</xdr:colOff>
                <xdr:row>57</xdr:row>
                <xdr:rowOff>647700</xdr:rowOff>
              </to>
            </anchor>
          </objectPr>
        </oleObject>
      </mc:Choice>
      <mc:Fallback>
        <oleObject progId="Equation.3" shapeId="8194" r:id="rId6"/>
      </mc:Fallback>
    </mc:AlternateContent>
    <mc:AlternateContent xmlns:mc="http://schemas.openxmlformats.org/markup-compatibility/2006">
      <mc:Choice Requires="x14">
        <oleObject progId="Equation.3" shapeId="8195" r:id="rId7">
          <objectPr defaultSize="0" autoPict="0" r:id="rId5">
            <anchor moveWithCells="1" sizeWithCells="1">
              <from>
                <xdr:col>6</xdr:col>
                <xdr:colOff>171450</xdr:colOff>
                <xdr:row>113</xdr:row>
                <xdr:rowOff>38100</xdr:rowOff>
              </from>
              <to>
                <xdr:col>14</xdr:col>
                <xdr:colOff>1466850</xdr:colOff>
                <xdr:row>113</xdr:row>
                <xdr:rowOff>647700</xdr:rowOff>
              </to>
            </anchor>
          </objectPr>
        </oleObject>
      </mc:Choice>
      <mc:Fallback>
        <oleObject progId="Equation.3" shapeId="8195" r:id="rId7"/>
      </mc:Fallback>
    </mc:AlternateContent>
  </oleObjec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ist16"/>
  <dimension ref="A1:AK106"/>
  <sheetViews>
    <sheetView zoomScale="70" zoomScaleNormal="70" workbookViewId="0">
      <selection activeCell="E76" sqref="E76:E106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LINEST(E4:E34,G4:O34)</f>
        <v>-2.6359565584066225E-4</v>
      </c>
      <c r="H2" s="4">
        <v>-2.1439461117775928E-4</v>
      </c>
      <c r="I2" s="4">
        <v>3.0495762786128229E-4</v>
      </c>
      <c r="J2" s="4">
        <v>8.766363752053249E-4</v>
      </c>
      <c r="K2" s="4">
        <v>7.3142708897540971E-4</v>
      </c>
      <c r="L2" s="4">
        <v>-5.7928141405228942E-5</v>
      </c>
      <c r="M2" s="4">
        <v>0.10054540333053892</v>
      </c>
      <c r="N2" s="4">
        <v>-3.3751879130816183E-2</v>
      </c>
      <c r="O2" s="4">
        <v>3.6861576252837022E-3</v>
      </c>
      <c r="P2" s="4">
        <v>-0.38333211102670717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35</v>
      </c>
      <c r="C4">
        <v>50</v>
      </c>
      <c r="E4">
        <v>1.72</v>
      </c>
      <c r="F4" s="2"/>
      <c r="G4">
        <f t="shared" ref="G4:I25" si="0">A4</f>
        <v>-15</v>
      </c>
      <c r="H4" s="10">
        <f t="shared" si="0"/>
        <v>35</v>
      </c>
      <c r="I4">
        <f t="shared" si="0"/>
        <v>50</v>
      </c>
      <c r="J4">
        <f t="shared" ref="J4:J25" si="1">G4^2</f>
        <v>225</v>
      </c>
      <c r="K4">
        <f t="shared" ref="K4:K25" si="2">G4*H4</f>
        <v>-525</v>
      </c>
      <c r="L4">
        <f t="shared" ref="L4:L25" si="3">G4*I4</f>
        <v>-750</v>
      </c>
      <c r="M4">
        <f t="shared" ref="M4:M25" si="4">H4^2</f>
        <v>1225</v>
      </c>
      <c r="N4">
        <f t="shared" ref="N4:N25" si="5">H4*I4</f>
        <v>1750</v>
      </c>
      <c r="O4">
        <f t="shared" ref="O4:O25" si="6">I4^2</f>
        <v>2500</v>
      </c>
      <c r="Q4" s="11">
        <f t="shared" ref="Q4:Q25" si="7">$P$2+$O$2*G4+$N$2*H4+$M$2*I4+$L$2*J4+$K$2*K4+$J$2*L4+$I$2*M4+$H$2*N4+$G$2*O4</f>
        <v>1.6922129715774927</v>
      </c>
      <c r="R4" s="12">
        <f t="shared" ref="R4:R25" si="8">(Q4-E4)/E4</f>
        <v>-1.6155249082853047E-2</v>
      </c>
      <c r="S4" s="11"/>
      <c r="T4" s="12"/>
    </row>
    <row r="5" spans="1:20" x14ac:dyDescent="0.25">
      <c r="A5">
        <v>-15</v>
      </c>
      <c r="B5">
        <v>35</v>
      </c>
      <c r="C5">
        <v>85</v>
      </c>
      <c r="E5">
        <v>3.16</v>
      </c>
      <c r="F5" s="2"/>
      <c r="G5">
        <f t="shared" si="0"/>
        <v>-15</v>
      </c>
      <c r="H5" s="10">
        <f t="shared" si="0"/>
        <v>35</v>
      </c>
      <c r="I5">
        <f t="shared" si="0"/>
        <v>85</v>
      </c>
      <c r="J5">
        <f t="shared" si="1"/>
        <v>225</v>
      </c>
      <c r="K5">
        <f t="shared" si="2"/>
        <v>-525</v>
      </c>
      <c r="L5">
        <f t="shared" si="3"/>
        <v>-1275</v>
      </c>
      <c r="M5">
        <f t="shared" si="4"/>
        <v>1225</v>
      </c>
      <c r="N5">
        <f t="shared" si="5"/>
        <v>2975</v>
      </c>
      <c r="O5">
        <f t="shared" si="6"/>
        <v>7225</v>
      </c>
      <c r="Q5" s="11">
        <f t="shared" si="7"/>
        <v>3.2429451186236764</v>
      </c>
      <c r="R5" s="12">
        <f t="shared" si="8"/>
        <v>2.6248455260657045E-2</v>
      </c>
      <c r="S5" s="11"/>
      <c r="T5" s="12"/>
    </row>
    <row r="6" spans="1:20" x14ac:dyDescent="0.25">
      <c r="A6">
        <v>-7</v>
      </c>
      <c r="B6">
        <v>35</v>
      </c>
      <c r="C6">
        <v>50</v>
      </c>
      <c r="E6">
        <v>2.27</v>
      </c>
      <c r="F6" s="2"/>
      <c r="G6">
        <f t="shared" si="0"/>
        <v>-7</v>
      </c>
      <c r="H6" s="10">
        <f t="shared" si="0"/>
        <v>35</v>
      </c>
      <c r="I6">
        <f t="shared" si="0"/>
        <v>50</v>
      </c>
      <c r="J6">
        <f t="shared" si="1"/>
        <v>49</v>
      </c>
      <c r="K6">
        <f t="shared" si="2"/>
        <v>-245</v>
      </c>
      <c r="L6">
        <f t="shared" si="3"/>
        <v>-350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2.2873517204623273</v>
      </c>
      <c r="R6" s="12">
        <f t="shared" si="8"/>
        <v>7.6439297190868932E-3</v>
      </c>
      <c r="S6" s="11"/>
      <c r="T6" s="12"/>
    </row>
    <row r="7" spans="1:20" x14ac:dyDescent="0.25">
      <c r="A7">
        <v>-7</v>
      </c>
      <c r="B7">
        <v>35</v>
      </c>
      <c r="C7">
        <v>85</v>
      </c>
      <c r="E7">
        <v>4.03</v>
      </c>
      <c r="F7" s="2"/>
      <c r="G7">
        <f t="shared" si="0"/>
        <v>-7</v>
      </c>
      <c r="H7" s="10">
        <f t="shared" si="0"/>
        <v>35</v>
      </c>
      <c r="I7">
        <f t="shared" si="0"/>
        <v>85</v>
      </c>
      <c r="J7">
        <f t="shared" si="1"/>
        <v>49</v>
      </c>
      <c r="K7">
        <f t="shared" si="2"/>
        <v>-245</v>
      </c>
      <c r="L7">
        <f t="shared" si="3"/>
        <v>-595</v>
      </c>
      <c r="M7">
        <f t="shared" si="4"/>
        <v>1225</v>
      </c>
      <c r="N7">
        <f t="shared" si="5"/>
        <v>2975</v>
      </c>
      <c r="O7">
        <f t="shared" si="6"/>
        <v>7225</v>
      </c>
      <c r="Q7" s="11">
        <f t="shared" si="7"/>
        <v>4.0835420525660027</v>
      </c>
      <c r="R7" s="12">
        <f t="shared" si="8"/>
        <v>1.3285869123077523E-2</v>
      </c>
      <c r="S7" s="11"/>
      <c r="T7" s="12"/>
    </row>
    <row r="8" spans="1:20" x14ac:dyDescent="0.25">
      <c r="A8">
        <v>2</v>
      </c>
      <c r="B8">
        <v>35</v>
      </c>
      <c r="C8">
        <v>36</v>
      </c>
      <c r="E8">
        <v>2.1800000000000002</v>
      </c>
      <c r="F8" s="2"/>
      <c r="G8">
        <f t="shared" si="0"/>
        <v>2</v>
      </c>
      <c r="H8" s="10">
        <f t="shared" si="0"/>
        <v>35</v>
      </c>
      <c r="I8">
        <f t="shared" si="0"/>
        <v>36</v>
      </c>
      <c r="J8">
        <f t="shared" si="1"/>
        <v>4</v>
      </c>
      <c r="K8">
        <f t="shared" si="2"/>
        <v>70</v>
      </c>
      <c r="L8">
        <f t="shared" si="3"/>
        <v>72</v>
      </c>
      <c r="M8">
        <f t="shared" si="4"/>
        <v>1225</v>
      </c>
      <c r="N8">
        <f t="shared" si="5"/>
        <v>1260</v>
      </c>
      <c r="O8">
        <f t="shared" si="6"/>
        <v>1296</v>
      </c>
      <c r="Q8" s="11">
        <f t="shared" si="7"/>
        <v>1.9382608712987324</v>
      </c>
      <c r="R8" s="12">
        <f t="shared" si="8"/>
        <v>-0.1108895085785632</v>
      </c>
      <c r="S8" s="11"/>
      <c r="T8" s="12"/>
    </row>
    <row r="9" spans="1:20" x14ac:dyDescent="0.25">
      <c r="A9">
        <v>2</v>
      </c>
      <c r="B9">
        <v>35</v>
      </c>
      <c r="C9">
        <v>50</v>
      </c>
      <c r="E9">
        <v>3.15</v>
      </c>
      <c r="F9" s="2"/>
      <c r="G9">
        <f t="shared" si="0"/>
        <v>2</v>
      </c>
      <c r="H9" s="10">
        <f t="shared" si="0"/>
        <v>35</v>
      </c>
      <c r="I9">
        <f t="shared" si="0"/>
        <v>50</v>
      </c>
      <c r="J9">
        <f t="shared" si="1"/>
        <v>4</v>
      </c>
      <c r="K9">
        <f t="shared" si="2"/>
        <v>70</v>
      </c>
      <c r="L9">
        <f t="shared" si="3"/>
        <v>100</v>
      </c>
      <c r="M9">
        <f t="shared" si="4"/>
        <v>1225</v>
      </c>
      <c r="N9">
        <f t="shared" si="5"/>
        <v>1750</v>
      </c>
      <c r="O9">
        <f t="shared" si="6"/>
        <v>2500</v>
      </c>
      <c r="Q9" s="11">
        <f t="shared" si="7"/>
        <v>2.9480198073227664</v>
      </c>
      <c r="R9" s="12">
        <f t="shared" si="8"/>
        <v>-6.4120696088010659E-2</v>
      </c>
      <c r="S9" s="11"/>
      <c r="T9" s="12"/>
    </row>
    <row r="10" spans="1:20" x14ac:dyDescent="0.25">
      <c r="A10">
        <v>2</v>
      </c>
      <c r="B10">
        <v>35</v>
      </c>
      <c r="C10">
        <v>85</v>
      </c>
      <c r="E10">
        <v>5.3</v>
      </c>
      <c r="F10" s="2"/>
      <c r="G10">
        <f t="shared" si="0"/>
        <v>2</v>
      </c>
      <c r="H10" s="10">
        <f t="shared" si="0"/>
        <v>35</v>
      </c>
      <c r="I10">
        <f t="shared" si="0"/>
        <v>85</v>
      </c>
      <c r="J10">
        <f t="shared" si="1"/>
        <v>4</v>
      </c>
      <c r="K10">
        <f t="shared" si="2"/>
        <v>70</v>
      </c>
      <c r="L10">
        <f t="shared" si="3"/>
        <v>170</v>
      </c>
      <c r="M10">
        <f t="shared" si="4"/>
        <v>1225</v>
      </c>
      <c r="N10">
        <f t="shared" si="5"/>
        <v>2975</v>
      </c>
      <c r="O10">
        <f t="shared" si="6"/>
        <v>7225</v>
      </c>
      <c r="Q10" s="11">
        <f t="shared" si="7"/>
        <v>5.0203505976161189</v>
      </c>
      <c r="R10" s="12">
        <f t="shared" si="8"/>
        <v>-5.2764038185637914E-2</v>
      </c>
      <c r="S10" s="11"/>
      <c r="T10" s="12"/>
    </row>
    <row r="11" spans="1:20" x14ac:dyDescent="0.25">
      <c r="A11">
        <v>7</v>
      </c>
      <c r="B11">
        <v>35</v>
      </c>
      <c r="C11">
        <v>36</v>
      </c>
      <c r="E11">
        <v>1.6</v>
      </c>
      <c r="F11" s="2"/>
      <c r="G11">
        <f t="shared" si="0"/>
        <v>7</v>
      </c>
      <c r="H11" s="10">
        <f t="shared" si="0"/>
        <v>35</v>
      </c>
      <c r="I11">
        <f t="shared" si="0"/>
        <v>36</v>
      </c>
      <c r="J11">
        <f t="shared" si="1"/>
        <v>49</v>
      </c>
      <c r="K11">
        <f t="shared" si="2"/>
        <v>245</v>
      </c>
      <c r="L11">
        <f t="shared" si="3"/>
        <v>252</v>
      </c>
      <c r="M11">
        <f t="shared" si="4"/>
        <v>1225</v>
      </c>
      <c r="N11">
        <f t="shared" si="5"/>
        <v>1260</v>
      </c>
      <c r="O11">
        <f t="shared" si="6"/>
        <v>1296</v>
      </c>
      <c r="Q11" s="11">
        <f t="shared" si="7"/>
        <v>2.2398791811695711</v>
      </c>
      <c r="R11" s="12">
        <f t="shared" si="8"/>
        <v>0.39992448823098187</v>
      </c>
      <c r="S11" s="11"/>
      <c r="T11" s="12"/>
    </row>
    <row r="12" spans="1:20" x14ac:dyDescent="0.25">
      <c r="A12">
        <v>7</v>
      </c>
      <c r="B12">
        <v>35</v>
      </c>
      <c r="C12">
        <v>50</v>
      </c>
      <c r="E12">
        <v>3.24</v>
      </c>
      <c r="F12" s="2"/>
      <c r="G12">
        <f t="shared" si="0"/>
        <v>7</v>
      </c>
      <c r="H12" s="10">
        <f t="shared" si="0"/>
        <v>35</v>
      </c>
      <c r="I12">
        <f t="shared" si="0"/>
        <v>50</v>
      </c>
      <c r="J12">
        <f t="shared" si="1"/>
        <v>49</v>
      </c>
      <c r="K12">
        <f t="shared" si="2"/>
        <v>245</v>
      </c>
      <c r="L12">
        <f t="shared" si="3"/>
        <v>350</v>
      </c>
      <c r="M12">
        <f t="shared" si="4"/>
        <v>1225</v>
      </c>
      <c r="N12">
        <f t="shared" si="5"/>
        <v>1750</v>
      </c>
      <c r="O12">
        <f t="shared" si="6"/>
        <v>2500</v>
      </c>
      <c r="Q12" s="11">
        <f t="shared" si="7"/>
        <v>3.3110026634579781</v>
      </c>
      <c r="R12" s="12">
        <f t="shared" si="8"/>
        <v>2.1914402301845028E-2</v>
      </c>
      <c r="S12" s="11"/>
      <c r="T12" s="12"/>
    </row>
    <row r="13" spans="1:20" x14ac:dyDescent="0.25">
      <c r="A13">
        <v>7</v>
      </c>
      <c r="B13">
        <v>35</v>
      </c>
      <c r="C13">
        <v>85</v>
      </c>
      <c r="E13">
        <v>5.42</v>
      </c>
      <c r="F13" s="2"/>
      <c r="G13">
        <f t="shared" si="0"/>
        <v>7</v>
      </c>
      <c r="H13" s="10">
        <f t="shared" si="0"/>
        <v>35</v>
      </c>
      <c r="I13">
        <f t="shared" si="0"/>
        <v>85</v>
      </c>
      <c r="J13">
        <f t="shared" si="1"/>
        <v>49</v>
      </c>
      <c r="K13">
        <f t="shared" si="2"/>
        <v>245</v>
      </c>
      <c r="L13">
        <f t="shared" si="3"/>
        <v>595</v>
      </c>
      <c r="M13">
        <f t="shared" si="4"/>
        <v>1225</v>
      </c>
      <c r="N13">
        <f t="shared" si="5"/>
        <v>2975</v>
      </c>
      <c r="O13">
        <f t="shared" si="6"/>
        <v>7225</v>
      </c>
      <c r="Q13" s="11">
        <f t="shared" si="7"/>
        <v>5.5367448194122613</v>
      </c>
      <c r="R13" s="12">
        <f t="shared" si="8"/>
        <v>2.1539634577907994E-2</v>
      </c>
      <c r="S13" s="11"/>
      <c r="T13" s="12"/>
    </row>
    <row r="14" spans="1:20" x14ac:dyDescent="0.25">
      <c r="A14">
        <v>12</v>
      </c>
      <c r="B14">
        <v>35</v>
      </c>
      <c r="C14">
        <v>36</v>
      </c>
      <c r="E14">
        <v>2.73</v>
      </c>
      <c r="F14" s="2"/>
      <c r="G14">
        <f t="shared" si="0"/>
        <v>12</v>
      </c>
      <c r="H14" s="10">
        <f t="shared" si="0"/>
        <v>35</v>
      </c>
      <c r="I14">
        <f t="shared" si="0"/>
        <v>36</v>
      </c>
      <c r="J14">
        <f t="shared" si="1"/>
        <v>144</v>
      </c>
      <c r="K14">
        <f t="shared" si="2"/>
        <v>420</v>
      </c>
      <c r="L14">
        <f t="shared" si="3"/>
        <v>432</v>
      </c>
      <c r="M14">
        <f t="shared" si="4"/>
        <v>1225</v>
      </c>
      <c r="N14">
        <f t="shared" si="5"/>
        <v>1260</v>
      </c>
      <c r="O14">
        <f t="shared" si="6"/>
        <v>1296</v>
      </c>
      <c r="Q14" s="11">
        <f t="shared" si="7"/>
        <v>2.5386010839701476</v>
      </c>
      <c r="R14" s="12">
        <f t="shared" si="8"/>
        <v>-7.0109493051227975E-2</v>
      </c>
      <c r="S14" s="11"/>
      <c r="T14" s="12"/>
    </row>
    <row r="15" spans="1:20" x14ac:dyDescent="0.25">
      <c r="A15">
        <v>12</v>
      </c>
      <c r="B15">
        <v>35</v>
      </c>
      <c r="C15">
        <v>50</v>
      </c>
      <c r="E15">
        <v>3.71</v>
      </c>
      <c r="F15" s="2"/>
      <c r="G15">
        <f t="shared" si="0"/>
        <v>12</v>
      </c>
      <c r="H15" s="10">
        <f t="shared" si="0"/>
        <v>35</v>
      </c>
      <c r="I15">
        <f t="shared" si="0"/>
        <v>50</v>
      </c>
      <c r="J15">
        <f t="shared" si="1"/>
        <v>144</v>
      </c>
      <c r="K15">
        <f t="shared" si="2"/>
        <v>420</v>
      </c>
      <c r="L15">
        <f t="shared" si="3"/>
        <v>600</v>
      </c>
      <c r="M15">
        <f t="shared" si="4"/>
        <v>1225</v>
      </c>
      <c r="N15">
        <f t="shared" si="5"/>
        <v>1750</v>
      </c>
      <c r="O15">
        <f t="shared" si="6"/>
        <v>2500</v>
      </c>
      <c r="Q15" s="11">
        <f t="shared" si="7"/>
        <v>3.6710891125229272</v>
      </c>
      <c r="R15" s="12">
        <f t="shared" si="8"/>
        <v>-1.0488109832095072E-2</v>
      </c>
      <c r="S15" s="11"/>
      <c r="T15" s="12"/>
    </row>
    <row r="16" spans="1:20" x14ac:dyDescent="0.25">
      <c r="A16">
        <v>-15</v>
      </c>
      <c r="B16">
        <v>45</v>
      </c>
      <c r="C16">
        <v>85</v>
      </c>
      <c r="E16">
        <v>2.9</v>
      </c>
      <c r="F16" s="2"/>
      <c r="G16">
        <f t="shared" si="0"/>
        <v>-15</v>
      </c>
      <c r="H16" s="10">
        <f t="shared" si="0"/>
        <v>45</v>
      </c>
      <c r="I16">
        <f t="shared" si="0"/>
        <v>85</v>
      </c>
      <c r="J16">
        <f t="shared" si="1"/>
        <v>225</v>
      </c>
      <c r="K16">
        <f t="shared" si="2"/>
        <v>-675</v>
      </c>
      <c r="L16">
        <f t="shared" si="3"/>
        <v>-1275</v>
      </c>
      <c r="M16">
        <f t="shared" si="4"/>
        <v>2025</v>
      </c>
      <c r="N16">
        <f t="shared" si="5"/>
        <v>3825</v>
      </c>
      <c r="O16">
        <f t="shared" si="6"/>
        <v>7225</v>
      </c>
      <c r="Q16" s="11">
        <f t="shared" si="7"/>
        <v>2.8574429467571334</v>
      </c>
      <c r="R16" s="12">
        <f t="shared" si="8"/>
        <v>-1.4674845945816041E-2</v>
      </c>
      <c r="S16" s="11"/>
      <c r="T16" s="12"/>
    </row>
    <row r="17" spans="1:37" x14ac:dyDescent="0.25">
      <c r="A17">
        <v>-7</v>
      </c>
      <c r="B17">
        <v>45</v>
      </c>
      <c r="C17">
        <v>50</v>
      </c>
      <c r="E17">
        <v>2.0099999999999998</v>
      </c>
      <c r="F17" s="2"/>
      <c r="G17">
        <f t="shared" si="0"/>
        <v>-7</v>
      </c>
      <c r="H17" s="10">
        <f t="shared" si="0"/>
        <v>45</v>
      </c>
      <c r="I17">
        <f t="shared" si="0"/>
        <v>50</v>
      </c>
      <c r="J17">
        <f t="shared" si="1"/>
        <v>49</v>
      </c>
      <c r="K17">
        <f t="shared" si="2"/>
        <v>-315</v>
      </c>
      <c r="L17">
        <f t="shared" si="3"/>
        <v>-350</v>
      </c>
      <c r="M17">
        <f t="shared" si="4"/>
        <v>2025</v>
      </c>
      <c r="N17">
        <f t="shared" si="5"/>
        <v>2250</v>
      </c>
      <c r="O17">
        <f t="shared" si="6"/>
        <v>2500</v>
      </c>
      <c r="Q17" s="11">
        <f t="shared" si="7"/>
        <v>2.0354018296260326</v>
      </c>
      <c r="R17" s="12">
        <f t="shared" si="8"/>
        <v>1.2637726182105857E-2</v>
      </c>
      <c r="S17" s="11"/>
      <c r="T17" s="12"/>
    </row>
    <row r="18" spans="1:37" x14ac:dyDescent="0.25">
      <c r="A18">
        <v>-7</v>
      </c>
      <c r="B18">
        <v>45</v>
      </c>
      <c r="C18">
        <v>85</v>
      </c>
      <c r="E18">
        <v>3.46</v>
      </c>
      <c r="F18" s="2"/>
      <c r="G18">
        <f t="shared" si="0"/>
        <v>-7</v>
      </c>
      <c r="H18" s="10">
        <f t="shared" si="0"/>
        <v>45</v>
      </c>
      <c r="I18">
        <f t="shared" si="0"/>
        <v>85</v>
      </c>
      <c r="J18">
        <f t="shared" si="1"/>
        <v>49</v>
      </c>
      <c r="K18">
        <f t="shared" si="2"/>
        <v>-315</v>
      </c>
      <c r="L18">
        <f t="shared" si="3"/>
        <v>-595</v>
      </c>
      <c r="M18">
        <f t="shared" si="4"/>
        <v>2025</v>
      </c>
      <c r="N18">
        <f t="shared" si="5"/>
        <v>3825</v>
      </c>
      <c r="O18">
        <f t="shared" si="6"/>
        <v>7225</v>
      </c>
      <c r="Q18" s="11">
        <f t="shared" si="7"/>
        <v>3.7565540478174921</v>
      </c>
      <c r="R18" s="12">
        <f t="shared" si="8"/>
        <v>8.5709262374997736E-2</v>
      </c>
      <c r="S18" s="11"/>
      <c r="T18" s="12"/>
    </row>
    <row r="19" spans="1:37" x14ac:dyDescent="0.25">
      <c r="A19">
        <v>2</v>
      </c>
      <c r="B19">
        <v>45</v>
      </c>
      <c r="C19">
        <v>36</v>
      </c>
      <c r="E19">
        <v>2</v>
      </c>
      <c r="F19" s="2"/>
      <c r="G19">
        <f t="shared" si="0"/>
        <v>2</v>
      </c>
      <c r="H19" s="10">
        <f t="shared" si="0"/>
        <v>45</v>
      </c>
      <c r="I19">
        <f t="shared" si="0"/>
        <v>36</v>
      </c>
      <c r="J19">
        <f t="shared" si="1"/>
        <v>4</v>
      </c>
      <c r="K19">
        <f t="shared" si="2"/>
        <v>90</v>
      </c>
      <c r="L19">
        <f t="shared" si="3"/>
        <v>72</v>
      </c>
      <c r="M19">
        <f t="shared" si="4"/>
        <v>2025</v>
      </c>
      <c r="N19">
        <f t="shared" si="5"/>
        <v>1620</v>
      </c>
      <c r="O19">
        <f t="shared" si="6"/>
        <v>1296</v>
      </c>
      <c r="Q19" s="11">
        <f t="shared" si="7"/>
        <v>1.7821546640351111</v>
      </c>
      <c r="R19" s="12">
        <f t="shared" si="8"/>
        <v>-0.10892266798244443</v>
      </c>
      <c r="S19" s="11"/>
      <c r="T19" s="12"/>
    </row>
    <row r="20" spans="1:37" x14ac:dyDescent="0.25">
      <c r="A20">
        <v>2</v>
      </c>
      <c r="B20">
        <v>45</v>
      </c>
      <c r="C20">
        <v>50</v>
      </c>
      <c r="E20">
        <v>2.82</v>
      </c>
      <c r="G20">
        <f t="shared" si="0"/>
        <v>2</v>
      </c>
      <c r="H20" s="10">
        <f t="shared" si="0"/>
        <v>45</v>
      </c>
      <c r="I20">
        <f t="shared" si="0"/>
        <v>50</v>
      </c>
      <c r="J20">
        <f t="shared" si="1"/>
        <v>4</v>
      </c>
      <c r="K20">
        <f t="shared" si="2"/>
        <v>90</v>
      </c>
      <c r="L20">
        <f t="shared" si="3"/>
        <v>100</v>
      </c>
      <c r="M20">
        <f t="shared" si="4"/>
        <v>2025</v>
      </c>
      <c r="N20">
        <f t="shared" si="5"/>
        <v>2250</v>
      </c>
      <c r="O20">
        <f t="shared" si="6"/>
        <v>2500</v>
      </c>
      <c r="Q20" s="11">
        <f t="shared" si="7"/>
        <v>2.7618983544942579</v>
      </c>
      <c r="R20" s="12">
        <f t="shared" si="8"/>
        <v>-2.0603420392107066E-2</v>
      </c>
      <c r="S20" s="11"/>
      <c r="T20" s="12"/>
    </row>
    <row r="21" spans="1:37" x14ac:dyDescent="0.25">
      <c r="A21">
        <v>2</v>
      </c>
      <c r="B21">
        <v>45</v>
      </c>
      <c r="C21">
        <v>85</v>
      </c>
      <c r="E21">
        <v>5.03</v>
      </c>
      <c r="G21">
        <f t="shared" si="0"/>
        <v>2</v>
      </c>
      <c r="H21" s="10">
        <f t="shared" si="0"/>
        <v>45</v>
      </c>
      <c r="I21">
        <f t="shared" si="0"/>
        <v>85</v>
      </c>
      <c r="J21">
        <f t="shared" si="1"/>
        <v>4</v>
      </c>
      <c r="K21">
        <f t="shared" si="2"/>
        <v>90</v>
      </c>
      <c r="L21">
        <f t="shared" si="3"/>
        <v>170</v>
      </c>
      <c r="M21">
        <f t="shared" si="4"/>
        <v>2025</v>
      </c>
      <c r="N21">
        <f t="shared" si="5"/>
        <v>3825</v>
      </c>
      <c r="O21">
        <f t="shared" si="6"/>
        <v>7225</v>
      </c>
      <c r="Q21" s="11">
        <f t="shared" si="7"/>
        <v>4.7591910308753942</v>
      </c>
      <c r="R21" s="12">
        <f t="shared" si="8"/>
        <v>-5.3838761257376945E-2</v>
      </c>
      <c r="S21" s="11"/>
      <c r="T21" s="12"/>
    </row>
    <row r="22" spans="1:37" x14ac:dyDescent="0.25">
      <c r="A22">
        <v>7</v>
      </c>
      <c r="B22">
        <v>45</v>
      </c>
      <c r="C22">
        <v>50</v>
      </c>
      <c r="E22">
        <v>3.1</v>
      </c>
      <c r="G22">
        <f t="shared" si="0"/>
        <v>7</v>
      </c>
      <c r="H22" s="10">
        <f t="shared" si="0"/>
        <v>45</v>
      </c>
      <c r="I22">
        <f t="shared" si="0"/>
        <v>50</v>
      </c>
      <c r="J22">
        <f t="shared" si="1"/>
        <v>49</v>
      </c>
      <c r="K22">
        <f t="shared" si="2"/>
        <v>315</v>
      </c>
      <c r="L22">
        <f t="shared" si="3"/>
        <v>350</v>
      </c>
      <c r="M22">
        <f t="shared" si="4"/>
        <v>2025</v>
      </c>
      <c r="N22">
        <f t="shared" si="5"/>
        <v>2250</v>
      </c>
      <c r="O22">
        <f t="shared" si="6"/>
        <v>2500</v>
      </c>
      <c r="Q22" s="11">
        <f t="shared" si="7"/>
        <v>3.1614525650782404</v>
      </c>
      <c r="R22" s="12">
        <f t="shared" si="8"/>
        <v>1.9823408089754923E-2</v>
      </c>
      <c r="S22" s="11"/>
      <c r="T22" s="12"/>
    </row>
    <row r="23" spans="1:37" x14ac:dyDescent="0.25">
      <c r="A23">
        <v>7</v>
      </c>
      <c r="B23">
        <v>45</v>
      </c>
      <c r="C23">
        <v>85</v>
      </c>
      <c r="E23">
        <v>5.17</v>
      </c>
      <c r="G23">
        <f t="shared" si="0"/>
        <v>7</v>
      </c>
      <c r="H23" s="10">
        <f t="shared" si="0"/>
        <v>45</v>
      </c>
      <c r="I23">
        <f t="shared" si="0"/>
        <v>85</v>
      </c>
      <c r="J23">
        <f t="shared" si="1"/>
        <v>49</v>
      </c>
      <c r="K23">
        <f t="shared" si="2"/>
        <v>315</v>
      </c>
      <c r="L23">
        <f t="shared" si="3"/>
        <v>595</v>
      </c>
      <c r="M23">
        <f t="shared" si="4"/>
        <v>2025</v>
      </c>
      <c r="N23">
        <f t="shared" si="5"/>
        <v>3825</v>
      </c>
      <c r="O23">
        <f t="shared" si="6"/>
        <v>7225</v>
      </c>
      <c r="Q23" s="11">
        <f t="shared" si="7"/>
        <v>5.3121566071203077</v>
      </c>
      <c r="R23" s="12">
        <f t="shared" si="8"/>
        <v>2.749644238303825E-2</v>
      </c>
      <c r="S23" s="11"/>
      <c r="T23" s="12"/>
    </row>
    <row r="24" spans="1:37" x14ac:dyDescent="0.25">
      <c r="A24">
        <v>12</v>
      </c>
      <c r="B24">
        <v>45</v>
      </c>
      <c r="C24">
        <v>36</v>
      </c>
      <c r="E24">
        <v>2.4700000000000002</v>
      </c>
      <c r="G24">
        <f t="shared" si="0"/>
        <v>12</v>
      </c>
      <c r="H24" s="10">
        <f t="shared" si="0"/>
        <v>45</v>
      </c>
      <c r="I24">
        <f t="shared" si="0"/>
        <v>36</v>
      </c>
      <c r="J24">
        <f t="shared" si="1"/>
        <v>144</v>
      </c>
      <c r="K24">
        <f t="shared" si="2"/>
        <v>540</v>
      </c>
      <c r="L24">
        <f t="shared" si="3"/>
        <v>432</v>
      </c>
      <c r="M24">
        <f t="shared" si="4"/>
        <v>2025</v>
      </c>
      <c r="N24">
        <f t="shared" si="5"/>
        <v>1620</v>
      </c>
      <c r="O24">
        <f t="shared" si="6"/>
        <v>1296</v>
      </c>
      <c r="Q24" s="11">
        <f t="shared" si="7"/>
        <v>2.4556375856040673</v>
      </c>
      <c r="R24" s="12">
        <f t="shared" si="8"/>
        <v>-5.8147426704181727E-3</v>
      </c>
      <c r="S24" s="11"/>
      <c r="T24" s="12"/>
    </row>
    <row r="25" spans="1:37" x14ac:dyDescent="0.25">
      <c r="A25">
        <v>12</v>
      </c>
      <c r="B25">
        <v>45</v>
      </c>
      <c r="C25">
        <v>50</v>
      </c>
      <c r="E25">
        <v>3.48</v>
      </c>
      <c r="G25">
        <f t="shared" si="0"/>
        <v>12</v>
      </c>
      <c r="H25" s="10">
        <f t="shared" si="0"/>
        <v>45</v>
      </c>
      <c r="I25">
        <f t="shared" si="0"/>
        <v>50</v>
      </c>
      <c r="J25">
        <f t="shared" si="1"/>
        <v>144</v>
      </c>
      <c r="K25">
        <f t="shared" si="2"/>
        <v>540</v>
      </c>
      <c r="L25">
        <f t="shared" si="3"/>
        <v>600</v>
      </c>
      <c r="M25">
        <f t="shared" si="4"/>
        <v>2025</v>
      </c>
      <c r="N25">
        <f t="shared" si="5"/>
        <v>2250</v>
      </c>
      <c r="O25">
        <f t="shared" si="6"/>
        <v>2500</v>
      </c>
      <c r="Q25" s="11">
        <f t="shared" si="7"/>
        <v>3.5581103685919615</v>
      </c>
      <c r="R25" s="12">
        <f t="shared" si="8"/>
        <v>2.2445508216080896E-2</v>
      </c>
      <c r="S25" s="11"/>
      <c r="T25" s="12"/>
    </row>
    <row r="26" spans="1:37" x14ac:dyDescent="0.25">
      <c r="A26">
        <v>-7</v>
      </c>
      <c r="B26">
        <v>55</v>
      </c>
      <c r="C26">
        <v>50</v>
      </c>
      <c r="E26">
        <v>1.79</v>
      </c>
      <c r="G26">
        <f t="shared" ref="G26:G33" si="9">A26</f>
        <v>-7</v>
      </c>
      <c r="H26" s="10">
        <f t="shared" ref="H26:H33" si="10">B26</f>
        <v>55</v>
      </c>
      <c r="I26">
        <f t="shared" ref="I26:I33" si="11">C26</f>
        <v>50</v>
      </c>
      <c r="J26">
        <f t="shared" ref="J26:J33" si="12">G26^2</f>
        <v>49</v>
      </c>
      <c r="K26">
        <f t="shared" ref="K26:K33" si="13">G26*H26</f>
        <v>-385</v>
      </c>
      <c r="L26">
        <f t="shared" ref="L26:L33" si="14">G26*I26</f>
        <v>-350</v>
      </c>
      <c r="M26">
        <f t="shared" ref="M26:M33" si="15">H26^2</f>
        <v>3025</v>
      </c>
      <c r="N26">
        <f t="shared" ref="N26:N33" si="16">H26*I26</f>
        <v>2750</v>
      </c>
      <c r="O26">
        <f t="shared" ref="O26:O33" si="17">I26^2</f>
        <v>2500</v>
      </c>
      <c r="Q26" s="11">
        <f t="shared" ref="Q26:Q33" si="18">$P$2+$O$2*G26+$N$2*H26+$M$2*I26+$L$2*J26+$K$2*K26+$J$2*L26+$I$2*M26+$H$2*N26+$G$2*O26</f>
        <v>1.8444434643619947</v>
      </c>
      <c r="R26" s="12">
        <f t="shared" ref="R26:R33" si="19">(Q26-E26)/E26</f>
        <v>3.0415343218991427E-2</v>
      </c>
      <c r="S26" s="11"/>
      <c r="AA26" s="10"/>
      <c r="AJ26" s="11"/>
      <c r="AK26" s="12"/>
    </row>
    <row r="27" spans="1:37" x14ac:dyDescent="0.25">
      <c r="A27">
        <v>-7</v>
      </c>
      <c r="B27">
        <v>55</v>
      </c>
      <c r="C27">
        <v>85</v>
      </c>
      <c r="E27">
        <v>3.48</v>
      </c>
      <c r="G27">
        <f t="shared" si="9"/>
        <v>-7</v>
      </c>
      <c r="H27" s="10">
        <f t="shared" si="10"/>
        <v>55</v>
      </c>
      <c r="I27">
        <f t="shared" si="11"/>
        <v>85</v>
      </c>
      <c r="J27">
        <f t="shared" si="12"/>
        <v>49</v>
      </c>
      <c r="K27">
        <f t="shared" si="13"/>
        <v>-385</v>
      </c>
      <c r="L27">
        <f t="shared" si="14"/>
        <v>-595</v>
      </c>
      <c r="M27">
        <f t="shared" si="15"/>
        <v>3025</v>
      </c>
      <c r="N27">
        <f t="shared" si="16"/>
        <v>4675</v>
      </c>
      <c r="O27">
        <f t="shared" si="17"/>
        <v>7225</v>
      </c>
      <c r="Q27" s="11">
        <f t="shared" si="18"/>
        <v>3.4905575686412385</v>
      </c>
      <c r="R27" s="12">
        <f t="shared" si="19"/>
        <v>3.0337840923099048E-3</v>
      </c>
      <c r="S27" s="11"/>
      <c r="T27" s="12"/>
    </row>
    <row r="28" spans="1:37" x14ac:dyDescent="0.25">
      <c r="A28">
        <v>2</v>
      </c>
      <c r="B28">
        <v>55</v>
      </c>
      <c r="C28">
        <v>85</v>
      </c>
      <c r="E28">
        <v>4.84</v>
      </c>
      <c r="G28">
        <f t="shared" si="9"/>
        <v>2</v>
      </c>
      <c r="H28" s="10">
        <f t="shared" si="10"/>
        <v>55</v>
      </c>
      <c r="I28">
        <f t="shared" si="11"/>
        <v>85</v>
      </c>
      <c r="J28">
        <f t="shared" si="12"/>
        <v>4</v>
      </c>
      <c r="K28">
        <f t="shared" si="13"/>
        <v>110</v>
      </c>
      <c r="L28">
        <f t="shared" si="14"/>
        <v>170</v>
      </c>
      <c r="M28">
        <f t="shared" si="15"/>
        <v>3025</v>
      </c>
      <c r="N28">
        <f t="shared" si="16"/>
        <v>4675</v>
      </c>
      <c r="O28">
        <f t="shared" si="17"/>
        <v>7225</v>
      </c>
      <c r="Q28" s="11">
        <f t="shared" si="18"/>
        <v>4.5590229897069268</v>
      </c>
      <c r="R28" s="12">
        <f t="shared" si="19"/>
        <v>-5.8053101300221718E-2</v>
      </c>
      <c r="S28" s="11"/>
      <c r="T28" s="12"/>
    </row>
    <row r="29" spans="1:37" x14ac:dyDescent="0.25">
      <c r="A29">
        <v>7</v>
      </c>
      <c r="B29">
        <v>55</v>
      </c>
      <c r="C29">
        <v>36</v>
      </c>
      <c r="E29">
        <v>1.85</v>
      </c>
      <c r="G29">
        <f t="shared" si="9"/>
        <v>7</v>
      </c>
      <c r="H29" s="10">
        <f t="shared" si="10"/>
        <v>55</v>
      </c>
      <c r="I29">
        <f t="shared" si="11"/>
        <v>36</v>
      </c>
      <c r="J29">
        <f t="shared" si="12"/>
        <v>49</v>
      </c>
      <c r="K29">
        <f t="shared" si="13"/>
        <v>385</v>
      </c>
      <c r="L29">
        <f t="shared" si="14"/>
        <v>252</v>
      </c>
      <c r="M29">
        <f t="shared" si="15"/>
        <v>3025</v>
      </c>
      <c r="N29">
        <f t="shared" si="16"/>
        <v>1980</v>
      </c>
      <c r="O29">
        <f t="shared" si="17"/>
        <v>1296</v>
      </c>
      <c r="Q29" s="11">
        <f t="shared" si="18"/>
        <v>2.0618010011121259</v>
      </c>
      <c r="R29" s="12">
        <f t="shared" si="19"/>
        <v>0.11448702762817613</v>
      </c>
      <c r="S29" s="11"/>
      <c r="T29" s="12"/>
    </row>
    <row r="30" spans="1:37" x14ac:dyDescent="0.25">
      <c r="A30">
        <v>7</v>
      </c>
      <c r="B30">
        <v>55</v>
      </c>
      <c r="C30">
        <v>50</v>
      </c>
      <c r="E30">
        <v>2.81</v>
      </c>
      <c r="G30">
        <f t="shared" si="9"/>
        <v>7</v>
      </c>
      <c r="H30" s="10">
        <f t="shared" si="10"/>
        <v>55</v>
      </c>
      <c r="I30">
        <f t="shared" si="11"/>
        <v>50</v>
      </c>
      <c r="J30">
        <f t="shared" si="12"/>
        <v>49</v>
      </c>
      <c r="K30">
        <f t="shared" si="13"/>
        <v>385</v>
      </c>
      <c r="L30">
        <f t="shared" si="14"/>
        <v>350</v>
      </c>
      <c r="M30">
        <f t="shared" si="15"/>
        <v>3025</v>
      </c>
      <c r="N30">
        <f t="shared" si="16"/>
        <v>2750</v>
      </c>
      <c r="O30">
        <f t="shared" si="17"/>
        <v>2500</v>
      </c>
      <c r="Q30" s="11">
        <f t="shared" si="18"/>
        <v>3.0728939922707599</v>
      </c>
      <c r="R30" s="12">
        <f t="shared" si="19"/>
        <v>9.3556580879273959E-2</v>
      </c>
      <c r="S30" s="11"/>
      <c r="T30" s="12"/>
    </row>
    <row r="31" spans="1:37" x14ac:dyDescent="0.25">
      <c r="A31">
        <v>7</v>
      </c>
      <c r="B31">
        <v>55</v>
      </c>
      <c r="C31">
        <v>85</v>
      </c>
      <c r="E31">
        <v>4.8899999999999997</v>
      </c>
      <c r="G31">
        <f t="shared" si="9"/>
        <v>7</v>
      </c>
      <c r="H31" s="10">
        <f t="shared" si="10"/>
        <v>55</v>
      </c>
      <c r="I31">
        <f t="shared" si="11"/>
        <v>85</v>
      </c>
      <c r="J31">
        <f t="shared" si="12"/>
        <v>49</v>
      </c>
      <c r="K31">
        <f t="shared" si="13"/>
        <v>385</v>
      </c>
      <c r="L31">
        <f t="shared" si="14"/>
        <v>595</v>
      </c>
      <c r="M31">
        <f t="shared" si="15"/>
        <v>3025</v>
      </c>
      <c r="N31">
        <f t="shared" si="16"/>
        <v>4675</v>
      </c>
      <c r="O31">
        <f t="shared" si="17"/>
        <v>7225</v>
      </c>
      <c r="Q31" s="11">
        <f t="shared" si="18"/>
        <v>5.1485599204006132</v>
      </c>
      <c r="R31" s="12">
        <f t="shared" si="19"/>
        <v>5.2875239345728735E-2</v>
      </c>
      <c r="S31" s="11"/>
      <c r="T31" s="12"/>
    </row>
    <row r="32" spans="1:37" x14ac:dyDescent="0.25">
      <c r="A32">
        <v>12</v>
      </c>
      <c r="B32">
        <v>55</v>
      </c>
      <c r="C32">
        <v>36</v>
      </c>
      <c r="E32">
        <v>2.62</v>
      </c>
      <c r="G32">
        <f t="shared" si="9"/>
        <v>12</v>
      </c>
      <c r="H32" s="10">
        <f t="shared" si="10"/>
        <v>55</v>
      </c>
      <c r="I32">
        <f t="shared" si="11"/>
        <v>36</v>
      </c>
      <c r="J32">
        <f t="shared" si="12"/>
        <v>144</v>
      </c>
      <c r="K32">
        <f t="shared" si="13"/>
        <v>660</v>
      </c>
      <c r="L32">
        <f t="shared" si="14"/>
        <v>432</v>
      </c>
      <c r="M32">
        <f t="shared" si="15"/>
        <v>3025</v>
      </c>
      <c r="N32">
        <f t="shared" si="16"/>
        <v>1980</v>
      </c>
      <c r="O32">
        <f t="shared" si="17"/>
        <v>1296</v>
      </c>
      <c r="Q32" s="11">
        <f t="shared" si="18"/>
        <v>2.4336656128102434</v>
      </c>
      <c r="R32" s="12">
        <f t="shared" si="19"/>
        <v>-7.1119995110594164E-2</v>
      </c>
      <c r="S32" s="11"/>
      <c r="T32" s="12"/>
    </row>
    <row r="33" spans="1:20" x14ac:dyDescent="0.25">
      <c r="A33">
        <v>12</v>
      </c>
      <c r="B33">
        <v>55</v>
      </c>
      <c r="C33">
        <v>50</v>
      </c>
      <c r="E33">
        <v>3.75</v>
      </c>
      <c r="G33">
        <f t="shared" si="9"/>
        <v>12</v>
      </c>
      <c r="H33" s="10">
        <f t="shared" si="10"/>
        <v>55</v>
      </c>
      <c r="I33">
        <f t="shared" si="11"/>
        <v>50</v>
      </c>
      <c r="J33">
        <f t="shared" si="12"/>
        <v>144</v>
      </c>
      <c r="K33">
        <f t="shared" si="13"/>
        <v>660</v>
      </c>
      <c r="L33">
        <f t="shared" si="14"/>
        <v>600</v>
      </c>
      <c r="M33">
        <f t="shared" si="15"/>
        <v>3025</v>
      </c>
      <c r="N33">
        <f t="shared" si="16"/>
        <v>2750</v>
      </c>
      <c r="O33">
        <f t="shared" si="17"/>
        <v>2500</v>
      </c>
      <c r="Q33" s="11">
        <f t="shared" si="18"/>
        <v>3.5061231502332504</v>
      </c>
      <c r="R33" s="12">
        <f t="shared" si="19"/>
        <v>-6.5033826604466563E-2</v>
      </c>
      <c r="S33" s="11"/>
      <c r="T33" s="12"/>
    </row>
    <row r="34" spans="1:20" x14ac:dyDescent="0.25">
      <c r="A34">
        <v>-15</v>
      </c>
      <c r="B34">
        <v>55</v>
      </c>
      <c r="C34">
        <v>85</v>
      </c>
      <c r="E34">
        <v>2.62</v>
      </c>
      <c r="G34">
        <f>A34</f>
        <v>-15</v>
      </c>
      <c r="H34" s="10">
        <f>B34</f>
        <v>55</v>
      </c>
      <c r="I34">
        <f>C34</f>
        <v>85</v>
      </c>
      <c r="J34">
        <f>G34^2</f>
        <v>225</v>
      </c>
      <c r="K34">
        <f>G34*H34</f>
        <v>-825</v>
      </c>
      <c r="L34">
        <f>G34*I34</f>
        <v>-1275</v>
      </c>
      <c r="M34">
        <f>H34^2</f>
        <v>3025</v>
      </c>
      <c r="N34">
        <f>H34*I34</f>
        <v>4675</v>
      </c>
      <c r="O34">
        <f>I34^2</f>
        <v>7225</v>
      </c>
      <c r="Q34" s="11">
        <f>$P$2+$O$2*G34+$N$2*H34+$M$2*I34+$L$2*J34+$K$2*K34+$J$2*L34+$I$2*M34+$H$2*N34+$G$2*O34</f>
        <v>2.5329323004628459</v>
      </c>
      <c r="R34" s="12">
        <f>(Q34-E34)/E34</f>
        <v>-3.3231946388226796E-2</v>
      </c>
      <c r="S34" s="11"/>
      <c r="T34" s="12"/>
    </row>
    <row r="37" spans="1:20" x14ac:dyDescent="0.25">
      <c r="A37" t="s">
        <v>27</v>
      </c>
      <c r="G37" s="4" t="s">
        <v>1</v>
      </c>
      <c r="H37" s="4" t="s">
        <v>2</v>
      </c>
      <c r="I37" s="4" t="s">
        <v>3</v>
      </c>
      <c r="J37" s="4" t="s">
        <v>4</v>
      </c>
      <c r="K37" s="4" t="s">
        <v>5</v>
      </c>
      <c r="L37" s="4" t="s">
        <v>6</v>
      </c>
      <c r="M37" s="4" t="s">
        <v>7</v>
      </c>
      <c r="N37" s="4" t="s">
        <v>8</v>
      </c>
      <c r="O37" s="4" t="s">
        <v>9</v>
      </c>
      <c r="P37" s="4" t="s">
        <v>10</v>
      </c>
    </row>
    <row r="38" spans="1:20" x14ac:dyDescent="0.25">
      <c r="A38" s="1"/>
      <c r="C38" s="1"/>
      <c r="D38" s="1"/>
      <c r="E38" s="1"/>
      <c r="F38" s="1"/>
      <c r="G38" s="4">
        <f t="array" ref="G38:P38">LINEST(E40:E70,G40:O70)</f>
        <v>7.4647706440945705E-5</v>
      </c>
      <c r="H38" s="4">
        <v>2.8971449974300842E-4</v>
      </c>
      <c r="I38" s="4">
        <v>2.071784290398596E-4</v>
      </c>
      <c r="J38" s="4">
        <v>2.6190027629377933E-4</v>
      </c>
      <c r="K38" s="4">
        <v>3.2876602104155194E-4</v>
      </c>
      <c r="L38" s="4">
        <v>-5.0195023042280279E-5</v>
      </c>
      <c r="M38" s="4">
        <v>-2.0357722535063352E-3</v>
      </c>
      <c r="N38" s="4">
        <v>-1.707836265520395E-2</v>
      </c>
      <c r="O38" s="4">
        <v>-2.2376432849072016E-2</v>
      </c>
      <c r="P38" s="4">
        <v>0.4933764580153765</v>
      </c>
    </row>
    <row r="39" spans="1:20" ht="45" x14ac:dyDescent="0.25">
      <c r="A39" s="5" t="s">
        <v>11</v>
      </c>
      <c r="B39" s="5" t="s">
        <v>12</v>
      </c>
      <c r="C39" s="5" t="s">
        <v>13</v>
      </c>
      <c r="D39" s="6"/>
      <c r="E39" s="7" t="s">
        <v>14</v>
      </c>
      <c r="F39" s="3"/>
      <c r="G39" s="8" t="s">
        <v>17</v>
      </c>
      <c r="H39" s="8" t="s">
        <v>18</v>
      </c>
      <c r="I39" s="8" t="s">
        <v>0</v>
      </c>
      <c r="J39" s="8" t="s">
        <v>19</v>
      </c>
      <c r="K39" s="8" t="s">
        <v>20</v>
      </c>
      <c r="L39" s="8" t="s">
        <v>21</v>
      </c>
      <c r="M39" s="8" t="s">
        <v>22</v>
      </c>
      <c r="N39" s="8" t="s">
        <v>23</v>
      </c>
      <c r="O39" s="8" t="s">
        <v>24</v>
      </c>
      <c r="P39" s="3"/>
      <c r="Q39" s="9" t="s">
        <v>14</v>
      </c>
      <c r="R39" s="9" t="s">
        <v>15</v>
      </c>
    </row>
    <row r="40" spans="1:20" x14ac:dyDescent="0.25">
      <c r="A40">
        <v>-15</v>
      </c>
      <c r="B40">
        <v>35</v>
      </c>
      <c r="C40">
        <v>50</v>
      </c>
      <c r="E40">
        <v>0.69</v>
      </c>
      <c r="F40" s="2"/>
      <c r="G40">
        <f t="shared" ref="G40:I70" si="20">A40</f>
        <v>-15</v>
      </c>
      <c r="H40" s="10">
        <f t="shared" si="20"/>
        <v>35</v>
      </c>
      <c r="I40">
        <f t="shared" si="20"/>
        <v>50</v>
      </c>
      <c r="J40">
        <f t="shared" ref="J40:J70" si="21">G40^2</f>
        <v>225</v>
      </c>
      <c r="K40">
        <f t="shared" ref="K40:K70" si="22">G40*H40</f>
        <v>-525</v>
      </c>
      <c r="L40">
        <f t="shared" ref="L40:L70" si="23">G40*I40</f>
        <v>-750</v>
      </c>
      <c r="M40">
        <f t="shared" ref="M40:M70" si="24">H40^2</f>
        <v>1225</v>
      </c>
      <c r="N40">
        <f t="shared" ref="N40:N70" si="25">H40*I40</f>
        <v>1750</v>
      </c>
      <c r="O40">
        <f t="shared" ref="O40:O70" si="26">I40^2</f>
        <v>2500</v>
      </c>
      <c r="Q40" s="11">
        <f t="shared" ref="Q40:Q70" si="27">$P$38+$O$38*G40+$N$38*H40+$M$38*I40+$L$38*J40+$K$38*K40+$J$38*L40+$I$38*M40+$H$38*N40+$G$38*O40</f>
        <v>0.69658361291879634</v>
      </c>
      <c r="R40" s="12">
        <f t="shared" ref="R40:R70" si="28">(Q40-E40)/E40</f>
        <v>9.5414679982556358E-3</v>
      </c>
    </row>
    <row r="41" spans="1:20" x14ac:dyDescent="0.25">
      <c r="A41">
        <v>-15</v>
      </c>
      <c r="B41">
        <v>35</v>
      </c>
      <c r="C41">
        <v>85</v>
      </c>
      <c r="E41">
        <v>1.21</v>
      </c>
      <c r="F41" s="2"/>
      <c r="G41">
        <f t="shared" si="20"/>
        <v>-15</v>
      </c>
      <c r="H41" s="10">
        <f t="shared" si="20"/>
        <v>35</v>
      </c>
      <c r="I41">
        <f t="shared" si="20"/>
        <v>85</v>
      </c>
      <c r="J41">
        <f t="shared" si="21"/>
        <v>225</v>
      </c>
      <c r="K41">
        <f t="shared" si="22"/>
        <v>-525</v>
      </c>
      <c r="L41">
        <f t="shared" si="23"/>
        <v>-1275</v>
      </c>
      <c r="M41">
        <f t="shared" si="24"/>
        <v>1225</v>
      </c>
      <c r="N41">
        <f t="shared" si="25"/>
        <v>2975</v>
      </c>
      <c r="O41">
        <f t="shared" si="26"/>
        <v>7225</v>
      </c>
      <c r="Q41" s="11">
        <f t="shared" si="27"/>
        <v>1.1954446141104942</v>
      </c>
      <c r="R41" s="12">
        <f t="shared" si="28"/>
        <v>-1.2029244536781636E-2</v>
      </c>
    </row>
    <row r="42" spans="1:20" x14ac:dyDescent="0.25">
      <c r="A42">
        <v>-7</v>
      </c>
      <c r="B42">
        <v>35</v>
      </c>
      <c r="C42">
        <v>50</v>
      </c>
      <c r="E42">
        <v>0.72</v>
      </c>
      <c r="F42" s="2"/>
      <c r="G42">
        <f t="shared" si="20"/>
        <v>-7</v>
      </c>
      <c r="H42" s="10">
        <f t="shared" si="20"/>
        <v>35</v>
      </c>
      <c r="I42">
        <f t="shared" si="20"/>
        <v>50</v>
      </c>
      <c r="J42">
        <f t="shared" si="21"/>
        <v>49</v>
      </c>
      <c r="K42">
        <f t="shared" si="22"/>
        <v>-245</v>
      </c>
      <c r="L42">
        <f t="shared" si="23"/>
        <v>-350</v>
      </c>
      <c r="M42">
        <f t="shared" si="24"/>
        <v>1225</v>
      </c>
      <c r="N42">
        <f t="shared" si="25"/>
        <v>1750</v>
      </c>
      <c r="O42">
        <f t="shared" si="26"/>
        <v>2500</v>
      </c>
      <c r="Q42" s="11">
        <f t="shared" si="27"/>
        <v>0.72322107059080798</v>
      </c>
      <c r="R42" s="12">
        <f t="shared" si="28"/>
        <v>4.4737091539000084E-3</v>
      </c>
    </row>
    <row r="43" spans="1:20" x14ac:dyDescent="0.25">
      <c r="A43">
        <v>-7</v>
      </c>
      <c r="B43">
        <v>35</v>
      </c>
      <c r="C43">
        <v>85</v>
      </c>
      <c r="E43">
        <v>1.31</v>
      </c>
      <c r="F43" s="2"/>
      <c r="G43">
        <f t="shared" si="20"/>
        <v>-7</v>
      </c>
      <c r="H43" s="10">
        <f t="shared" si="20"/>
        <v>35</v>
      </c>
      <c r="I43">
        <f t="shared" si="20"/>
        <v>85</v>
      </c>
      <c r="J43">
        <f t="shared" si="21"/>
        <v>49</v>
      </c>
      <c r="K43">
        <f t="shared" si="22"/>
        <v>-245</v>
      </c>
      <c r="L43">
        <f t="shared" si="23"/>
        <v>-595</v>
      </c>
      <c r="M43">
        <f t="shared" si="24"/>
        <v>1225</v>
      </c>
      <c r="N43">
        <f t="shared" si="25"/>
        <v>2975</v>
      </c>
      <c r="O43">
        <f t="shared" si="26"/>
        <v>7225</v>
      </c>
      <c r="Q43" s="11">
        <f t="shared" si="27"/>
        <v>1.2954141491447642</v>
      </c>
      <c r="R43" s="12">
        <f t="shared" si="28"/>
        <v>-1.11342372940732E-2</v>
      </c>
    </row>
    <row r="44" spans="1:20" x14ac:dyDescent="0.25">
      <c r="A44">
        <v>2</v>
      </c>
      <c r="B44">
        <v>35</v>
      </c>
      <c r="C44">
        <v>36</v>
      </c>
      <c r="E44">
        <v>0.53</v>
      </c>
      <c r="F44" s="2"/>
      <c r="G44">
        <f t="shared" si="20"/>
        <v>2</v>
      </c>
      <c r="H44" s="10">
        <f t="shared" si="20"/>
        <v>35</v>
      </c>
      <c r="I44">
        <f t="shared" si="20"/>
        <v>36</v>
      </c>
      <c r="J44">
        <f t="shared" si="21"/>
        <v>4</v>
      </c>
      <c r="K44">
        <f t="shared" si="22"/>
        <v>70</v>
      </c>
      <c r="L44">
        <f t="shared" si="23"/>
        <v>72</v>
      </c>
      <c r="M44">
        <f t="shared" si="24"/>
        <v>1225</v>
      </c>
      <c r="N44">
        <f t="shared" si="25"/>
        <v>1260</v>
      </c>
      <c r="O44">
        <f t="shared" si="26"/>
        <v>1296</v>
      </c>
      <c r="Q44" s="11">
        <f t="shared" si="27"/>
        <v>0.53484003233024213</v>
      </c>
      <c r="R44" s="12">
        <f t="shared" si="28"/>
        <v>9.1321364721549149E-3</v>
      </c>
    </row>
    <row r="45" spans="1:20" x14ac:dyDescent="0.25">
      <c r="A45">
        <v>2</v>
      </c>
      <c r="B45">
        <v>35</v>
      </c>
      <c r="C45">
        <v>50</v>
      </c>
      <c r="E45">
        <v>0.75</v>
      </c>
      <c r="F45" s="2"/>
      <c r="G45">
        <f t="shared" si="20"/>
        <v>2</v>
      </c>
      <c r="H45" s="10">
        <f t="shared" si="20"/>
        <v>35</v>
      </c>
      <c r="I45">
        <f t="shared" si="20"/>
        <v>50</v>
      </c>
      <c r="J45">
        <f t="shared" si="21"/>
        <v>4</v>
      </c>
      <c r="K45">
        <f t="shared" si="22"/>
        <v>70</v>
      </c>
      <c r="L45">
        <f t="shared" si="23"/>
        <v>100</v>
      </c>
      <c r="M45">
        <f t="shared" si="24"/>
        <v>1225</v>
      </c>
      <c r="N45">
        <f t="shared" si="25"/>
        <v>1750</v>
      </c>
      <c r="O45">
        <f t="shared" si="26"/>
        <v>2500</v>
      </c>
      <c r="Q45" s="11">
        <f t="shared" si="27"/>
        <v>0.745508371946352</v>
      </c>
      <c r="R45" s="12">
        <f t="shared" si="28"/>
        <v>-5.9888374048640003E-3</v>
      </c>
    </row>
    <row r="46" spans="1:20" x14ac:dyDescent="0.25">
      <c r="A46">
        <v>2</v>
      </c>
      <c r="B46">
        <v>35</v>
      </c>
      <c r="C46">
        <v>85</v>
      </c>
      <c r="E46">
        <v>1.42</v>
      </c>
      <c r="F46" s="2"/>
      <c r="G46">
        <f t="shared" si="20"/>
        <v>2</v>
      </c>
      <c r="H46" s="10">
        <f t="shared" si="20"/>
        <v>35</v>
      </c>
      <c r="I46">
        <f t="shared" si="20"/>
        <v>85</v>
      </c>
      <c r="J46">
        <f t="shared" si="21"/>
        <v>4</v>
      </c>
      <c r="K46">
        <f t="shared" si="22"/>
        <v>70</v>
      </c>
      <c r="L46">
        <f t="shared" si="23"/>
        <v>170</v>
      </c>
      <c r="M46">
        <f t="shared" si="24"/>
        <v>1225</v>
      </c>
      <c r="N46">
        <f t="shared" si="25"/>
        <v>2975</v>
      </c>
      <c r="O46">
        <f t="shared" si="26"/>
        <v>7225</v>
      </c>
      <c r="Q46" s="11">
        <f t="shared" si="27"/>
        <v>1.4002000375328487</v>
      </c>
      <c r="R46" s="12">
        <f t="shared" si="28"/>
        <v>-1.3943635540247332E-2</v>
      </c>
    </row>
    <row r="47" spans="1:20" x14ac:dyDescent="0.25">
      <c r="A47">
        <v>7</v>
      </c>
      <c r="B47">
        <v>35</v>
      </c>
      <c r="C47">
        <v>36</v>
      </c>
      <c r="E47">
        <v>0.5</v>
      </c>
      <c r="F47" s="2"/>
      <c r="G47">
        <f t="shared" si="20"/>
        <v>7</v>
      </c>
      <c r="H47" s="10">
        <f t="shared" si="20"/>
        <v>35</v>
      </c>
      <c r="I47">
        <f t="shared" si="20"/>
        <v>36</v>
      </c>
      <c r="J47">
        <f t="shared" si="21"/>
        <v>49</v>
      </c>
      <c r="K47">
        <f t="shared" si="22"/>
        <v>245</v>
      </c>
      <c r="L47">
        <f t="shared" si="23"/>
        <v>252</v>
      </c>
      <c r="M47">
        <f t="shared" si="24"/>
        <v>1225</v>
      </c>
      <c r="N47">
        <f t="shared" si="25"/>
        <v>1260</v>
      </c>
      <c r="O47">
        <f t="shared" si="26"/>
        <v>1296</v>
      </c>
      <c r="Q47" s="11">
        <f t="shared" si="27"/>
        <v>0.52537519546313127</v>
      </c>
      <c r="R47" s="12">
        <f t="shared" si="28"/>
        <v>5.0750390926262545E-2</v>
      </c>
    </row>
    <row r="48" spans="1:20" x14ac:dyDescent="0.25">
      <c r="A48">
        <v>7</v>
      </c>
      <c r="B48">
        <v>35</v>
      </c>
      <c r="C48">
        <v>50</v>
      </c>
      <c r="E48">
        <v>0.75</v>
      </c>
      <c r="F48" s="2"/>
      <c r="G48">
        <f t="shared" si="20"/>
        <v>7</v>
      </c>
      <c r="H48" s="10">
        <f t="shared" si="20"/>
        <v>35</v>
      </c>
      <c r="I48">
        <f t="shared" si="20"/>
        <v>50</v>
      </c>
      <c r="J48">
        <f t="shared" si="21"/>
        <v>49</v>
      </c>
      <c r="K48">
        <f t="shared" si="22"/>
        <v>245</v>
      </c>
      <c r="L48">
        <f t="shared" si="23"/>
        <v>350</v>
      </c>
      <c r="M48">
        <f t="shared" si="24"/>
        <v>1225</v>
      </c>
      <c r="N48">
        <f t="shared" si="25"/>
        <v>1750</v>
      </c>
      <c r="O48">
        <f t="shared" si="26"/>
        <v>2500</v>
      </c>
      <c r="Q48" s="11">
        <f t="shared" si="27"/>
        <v>0.75437655441980556</v>
      </c>
      <c r="R48" s="12">
        <f t="shared" si="28"/>
        <v>5.8354058930740749E-3</v>
      </c>
    </row>
    <row r="49" spans="1:18" x14ac:dyDescent="0.25">
      <c r="A49">
        <v>7</v>
      </c>
      <c r="B49">
        <v>35</v>
      </c>
      <c r="C49">
        <v>85</v>
      </c>
      <c r="E49">
        <v>1.44</v>
      </c>
      <c r="F49" s="2"/>
      <c r="G49">
        <f t="shared" si="20"/>
        <v>7</v>
      </c>
      <c r="H49" s="10">
        <f t="shared" si="20"/>
        <v>35</v>
      </c>
      <c r="I49">
        <f t="shared" si="20"/>
        <v>85</v>
      </c>
      <c r="J49">
        <f t="shared" si="21"/>
        <v>49</v>
      </c>
      <c r="K49">
        <f t="shared" si="22"/>
        <v>245</v>
      </c>
      <c r="L49">
        <f t="shared" si="23"/>
        <v>595</v>
      </c>
      <c r="M49">
        <f t="shared" si="24"/>
        <v>1225</v>
      </c>
      <c r="N49">
        <f t="shared" si="25"/>
        <v>2975</v>
      </c>
      <c r="O49">
        <f t="shared" si="26"/>
        <v>7225</v>
      </c>
      <c r="Q49" s="11">
        <f t="shared" si="27"/>
        <v>1.4549007683577138</v>
      </c>
      <c r="R49" s="12">
        <f t="shared" si="28"/>
        <v>1.0347755803967925E-2</v>
      </c>
    </row>
    <row r="50" spans="1:18" x14ac:dyDescent="0.25">
      <c r="A50">
        <v>12</v>
      </c>
      <c r="B50">
        <v>35</v>
      </c>
      <c r="C50">
        <v>36</v>
      </c>
      <c r="E50">
        <v>0.53</v>
      </c>
      <c r="F50" s="2"/>
      <c r="G50">
        <f t="shared" si="20"/>
        <v>12</v>
      </c>
      <c r="H50" s="10">
        <f t="shared" si="20"/>
        <v>35</v>
      </c>
      <c r="I50">
        <f t="shared" si="20"/>
        <v>36</v>
      </c>
      <c r="J50">
        <f t="shared" si="21"/>
        <v>144</v>
      </c>
      <c r="K50">
        <f t="shared" si="22"/>
        <v>420</v>
      </c>
      <c r="L50">
        <f t="shared" si="23"/>
        <v>432</v>
      </c>
      <c r="M50">
        <f t="shared" si="24"/>
        <v>1225</v>
      </c>
      <c r="N50">
        <f t="shared" si="25"/>
        <v>1260</v>
      </c>
      <c r="O50">
        <f t="shared" si="26"/>
        <v>1296</v>
      </c>
      <c r="Q50" s="11">
        <f t="shared" si="27"/>
        <v>0.51340060744390636</v>
      </c>
      <c r="R50" s="12">
        <f t="shared" si="28"/>
        <v>-3.1319608596403134E-2</v>
      </c>
    </row>
    <row r="51" spans="1:18" x14ac:dyDescent="0.25">
      <c r="A51">
        <v>12</v>
      </c>
      <c r="B51">
        <v>35</v>
      </c>
      <c r="C51">
        <v>50</v>
      </c>
      <c r="E51">
        <v>0.75</v>
      </c>
      <c r="F51" s="2"/>
      <c r="G51">
        <f t="shared" si="20"/>
        <v>12</v>
      </c>
      <c r="H51" s="10">
        <f t="shared" si="20"/>
        <v>35</v>
      </c>
      <c r="I51">
        <f t="shared" si="20"/>
        <v>50</v>
      </c>
      <c r="J51">
        <f t="shared" si="21"/>
        <v>144</v>
      </c>
      <c r="K51">
        <f t="shared" si="22"/>
        <v>420</v>
      </c>
      <c r="L51">
        <f t="shared" si="23"/>
        <v>600</v>
      </c>
      <c r="M51">
        <f t="shared" si="24"/>
        <v>1225</v>
      </c>
      <c r="N51">
        <f t="shared" si="25"/>
        <v>1750</v>
      </c>
      <c r="O51">
        <f t="shared" si="26"/>
        <v>2500</v>
      </c>
      <c r="Q51" s="11">
        <f t="shared" si="27"/>
        <v>0.76073498574114529</v>
      </c>
      <c r="R51" s="12">
        <f t="shared" si="28"/>
        <v>1.4313314321527049E-2</v>
      </c>
    </row>
    <row r="52" spans="1:18" x14ac:dyDescent="0.25">
      <c r="A52">
        <v>-15</v>
      </c>
      <c r="B52">
        <v>45</v>
      </c>
      <c r="C52">
        <v>85</v>
      </c>
      <c r="E52">
        <v>1.38</v>
      </c>
      <c r="F52" s="2"/>
      <c r="G52">
        <f t="shared" si="20"/>
        <v>-15</v>
      </c>
      <c r="H52" s="10">
        <f t="shared" si="20"/>
        <v>45</v>
      </c>
      <c r="I52">
        <f t="shared" si="20"/>
        <v>85</v>
      </c>
      <c r="J52">
        <f t="shared" si="21"/>
        <v>225</v>
      </c>
      <c r="K52">
        <f t="shared" si="22"/>
        <v>-675</v>
      </c>
      <c r="L52">
        <f t="shared" si="23"/>
        <v>-1275</v>
      </c>
      <c r="M52">
        <f t="shared" si="24"/>
        <v>2025</v>
      </c>
      <c r="N52">
        <f t="shared" si="25"/>
        <v>3825</v>
      </c>
      <c r="O52">
        <f t="shared" si="26"/>
        <v>7225</v>
      </c>
      <c r="Q52" s="11">
        <f t="shared" si="27"/>
        <v>1.3873461524156667</v>
      </c>
      <c r="R52" s="12">
        <f t="shared" si="28"/>
        <v>5.3232988519324852E-3</v>
      </c>
    </row>
    <row r="53" spans="1:18" x14ac:dyDescent="0.25">
      <c r="A53">
        <v>-7</v>
      </c>
      <c r="B53">
        <v>45</v>
      </c>
      <c r="C53">
        <v>50</v>
      </c>
      <c r="E53">
        <v>0.85</v>
      </c>
      <c r="F53" s="2"/>
      <c r="G53">
        <f t="shared" si="20"/>
        <v>-7</v>
      </c>
      <c r="H53" s="10">
        <f t="shared" si="20"/>
        <v>45</v>
      </c>
      <c r="I53">
        <f t="shared" si="20"/>
        <v>50</v>
      </c>
      <c r="J53">
        <f t="shared" si="21"/>
        <v>49</v>
      </c>
      <c r="K53">
        <f t="shared" si="22"/>
        <v>-315</v>
      </c>
      <c r="L53">
        <f t="shared" si="23"/>
        <v>-350</v>
      </c>
      <c r="M53">
        <f t="shared" si="24"/>
        <v>2025</v>
      </c>
      <c r="N53">
        <f t="shared" si="25"/>
        <v>2250</v>
      </c>
      <c r="O53">
        <f t="shared" si="26"/>
        <v>2500</v>
      </c>
      <c r="Q53" s="11">
        <f t="shared" si="27"/>
        <v>0.84002381566925166</v>
      </c>
      <c r="R53" s="12">
        <f t="shared" si="28"/>
        <v>-1.1736687447939197E-2</v>
      </c>
    </row>
    <row r="54" spans="1:18" x14ac:dyDescent="0.25">
      <c r="A54">
        <v>-7</v>
      </c>
      <c r="B54">
        <v>45</v>
      </c>
      <c r="C54">
        <v>85</v>
      </c>
      <c r="E54">
        <v>1.45</v>
      </c>
      <c r="F54" s="2"/>
      <c r="G54">
        <f t="shared" si="20"/>
        <v>-7</v>
      </c>
      <c r="H54" s="10">
        <f t="shared" si="20"/>
        <v>45</v>
      </c>
      <c r="I54">
        <f t="shared" si="20"/>
        <v>85</v>
      </c>
      <c r="J54">
        <f t="shared" si="21"/>
        <v>49</v>
      </c>
      <c r="K54">
        <f t="shared" si="22"/>
        <v>-315</v>
      </c>
      <c r="L54">
        <f t="shared" si="23"/>
        <v>-595</v>
      </c>
      <c r="M54">
        <f t="shared" si="24"/>
        <v>2025</v>
      </c>
      <c r="N54">
        <f t="shared" si="25"/>
        <v>3825</v>
      </c>
      <c r="O54">
        <f t="shared" si="26"/>
        <v>7225</v>
      </c>
      <c r="Q54" s="11">
        <f t="shared" si="27"/>
        <v>1.5136169691332606</v>
      </c>
      <c r="R54" s="12">
        <f t="shared" si="28"/>
        <v>4.387377181604183E-2</v>
      </c>
    </row>
    <row r="55" spans="1:18" x14ac:dyDescent="0.25">
      <c r="A55">
        <v>2</v>
      </c>
      <c r="B55">
        <v>45</v>
      </c>
      <c r="C55">
        <v>36</v>
      </c>
      <c r="E55">
        <v>0.65</v>
      </c>
      <c r="F55" s="2"/>
      <c r="G55">
        <f t="shared" si="20"/>
        <v>2</v>
      </c>
      <c r="H55" s="10">
        <f t="shared" si="20"/>
        <v>45</v>
      </c>
      <c r="I55">
        <f t="shared" si="20"/>
        <v>36</v>
      </c>
      <c r="J55">
        <f t="shared" si="21"/>
        <v>4</v>
      </c>
      <c r="K55">
        <f t="shared" si="22"/>
        <v>90</v>
      </c>
      <c r="L55">
        <f t="shared" si="23"/>
        <v>72</v>
      </c>
      <c r="M55">
        <f t="shared" si="24"/>
        <v>2025</v>
      </c>
      <c r="N55">
        <f t="shared" si="25"/>
        <v>1620</v>
      </c>
      <c r="O55">
        <f t="shared" si="26"/>
        <v>1296</v>
      </c>
      <c r="Q55" s="11">
        <f t="shared" si="27"/>
        <v>0.64067168933840435</v>
      </c>
      <c r="R55" s="12">
        <f t="shared" si="28"/>
        <v>-1.4351247171685651E-2</v>
      </c>
    </row>
    <row r="56" spans="1:18" x14ac:dyDescent="0.25">
      <c r="A56">
        <v>2</v>
      </c>
      <c r="B56">
        <v>45</v>
      </c>
      <c r="C56">
        <v>50</v>
      </c>
      <c r="E56">
        <v>0.91</v>
      </c>
      <c r="F56" s="2"/>
      <c r="G56">
        <f t="shared" si="20"/>
        <v>2</v>
      </c>
      <c r="H56" s="10">
        <f t="shared" si="20"/>
        <v>45</v>
      </c>
      <c r="I56">
        <f t="shared" si="20"/>
        <v>50</v>
      </c>
      <c r="J56">
        <f t="shared" si="21"/>
        <v>4</v>
      </c>
      <c r="K56">
        <f t="shared" si="22"/>
        <v>90</v>
      </c>
      <c r="L56">
        <f t="shared" si="23"/>
        <v>100</v>
      </c>
      <c r="M56">
        <f t="shared" si="24"/>
        <v>2025</v>
      </c>
      <c r="N56">
        <f t="shared" si="25"/>
        <v>2250</v>
      </c>
      <c r="O56">
        <f t="shared" si="26"/>
        <v>2500</v>
      </c>
      <c r="Q56" s="11">
        <f t="shared" si="27"/>
        <v>0.89190005891853541</v>
      </c>
      <c r="R56" s="12">
        <f t="shared" si="28"/>
        <v>-1.9890045144466614E-2</v>
      </c>
    </row>
    <row r="57" spans="1:18" x14ac:dyDescent="0.25">
      <c r="A57">
        <v>2</v>
      </c>
      <c r="B57">
        <v>45</v>
      </c>
      <c r="C57">
        <v>85</v>
      </c>
      <c r="E57">
        <v>1.66</v>
      </c>
      <c r="F57" s="2"/>
      <c r="G57">
        <f t="shared" si="20"/>
        <v>2</v>
      </c>
      <c r="H57" s="10">
        <f t="shared" si="20"/>
        <v>45</v>
      </c>
      <c r="I57">
        <f t="shared" si="20"/>
        <v>85</v>
      </c>
      <c r="J57">
        <f t="shared" si="21"/>
        <v>4</v>
      </c>
      <c r="K57">
        <f t="shared" si="22"/>
        <v>90</v>
      </c>
      <c r="L57">
        <f t="shared" si="23"/>
        <v>170</v>
      </c>
      <c r="M57">
        <f t="shared" si="24"/>
        <v>2025</v>
      </c>
      <c r="N57">
        <f t="shared" si="25"/>
        <v>3825</v>
      </c>
      <c r="O57">
        <f t="shared" si="26"/>
        <v>7225</v>
      </c>
      <c r="Q57" s="11">
        <f t="shared" si="27"/>
        <v>1.647991799415085</v>
      </c>
      <c r="R57" s="12">
        <f t="shared" si="28"/>
        <v>-7.2338557740451318E-3</v>
      </c>
    </row>
    <row r="58" spans="1:18" x14ac:dyDescent="0.25">
      <c r="A58">
        <v>7</v>
      </c>
      <c r="B58">
        <v>45</v>
      </c>
      <c r="C58">
        <v>50</v>
      </c>
      <c r="E58">
        <v>0.93</v>
      </c>
      <c r="F58" s="2"/>
      <c r="G58">
        <f t="shared" si="20"/>
        <v>7</v>
      </c>
      <c r="H58" s="10">
        <f t="shared" si="20"/>
        <v>45</v>
      </c>
      <c r="I58">
        <f t="shared" si="20"/>
        <v>50</v>
      </c>
      <c r="J58">
        <f t="shared" si="21"/>
        <v>49</v>
      </c>
      <c r="K58">
        <f t="shared" si="22"/>
        <v>315</v>
      </c>
      <c r="L58">
        <f t="shared" si="23"/>
        <v>350</v>
      </c>
      <c r="M58">
        <f t="shared" si="24"/>
        <v>2025</v>
      </c>
      <c r="N58">
        <f t="shared" si="25"/>
        <v>2250</v>
      </c>
      <c r="O58">
        <f t="shared" si="26"/>
        <v>2500</v>
      </c>
      <c r="Q58" s="11">
        <f t="shared" si="27"/>
        <v>0.91720654244406652</v>
      </c>
      <c r="R58" s="12">
        <f t="shared" si="28"/>
        <v>-1.3756405974122074E-2</v>
      </c>
    </row>
    <row r="59" spans="1:18" x14ac:dyDescent="0.25">
      <c r="A59">
        <v>7</v>
      </c>
      <c r="B59">
        <v>45</v>
      </c>
      <c r="C59">
        <v>85</v>
      </c>
      <c r="E59">
        <v>1.71</v>
      </c>
      <c r="F59" s="2"/>
      <c r="G59">
        <f t="shared" si="20"/>
        <v>7</v>
      </c>
      <c r="H59" s="10">
        <f t="shared" si="20"/>
        <v>45</v>
      </c>
      <c r="I59">
        <f t="shared" si="20"/>
        <v>85</v>
      </c>
      <c r="J59">
        <f t="shared" si="21"/>
        <v>49</v>
      </c>
      <c r="K59">
        <f t="shared" si="22"/>
        <v>315</v>
      </c>
      <c r="L59">
        <f t="shared" si="23"/>
        <v>595</v>
      </c>
      <c r="M59">
        <f t="shared" si="24"/>
        <v>2025</v>
      </c>
      <c r="N59">
        <f t="shared" si="25"/>
        <v>3825</v>
      </c>
      <c r="O59">
        <f t="shared" si="26"/>
        <v>7225</v>
      </c>
      <c r="Q59" s="11">
        <f t="shared" si="27"/>
        <v>1.7191308312920275</v>
      </c>
      <c r="R59" s="12">
        <f t="shared" si="28"/>
        <v>5.3396674222383157E-3</v>
      </c>
    </row>
    <row r="60" spans="1:18" x14ac:dyDescent="0.25">
      <c r="A60">
        <v>12</v>
      </c>
      <c r="B60">
        <v>45</v>
      </c>
      <c r="C60">
        <v>36</v>
      </c>
      <c r="E60">
        <v>0.67</v>
      </c>
      <c r="F60" s="2"/>
      <c r="G60">
        <f t="shared" si="20"/>
        <v>12</v>
      </c>
      <c r="H60" s="10">
        <f t="shared" si="20"/>
        <v>45</v>
      </c>
      <c r="I60">
        <f t="shared" si="20"/>
        <v>36</v>
      </c>
      <c r="J60">
        <f t="shared" si="21"/>
        <v>144</v>
      </c>
      <c r="K60">
        <f t="shared" si="22"/>
        <v>540</v>
      </c>
      <c r="L60">
        <f t="shared" si="23"/>
        <v>432</v>
      </c>
      <c r="M60">
        <f t="shared" si="24"/>
        <v>2025</v>
      </c>
      <c r="N60">
        <f t="shared" si="25"/>
        <v>1620</v>
      </c>
      <c r="O60">
        <f t="shared" si="26"/>
        <v>1296</v>
      </c>
      <c r="Q60" s="11">
        <f t="shared" si="27"/>
        <v>0.6521088665562238</v>
      </c>
      <c r="R60" s="12">
        <f t="shared" si="28"/>
        <v>-2.6703184244442148E-2</v>
      </c>
    </row>
    <row r="61" spans="1:18" x14ac:dyDescent="0.25">
      <c r="A61">
        <v>12</v>
      </c>
      <c r="B61">
        <v>45</v>
      </c>
      <c r="C61">
        <v>50</v>
      </c>
      <c r="E61">
        <v>0.94</v>
      </c>
      <c r="F61" s="2"/>
      <c r="G61">
        <f t="shared" si="20"/>
        <v>12</v>
      </c>
      <c r="H61" s="10">
        <f t="shared" si="20"/>
        <v>45</v>
      </c>
      <c r="I61">
        <f t="shared" si="20"/>
        <v>50</v>
      </c>
      <c r="J61">
        <f t="shared" si="21"/>
        <v>144</v>
      </c>
      <c r="K61">
        <f t="shared" si="22"/>
        <v>540</v>
      </c>
      <c r="L61">
        <f t="shared" si="23"/>
        <v>600</v>
      </c>
      <c r="M61">
        <f t="shared" si="24"/>
        <v>2025</v>
      </c>
      <c r="N61">
        <f t="shared" si="25"/>
        <v>2250</v>
      </c>
      <c r="O61">
        <f t="shared" si="26"/>
        <v>2500</v>
      </c>
      <c r="Q61" s="11">
        <f t="shared" si="27"/>
        <v>0.94000327481748391</v>
      </c>
      <c r="R61" s="12">
        <f t="shared" si="28"/>
        <v>3.4838483871988972E-6</v>
      </c>
    </row>
    <row r="62" spans="1:18" x14ac:dyDescent="0.25">
      <c r="A62">
        <v>-7</v>
      </c>
      <c r="B62">
        <v>55</v>
      </c>
      <c r="C62">
        <v>50</v>
      </c>
      <c r="E62">
        <v>1</v>
      </c>
      <c r="F62" s="2"/>
      <c r="G62">
        <f>A62</f>
        <v>-7</v>
      </c>
      <c r="H62" s="10">
        <f>B62</f>
        <v>55</v>
      </c>
      <c r="I62">
        <f>C62</f>
        <v>50</v>
      </c>
      <c r="J62">
        <f>G62^2</f>
        <v>49</v>
      </c>
      <c r="K62">
        <f>G62*H62</f>
        <v>-385</v>
      </c>
      <c r="L62">
        <f>G62*I62</f>
        <v>-350</v>
      </c>
      <c r="M62">
        <f>H62^2</f>
        <v>3025</v>
      </c>
      <c r="N62">
        <f>H62*I62</f>
        <v>2750</v>
      </c>
      <c r="O62">
        <f>I62^2</f>
        <v>2500</v>
      </c>
      <c r="Q62" s="11">
        <f t="shared" si="27"/>
        <v>0.99826224655566742</v>
      </c>
      <c r="R62" s="12">
        <f>(Q62-E62)/E62</f>
        <v>-1.7377534443325793E-3</v>
      </c>
    </row>
    <row r="63" spans="1:18" x14ac:dyDescent="0.25">
      <c r="A63">
        <v>-7</v>
      </c>
      <c r="B63">
        <v>55</v>
      </c>
      <c r="C63">
        <v>85</v>
      </c>
      <c r="E63">
        <v>1.78</v>
      </c>
      <c r="G63">
        <f t="shared" si="20"/>
        <v>-7</v>
      </c>
      <c r="H63" s="10">
        <f t="shared" si="20"/>
        <v>55</v>
      </c>
      <c r="I63">
        <f t="shared" si="20"/>
        <v>85</v>
      </c>
      <c r="J63">
        <f t="shared" si="21"/>
        <v>49</v>
      </c>
      <c r="K63">
        <f t="shared" si="22"/>
        <v>-385</v>
      </c>
      <c r="L63">
        <f t="shared" si="23"/>
        <v>-595</v>
      </c>
      <c r="M63">
        <f t="shared" si="24"/>
        <v>3025</v>
      </c>
      <c r="N63">
        <f t="shared" si="25"/>
        <v>4675</v>
      </c>
      <c r="O63">
        <f t="shared" si="26"/>
        <v>7225</v>
      </c>
      <c r="Q63" s="11">
        <f t="shared" si="27"/>
        <v>1.7732554749297296</v>
      </c>
      <c r="R63" s="12">
        <f t="shared" si="28"/>
        <v>-3.7890590282418299E-3</v>
      </c>
    </row>
    <row r="64" spans="1:18" x14ac:dyDescent="0.25">
      <c r="A64">
        <v>2</v>
      </c>
      <c r="B64">
        <v>55</v>
      </c>
      <c r="C64">
        <v>85</v>
      </c>
      <c r="E64">
        <v>1.94</v>
      </c>
      <c r="G64">
        <f t="shared" si="20"/>
        <v>2</v>
      </c>
      <c r="H64" s="10">
        <f t="shared" si="20"/>
        <v>55</v>
      </c>
      <c r="I64">
        <f t="shared" si="20"/>
        <v>85</v>
      </c>
      <c r="J64">
        <f t="shared" si="21"/>
        <v>4</v>
      </c>
      <c r="K64">
        <f t="shared" si="22"/>
        <v>110</v>
      </c>
      <c r="L64">
        <f t="shared" si="23"/>
        <v>170</v>
      </c>
      <c r="M64">
        <f t="shared" si="24"/>
        <v>3025</v>
      </c>
      <c r="N64">
        <f t="shared" si="25"/>
        <v>4675</v>
      </c>
      <c r="O64">
        <f t="shared" si="26"/>
        <v>7225</v>
      </c>
      <c r="Q64" s="11">
        <f t="shared" si="27"/>
        <v>1.9372192471052934</v>
      </c>
      <c r="R64" s="12">
        <f t="shared" si="28"/>
        <v>-1.4333777807765897E-3</v>
      </c>
    </row>
    <row r="65" spans="1:18" x14ac:dyDescent="0.25">
      <c r="A65">
        <v>7</v>
      </c>
      <c r="B65">
        <v>55</v>
      </c>
      <c r="C65">
        <v>36</v>
      </c>
      <c r="E65">
        <v>0.8</v>
      </c>
      <c r="G65">
        <f t="shared" si="20"/>
        <v>7</v>
      </c>
      <c r="H65" s="10">
        <f t="shared" si="20"/>
        <v>55</v>
      </c>
      <c r="I65">
        <f t="shared" si="20"/>
        <v>36</v>
      </c>
      <c r="J65">
        <f t="shared" si="21"/>
        <v>49</v>
      </c>
      <c r="K65">
        <f t="shared" si="22"/>
        <v>385</v>
      </c>
      <c r="L65">
        <f t="shared" si="23"/>
        <v>252</v>
      </c>
      <c r="M65">
        <f t="shared" si="24"/>
        <v>3025</v>
      </c>
      <c r="N65">
        <f t="shared" si="25"/>
        <v>1980</v>
      </c>
      <c r="O65">
        <f t="shared" si="26"/>
        <v>1296</v>
      </c>
      <c r="Q65" s="11">
        <f t="shared" si="27"/>
        <v>0.811350797391583</v>
      </c>
      <c r="R65" s="12">
        <f t="shared" si="28"/>
        <v>1.4188496739478695E-2</v>
      </c>
    </row>
    <row r="66" spans="1:18" x14ac:dyDescent="0.25">
      <c r="A66">
        <v>7</v>
      </c>
      <c r="B66">
        <v>55</v>
      </c>
      <c r="C66">
        <v>50</v>
      </c>
      <c r="E66">
        <v>1.1100000000000001</v>
      </c>
      <c r="G66">
        <f t="shared" si="20"/>
        <v>7</v>
      </c>
      <c r="H66" s="10">
        <f t="shared" si="20"/>
        <v>55</v>
      </c>
      <c r="I66">
        <f t="shared" si="20"/>
        <v>50</v>
      </c>
      <c r="J66">
        <f t="shared" si="21"/>
        <v>49</v>
      </c>
      <c r="K66">
        <f t="shared" si="22"/>
        <v>385</v>
      </c>
      <c r="L66">
        <f t="shared" si="23"/>
        <v>350</v>
      </c>
      <c r="M66">
        <f t="shared" si="24"/>
        <v>3025</v>
      </c>
      <c r="N66">
        <f t="shared" si="25"/>
        <v>2750</v>
      </c>
      <c r="O66">
        <f t="shared" si="26"/>
        <v>2500</v>
      </c>
      <c r="Q66" s="11">
        <f t="shared" si="27"/>
        <v>1.1214722162762996</v>
      </c>
      <c r="R66" s="12">
        <f t="shared" si="28"/>
        <v>1.0335329978648163E-2</v>
      </c>
    </row>
    <row r="67" spans="1:18" x14ac:dyDescent="0.25">
      <c r="A67">
        <v>7</v>
      </c>
      <c r="B67">
        <v>55</v>
      </c>
      <c r="C67">
        <v>85</v>
      </c>
      <c r="E67">
        <v>2.04</v>
      </c>
      <c r="G67">
        <f t="shared" si="20"/>
        <v>7</v>
      </c>
      <c r="H67" s="10">
        <f t="shared" si="20"/>
        <v>55</v>
      </c>
      <c r="I67">
        <f t="shared" si="20"/>
        <v>85</v>
      </c>
      <c r="J67">
        <f t="shared" si="21"/>
        <v>49</v>
      </c>
      <c r="K67">
        <f t="shared" si="22"/>
        <v>385</v>
      </c>
      <c r="L67">
        <f t="shared" si="23"/>
        <v>595</v>
      </c>
      <c r="M67">
        <f t="shared" si="24"/>
        <v>3025</v>
      </c>
      <c r="N67">
        <f t="shared" si="25"/>
        <v>4675</v>
      </c>
      <c r="O67">
        <f t="shared" si="26"/>
        <v>7225</v>
      </c>
      <c r="Q67" s="11">
        <f t="shared" si="27"/>
        <v>2.0247965800343137</v>
      </c>
      <c r="R67" s="12">
        <f t="shared" si="28"/>
        <v>-7.4526568459246587E-3</v>
      </c>
    </row>
    <row r="68" spans="1:18" x14ac:dyDescent="0.25">
      <c r="A68">
        <v>12</v>
      </c>
      <c r="B68">
        <v>55</v>
      </c>
      <c r="C68">
        <v>36</v>
      </c>
      <c r="E68">
        <v>0.83</v>
      </c>
      <c r="G68">
        <f t="shared" si="20"/>
        <v>12</v>
      </c>
      <c r="H68" s="10">
        <f t="shared" si="20"/>
        <v>55</v>
      </c>
      <c r="I68">
        <f t="shared" si="20"/>
        <v>36</v>
      </c>
      <c r="J68">
        <f t="shared" si="21"/>
        <v>144</v>
      </c>
      <c r="K68">
        <f t="shared" si="22"/>
        <v>660</v>
      </c>
      <c r="L68">
        <f t="shared" si="23"/>
        <v>432</v>
      </c>
      <c r="M68">
        <f t="shared" si="24"/>
        <v>3025</v>
      </c>
      <c r="N68">
        <f t="shared" si="25"/>
        <v>1980</v>
      </c>
      <c r="O68">
        <f t="shared" si="26"/>
        <v>1296</v>
      </c>
      <c r="Q68" s="11">
        <f t="shared" si="27"/>
        <v>0.83225281147651331</v>
      </c>
      <c r="R68" s="12">
        <f t="shared" si="28"/>
        <v>2.7142306945943978E-3</v>
      </c>
    </row>
    <row r="69" spans="1:18" x14ac:dyDescent="0.25">
      <c r="A69">
        <v>12</v>
      </c>
      <c r="B69">
        <v>55</v>
      </c>
      <c r="C69">
        <v>50</v>
      </c>
      <c r="E69">
        <v>1.1499999999999999</v>
      </c>
      <c r="G69">
        <f t="shared" si="20"/>
        <v>12</v>
      </c>
      <c r="H69" s="10">
        <f t="shared" si="20"/>
        <v>55</v>
      </c>
      <c r="I69">
        <f t="shared" si="20"/>
        <v>50</v>
      </c>
      <c r="J69">
        <f t="shared" si="21"/>
        <v>144</v>
      </c>
      <c r="K69">
        <f t="shared" si="22"/>
        <v>660</v>
      </c>
      <c r="L69">
        <f t="shared" si="23"/>
        <v>600</v>
      </c>
      <c r="M69">
        <f t="shared" si="24"/>
        <v>3025</v>
      </c>
      <c r="N69">
        <f t="shared" si="25"/>
        <v>2750</v>
      </c>
      <c r="O69">
        <f t="shared" si="26"/>
        <v>2500</v>
      </c>
      <c r="Q69" s="11">
        <f t="shared" si="27"/>
        <v>1.1607072497017945</v>
      </c>
      <c r="R69" s="12">
        <f t="shared" si="28"/>
        <v>9.3106519146039981E-3</v>
      </c>
    </row>
    <row r="70" spans="1:18" x14ac:dyDescent="0.25">
      <c r="A70">
        <v>-15</v>
      </c>
      <c r="B70">
        <v>55</v>
      </c>
      <c r="C70">
        <v>85</v>
      </c>
      <c r="E70">
        <v>1.63</v>
      </c>
      <c r="G70">
        <f t="shared" si="20"/>
        <v>-15</v>
      </c>
      <c r="H70" s="10">
        <f t="shared" si="20"/>
        <v>55</v>
      </c>
      <c r="I70">
        <f t="shared" si="20"/>
        <v>85</v>
      </c>
      <c r="J70">
        <f t="shared" si="21"/>
        <v>225</v>
      </c>
      <c r="K70">
        <f t="shared" si="22"/>
        <v>-825</v>
      </c>
      <c r="L70">
        <f t="shared" si="23"/>
        <v>-1275</v>
      </c>
      <c r="M70">
        <f t="shared" si="24"/>
        <v>3025</v>
      </c>
      <c r="N70">
        <f t="shared" si="25"/>
        <v>4675</v>
      </c>
      <c r="O70">
        <f t="shared" si="26"/>
        <v>7225</v>
      </c>
      <c r="Q70" s="11">
        <f t="shared" si="27"/>
        <v>1.6206833765288113</v>
      </c>
      <c r="R70" s="12">
        <f t="shared" si="28"/>
        <v>-5.7157199209745746E-3</v>
      </c>
    </row>
    <row r="73" spans="1:18" x14ac:dyDescent="0.25">
      <c r="A73" t="s">
        <v>28</v>
      </c>
      <c r="G73" s="4" t="s">
        <v>1</v>
      </c>
      <c r="H73" s="4" t="s">
        <v>2</v>
      </c>
      <c r="I73" s="4" t="s">
        <v>3</v>
      </c>
      <c r="J73" s="4" t="s">
        <v>4</v>
      </c>
      <c r="K73" s="4" t="s">
        <v>5</v>
      </c>
      <c r="L73" s="4" t="s">
        <v>6</v>
      </c>
      <c r="M73" s="4" t="s">
        <v>7</v>
      </c>
      <c r="N73" s="4" t="s">
        <v>8</v>
      </c>
      <c r="O73" s="4" t="s">
        <v>9</v>
      </c>
      <c r="P73" s="4" t="s">
        <v>10</v>
      </c>
    </row>
    <row r="74" spans="1:18" x14ac:dyDescent="0.25">
      <c r="A74" s="1"/>
      <c r="C74" s="1"/>
      <c r="D74" s="1"/>
      <c r="E74" s="1"/>
      <c r="F74" s="1"/>
      <c r="G74" s="4">
        <f t="array" ref="G74:P74">LINEST(E76:E106,G76:O106)</f>
        <v>1.0656180385308478</v>
      </c>
      <c r="H74" s="4">
        <v>9.4120992113309612E-2</v>
      </c>
      <c r="I74" s="4">
        <v>-6.419514171358197E-3</v>
      </c>
      <c r="J74" s="4">
        <v>-0.48083600479753269</v>
      </c>
      <c r="K74" s="4">
        <v>-2.6736483939325942E-2</v>
      </c>
      <c r="L74" s="4">
        <v>3.5202228322753576E-2</v>
      </c>
      <c r="M74" s="4">
        <v>6.0230415163000721</v>
      </c>
      <c r="N74" s="4">
        <v>0.66409169642331634</v>
      </c>
      <c r="O74" s="4">
        <v>1.1006171816365202</v>
      </c>
      <c r="P74" s="4">
        <v>-0.50138203119419877</v>
      </c>
    </row>
    <row r="75" spans="1:18" ht="45" x14ac:dyDescent="0.25">
      <c r="A75" s="5" t="s">
        <v>11</v>
      </c>
      <c r="B75" s="5" t="s">
        <v>12</v>
      </c>
      <c r="C75" s="5" t="s">
        <v>63</v>
      </c>
      <c r="E75" s="7" t="s">
        <v>13</v>
      </c>
      <c r="F75" s="3"/>
      <c r="G75" s="8" t="s">
        <v>17</v>
      </c>
      <c r="H75" s="8" t="s">
        <v>18</v>
      </c>
      <c r="I75" s="8" t="s">
        <v>0</v>
      </c>
      <c r="J75" s="8" t="s">
        <v>19</v>
      </c>
      <c r="K75" s="8" t="s">
        <v>20</v>
      </c>
      <c r="L75" s="8" t="s">
        <v>21</v>
      </c>
      <c r="M75" s="8" t="s">
        <v>22</v>
      </c>
      <c r="N75" s="8" t="s">
        <v>23</v>
      </c>
      <c r="O75" s="8" t="s">
        <v>24</v>
      </c>
      <c r="P75" s="3"/>
      <c r="Q75" s="9" t="s">
        <v>16</v>
      </c>
      <c r="R75" s="9" t="s">
        <v>15</v>
      </c>
    </row>
    <row r="76" spans="1:18" x14ac:dyDescent="0.25">
      <c r="A76">
        <v>-15</v>
      </c>
      <c r="B76">
        <v>35</v>
      </c>
      <c r="C76">
        <f t="shared" ref="C76:C106" si="29">E4</f>
        <v>1.72</v>
      </c>
      <c r="E76">
        <v>50</v>
      </c>
      <c r="F76" s="2"/>
      <c r="G76">
        <f t="shared" ref="G76:I106" si="30">A76</f>
        <v>-15</v>
      </c>
      <c r="H76" s="10">
        <f t="shared" si="30"/>
        <v>35</v>
      </c>
      <c r="I76">
        <f t="shared" si="30"/>
        <v>1.72</v>
      </c>
      <c r="J76">
        <f t="shared" ref="J76:J106" si="31">G76^2</f>
        <v>225</v>
      </c>
      <c r="K76">
        <f t="shared" ref="K76:K106" si="32">G76*H76</f>
        <v>-525</v>
      </c>
      <c r="L76">
        <f t="shared" ref="L76:L106" si="33">G76*I76</f>
        <v>-25.8</v>
      </c>
      <c r="M76">
        <f t="shared" ref="M76:M106" si="34">H76^2</f>
        <v>1225</v>
      </c>
      <c r="N76">
        <f t="shared" ref="N76:N106" si="35">H76*I76</f>
        <v>60.199999999999996</v>
      </c>
      <c r="O76">
        <f t="shared" ref="O76:O106" si="36">I76^2</f>
        <v>2.9583999999999997</v>
      </c>
      <c r="Q76" s="11">
        <f t="shared" ref="Q76:Q106" si="37">$P$74+$O$74*G76+$N$74*H76+$M$74*I76+$L$74*J76+$K$74*K76+$J$74*L76+$I$74*M76+$H$74*N76+$G$74*O76</f>
        <v>51.909628662149323</v>
      </c>
      <c r="R76" s="12">
        <f t="shared" ref="R76:R106" si="38">(Q76-E76)/E76</f>
        <v>3.8192573242986472E-2</v>
      </c>
    </row>
    <row r="77" spans="1:18" x14ac:dyDescent="0.25">
      <c r="A77">
        <v>-15</v>
      </c>
      <c r="B77">
        <v>35</v>
      </c>
      <c r="C77">
        <f t="shared" si="29"/>
        <v>3.16</v>
      </c>
      <c r="E77">
        <v>85</v>
      </c>
      <c r="F77" s="2"/>
      <c r="G77">
        <f t="shared" si="30"/>
        <v>-15</v>
      </c>
      <c r="H77" s="10">
        <f t="shared" si="30"/>
        <v>35</v>
      </c>
      <c r="I77">
        <f t="shared" si="30"/>
        <v>3.16</v>
      </c>
      <c r="J77">
        <f t="shared" si="31"/>
        <v>225</v>
      </c>
      <c r="K77">
        <f t="shared" si="32"/>
        <v>-525</v>
      </c>
      <c r="L77">
        <f t="shared" si="33"/>
        <v>-47.400000000000006</v>
      </c>
      <c r="M77">
        <f t="shared" si="34"/>
        <v>1225</v>
      </c>
      <c r="N77">
        <f t="shared" si="35"/>
        <v>110.60000000000001</v>
      </c>
      <c r="O77">
        <f t="shared" si="36"/>
        <v>9.9856000000000016</v>
      </c>
      <c r="Q77" s="11">
        <f t="shared" si="37"/>
        <v>83.200875232122911</v>
      </c>
      <c r="R77" s="12">
        <f t="shared" si="38"/>
        <v>-2.1166173739730457E-2</v>
      </c>
    </row>
    <row r="78" spans="1:18" x14ac:dyDescent="0.25">
      <c r="A78">
        <v>-7</v>
      </c>
      <c r="B78">
        <v>35</v>
      </c>
      <c r="C78">
        <f t="shared" si="29"/>
        <v>2.27</v>
      </c>
      <c r="E78">
        <v>50</v>
      </c>
      <c r="F78" s="2"/>
      <c r="G78">
        <f t="shared" si="30"/>
        <v>-7</v>
      </c>
      <c r="H78" s="10">
        <f t="shared" si="30"/>
        <v>35</v>
      </c>
      <c r="I78">
        <f t="shared" si="30"/>
        <v>2.27</v>
      </c>
      <c r="J78">
        <f t="shared" si="31"/>
        <v>49</v>
      </c>
      <c r="K78">
        <f t="shared" si="32"/>
        <v>-245</v>
      </c>
      <c r="L78">
        <f t="shared" si="33"/>
        <v>-15.89</v>
      </c>
      <c r="M78">
        <f t="shared" si="34"/>
        <v>1225</v>
      </c>
      <c r="N78">
        <f t="shared" si="35"/>
        <v>79.45</v>
      </c>
      <c r="O78">
        <f t="shared" si="36"/>
        <v>5.1528999999999998</v>
      </c>
      <c r="Q78" s="11">
        <f t="shared" si="37"/>
        <v>49.730674337584247</v>
      </c>
      <c r="R78" s="12">
        <f t="shared" si="38"/>
        <v>-5.386513248315055E-3</v>
      </c>
    </row>
    <row r="79" spans="1:18" x14ac:dyDescent="0.25">
      <c r="A79">
        <v>-7</v>
      </c>
      <c r="B79">
        <v>35</v>
      </c>
      <c r="C79">
        <f t="shared" si="29"/>
        <v>4.03</v>
      </c>
      <c r="E79">
        <v>85</v>
      </c>
      <c r="F79" s="2"/>
      <c r="G79">
        <f t="shared" si="30"/>
        <v>-7</v>
      </c>
      <c r="H79" s="10">
        <f t="shared" si="30"/>
        <v>35</v>
      </c>
      <c r="I79">
        <f t="shared" si="30"/>
        <v>4.03</v>
      </c>
      <c r="J79">
        <f t="shared" si="31"/>
        <v>49</v>
      </c>
      <c r="K79">
        <f t="shared" si="32"/>
        <v>-245</v>
      </c>
      <c r="L79">
        <f t="shared" si="33"/>
        <v>-28.21</v>
      </c>
      <c r="M79">
        <f t="shared" si="34"/>
        <v>1225</v>
      </c>
      <c r="N79">
        <f t="shared" si="35"/>
        <v>141.05000000000001</v>
      </c>
      <c r="O79">
        <f t="shared" si="36"/>
        <v>16.240900000000003</v>
      </c>
      <c r="Q79" s="11">
        <f t="shared" si="37"/>
        <v>83.868552910787884</v>
      </c>
      <c r="R79" s="12">
        <f t="shared" si="38"/>
        <v>-1.33111422260249E-2</v>
      </c>
    </row>
    <row r="80" spans="1:18" x14ac:dyDescent="0.25">
      <c r="A80">
        <v>2</v>
      </c>
      <c r="B80">
        <v>35</v>
      </c>
      <c r="C80">
        <f t="shared" si="29"/>
        <v>2.1800000000000002</v>
      </c>
      <c r="E80">
        <v>36</v>
      </c>
      <c r="F80" s="2"/>
      <c r="G80">
        <f t="shared" si="30"/>
        <v>2</v>
      </c>
      <c r="H80" s="10">
        <f t="shared" si="30"/>
        <v>35</v>
      </c>
      <c r="I80">
        <f t="shared" si="30"/>
        <v>2.1800000000000002</v>
      </c>
      <c r="J80">
        <f t="shared" si="31"/>
        <v>4</v>
      </c>
      <c r="K80">
        <f t="shared" si="32"/>
        <v>70</v>
      </c>
      <c r="L80">
        <f t="shared" si="33"/>
        <v>4.3600000000000003</v>
      </c>
      <c r="M80">
        <f t="shared" si="34"/>
        <v>1225</v>
      </c>
      <c r="N80">
        <f t="shared" si="35"/>
        <v>76.300000000000011</v>
      </c>
      <c r="O80">
        <f t="shared" si="36"/>
        <v>4.7524000000000006</v>
      </c>
      <c r="Q80" s="11">
        <f t="shared" si="37"/>
        <v>38.627872273695758</v>
      </c>
      <c r="R80" s="12">
        <f t="shared" si="38"/>
        <v>7.2996452047104379E-2</v>
      </c>
    </row>
    <row r="81" spans="1:18" x14ac:dyDescent="0.25">
      <c r="A81">
        <v>2</v>
      </c>
      <c r="B81">
        <v>35</v>
      </c>
      <c r="C81">
        <f t="shared" si="29"/>
        <v>3.15</v>
      </c>
      <c r="E81">
        <v>50</v>
      </c>
      <c r="F81" s="2"/>
      <c r="G81">
        <f t="shared" si="30"/>
        <v>2</v>
      </c>
      <c r="H81" s="10">
        <f t="shared" si="30"/>
        <v>35</v>
      </c>
      <c r="I81">
        <f t="shared" si="30"/>
        <v>3.15</v>
      </c>
      <c r="J81">
        <f t="shared" si="31"/>
        <v>4</v>
      </c>
      <c r="K81">
        <f t="shared" si="32"/>
        <v>70</v>
      </c>
      <c r="L81">
        <f t="shared" si="33"/>
        <v>6.3</v>
      </c>
      <c r="M81">
        <f t="shared" si="34"/>
        <v>1225</v>
      </c>
      <c r="N81">
        <f t="shared" si="35"/>
        <v>110.25</v>
      </c>
      <c r="O81">
        <f t="shared" si="36"/>
        <v>9.9224999999999994</v>
      </c>
      <c r="Q81" s="11">
        <f t="shared" si="37"/>
        <v>52.242160198454812</v>
      </c>
      <c r="R81" s="12">
        <f t="shared" si="38"/>
        <v>4.4843203969096239E-2</v>
      </c>
    </row>
    <row r="82" spans="1:18" x14ac:dyDescent="0.25">
      <c r="A82">
        <v>2</v>
      </c>
      <c r="B82">
        <v>35</v>
      </c>
      <c r="C82">
        <f t="shared" si="29"/>
        <v>5.3</v>
      </c>
      <c r="E82">
        <v>85</v>
      </c>
      <c r="F82" s="2"/>
      <c r="G82">
        <f t="shared" si="30"/>
        <v>2</v>
      </c>
      <c r="H82" s="10">
        <f t="shared" si="30"/>
        <v>35</v>
      </c>
      <c r="I82">
        <f t="shared" si="30"/>
        <v>5.3</v>
      </c>
      <c r="J82">
        <f t="shared" si="31"/>
        <v>4</v>
      </c>
      <c r="K82">
        <f t="shared" si="32"/>
        <v>70</v>
      </c>
      <c r="L82">
        <f t="shared" si="33"/>
        <v>10.6</v>
      </c>
      <c r="M82">
        <f t="shared" si="34"/>
        <v>1225</v>
      </c>
      <c r="N82">
        <f t="shared" si="35"/>
        <v>185.5</v>
      </c>
      <c r="O82">
        <f t="shared" si="36"/>
        <v>28.09</v>
      </c>
      <c r="Q82" s="11">
        <f t="shared" si="37"/>
        <v>89.566325009406299</v>
      </c>
      <c r="R82" s="12">
        <f t="shared" si="38"/>
        <v>5.3721470698897635E-2</v>
      </c>
    </row>
    <row r="83" spans="1:18" x14ac:dyDescent="0.25">
      <c r="A83">
        <v>7</v>
      </c>
      <c r="B83">
        <v>35</v>
      </c>
      <c r="C83">
        <f t="shared" si="29"/>
        <v>1.6</v>
      </c>
      <c r="E83">
        <v>36</v>
      </c>
      <c r="F83" s="2"/>
      <c r="G83">
        <f t="shared" si="30"/>
        <v>7</v>
      </c>
      <c r="H83" s="10">
        <f t="shared" si="30"/>
        <v>35</v>
      </c>
      <c r="I83">
        <f t="shared" si="30"/>
        <v>1.6</v>
      </c>
      <c r="J83">
        <f t="shared" si="31"/>
        <v>49</v>
      </c>
      <c r="K83">
        <f t="shared" si="32"/>
        <v>245</v>
      </c>
      <c r="L83">
        <f t="shared" si="33"/>
        <v>11.200000000000001</v>
      </c>
      <c r="M83">
        <f t="shared" si="34"/>
        <v>1225</v>
      </c>
      <c r="N83">
        <f t="shared" si="35"/>
        <v>56</v>
      </c>
      <c r="O83">
        <f t="shared" si="36"/>
        <v>2.5600000000000005</v>
      </c>
      <c r="Q83" s="11">
        <f t="shared" si="37"/>
        <v>30.006974287175854</v>
      </c>
      <c r="R83" s="12">
        <f t="shared" si="38"/>
        <v>-0.16647293646733738</v>
      </c>
    </row>
    <row r="84" spans="1:18" x14ac:dyDescent="0.25">
      <c r="A84">
        <v>7</v>
      </c>
      <c r="B84">
        <v>35</v>
      </c>
      <c r="C84">
        <f t="shared" si="29"/>
        <v>3.24</v>
      </c>
      <c r="E84">
        <v>50</v>
      </c>
      <c r="F84" s="2"/>
      <c r="G84">
        <f t="shared" si="30"/>
        <v>7</v>
      </c>
      <c r="H84" s="10">
        <f t="shared" si="30"/>
        <v>35</v>
      </c>
      <c r="I84">
        <f t="shared" si="30"/>
        <v>3.24</v>
      </c>
      <c r="J84">
        <f t="shared" si="31"/>
        <v>49</v>
      </c>
      <c r="K84">
        <f t="shared" si="32"/>
        <v>245</v>
      </c>
      <c r="L84">
        <f t="shared" si="33"/>
        <v>22.68</v>
      </c>
      <c r="M84">
        <f t="shared" si="34"/>
        <v>1225</v>
      </c>
      <c r="N84">
        <f t="shared" si="35"/>
        <v>113.4</v>
      </c>
      <c r="O84">
        <f t="shared" si="36"/>
        <v>10.497600000000002</v>
      </c>
      <c r="Q84" s="11">
        <f t="shared" si="37"/>
        <v>48.225759728778726</v>
      </c>
      <c r="R84" s="12">
        <f t="shared" si="38"/>
        <v>-3.5484805424425475E-2</v>
      </c>
    </row>
    <row r="85" spans="1:18" x14ac:dyDescent="0.25">
      <c r="A85">
        <v>7</v>
      </c>
      <c r="B85">
        <v>35</v>
      </c>
      <c r="C85">
        <f t="shared" si="29"/>
        <v>5.42</v>
      </c>
      <c r="E85">
        <v>85</v>
      </c>
      <c r="F85" s="2"/>
      <c r="G85">
        <f t="shared" si="30"/>
        <v>7</v>
      </c>
      <c r="H85" s="10">
        <f t="shared" si="30"/>
        <v>35</v>
      </c>
      <c r="I85">
        <f t="shared" si="30"/>
        <v>5.42</v>
      </c>
      <c r="J85">
        <f t="shared" si="31"/>
        <v>49</v>
      </c>
      <c r="K85">
        <f t="shared" si="32"/>
        <v>245</v>
      </c>
      <c r="L85">
        <f t="shared" si="33"/>
        <v>37.94</v>
      </c>
      <c r="M85">
        <f t="shared" si="34"/>
        <v>1225</v>
      </c>
      <c r="N85">
        <f t="shared" si="35"/>
        <v>189.7</v>
      </c>
      <c r="O85">
        <f t="shared" si="36"/>
        <v>29.3764</v>
      </c>
      <c r="Q85" s="11">
        <f t="shared" si="37"/>
        <v>81.317454325164235</v>
      </c>
      <c r="R85" s="12">
        <f t="shared" si="38"/>
        <v>-4.3324066762773707E-2</v>
      </c>
    </row>
    <row r="86" spans="1:18" x14ac:dyDescent="0.25">
      <c r="A86">
        <v>12</v>
      </c>
      <c r="B86">
        <v>35</v>
      </c>
      <c r="C86">
        <f t="shared" si="29"/>
        <v>2.73</v>
      </c>
      <c r="E86">
        <v>36</v>
      </c>
      <c r="F86" s="2"/>
      <c r="G86">
        <f t="shared" si="30"/>
        <v>12</v>
      </c>
      <c r="H86" s="10">
        <f t="shared" si="30"/>
        <v>35</v>
      </c>
      <c r="I86">
        <f t="shared" si="30"/>
        <v>2.73</v>
      </c>
      <c r="J86">
        <f t="shared" si="31"/>
        <v>144</v>
      </c>
      <c r="K86">
        <f t="shared" si="32"/>
        <v>420</v>
      </c>
      <c r="L86">
        <f t="shared" si="33"/>
        <v>32.76</v>
      </c>
      <c r="M86">
        <f t="shared" si="34"/>
        <v>1225</v>
      </c>
      <c r="N86">
        <f t="shared" si="35"/>
        <v>95.55</v>
      </c>
      <c r="O86">
        <f t="shared" si="36"/>
        <v>7.4528999999999996</v>
      </c>
      <c r="Q86" s="11">
        <f t="shared" si="37"/>
        <v>39.551047585431256</v>
      </c>
      <c r="R86" s="12">
        <f t="shared" si="38"/>
        <v>9.8640210706423773E-2</v>
      </c>
    </row>
    <row r="87" spans="1:18" x14ac:dyDescent="0.25">
      <c r="A87">
        <v>12</v>
      </c>
      <c r="B87">
        <v>35</v>
      </c>
      <c r="C87">
        <f t="shared" si="29"/>
        <v>3.71</v>
      </c>
      <c r="E87">
        <v>50</v>
      </c>
      <c r="F87" s="2"/>
      <c r="G87">
        <f t="shared" si="30"/>
        <v>12</v>
      </c>
      <c r="H87" s="10">
        <f t="shared" si="30"/>
        <v>35</v>
      </c>
      <c r="I87">
        <f t="shared" si="30"/>
        <v>3.71</v>
      </c>
      <c r="J87">
        <f t="shared" si="31"/>
        <v>144</v>
      </c>
      <c r="K87">
        <f t="shared" si="32"/>
        <v>420</v>
      </c>
      <c r="L87">
        <f t="shared" si="33"/>
        <v>44.519999999999996</v>
      </c>
      <c r="M87">
        <f t="shared" si="34"/>
        <v>1225</v>
      </c>
      <c r="N87">
        <f t="shared" si="35"/>
        <v>129.85</v>
      </c>
      <c r="O87">
        <f t="shared" si="36"/>
        <v>13.764099999999999</v>
      </c>
      <c r="Q87" s="11">
        <f t="shared" si="37"/>
        <v>49.752675449248748</v>
      </c>
      <c r="R87" s="12">
        <f t="shared" si="38"/>
        <v>-4.9464910150250315E-3</v>
      </c>
    </row>
    <row r="88" spans="1:18" x14ac:dyDescent="0.25">
      <c r="A88">
        <v>-15</v>
      </c>
      <c r="B88">
        <v>45</v>
      </c>
      <c r="C88">
        <f t="shared" si="29"/>
        <v>2.9</v>
      </c>
      <c r="E88">
        <v>85</v>
      </c>
      <c r="F88" s="2"/>
      <c r="G88">
        <f t="shared" si="30"/>
        <v>-15</v>
      </c>
      <c r="H88" s="10">
        <f t="shared" si="30"/>
        <v>45</v>
      </c>
      <c r="I88">
        <f t="shared" si="30"/>
        <v>2.9</v>
      </c>
      <c r="J88">
        <f t="shared" si="31"/>
        <v>225</v>
      </c>
      <c r="K88">
        <f t="shared" si="32"/>
        <v>-675</v>
      </c>
      <c r="L88">
        <f t="shared" si="33"/>
        <v>-43.5</v>
      </c>
      <c r="M88">
        <f t="shared" si="34"/>
        <v>2025</v>
      </c>
      <c r="N88">
        <f t="shared" si="35"/>
        <v>130.5</v>
      </c>
      <c r="O88">
        <f t="shared" si="36"/>
        <v>8.41</v>
      </c>
      <c r="Q88" s="11">
        <f t="shared" si="37"/>
        <v>85.46942219876567</v>
      </c>
      <c r="R88" s="12">
        <f t="shared" si="38"/>
        <v>5.5226141031255336E-3</v>
      </c>
    </row>
    <row r="89" spans="1:18" x14ac:dyDescent="0.25">
      <c r="A89">
        <v>-7</v>
      </c>
      <c r="B89">
        <v>45</v>
      </c>
      <c r="C89">
        <f t="shared" si="29"/>
        <v>2.0099999999999998</v>
      </c>
      <c r="E89">
        <v>50</v>
      </c>
      <c r="F89" s="2"/>
      <c r="G89">
        <f t="shared" si="30"/>
        <v>-7</v>
      </c>
      <c r="H89" s="10">
        <f t="shared" si="30"/>
        <v>45</v>
      </c>
      <c r="I89">
        <f t="shared" si="30"/>
        <v>2.0099999999999998</v>
      </c>
      <c r="J89">
        <f t="shared" si="31"/>
        <v>49</v>
      </c>
      <c r="K89">
        <f t="shared" si="32"/>
        <v>-315</v>
      </c>
      <c r="L89">
        <f t="shared" si="33"/>
        <v>-14.069999999999999</v>
      </c>
      <c r="M89">
        <f t="shared" si="34"/>
        <v>2025</v>
      </c>
      <c r="N89">
        <f t="shared" si="35"/>
        <v>90.449999999999989</v>
      </c>
      <c r="O89">
        <f t="shared" si="36"/>
        <v>4.0400999999999989</v>
      </c>
      <c r="Q89" s="11">
        <f t="shared" si="37"/>
        <v>50.515932677483406</v>
      </c>
      <c r="R89" s="12">
        <f t="shared" si="38"/>
        <v>1.0318653549668114E-2</v>
      </c>
    </row>
    <row r="90" spans="1:18" x14ac:dyDescent="0.25">
      <c r="A90">
        <v>-7</v>
      </c>
      <c r="B90">
        <v>45</v>
      </c>
      <c r="C90">
        <f t="shared" si="29"/>
        <v>3.46</v>
      </c>
      <c r="E90">
        <v>85</v>
      </c>
      <c r="F90" s="2"/>
      <c r="G90">
        <f t="shared" si="30"/>
        <v>-7</v>
      </c>
      <c r="H90" s="10">
        <f t="shared" si="30"/>
        <v>45</v>
      </c>
      <c r="I90">
        <f t="shared" si="30"/>
        <v>3.46</v>
      </c>
      <c r="J90">
        <f t="shared" si="31"/>
        <v>49</v>
      </c>
      <c r="K90">
        <f t="shared" si="32"/>
        <v>-315</v>
      </c>
      <c r="L90">
        <f t="shared" si="33"/>
        <v>-24.22</v>
      </c>
      <c r="M90">
        <f t="shared" si="34"/>
        <v>2025</v>
      </c>
      <c r="N90">
        <f t="shared" si="35"/>
        <v>155.69999999999999</v>
      </c>
      <c r="O90">
        <f t="shared" si="36"/>
        <v>11.9716</v>
      </c>
      <c r="Q90" s="11">
        <f t="shared" si="37"/>
        <v>78.723172532814345</v>
      </c>
      <c r="R90" s="12">
        <f t="shared" si="38"/>
        <v>-7.3845029025713577E-2</v>
      </c>
    </row>
    <row r="91" spans="1:18" x14ac:dyDescent="0.25">
      <c r="A91">
        <v>2</v>
      </c>
      <c r="B91">
        <v>45</v>
      </c>
      <c r="C91">
        <f t="shared" si="29"/>
        <v>2</v>
      </c>
      <c r="E91">
        <v>36</v>
      </c>
      <c r="F91" s="2"/>
      <c r="G91">
        <f t="shared" si="30"/>
        <v>2</v>
      </c>
      <c r="H91" s="10">
        <f t="shared" si="30"/>
        <v>45</v>
      </c>
      <c r="I91">
        <f t="shared" si="30"/>
        <v>2</v>
      </c>
      <c r="J91">
        <f t="shared" si="31"/>
        <v>4</v>
      </c>
      <c r="K91">
        <f t="shared" si="32"/>
        <v>90</v>
      </c>
      <c r="L91">
        <f t="shared" si="33"/>
        <v>4</v>
      </c>
      <c r="M91">
        <f t="shared" si="34"/>
        <v>2025</v>
      </c>
      <c r="N91">
        <f t="shared" si="35"/>
        <v>90</v>
      </c>
      <c r="O91">
        <f t="shared" si="36"/>
        <v>4</v>
      </c>
      <c r="Q91" s="11">
        <f t="shared" si="37"/>
        <v>39.175088290610681</v>
      </c>
      <c r="R91" s="12">
        <f t="shared" si="38"/>
        <v>8.8196896961407811E-2</v>
      </c>
    </row>
    <row r="92" spans="1:18" x14ac:dyDescent="0.25">
      <c r="A92">
        <v>2</v>
      </c>
      <c r="B92">
        <v>45</v>
      </c>
      <c r="C92">
        <f t="shared" si="29"/>
        <v>2.82</v>
      </c>
      <c r="E92">
        <v>50</v>
      </c>
      <c r="F92" s="2"/>
      <c r="G92">
        <f t="shared" si="30"/>
        <v>2</v>
      </c>
      <c r="H92" s="10">
        <f t="shared" si="30"/>
        <v>45</v>
      </c>
      <c r="I92">
        <f t="shared" si="30"/>
        <v>2.82</v>
      </c>
      <c r="J92">
        <f t="shared" si="31"/>
        <v>4</v>
      </c>
      <c r="K92">
        <f t="shared" si="32"/>
        <v>90</v>
      </c>
      <c r="L92">
        <f t="shared" si="33"/>
        <v>5.64</v>
      </c>
      <c r="M92">
        <f t="shared" si="34"/>
        <v>2025</v>
      </c>
      <c r="N92">
        <f t="shared" si="35"/>
        <v>126.89999999999999</v>
      </c>
      <c r="O92">
        <f t="shared" si="36"/>
        <v>7.952399999999999</v>
      </c>
      <c r="Q92" s="11">
        <f t="shared" si="37"/>
        <v>51.010224630579231</v>
      </c>
      <c r="R92" s="12">
        <f t="shared" si="38"/>
        <v>2.0204492611584614E-2</v>
      </c>
    </row>
    <row r="93" spans="1:18" x14ac:dyDescent="0.25">
      <c r="A93">
        <v>2</v>
      </c>
      <c r="B93">
        <v>45</v>
      </c>
      <c r="C93">
        <f t="shared" si="29"/>
        <v>5.03</v>
      </c>
      <c r="E93">
        <v>85</v>
      </c>
      <c r="F93" s="2"/>
      <c r="G93">
        <f t="shared" si="30"/>
        <v>2</v>
      </c>
      <c r="H93" s="10">
        <f t="shared" si="30"/>
        <v>45</v>
      </c>
      <c r="I93">
        <f t="shared" si="30"/>
        <v>5.03</v>
      </c>
      <c r="J93">
        <f t="shared" si="31"/>
        <v>4</v>
      </c>
      <c r="K93">
        <f t="shared" si="32"/>
        <v>90</v>
      </c>
      <c r="L93">
        <f t="shared" si="33"/>
        <v>10.06</v>
      </c>
      <c r="M93">
        <f t="shared" si="34"/>
        <v>2025</v>
      </c>
      <c r="N93">
        <f t="shared" si="35"/>
        <v>226.35000000000002</v>
      </c>
      <c r="O93">
        <f t="shared" si="36"/>
        <v>25.300900000000002</v>
      </c>
      <c r="Q93" s="11">
        <f t="shared" si="37"/>
        <v>90.043058447518362</v>
      </c>
      <c r="R93" s="12">
        <f t="shared" si="38"/>
        <v>5.9330099382568967E-2</v>
      </c>
    </row>
    <row r="94" spans="1:18" x14ac:dyDescent="0.25">
      <c r="A94">
        <v>7</v>
      </c>
      <c r="B94">
        <v>45</v>
      </c>
      <c r="C94">
        <f t="shared" si="29"/>
        <v>3.1</v>
      </c>
      <c r="E94">
        <v>50</v>
      </c>
      <c r="F94" s="2"/>
      <c r="G94">
        <f t="shared" si="30"/>
        <v>7</v>
      </c>
      <c r="H94" s="10">
        <f t="shared" si="30"/>
        <v>45</v>
      </c>
      <c r="I94">
        <f t="shared" si="30"/>
        <v>3.1</v>
      </c>
      <c r="J94">
        <f t="shared" si="31"/>
        <v>49</v>
      </c>
      <c r="K94">
        <f t="shared" si="32"/>
        <v>315</v>
      </c>
      <c r="L94">
        <f t="shared" si="33"/>
        <v>21.7</v>
      </c>
      <c r="M94">
        <f t="shared" si="34"/>
        <v>2025</v>
      </c>
      <c r="N94">
        <f t="shared" si="35"/>
        <v>139.5</v>
      </c>
      <c r="O94">
        <f t="shared" si="36"/>
        <v>9.6100000000000012</v>
      </c>
      <c r="Q94" s="11">
        <f t="shared" si="37"/>
        <v>48.998220275749489</v>
      </c>
      <c r="R94" s="12">
        <f t="shared" si="38"/>
        <v>-2.0035594485010223E-2</v>
      </c>
    </row>
    <row r="95" spans="1:18" x14ac:dyDescent="0.25">
      <c r="A95">
        <v>7</v>
      </c>
      <c r="B95">
        <v>45</v>
      </c>
      <c r="C95">
        <f t="shared" si="29"/>
        <v>5.17</v>
      </c>
      <c r="E95">
        <v>85</v>
      </c>
      <c r="F95" s="2"/>
      <c r="G95">
        <f t="shared" si="30"/>
        <v>7</v>
      </c>
      <c r="H95" s="10">
        <f t="shared" si="30"/>
        <v>45</v>
      </c>
      <c r="I95">
        <f t="shared" si="30"/>
        <v>5.17</v>
      </c>
      <c r="J95">
        <f t="shared" si="31"/>
        <v>49</v>
      </c>
      <c r="K95">
        <f t="shared" si="32"/>
        <v>315</v>
      </c>
      <c r="L95">
        <f t="shared" si="33"/>
        <v>36.19</v>
      </c>
      <c r="M95">
        <f t="shared" si="34"/>
        <v>2025</v>
      </c>
      <c r="N95">
        <f t="shared" si="35"/>
        <v>232.65</v>
      </c>
      <c r="O95">
        <f t="shared" si="36"/>
        <v>26.728899999999999</v>
      </c>
      <c r="Q95" s="11">
        <f t="shared" si="37"/>
        <v>81.508181560134915</v>
      </c>
      <c r="R95" s="12">
        <f t="shared" si="38"/>
        <v>-4.1080216939589236E-2</v>
      </c>
    </row>
    <row r="96" spans="1:18" x14ac:dyDescent="0.25">
      <c r="A96">
        <v>12</v>
      </c>
      <c r="B96">
        <v>45</v>
      </c>
      <c r="C96">
        <f t="shared" si="29"/>
        <v>2.4700000000000002</v>
      </c>
      <c r="E96">
        <v>36</v>
      </c>
      <c r="F96" s="2"/>
      <c r="G96">
        <f t="shared" si="30"/>
        <v>12</v>
      </c>
      <c r="H96" s="10">
        <f t="shared" si="30"/>
        <v>45</v>
      </c>
      <c r="I96">
        <f t="shared" si="30"/>
        <v>2.4700000000000002</v>
      </c>
      <c r="J96">
        <f t="shared" si="31"/>
        <v>144</v>
      </c>
      <c r="K96">
        <f t="shared" si="32"/>
        <v>540</v>
      </c>
      <c r="L96">
        <f t="shared" si="33"/>
        <v>29.64</v>
      </c>
      <c r="M96">
        <f t="shared" si="34"/>
        <v>2025</v>
      </c>
      <c r="N96">
        <f t="shared" si="35"/>
        <v>111.15</v>
      </c>
      <c r="O96">
        <f t="shared" si="36"/>
        <v>6.1009000000000011</v>
      </c>
      <c r="Q96" s="11">
        <f t="shared" si="37"/>
        <v>37.809764569462949</v>
      </c>
      <c r="R96" s="12">
        <f t="shared" si="38"/>
        <v>5.0271238040637475E-2</v>
      </c>
    </row>
    <row r="97" spans="1:18" x14ac:dyDescent="0.25">
      <c r="A97">
        <v>12</v>
      </c>
      <c r="B97">
        <v>45</v>
      </c>
      <c r="C97">
        <f t="shared" si="29"/>
        <v>3.48</v>
      </c>
      <c r="E97">
        <v>50</v>
      </c>
      <c r="F97" s="2"/>
      <c r="G97">
        <f t="shared" si="30"/>
        <v>12</v>
      </c>
      <c r="H97" s="10">
        <f t="shared" si="30"/>
        <v>45</v>
      </c>
      <c r="I97">
        <f t="shared" si="30"/>
        <v>3.48</v>
      </c>
      <c r="J97">
        <f t="shared" si="31"/>
        <v>144</v>
      </c>
      <c r="K97">
        <f t="shared" si="32"/>
        <v>540</v>
      </c>
      <c r="L97">
        <f t="shared" si="33"/>
        <v>41.76</v>
      </c>
      <c r="M97">
        <f t="shared" si="34"/>
        <v>2025</v>
      </c>
      <c r="N97">
        <f t="shared" si="35"/>
        <v>156.6</v>
      </c>
      <c r="O97">
        <f t="shared" si="36"/>
        <v>12.1104</v>
      </c>
      <c r="Q97" s="11">
        <f t="shared" si="37"/>
        <v>48.74693481688098</v>
      </c>
      <c r="R97" s="12">
        <f t="shared" si="38"/>
        <v>-2.5061303662380397E-2</v>
      </c>
    </row>
    <row r="98" spans="1:18" x14ac:dyDescent="0.25">
      <c r="A98">
        <v>-7</v>
      </c>
      <c r="B98">
        <v>55</v>
      </c>
      <c r="C98">
        <f t="shared" si="29"/>
        <v>1.79</v>
      </c>
      <c r="E98">
        <v>50</v>
      </c>
      <c r="F98" s="2"/>
      <c r="G98">
        <f>A98</f>
        <v>-7</v>
      </c>
      <c r="H98" s="10">
        <f>B98</f>
        <v>55</v>
      </c>
      <c r="I98">
        <f>C98</f>
        <v>1.79</v>
      </c>
      <c r="J98">
        <f>G98^2</f>
        <v>49</v>
      </c>
      <c r="K98">
        <f>G98*H98</f>
        <v>-385</v>
      </c>
      <c r="L98">
        <f>G98*I98</f>
        <v>-12.530000000000001</v>
      </c>
      <c r="M98">
        <f>H98^2</f>
        <v>3025</v>
      </c>
      <c r="N98">
        <f>H98*I98</f>
        <v>98.45</v>
      </c>
      <c r="O98">
        <f>I98^2</f>
        <v>3.2040999999999999</v>
      </c>
      <c r="Q98" s="11">
        <f t="shared" si="37"/>
        <v>50.405444021831663</v>
      </c>
      <c r="R98" s="12">
        <f>(Q98-E98)/E98</f>
        <v>8.1088804366332562E-3</v>
      </c>
    </row>
    <row r="99" spans="1:18" x14ac:dyDescent="0.25">
      <c r="A99">
        <v>-7</v>
      </c>
      <c r="B99">
        <v>55</v>
      </c>
      <c r="C99">
        <f t="shared" si="29"/>
        <v>3.48</v>
      </c>
      <c r="E99">
        <v>85</v>
      </c>
      <c r="G99">
        <f t="shared" si="30"/>
        <v>-7</v>
      </c>
      <c r="H99" s="10">
        <f t="shared" si="30"/>
        <v>55</v>
      </c>
      <c r="I99">
        <f t="shared" si="30"/>
        <v>3.48</v>
      </c>
      <c r="J99">
        <f t="shared" si="31"/>
        <v>49</v>
      </c>
      <c r="K99">
        <f t="shared" si="32"/>
        <v>-385</v>
      </c>
      <c r="L99">
        <f t="shared" si="33"/>
        <v>-24.36</v>
      </c>
      <c r="M99">
        <f t="shared" si="34"/>
        <v>3025</v>
      </c>
      <c r="N99">
        <f t="shared" si="35"/>
        <v>191.4</v>
      </c>
      <c r="O99">
        <f t="shared" si="36"/>
        <v>12.1104</v>
      </c>
      <c r="Q99" s="11">
        <f t="shared" si="37"/>
        <v>84.511934274633006</v>
      </c>
      <c r="R99" s="12">
        <f t="shared" si="38"/>
        <v>-5.7419497101999272E-3</v>
      </c>
    </row>
    <row r="100" spans="1:18" x14ac:dyDescent="0.25">
      <c r="A100">
        <v>2</v>
      </c>
      <c r="B100">
        <v>55</v>
      </c>
      <c r="C100">
        <f t="shared" si="29"/>
        <v>4.84</v>
      </c>
      <c r="E100">
        <v>85</v>
      </c>
      <c r="G100">
        <f t="shared" si="30"/>
        <v>2</v>
      </c>
      <c r="H100" s="10">
        <f t="shared" si="30"/>
        <v>55</v>
      </c>
      <c r="I100">
        <f t="shared" si="30"/>
        <v>4.84</v>
      </c>
      <c r="J100">
        <f t="shared" si="31"/>
        <v>4</v>
      </c>
      <c r="K100">
        <f t="shared" si="32"/>
        <v>110</v>
      </c>
      <c r="L100">
        <f t="shared" si="33"/>
        <v>9.68</v>
      </c>
      <c r="M100">
        <f t="shared" si="34"/>
        <v>3025</v>
      </c>
      <c r="N100">
        <f t="shared" si="35"/>
        <v>266.2</v>
      </c>
      <c r="O100">
        <f t="shared" si="36"/>
        <v>23.425599999999999</v>
      </c>
      <c r="Q100" s="11">
        <f t="shared" si="37"/>
        <v>90.520439383391349</v>
      </c>
      <c r="R100" s="12">
        <f t="shared" si="38"/>
        <v>6.4946345686957035E-2</v>
      </c>
    </row>
    <row r="101" spans="1:18" x14ac:dyDescent="0.25">
      <c r="A101">
        <v>7</v>
      </c>
      <c r="B101">
        <v>55</v>
      </c>
      <c r="C101">
        <f t="shared" si="29"/>
        <v>1.85</v>
      </c>
      <c r="E101">
        <v>36</v>
      </c>
      <c r="G101">
        <f t="shared" si="30"/>
        <v>7</v>
      </c>
      <c r="H101" s="10">
        <f t="shared" si="30"/>
        <v>55</v>
      </c>
      <c r="I101">
        <f t="shared" si="30"/>
        <v>1.85</v>
      </c>
      <c r="J101">
        <f t="shared" si="31"/>
        <v>49</v>
      </c>
      <c r="K101">
        <f t="shared" si="32"/>
        <v>385</v>
      </c>
      <c r="L101">
        <f t="shared" si="33"/>
        <v>12.950000000000001</v>
      </c>
      <c r="M101">
        <f t="shared" si="34"/>
        <v>3025</v>
      </c>
      <c r="N101">
        <f t="shared" si="35"/>
        <v>101.75</v>
      </c>
      <c r="O101">
        <f t="shared" si="36"/>
        <v>3.4225000000000003</v>
      </c>
      <c r="Q101" s="11">
        <f t="shared" si="37"/>
        <v>33.880003273787899</v>
      </c>
      <c r="R101" s="12">
        <f t="shared" si="38"/>
        <v>-5.8888797950336129E-2</v>
      </c>
    </row>
    <row r="102" spans="1:18" x14ac:dyDescent="0.25">
      <c r="A102">
        <v>7</v>
      </c>
      <c r="B102">
        <v>55</v>
      </c>
      <c r="C102">
        <f t="shared" si="29"/>
        <v>2.81</v>
      </c>
      <c r="E102">
        <v>50</v>
      </c>
      <c r="G102">
        <f t="shared" si="30"/>
        <v>7</v>
      </c>
      <c r="H102" s="10">
        <f t="shared" si="30"/>
        <v>55</v>
      </c>
      <c r="I102">
        <f t="shared" si="30"/>
        <v>2.81</v>
      </c>
      <c r="J102">
        <f t="shared" si="31"/>
        <v>49</v>
      </c>
      <c r="K102">
        <f t="shared" si="32"/>
        <v>385</v>
      </c>
      <c r="L102">
        <f t="shared" si="33"/>
        <v>19.670000000000002</v>
      </c>
      <c r="M102">
        <f t="shared" si="34"/>
        <v>3025</v>
      </c>
      <c r="N102">
        <f t="shared" si="35"/>
        <v>154.55000000000001</v>
      </c>
      <c r="O102">
        <f t="shared" si="36"/>
        <v>7.8961000000000006</v>
      </c>
      <c r="Q102" s="11">
        <f t="shared" si="37"/>
        <v>46.167642417950901</v>
      </c>
      <c r="R102" s="12">
        <f t="shared" si="38"/>
        <v>-7.6647151640981973E-2</v>
      </c>
    </row>
    <row r="103" spans="1:18" x14ac:dyDescent="0.25">
      <c r="A103">
        <v>7</v>
      </c>
      <c r="B103">
        <v>55</v>
      </c>
      <c r="C103">
        <f t="shared" si="29"/>
        <v>4.8899999999999997</v>
      </c>
      <c r="E103">
        <v>85</v>
      </c>
      <c r="G103">
        <f t="shared" si="30"/>
        <v>7</v>
      </c>
      <c r="H103" s="10">
        <f t="shared" si="30"/>
        <v>55</v>
      </c>
      <c r="I103">
        <f t="shared" si="30"/>
        <v>4.8899999999999997</v>
      </c>
      <c r="J103">
        <f t="shared" si="31"/>
        <v>49</v>
      </c>
      <c r="K103">
        <f t="shared" si="32"/>
        <v>385</v>
      </c>
      <c r="L103">
        <f t="shared" si="33"/>
        <v>34.229999999999997</v>
      </c>
      <c r="M103">
        <f t="shared" si="34"/>
        <v>3025</v>
      </c>
      <c r="N103">
        <f t="shared" si="35"/>
        <v>268.95</v>
      </c>
      <c r="O103">
        <f t="shared" si="36"/>
        <v>23.912099999999995</v>
      </c>
      <c r="Q103" s="11">
        <f t="shared" si="37"/>
        <v>79.528976544875661</v>
      </c>
      <c r="R103" s="12">
        <f t="shared" si="38"/>
        <v>-6.4364981824992215E-2</v>
      </c>
    </row>
    <row r="104" spans="1:18" x14ac:dyDescent="0.25">
      <c r="A104">
        <v>12</v>
      </c>
      <c r="B104">
        <v>55</v>
      </c>
      <c r="C104">
        <f t="shared" si="29"/>
        <v>2.62</v>
      </c>
      <c r="E104">
        <v>36</v>
      </c>
      <c r="G104">
        <f t="shared" si="30"/>
        <v>12</v>
      </c>
      <c r="H104" s="10">
        <f t="shared" si="30"/>
        <v>55</v>
      </c>
      <c r="I104">
        <f t="shared" si="30"/>
        <v>2.62</v>
      </c>
      <c r="J104">
        <f t="shared" si="31"/>
        <v>144</v>
      </c>
      <c r="K104">
        <f t="shared" si="32"/>
        <v>660</v>
      </c>
      <c r="L104">
        <f t="shared" si="33"/>
        <v>31.44</v>
      </c>
      <c r="M104">
        <f t="shared" si="34"/>
        <v>3025</v>
      </c>
      <c r="N104">
        <f t="shared" si="35"/>
        <v>144.1</v>
      </c>
      <c r="O104">
        <f t="shared" si="36"/>
        <v>6.8644000000000007</v>
      </c>
      <c r="Q104" s="11">
        <f t="shared" si="37"/>
        <v>38.775626770980111</v>
      </c>
      <c r="R104" s="12">
        <f t="shared" si="38"/>
        <v>7.7100743638336411E-2</v>
      </c>
    </row>
    <row r="105" spans="1:18" x14ac:dyDescent="0.25">
      <c r="A105">
        <v>12</v>
      </c>
      <c r="B105">
        <v>55</v>
      </c>
      <c r="C105">
        <f t="shared" si="29"/>
        <v>3.75</v>
      </c>
      <c r="E105">
        <v>50</v>
      </c>
      <c r="G105">
        <f t="shared" si="30"/>
        <v>12</v>
      </c>
      <c r="H105" s="10">
        <f t="shared" si="30"/>
        <v>55</v>
      </c>
      <c r="I105">
        <f t="shared" si="30"/>
        <v>3.75</v>
      </c>
      <c r="J105">
        <f t="shared" si="31"/>
        <v>144</v>
      </c>
      <c r="K105">
        <f t="shared" si="32"/>
        <v>660</v>
      </c>
      <c r="L105">
        <f t="shared" si="33"/>
        <v>45</v>
      </c>
      <c r="M105">
        <f t="shared" si="34"/>
        <v>3025</v>
      </c>
      <c r="N105">
        <f t="shared" si="35"/>
        <v>206.25</v>
      </c>
      <c r="O105">
        <f t="shared" si="36"/>
        <v>14.0625</v>
      </c>
      <c r="Q105" s="11">
        <f t="shared" si="37"/>
        <v>52.581572322335745</v>
      </c>
      <c r="R105" s="12">
        <f t="shared" si="38"/>
        <v>5.1631446446714906E-2</v>
      </c>
    </row>
    <row r="106" spans="1:18" x14ac:dyDescent="0.25">
      <c r="A106">
        <v>-15</v>
      </c>
      <c r="B106">
        <v>55</v>
      </c>
      <c r="C106">
        <f t="shared" si="29"/>
        <v>2.62</v>
      </c>
      <c r="E106">
        <v>85</v>
      </c>
      <c r="G106">
        <f t="shared" si="30"/>
        <v>-15</v>
      </c>
      <c r="H106" s="10">
        <f t="shared" si="30"/>
        <v>55</v>
      </c>
      <c r="I106">
        <f t="shared" si="30"/>
        <v>2.62</v>
      </c>
      <c r="J106">
        <f t="shared" si="31"/>
        <v>225</v>
      </c>
      <c r="K106">
        <f t="shared" si="32"/>
        <v>-825</v>
      </c>
      <c r="L106">
        <f t="shared" si="33"/>
        <v>-39.300000000000004</v>
      </c>
      <c r="M106">
        <f t="shared" si="34"/>
        <v>3025</v>
      </c>
      <c r="N106">
        <f t="shared" si="35"/>
        <v>144.1</v>
      </c>
      <c r="O106">
        <f t="shared" si="36"/>
        <v>6.8644000000000007</v>
      </c>
      <c r="Q106" s="11">
        <f t="shared" si="37"/>
        <v>85.628360990213608</v>
      </c>
      <c r="R106" s="12">
        <f t="shared" si="38"/>
        <v>7.3924822378071504E-3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0721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30721" r:id="rId4"/>
      </mc:Fallback>
    </mc:AlternateContent>
    <mc:AlternateContent xmlns:mc="http://schemas.openxmlformats.org/markup-compatibility/2006">
      <mc:Choice Requires="x14">
        <oleObject progId="Equation.3" shapeId="30722" r:id="rId6">
          <objectPr defaultSize="0" autoPict="0" r:id="rId5">
            <anchor moveWithCells="1" sizeWithCells="1">
              <from>
                <xdr:col>6</xdr:col>
                <xdr:colOff>171450</xdr:colOff>
                <xdr:row>38</xdr:row>
                <xdr:rowOff>38100</xdr:rowOff>
              </from>
              <to>
                <xdr:col>14</xdr:col>
                <xdr:colOff>1466850</xdr:colOff>
                <xdr:row>38</xdr:row>
                <xdr:rowOff>647700</xdr:rowOff>
              </to>
            </anchor>
          </objectPr>
        </oleObject>
      </mc:Choice>
      <mc:Fallback>
        <oleObject progId="Equation.3" shapeId="30722" r:id="rId6"/>
      </mc:Fallback>
    </mc:AlternateContent>
    <mc:AlternateContent xmlns:mc="http://schemas.openxmlformats.org/markup-compatibility/2006">
      <mc:Choice Requires="x14">
        <oleObject progId="Equation.3" shapeId="30723" r:id="rId7">
          <objectPr defaultSize="0" autoPict="0" r:id="rId5">
            <anchor moveWithCells="1" sizeWithCells="1">
              <from>
                <xdr:col>6</xdr:col>
                <xdr:colOff>171450</xdr:colOff>
                <xdr:row>74</xdr:row>
                <xdr:rowOff>38100</xdr:rowOff>
              </from>
              <to>
                <xdr:col>14</xdr:col>
                <xdr:colOff>1466850</xdr:colOff>
                <xdr:row>74</xdr:row>
                <xdr:rowOff>647700</xdr:rowOff>
              </to>
            </anchor>
          </objectPr>
        </oleObject>
      </mc:Choice>
      <mc:Fallback>
        <oleObject progId="Equation.3" shapeId="30723" r:id="rId7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List17"/>
  <dimension ref="A1:T148"/>
  <sheetViews>
    <sheetView zoomScale="70" zoomScaleNormal="70" workbookViewId="0">
      <selection activeCell="G2" sqref="G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LINEST(E4:E48,G4:O48)</f>
        <v>1.7572502685284718E-4</v>
      </c>
      <c r="H2" s="4">
        <v>-2.0942108137629592E-4</v>
      </c>
      <c r="I2" s="4">
        <v>-1.8166666666666637E-3</v>
      </c>
      <c r="J2" s="4">
        <v>3.0028474488500924E-3</v>
      </c>
      <c r="K2" s="4">
        <v>4.2325120362503375E-4</v>
      </c>
      <c r="L2" s="4">
        <v>2.1406446945693687E-3</v>
      </c>
      <c r="M2" s="4">
        <v>0.1110621369118751</v>
      </c>
      <c r="N2" s="4">
        <v>9.6304020348134137E-2</v>
      </c>
      <c r="O2" s="4">
        <v>1.6118140670372854E-2</v>
      </c>
      <c r="P2" s="4">
        <v>-1.0153941108721765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-15</v>
      </c>
      <c r="B4">
        <v>25</v>
      </c>
      <c r="C4">
        <v>36</v>
      </c>
      <c r="E4">
        <v>2.58</v>
      </c>
      <c r="F4" s="2"/>
      <c r="G4">
        <f t="shared" ref="G4:I48" si="0">A4</f>
        <v>-15</v>
      </c>
      <c r="H4" s="10">
        <f t="shared" si="0"/>
        <v>25</v>
      </c>
      <c r="I4">
        <f t="shared" si="0"/>
        <v>36</v>
      </c>
      <c r="J4">
        <f t="shared" ref="J4:J48" si="1">G4^2</f>
        <v>225</v>
      </c>
      <c r="K4">
        <f t="shared" ref="K4:K48" si="2">G4*H4</f>
        <v>-375</v>
      </c>
      <c r="L4">
        <f t="shared" ref="L4:L48" si="3">G4*I4</f>
        <v>-540</v>
      </c>
      <c r="M4">
        <f t="shared" ref="M4:M48" si="4">H4^2</f>
        <v>625</v>
      </c>
      <c r="N4">
        <f t="shared" ref="N4:N48" si="5">H4*I4</f>
        <v>900</v>
      </c>
      <c r="O4">
        <f t="shared" ref="O4:O48" si="6">I4^2</f>
        <v>1296</v>
      </c>
      <c r="Q4" s="11">
        <f>$P$2+$O$2*G4+$N$2*H4+$M$2*I4+$L$2*J4+$K$2*K4+$J$2*L4+$I$2*M4+$H$2*N4+$G$2*O4</f>
        <v>2.7539034440387171</v>
      </c>
      <c r="R4" s="12">
        <f t="shared" ref="R4:R48" si="7">(Q4-E4)/E4</f>
        <v>6.7404435673921334E-2</v>
      </c>
      <c r="S4" s="11"/>
      <c r="T4" s="12"/>
    </row>
    <row r="5" spans="1:20" x14ac:dyDescent="0.25">
      <c r="A5">
        <v>-15</v>
      </c>
      <c r="B5">
        <v>25</v>
      </c>
      <c r="C5">
        <v>55</v>
      </c>
      <c r="E5">
        <v>4.6399999999999997</v>
      </c>
      <c r="F5" s="2"/>
      <c r="G5">
        <f t="shared" si="0"/>
        <v>-15</v>
      </c>
      <c r="H5" s="10">
        <f t="shared" si="0"/>
        <v>25</v>
      </c>
      <c r="I5">
        <f t="shared" si="0"/>
        <v>55</v>
      </c>
      <c r="J5">
        <f t="shared" si="1"/>
        <v>225</v>
      </c>
      <c r="K5">
        <f t="shared" si="2"/>
        <v>-375</v>
      </c>
      <c r="L5">
        <f t="shared" si="3"/>
        <v>-825</v>
      </c>
      <c r="M5">
        <f t="shared" si="4"/>
        <v>625</v>
      </c>
      <c r="N5">
        <f t="shared" si="5"/>
        <v>1375</v>
      </c>
      <c r="O5">
        <f t="shared" si="6"/>
        <v>3025</v>
      </c>
      <c r="Q5" s="11">
        <f t="shared" ref="Q5:Q48" si="8">$P$2+$O$2*G5+$N$2*H5+$M$2*I5+$L$2*J5+$K$2*K5+$J$2*L5+$I$2*M5+$H$2*N5+$G$2*O5</f>
        <v>4.2126260802169</v>
      </c>
      <c r="R5" s="12">
        <f t="shared" si="7"/>
        <v>-9.2106448229116317E-2</v>
      </c>
      <c r="S5" s="11"/>
      <c r="T5" s="12"/>
    </row>
    <row r="6" spans="1:20" x14ac:dyDescent="0.25">
      <c r="A6">
        <v>-15</v>
      </c>
      <c r="B6">
        <v>25</v>
      </c>
      <c r="C6">
        <v>85</v>
      </c>
      <c r="E6">
        <v>6.67</v>
      </c>
      <c r="F6" s="2"/>
      <c r="G6">
        <f t="shared" si="0"/>
        <v>-15</v>
      </c>
      <c r="H6" s="10">
        <f t="shared" si="0"/>
        <v>25</v>
      </c>
      <c r="I6">
        <f t="shared" si="0"/>
        <v>85</v>
      </c>
      <c r="J6">
        <f t="shared" si="1"/>
        <v>225</v>
      </c>
      <c r="K6">
        <f t="shared" si="2"/>
        <v>-375</v>
      </c>
      <c r="L6">
        <f t="shared" si="3"/>
        <v>-1275</v>
      </c>
      <c r="M6">
        <f t="shared" si="4"/>
        <v>625</v>
      </c>
      <c r="N6">
        <f t="shared" si="5"/>
        <v>2125</v>
      </c>
      <c r="O6">
        <f t="shared" si="6"/>
        <v>7225</v>
      </c>
      <c r="Q6" s="11">
        <f t="shared" si="8"/>
        <v>6.7741881373403485</v>
      </c>
      <c r="R6" s="12">
        <f t="shared" si="7"/>
        <v>1.5620410395854363E-2</v>
      </c>
      <c r="S6" s="11"/>
      <c r="T6" s="12"/>
    </row>
    <row r="7" spans="1:20" x14ac:dyDescent="0.25">
      <c r="A7">
        <v>-7</v>
      </c>
      <c r="B7">
        <v>25</v>
      </c>
      <c r="C7">
        <v>36</v>
      </c>
      <c r="E7">
        <v>3.64</v>
      </c>
      <c r="F7" s="2"/>
      <c r="G7">
        <f t="shared" si="0"/>
        <v>-7</v>
      </c>
      <c r="H7" s="10">
        <f t="shared" si="0"/>
        <v>25</v>
      </c>
      <c r="I7">
        <f t="shared" si="0"/>
        <v>36</v>
      </c>
      <c r="J7">
        <f t="shared" si="1"/>
        <v>49</v>
      </c>
      <c r="K7">
        <f t="shared" si="2"/>
        <v>-175</v>
      </c>
      <c r="L7">
        <f t="shared" si="3"/>
        <v>-252</v>
      </c>
      <c r="M7">
        <f t="shared" si="4"/>
        <v>625</v>
      </c>
      <c r="N7">
        <f t="shared" si="5"/>
        <v>900</v>
      </c>
      <c r="O7">
        <f t="shared" si="6"/>
        <v>1296</v>
      </c>
      <c r="Q7" s="11">
        <f t="shared" si="8"/>
        <v>3.4555654091513253</v>
      </c>
      <c r="R7" s="12">
        <f t="shared" si="7"/>
        <v>-5.0668843639745838E-2</v>
      </c>
      <c r="S7" s="11"/>
      <c r="T7" s="12"/>
    </row>
    <row r="8" spans="1:20" x14ac:dyDescent="0.25">
      <c r="A8">
        <v>-7</v>
      </c>
      <c r="B8">
        <v>25</v>
      </c>
      <c r="C8">
        <v>55</v>
      </c>
      <c r="E8">
        <v>5.21</v>
      </c>
      <c r="F8" s="2"/>
      <c r="G8">
        <f t="shared" si="0"/>
        <v>-7</v>
      </c>
      <c r="H8" s="10">
        <f t="shared" si="0"/>
        <v>25</v>
      </c>
      <c r="I8">
        <f t="shared" si="0"/>
        <v>55</v>
      </c>
      <c r="J8">
        <f t="shared" si="1"/>
        <v>49</v>
      </c>
      <c r="K8">
        <f t="shared" si="2"/>
        <v>-175</v>
      </c>
      <c r="L8">
        <f t="shared" si="3"/>
        <v>-385</v>
      </c>
      <c r="M8">
        <f t="shared" si="4"/>
        <v>625</v>
      </c>
      <c r="N8">
        <f t="shared" si="5"/>
        <v>1375</v>
      </c>
      <c r="O8">
        <f t="shared" si="6"/>
        <v>3025</v>
      </c>
      <c r="Q8" s="11">
        <f t="shared" si="8"/>
        <v>5.3707208575547227</v>
      </c>
      <c r="R8" s="12">
        <f t="shared" si="7"/>
        <v>3.08485331199084E-2</v>
      </c>
      <c r="S8" s="11"/>
      <c r="T8" s="12"/>
    </row>
    <row r="9" spans="1:20" x14ac:dyDescent="0.25">
      <c r="A9">
        <v>-7</v>
      </c>
      <c r="B9">
        <v>25</v>
      </c>
      <c r="C9">
        <v>85</v>
      </c>
      <c r="E9">
        <v>8.5399999999999991</v>
      </c>
      <c r="F9" s="2"/>
      <c r="G9">
        <f t="shared" si="0"/>
        <v>-7</v>
      </c>
      <c r="H9" s="10">
        <f t="shared" si="0"/>
        <v>25</v>
      </c>
      <c r="I9">
        <f t="shared" si="0"/>
        <v>85</v>
      </c>
      <c r="J9">
        <f t="shared" si="1"/>
        <v>49</v>
      </c>
      <c r="K9">
        <f t="shared" si="2"/>
        <v>-175</v>
      </c>
      <c r="L9">
        <f t="shared" si="3"/>
        <v>-595</v>
      </c>
      <c r="M9">
        <f t="shared" si="4"/>
        <v>625</v>
      </c>
      <c r="N9">
        <f t="shared" si="5"/>
        <v>2125</v>
      </c>
      <c r="O9">
        <f t="shared" si="6"/>
        <v>7225</v>
      </c>
      <c r="Q9" s="11">
        <f t="shared" si="8"/>
        <v>8.6529663024021897</v>
      </c>
      <c r="R9" s="12">
        <f t="shared" si="7"/>
        <v>1.3227904262551585E-2</v>
      </c>
      <c r="S9" s="11"/>
      <c r="T9" s="12"/>
    </row>
    <row r="10" spans="1:20" x14ac:dyDescent="0.25">
      <c r="A10">
        <v>2</v>
      </c>
      <c r="B10">
        <v>25</v>
      </c>
      <c r="C10">
        <v>36</v>
      </c>
      <c r="E10">
        <v>4.4800000000000004</v>
      </c>
      <c r="F10" s="2"/>
      <c r="G10">
        <f t="shared" si="0"/>
        <v>2</v>
      </c>
      <c r="H10" s="10">
        <f t="shared" si="0"/>
        <v>25</v>
      </c>
      <c r="I10">
        <f t="shared" si="0"/>
        <v>36</v>
      </c>
      <c r="J10">
        <f t="shared" si="1"/>
        <v>4</v>
      </c>
      <c r="K10">
        <f t="shared" si="2"/>
        <v>50</v>
      </c>
      <c r="L10">
        <f t="shared" si="3"/>
        <v>72</v>
      </c>
      <c r="M10">
        <f t="shared" si="4"/>
        <v>625</v>
      </c>
      <c r="N10">
        <f t="shared" si="5"/>
        <v>900</v>
      </c>
      <c r="O10">
        <f t="shared" si="6"/>
        <v>1296</v>
      </c>
      <c r="Q10" s="11">
        <f t="shared" si="8"/>
        <v>4.5724537581721219</v>
      </c>
      <c r="R10" s="12">
        <f t="shared" si="7"/>
        <v>2.0636999591991386E-2</v>
      </c>
      <c r="S10" s="11"/>
      <c r="T10" s="12"/>
    </row>
    <row r="11" spans="1:20" x14ac:dyDescent="0.25">
      <c r="A11">
        <v>2</v>
      </c>
      <c r="B11">
        <v>25</v>
      </c>
      <c r="C11">
        <v>55</v>
      </c>
      <c r="E11">
        <v>6.9</v>
      </c>
      <c r="F11" s="2"/>
      <c r="G11">
        <f t="shared" si="0"/>
        <v>2</v>
      </c>
      <c r="H11" s="10">
        <f t="shared" si="0"/>
        <v>25</v>
      </c>
      <c r="I11">
        <f t="shared" si="0"/>
        <v>55</v>
      </c>
      <c r="J11">
        <f t="shared" si="1"/>
        <v>4</v>
      </c>
      <c r="K11">
        <f t="shared" si="2"/>
        <v>50</v>
      </c>
      <c r="L11">
        <f t="shared" si="3"/>
        <v>110</v>
      </c>
      <c r="M11">
        <f t="shared" si="4"/>
        <v>625</v>
      </c>
      <c r="N11">
        <f t="shared" si="5"/>
        <v>1375</v>
      </c>
      <c r="O11">
        <f t="shared" si="6"/>
        <v>3025</v>
      </c>
      <c r="Q11" s="11">
        <f t="shared" si="8"/>
        <v>7.0010961203288833</v>
      </c>
      <c r="R11" s="12">
        <f t="shared" si="7"/>
        <v>1.4651611641867091E-2</v>
      </c>
      <c r="S11" s="11"/>
      <c r="T11" s="12"/>
    </row>
    <row r="12" spans="1:20" x14ac:dyDescent="0.25">
      <c r="A12">
        <v>2</v>
      </c>
      <c r="B12">
        <v>25</v>
      </c>
      <c r="C12">
        <v>85</v>
      </c>
      <c r="E12">
        <v>11.42</v>
      </c>
      <c r="F12" s="2"/>
      <c r="G12">
        <f t="shared" si="0"/>
        <v>2</v>
      </c>
      <c r="H12" s="10">
        <f t="shared" si="0"/>
        <v>25</v>
      </c>
      <c r="I12">
        <f t="shared" si="0"/>
        <v>85</v>
      </c>
      <c r="J12">
        <f t="shared" si="1"/>
        <v>4</v>
      </c>
      <c r="K12">
        <f t="shared" si="2"/>
        <v>50</v>
      </c>
      <c r="L12">
        <f t="shared" si="3"/>
        <v>170</v>
      </c>
      <c r="M12">
        <f t="shared" si="4"/>
        <v>625</v>
      </c>
      <c r="N12">
        <f t="shared" si="5"/>
        <v>2125</v>
      </c>
      <c r="O12">
        <f t="shared" si="6"/>
        <v>7225</v>
      </c>
      <c r="Q12" s="11">
        <f t="shared" si="8"/>
        <v>11.094110376365879</v>
      </c>
      <c r="R12" s="12">
        <f t="shared" si="7"/>
        <v>-2.853674462645538E-2</v>
      </c>
      <c r="S12" s="11"/>
      <c r="T12" s="12"/>
    </row>
    <row r="13" spans="1:20" x14ac:dyDescent="0.25">
      <c r="A13">
        <v>7</v>
      </c>
      <c r="B13">
        <v>25</v>
      </c>
      <c r="C13">
        <v>36</v>
      </c>
      <c r="E13">
        <v>5.37</v>
      </c>
      <c r="F13" s="2"/>
      <c r="G13">
        <f t="shared" si="0"/>
        <v>7</v>
      </c>
      <c r="H13" s="10">
        <f t="shared" si="0"/>
        <v>25</v>
      </c>
      <c r="I13">
        <f t="shared" si="0"/>
        <v>36</v>
      </c>
      <c r="J13">
        <f t="shared" si="1"/>
        <v>49</v>
      </c>
      <c r="K13">
        <f t="shared" si="2"/>
        <v>175</v>
      </c>
      <c r="L13">
        <f t="shared" si="3"/>
        <v>252</v>
      </c>
      <c r="M13">
        <f t="shared" si="4"/>
        <v>625</v>
      </c>
      <c r="N13">
        <f t="shared" si="5"/>
        <v>900</v>
      </c>
      <c r="O13">
        <f t="shared" si="6"/>
        <v>1296</v>
      </c>
      <c r="Q13" s="11">
        <f t="shared" si="8"/>
        <v>5.3427924140257517</v>
      </c>
      <c r="R13" s="12">
        <f t="shared" si="7"/>
        <v>-5.0665895668991507E-3</v>
      </c>
      <c r="S13" s="11"/>
      <c r="T13" s="12"/>
    </row>
    <row r="14" spans="1:20" x14ac:dyDescent="0.25">
      <c r="A14">
        <v>7</v>
      </c>
      <c r="B14">
        <v>25</v>
      </c>
      <c r="C14">
        <v>55</v>
      </c>
      <c r="E14">
        <v>7.92</v>
      </c>
      <c r="F14" s="2"/>
      <c r="G14">
        <f t="shared" si="0"/>
        <v>7</v>
      </c>
      <c r="H14" s="10">
        <f t="shared" si="0"/>
        <v>25</v>
      </c>
      <c r="I14">
        <f t="shared" si="0"/>
        <v>55</v>
      </c>
      <c r="J14">
        <f t="shared" si="1"/>
        <v>49</v>
      </c>
      <c r="K14">
        <f t="shared" si="2"/>
        <v>175</v>
      </c>
      <c r="L14">
        <f t="shared" si="3"/>
        <v>385</v>
      </c>
      <c r="M14">
        <f t="shared" si="4"/>
        <v>625</v>
      </c>
      <c r="N14">
        <f t="shared" si="5"/>
        <v>1375</v>
      </c>
      <c r="O14">
        <f t="shared" si="6"/>
        <v>3025</v>
      </c>
      <c r="Q14" s="11">
        <f t="shared" si="8"/>
        <v>8.0567052838232733</v>
      </c>
      <c r="R14" s="12">
        <f t="shared" si="7"/>
        <v>1.7260768159504218E-2</v>
      </c>
      <c r="S14" s="11"/>
      <c r="T14" s="12"/>
    </row>
    <row r="15" spans="1:20" x14ac:dyDescent="0.25">
      <c r="A15">
        <v>7</v>
      </c>
      <c r="B15">
        <v>25</v>
      </c>
      <c r="C15">
        <v>85</v>
      </c>
      <c r="E15">
        <v>12.24</v>
      </c>
      <c r="F15" s="2"/>
      <c r="G15">
        <f t="shared" si="0"/>
        <v>7</v>
      </c>
      <c r="H15" s="10">
        <f t="shared" si="0"/>
        <v>25</v>
      </c>
      <c r="I15">
        <f t="shared" si="0"/>
        <v>85</v>
      </c>
      <c r="J15">
        <f t="shared" si="1"/>
        <v>49</v>
      </c>
      <c r="K15">
        <f t="shared" si="2"/>
        <v>175</v>
      </c>
      <c r="L15">
        <f t="shared" si="3"/>
        <v>595</v>
      </c>
      <c r="M15">
        <f t="shared" si="4"/>
        <v>625</v>
      </c>
      <c r="N15">
        <f t="shared" si="5"/>
        <v>2125</v>
      </c>
      <c r="O15">
        <f t="shared" si="6"/>
        <v>7225</v>
      </c>
      <c r="Q15" s="11">
        <f t="shared" si="8"/>
        <v>12.600146657187786</v>
      </c>
      <c r="R15" s="12">
        <f t="shared" si="7"/>
        <v>2.9423746502270046E-2</v>
      </c>
      <c r="S15" s="11"/>
      <c r="T15" s="12"/>
    </row>
    <row r="16" spans="1:20" x14ac:dyDescent="0.25">
      <c r="A16">
        <v>12</v>
      </c>
      <c r="B16">
        <v>25</v>
      </c>
      <c r="C16">
        <v>36</v>
      </c>
      <c r="E16">
        <v>6.12</v>
      </c>
      <c r="F16" s="2"/>
      <c r="G16">
        <f t="shared" si="0"/>
        <v>12</v>
      </c>
      <c r="H16" s="10">
        <f t="shared" si="0"/>
        <v>25</v>
      </c>
      <c r="I16">
        <f t="shared" si="0"/>
        <v>36</v>
      </c>
      <c r="J16">
        <f t="shared" si="1"/>
        <v>144</v>
      </c>
      <c r="K16">
        <f t="shared" si="2"/>
        <v>300</v>
      </c>
      <c r="L16">
        <f t="shared" si="3"/>
        <v>432</v>
      </c>
      <c r="M16">
        <f t="shared" si="4"/>
        <v>625</v>
      </c>
      <c r="N16">
        <f t="shared" si="5"/>
        <v>900</v>
      </c>
      <c r="O16">
        <f t="shared" si="6"/>
        <v>1296</v>
      </c>
      <c r="Q16" s="11">
        <f t="shared" si="8"/>
        <v>6.220163304607853</v>
      </c>
      <c r="R16" s="12">
        <f t="shared" si="7"/>
        <v>1.6366553040498846E-2</v>
      </c>
      <c r="S16" s="11"/>
      <c r="T16" s="12"/>
    </row>
    <row r="17" spans="1:20" x14ac:dyDescent="0.25">
      <c r="A17">
        <v>12</v>
      </c>
      <c r="B17">
        <v>25</v>
      </c>
      <c r="C17">
        <v>55</v>
      </c>
      <c r="E17">
        <v>9.5</v>
      </c>
      <c r="F17" s="2"/>
      <c r="G17">
        <f t="shared" si="0"/>
        <v>12</v>
      </c>
      <c r="H17" s="10">
        <f t="shared" si="0"/>
        <v>25</v>
      </c>
      <c r="I17">
        <f t="shared" si="0"/>
        <v>55</v>
      </c>
      <c r="J17">
        <f t="shared" si="1"/>
        <v>144</v>
      </c>
      <c r="K17">
        <f t="shared" si="2"/>
        <v>300</v>
      </c>
      <c r="L17">
        <f t="shared" si="3"/>
        <v>660</v>
      </c>
      <c r="M17">
        <f t="shared" si="4"/>
        <v>625</v>
      </c>
      <c r="N17">
        <f t="shared" si="5"/>
        <v>1375</v>
      </c>
      <c r="O17">
        <f t="shared" si="6"/>
        <v>3025</v>
      </c>
      <c r="Q17" s="11">
        <f t="shared" si="8"/>
        <v>9.2193466820461332</v>
      </c>
      <c r="R17" s="12">
        <f t="shared" si="7"/>
        <v>-2.9542454521459666E-2</v>
      </c>
      <c r="S17" s="11"/>
      <c r="T17" s="12"/>
    </row>
    <row r="18" spans="1:20" x14ac:dyDescent="0.25">
      <c r="A18">
        <v>12</v>
      </c>
      <c r="B18">
        <v>25</v>
      </c>
      <c r="C18">
        <v>85</v>
      </c>
      <c r="E18">
        <v>14.31</v>
      </c>
      <c r="F18" s="2"/>
      <c r="G18">
        <f t="shared" si="0"/>
        <v>12</v>
      </c>
      <c r="H18" s="10">
        <f t="shared" si="0"/>
        <v>25</v>
      </c>
      <c r="I18">
        <f t="shared" si="0"/>
        <v>85</v>
      </c>
      <c r="J18">
        <f t="shared" si="1"/>
        <v>144</v>
      </c>
      <c r="K18">
        <f t="shared" si="2"/>
        <v>300</v>
      </c>
      <c r="L18">
        <f t="shared" si="3"/>
        <v>1020</v>
      </c>
      <c r="M18">
        <f t="shared" si="4"/>
        <v>625</v>
      </c>
      <c r="N18">
        <f t="shared" si="5"/>
        <v>2125</v>
      </c>
      <c r="O18">
        <f t="shared" si="6"/>
        <v>7225</v>
      </c>
      <c r="Q18" s="11">
        <f t="shared" si="8"/>
        <v>14.213215172738154</v>
      </c>
      <c r="R18" s="12">
        <f t="shared" si="7"/>
        <v>-6.7634400602268425E-3</v>
      </c>
      <c r="S18" s="11"/>
      <c r="T18" s="12"/>
    </row>
    <row r="19" spans="1:20" x14ac:dyDescent="0.25">
      <c r="A19">
        <v>-15</v>
      </c>
      <c r="B19">
        <v>35</v>
      </c>
      <c r="C19">
        <v>36</v>
      </c>
      <c r="E19">
        <v>2.27</v>
      </c>
      <c r="F19" s="2"/>
      <c r="G19">
        <f t="shared" si="0"/>
        <v>-15</v>
      </c>
      <c r="H19" s="10">
        <f t="shared" si="0"/>
        <v>35</v>
      </c>
      <c r="I19">
        <f t="shared" si="0"/>
        <v>36</v>
      </c>
      <c r="J19">
        <f t="shared" si="1"/>
        <v>225</v>
      </c>
      <c r="K19">
        <f t="shared" si="2"/>
        <v>-525</v>
      </c>
      <c r="L19">
        <f t="shared" si="3"/>
        <v>-540</v>
      </c>
      <c r="M19">
        <f t="shared" si="4"/>
        <v>1225</v>
      </c>
      <c r="N19">
        <f t="shared" si="5"/>
        <v>1260</v>
      </c>
      <c r="O19">
        <f t="shared" si="6"/>
        <v>1296</v>
      </c>
      <c r="Q19" s="11">
        <f t="shared" si="8"/>
        <v>2.4880643776808391</v>
      </c>
      <c r="R19" s="12">
        <f t="shared" si="7"/>
        <v>9.6063602502572287E-2</v>
      </c>
      <c r="S19" s="11"/>
      <c r="T19" s="12"/>
    </row>
    <row r="20" spans="1:20" x14ac:dyDescent="0.25">
      <c r="A20">
        <v>-15</v>
      </c>
      <c r="B20">
        <v>35</v>
      </c>
      <c r="C20">
        <v>55</v>
      </c>
      <c r="E20">
        <v>3.91</v>
      </c>
      <c r="F20" s="2"/>
      <c r="G20">
        <f t="shared" si="0"/>
        <v>-15</v>
      </c>
      <c r="H20" s="10">
        <f t="shared" si="0"/>
        <v>35</v>
      </c>
      <c r="I20">
        <f t="shared" si="0"/>
        <v>55</v>
      </c>
      <c r="J20">
        <f t="shared" si="1"/>
        <v>225</v>
      </c>
      <c r="K20">
        <f t="shared" si="2"/>
        <v>-525</v>
      </c>
      <c r="L20">
        <f t="shared" si="3"/>
        <v>-825</v>
      </c>
      <c r="M20">
        <f t="shared" si="4"/>
        <v>1225</v>
      </c>
      <c r="N20">
        <f t="shared" si="5"/>
        <v>1925</v>
      </c>
      <c r="O20">
        <f t="shared" si="6"/>
        <v>3025</v>
      </c>
      <c r="Q20" s="11">
        <f t="shared" si="8"/>
        <v>3.906997008397525</v>
      </c>
      <c r="R20" s="12">
        <f t="shared" si="7"/>
        <v>-7.6802854283252971E-4</v>
      </c>
      <c r="S20" s="11"/>
      <c r="T20" s="12"/>
    </row>
    <row r="21" spans="1:20" x14ac:dyDescent="0.25">
      <c r="A21">
        <v>-15</v>
      </c>
      <c r="B21">
        <v>35</v>
      </c>
      <c r="C21">
        <v>85</v>
      </c>
      <c r="E21">
        <v>6.52</v>
      </c>
      <c r="F21" s="2"/>
      <c r="G21">
        <f t="shared" si="0"/>
        <v>-15</v>
      </c>
      <c r="H21" s="10">
        <f t="shared" si="0"/>
        <v>35</v>
      </c>
      <c r="I21">
        <f t="shared" si="0"/>
        <v>85</v>
      </c>
      <c r="J21">
        <f t="shared" si="1"/>
        <v>225</v>
      </c>
      <c r="K21">
        <f t="shared" si="2"/>
        <v>-525</v>
      </c>
      <c r="L21">
        <f t="shared" si="3"/>
        <v>-1275</v>
      </c>
      <c r="M21">
        <f t="shared" si="4"/>
        <v>1225</v>
      </c>
      <c r="N21">
        <f t="shared" si="5"/>
        <v>2975</v>
      </c>
      <c r="O21">
        <f t="shared" si="6"/>
        <v>7225</v>
      </c>
      <c r="Q21" s="11">
        <f t="shared" si="8"/>
        <v>6.4057327411080838</v>
      </c>
      <c r="R21" s="12">
        <f t="shared" si="7"/>
        <v>-1.7525653204281566E-2</v>
      </c>
      <c r="S21" s="11"/>
      <c r="T21" s="12"/>
    </row>
    <row r="22" spans="1:20" x14ac:dyDescent="0.25">
      <c r="A22">
        <v>-7</v>
      </c>
      <c r="B22">
        <v>35</v>
      </c>
      <c r="C22">
        <v>36</v>
      </c>
      <c r="E22">
        <v>3.42</v>
      </c>
      <c r="F22" s="2"/>
      <c r="G22">
        <f t="shared" si="0"/>
        <v>-7</v>
      </c>
      <c r="H22" s="10">
        <f t="shared" si="0"/>
        <v>35</v>
      </c>
      <c r="I22">
        <f t="shared" si="0"/>
        <v>36</v>
      </c>
      <c r="J22">
        <f t="shared" si="1"/>
        <v>49</v>
      </c>
      <c r="K22">
        <f t="shared" si="2"/>
        <v>-245</v>
      </c>
      <c r="L22">
        <f t="shared" si="3"/>
        <v>-252</v>
      </c>
      <c r="M22">
        <f t="shared" si="4"/>
        <v>1225</v>
      </c>
      <c r="N22">
        <f t="shared" si="5"/>
        <v>1260</v>
      </c>
      <c r="O22">
        <f t="shared" si="6"/>
        <v>1296</v>
      </c>
      <c r="Q22" s="11">
        <f t="shared" si="8"/>
        <v>3.2235864390834488</v>
      </c>
      <c r="R22" s="12">
        <f t="shared" si="7"/>
        <v>-5.743086576507344E-2</v>
      </c>
      <c r="S22" s="11"/>
      <c r="T22" s="12"/>
    </row>
    <row r="23" spans="1:20" x14ac:dyDescent="0.25">
      <c r="A23">
        <v>-7</v>
      </c>
      <c r="B23">
        <v>35</v>
      </c>
      <c r="C23">
        <v>55</v>
      </c>
      <c r="E23">
        <v>5.25</v>
      </c>
      <c r="F23" s="2"/>
      <c r="G23">
        <f t="shared" si="0"/>
        <v>-7</v>
      </c>
      <c r="H23" s="10">
        <f t="shared" si="0"/>
        <v>35</v>
      </c>
      <c r="I23">
        <f t="shared" si="0"/>
        <v>55</v>
      </c>
      <c r="J23">
        <f t="shared" si="1"/>
        <v>49</v>
      </c>
      <c r="K23">
        <f t="shared" si="2"/>
        <v>-245</v>
      </c>
      <c r="L23">
        <f t="shared" si="3"/>
        <v>-385</v>
      </c>
      <c r="M23">
        <f t="shared" si="4"/>
        <v>1225</v>
      </c>
      <c r="N23">
        <f t="shared" si="5"/>
        <v>1925</v>
      </c>
      <c r="O23">
        <f t="shared" si="6"/>
        <v>3025</v>
      </c>
      <c r="Q23" s="11">
        <f t="shared" si="8"/>
        <v>5.0989518820253492</v>
      </c>
      <c r="R23" s="12">
        <f t="shared" si="7"/>
        <v>-2.8771070090409672E-2</v>
      </c>
      <c r="S23" s="11"/>
      <c r="T23" s="12"/>
    </row>
    <row r="24" spans="1:20" x14ac:dyDescent="0.25">
      <c r="A24">
        <v>-7</v>
      </c>
      <c r="B24">
        <v>35</v>
      </c>
      <c r="C24">
        <v>85</v>
      </c>
      <c r="E24">
        <v>8.07</v>
      </c>
      <c r="F24" s="2"/>
      <c r="G24">
        <f t="shared" si="0"/>
        <v>-7</v>
      </c>
      <c r="H24" s="10">
        <f t="shared" si="0"/>
        <v>35</v>
      </c>
      <c r="I24">
        <f t="shared" si="0"/>
        <v>85</v>
      </c>
      <c r="J24">
        <f t="shared" si="1"/>
        <v>49</v>
      </c>
      <c r="K24">
        <f t="shared" si="2"/>
        <v>-245</v>
      </c>
      <c r="L24">
        <f t="shared" si="3"/>
        <v>-595</v>
      </c>
      <c r="M24">
        <f t="shared" si="4"/>
        <v>1225</v>
      </c>
      <c r="N24">
        <f t="shared" si="5"/>
        <v>2975</v>
      </c>
      <c r="O24">
        <f t="shared" si="6"/>
        <v>7225</v>
      </c>
      <c r="Q24" s="11">
        <f t="shared" si="8"/>
        <v>8.31837100245993</v>
      </c>
      <c r="R24" s="12">
        <f t="shared" si="7"/>
        <v>3.0777075893423756E-2</v>
      </c>
      <c r="S24" s="11"/>
      <c r="T24" s="12"/>
    </row>
    <row r="25" spans="1:20" x14ac:dyDescent="0.25">
      <c r="A25">
        <v>2</v>
      </c>
      <c r="B25">
        <v>35</v>
      </c>
      <c r="C25">
        <v>36</v>
      </c>
      <c r="E25">
        <v>4.2699999999999996</v>
      </c>
      <c r="F25" s="2"/>
      <c r="G25">
        <f t="shared" si="0"/>
        <v>2</v>
      </c>
      <c r="H25" s="10">
        <f t="shared" si="0"/>
        <v>35</v>
      </c>
      <c r="I25">
        <f t="shared" si="0"/>
        <v>36</v>
      </c>
      <c r="J25">
        <f t="shared" si="1"/>
        <v>4</v>
      </c>
      <c r="K25">
        <f t="shared" si="2"/>
        <v>70</v>
      </c>
      <c r="L25">
        <f t="shared" si="3"/>
        <v>72</v>
      </c>
      <c r="M25">
        <f t="shared" si="4"/>
        <v>1225</v>
      </c>
      <c r="N25">
        <f t="shared" si="5"/>
        <v>1260</v>
      </c>
      <c r="O25">
        <f t="shared" si="6"/>
        <v>1296</v>
      </c>
      <c r="Q25" s="11">
        <f t="shared" si="8"/>
        <v>4.3785673964304985</v>
      </c>
      <c r="R25" s="12">
        <f t="shared" si="7"/>
        <v>2.5425619772950579E-2</v>
      </c>
      <c r="S25" s="11"/>
      <c r="T25" s="12"/>
    </row>
    <row r="26" spans="1:20" x14ac:dyDescent="0.25">
      <c r="A26">
        <v>2</v>
      </c>
      <c r="B26">
        <v>35</v>
      </c>
      <c r="C26">
        <v>55</v>
      </c>
      <c r="E26">
        <v>6.76</v>
      </c>
      <c r="G26">
        <f t="shared" si="0"/>
        <v>2</v>
      </c>
      <c r="H26" s="10">
        <f t="shared" si="0"/>
        <v>35</v>
      </c>
      <c r="I26">
        <f t="shared" si="0"/>
        <v>55</v>
      </c>
      <c r="J26">
        <f t="shared" si="1"/>
        <v>4</v>
      </c>
      <c r="K26">
        <f t="shared" si="2"/>
        <v>70</v>
      </c>
      <c r="L26">
        <f t="shared" si="3"/>
        <v>110</v>
      </c>
      <c r="M26">
        <f t="shared" si="4"/>
        <v>1225</v>
      </c>
      <c r="N26">
        <f t="shared" si="5"/>
        <v>1925</v>
      </c>
      <c r="O26">
        <f t="shared" si="6"/>
        <v>3025</v>
      </c>
      <c r="Q26" s="11">
        <f t="shared" si="8"/>
        <v>6.7674197531257656</v>
      </c>
      <c r="R26" s="12">
        <f t="shared" si="7"/>
        <v>1.0975966162375466E-3</v>
      </c>
      <c r="S26" s="11"/>
      <c r="T26" s="12"/>
    </row>
    <row r="27" spans="1:20" x14ac:dyDescent="0.25">
      <c r="A27">
        <v>2</v>
      </c>
      <c r="B27">
        <v>35</v>
      </c>
      <c r="C27">
        <v>85</v>
      </c>
      <c r="E27">
        <v>10.58</v>
      </c>
      <c r="G27">
        <f t="shared" si="0"/>
        <v>2</v>
      </c>
      <c r="H27" s="10">
        <f t="shared" si="0"/>
        <v>35</v>
      </c>
      <c r="I27">
        <f t="shared" si="0"/>
        <v>85</v>
      </c>
      <c r="J27">
        <f t="shared" si="1"/>
        <v>4</v>
      </c>
      <c r="K27">
        <f t="shared" si="2"/>
        <v>70</v>
      </c>
      <c r="L27">
        <f t="shared" si="3"/>
        <v>170</v>
      </c>
      <c r="M27">
        <f t="shared" si="4"/>
        <v>1225</v>
      </c>
      <c r="N27">
        <f t="shared" si="5"/>
        <v>2975</v>
      </c>
      <c r="O27">
        <f t="shared" si="6"/>
        <v>7225</v>
      </c>
      <c r="Q27" s="11">
        <f t="shared" si="8"/>
        <v>10.79760768474987</v>
      </c>
      <c r="R27" s="12">
        <f t="shared" si="7"/>
        <v>2.0567834097341232E-2</v>
      </c>
      <c r="S27" s="11"/>
      <c r="T27" s="12"/>
    </row>
    <row r="28" spans="1:20" x14ac:dyDescent="0.25">
      <c r="A28">
        <v>7</v>
      </c>
      <c r="B28">
        <v>35</v>
      </c>
      <c r="C28">
        <v>36</v>
      </c>
      <c r="E28">
        <v>5.34</v>
      </c>
      <c r="G28">
        <f t="shared" si="0"/>
        <v>7</v>
      </c>
      <c r="H28" s="10">
        <f t="shared" si="0"/>
        <v>35</v>
      </c>
      <c r="I28">
        <f t="shared" si="0"/>
        <v>36</v>
      </c>
      <c r="J28">
        <f t="shared" si="1"/>
        <v>49</v>
      </c>
      <c r="K28">
        <f t="shared" si="2"/>
        <v>245</v>
      </c>
      <c r="L28">
        <f t="shared" si="3"/>
        <v>252</v>
      </c>
      <c r="M28">
        <f t="shared" si="4"/>
        <v>1225</v>
      </c>
      <c r="N28">
        <f t="shared" si="5"/>
        <v>1260</v>
      </c>
      <c r="O28">
        <f t="shared" si="6"/>
        <v>1296</v>
      </c>
      <c r="Q28" s="11">
        <f t="shared" si="8"/>
        <v>5.1700686124653812</v>
      </c>
      <c r="R28" s="12">
        <f t="shared" si="7"/>
        <v>-3.1822357216220724E-2</v>
      </c>
      <c r="S28" s="11"/>
      <c r="T28" s="12"/>
    </row>
    <row r="29" spans="1:20" x14ac:dyDescent="0.25">
      <c r="A29">
        <v>7</v>
      </c>
      <c r="B29">
        <v>35</v>
      </c>
      <c r="C29">
        <v>55</v>
      </c>
      <c r="E29">
        <v>7.71</v>
      </c>
      <c r="G29">
        <f t="shared" si="0"/>
        <v>7</v>
      </c>
      <c r="H29" s="10">
        <f t="shared" si="0"/>
        <v>35</v>
      </c>
      <c r="I29">
        <f t="shared" si="0"/>
        <v>55</v>
      </c>
      <c r="J29">
        <f t="shared" si="1"/>
        <v>49</v>
      </c>
      <c r="K29">
        <f t="shared" si="2"/>
        <v>245</v>
      </c>
      <c r="L29">
        <f t="shared" si="3"/>
        <v>385</v>
      </c>
      <c r="M29">
        <f t="shared" si="4"/>
        <v>1225</v>
      </c>
      <c r="N29">
        <f t="shared" si="5"/>
        <v>1925</v>
      </c>
      <c r="O29">
        <f t="shared" si="6"/>
        <v>3025</v>
      </c>
      <c r="Q29" s="11">
        <f t="shared" si="8"/>
        <v>7.8441914768014085</v>
      </c>
      <c r="R29" s="12">
        <f t="shared" si="7"/>
        <v>1.7404860804333143E-2</v>
      </c>
      <c r="S29" s="11"/>
      <c r="T29" s="12"/>
    </row>
    <row r="30" spans="1:20" x14ac:dyDescent="0.25">
      <c r="A30">
        <v>7</v>
      </c>
      <c r="B30">
        <v>35</v>
      </c>
      <c r="C30">
        <v>85</v>
      </c>
      <c r="E30">
        <v>12.6</v>
      </c>
      <c r="G30">
        <f t="shared" si="0"/>
        <v>7</v>
      </c>
      <c r="H30" s="10">
        <f t="shared" si="0"/>
        <v>35</v>
      </c>
      <c r="I30">
        <f t="shared" si="0"/>
        <v>85</v>
      </c>
      <c r="J30">
        <f t="shared" si="1"/>
        <v>49</v>
      </c>
      <c r="K30">
        <f t="shared" si="2"/>
        <v>245</v>
      </c>
      <c r="L30">
        <f t="shared" si="3"/>
        <v>595</v>
      </c>
      <c r="M30">
        <f t="shared" si="4"/>
        <v>1225</v>
      </c>
      <c r="N30">
        <f t="shared" si="5"/>
        <v>2975</v>
      </c>
      <c r="O30">
        <f t="shared" si="6"/>
        <v>7225</v>
      </c>
      <c r="Q30" s="11">
        <f t="shared" si="8"/>
        <v>12.324806525753029</v>
      </c>
      <c r="R30" s="12">
        <f t="shared" si="7"/>
        <v>-2.1840751924362731E-2</v>
      </c>
      <c r="S30" s="11"/>
      <c r="T30" s="12"/>
    </row>
    <row r="31" spans="1:20" x14ac:dyDescent="0.25">
      <c r="A31">
        <v>12</v>
      </c>
      <c r="B31">
        <v>35</v>
      </c>
      <c r="C31">
        <v>36</v>
      </c>
      <c r="E31">
        <v>6.11</v>
      </c>
      <c r="G31">
        <f t="shared" si="0"/>
        <v>12</v>
      </c>
      <c r="H31" s="10">
        <f t="shared" si="0"/>
        <v>35</v>
      </c>
      <c r="I31">
        <f t="shared" si="0"/>
        <v>36</v>
      </c>
      <c r="J31">
        <f t="shared" si="1"/>
        <v>144</v>
      </c>
      <c r="K31">
        <f t="shared" si="2"/>
        <v>420</v>
      </c>
      <c r="L31">
        <f t="shared" si="3"/>
        <v>432</v>
      </c>
      <c r="M31">
        <f t="shared" si="4"/>
        <v>1225</v>
      </c>
      <c r="N31">
        <f t="shared" si="5"/>
        <v>1260</v>
      </c>
      <c r="O31">
        <f t="shared" si="6"/>
        <v>1296</v>
      </c>
      <c r="Q31" s="11">
        <f t="shared" si="8"/>
        <v>6.0686020632287336</v>
      </c>
      <c r="R31" s="12">
        <f t="shared" si="7"/>
        <v>-6.7754397334315354E-3</v>
      </c>
      <c r="S31" s="11"/>
      <c r="T31" s="12"/>
    </row>
    <row r="32" spans="1:20" x14ac:dyDescent="0.25">
      <c r="A32">
        <v>12</v>
      </c>
      <c r="B32">
        <v>35</v>
      </c>
      <c r="C32">
        <v>55</v>
      </c>
      <c r="E32">
        <v>8.77</v>
      </c>
      <c r="G32">
        <f t="shared" si="0"/>
        <v>12</v>
      </c>
      <c r="H32" s="10">
        <f t="shared" si="0"/>
        <v>35</v>
      </c>
      <c r="I32">
        <f t="shared" si="0"/>
        <v>55</v>
      </c>
      <c r="J32">
        <f t="shared" si="1"/>
        <v>144</v>
      </c>
      <c r="K32">
        <f t="shared" si="2"/>
        <v>420</v>
      </c>
      <c r="L32">
        <f t="shared" si="3"/>
        <v>660</v>
      </c>
      <c r="M32">
        <f t="shared" si="4"/>
        <v>1225</v>
      </c>
      <c r="N32">
        <f t="shared" si="5"/>
        <v>1925</v>
      </c>
      <c r="O32">
        <f t="shared" si="6"/>
        <v>3025</v>
      </c>
      <c r="Q32" s="11">
        <f t="shared" si="8"/>
        <v>9.0279954352055167</v>
      </c>
      <c r="R32" s="12">
        <f t="shared" si="7"/>
        <v>2.9417951562772767E-2</v>
      </c>
      <c r="S32" s="11"/>
      <c r="T32" s="12"/>
    </row>
    <row r="33" spans="1:20" x14ac:dyDescent="0.25">
      <c r="A33">
        <v>12</v>
      </c>
      <c r="B33">
        <v>35</v>
      </c>
      <c r="C33">
        <v>85</v>
      </c>
      <c r="E33">
        <v>14.2</v>
      </c>
      <c r="G33">
        <f t="shared" si="0"/>
        <v>12</v>
      </c>
      <c r="H33" s="10">
        <f t="shared" si="0"/>
        <v>35</v>
      </c>
      <c r="I33">
        <f t="shared" si="0"/>
        <v>85</v>
      </c>
      <c r="J33">
        <f t="shared" si="1"/>
        <v>144</v>
      </c>
      <c r="K33">
        <f t="shared" si="2"/>
        <v>420</v>
      </c>
      <c r="L33">
        <f t="shared" si="3"/>
        <v>1020</v>
      </c>
      <c r="M33">
        <f t="shared" si="4"/>
        <v>1225</v>
      </c>
      <c r="N33">
        <f t="shared" si="5"/>
        <v>2975</v>
      </c>
      <c r="O33">
        <f t="shared" si="6"/>
        <v>7225</v>
      </c>
      <c r="Q33" s="11">
        <f t="shared" si="8"/>
        <v>13.959037601484651</v>
      </c>
      <c r="R33" s="12">
        <f t="shared" si="7"/>
        <v>-1.6969182994038622E-2</v>
      </c>
      <c r="S33" s="11"/>
      <c r="T33" s="12"/>
    </row>
    <row r="34" spans="1:20" x14ac:dyDescent="0.25">
      <c r="A34">
        <v>-15</v>
      </c>
      <c r="B34">
        <v>45</v>
      </c>
      <c r="C34">
        <v>36</v>
      </c>
      <c r="E34">
        <v>1.88</v>
      </c>
      <c r="G34">
        <f t="shared" si="0"/>
        <v>-15</v>
      </c>
      <c r="H34" s="10">
        <f t="shared" si="0"/>
        <v>45</v>
      </c>
      <c r="I34">
        <f t="shared" si="0"/>
        <v>36</v>
      </c>
      <c r="J34">
        <f t="shared" si="1"/>
        <v>225</v>
      </c>
      <c r="K34">
        <f t="shared" si="2"/>
        <v>-675</v>
      </c>
      <c r="L34">
        <f t="shared" si="3"/>
        <v>-540</v>
      </c>
      <c r="M34">
        <f t="shared" si="4"/>
        <v>2025</v>
      </c>
      <c r="N34">
        <f t="shared" si="5"/>
        <v>1620</v>
      </c>
      <c r="O34">
        <f t="shared" si="6"/>
        <v>1296</v>
      </c>
      <c r="Q34" s="11">
        <f t="shared" si="8"/>
        <v>1.8588919779896278</v>
      </c>
      <c r="R34" s="12">
        <f t="shared" si="7"/>
        <v>-1.1227671282112817E-2</v>
      </c>
      <c r="S34" s="11"/>
      <c r="T34" s="12"/>
    </row>
    <row r="35" spans="1:20" x14ac:dyDescent="0.25">
      <c r="A35">
        <v>-15</v>
      </c>
      <c r="B35">
        <v>45</v>
      </c>
      <c r="C35">
        <v>55</v>
      </c>
      <c r="E35">
        <v>2.97</v>
      </c>
      <c r="G35">
        <f t="shared" si="0"/>
        <v>-15</v>
      </c>
      <c r="H35" s="10">
        <f t="shared" si="0"/>
        <v>45</v>
      </c>
      <c r="I35">
        <f t="shared" si="0"/>
        <v>55</v>
      </c>
      <c r="J35">
        <f t="shared" si="1"/>
        <v>225</v>
      </c>
      <c r="K35">
        <f t="shared" si="2"/>
        <v>-675</v>
      </c>
      <c r="L35">
        <f t="shared" si="3"/>
        <v>-825</v>
      </c>
      <c r="M35">
        <f t="shared" si="4"/>
        <v>2025</v>
      </c>
      <c r="N35">
        <f t="shared" si="5"/>
        <v>2475</v>
      </c>
      <c r="O35">
        <f t="shared" si="6"/>
        <v>3025</v>
      </c>
      <c r="Q35" s="11">
        <f t="shared" si="8"/>
        <v>3.2380346032448175</v>
      </c>
      <c r="R35" s="12">
        <f t="shared" si="7"/>
        <v>9.0247341159871139E-2</v>
      </c>
      <c r="S35" s="11"/>
      <c r="T35" s="12"/>
    </row>
    <row r="36" spans="1:20" x14ac:dyDescent="0.25">
      <c r="A36">
        <v>-15</v>
      </c>
      <c r="B36">
        <v>45</v>
      </c>
      <c r="C36">
        <v>85</v>
      </c>
      <c r="E36">
        <v>5.91</v>
      </c>
      <c r="G36">
        <f t="shared" si="0"/>
        <v>-15</v>
      </c>
      <c r="H36" s="10">
        <f t="shared" si="0"/>
        <v>45</v>
      </c>
      <c r="I36">
        <f t="shared" si="0"/>
        <v>85</v>
      </c>
      <c r="J36">
        <f t="shared" si="1"/>
        <v>225</v>
      </c>
      <c r="K36">
        <f t="shared" si="2"/>
        <v>-675</v>
      </c>
      <c r="L36">
        <f t="shared" si="3"/>
        <v>-1275</v>
      </c>
      <c r="M36">
        <f t="shared" si="4"/>
        <v>2025</v>
      </c>
      <c r="N36">
        <f t="shared" si="5"/>
        <v>3825</v>
      </c>
      <c r="O36">
        <f t="shared" si="6"/>
        <v>7225</v>
      </c>
      <c r="Q36" s="11">
        <f t="shared" si="8"/>
        <v>5.6739440115424893</v>
      </c>
      <c r="R36" s="12">
        <f t="shared" si="7"/>
        <v>-3.994179161717612E-2</v>
      </c>
      <c r="S36" s="11"/>
      <c r="T36" s="12"/>
    </row>
    <row r="37" spans="1:20" x14ac:dyDescent="0.25">
      <c r="A37">
        <v>-7</v>
      </c>
      <c r="B37">
        <v>45</v>
      </c>
      <c r="C37">
        <v>36</v>
      </c>
      <c r="E37">
        <v>2.57</v>
      </c>
      <c r="G37">
        <f t="shared" si="0"/>
        <v>-7</v>
      </c>
      <c r="H37" s="10">
        <f t="shared" si="0"/>
        <v>45</v>
      </c>
      <c r="I37">
        <f t="shared" si="0"/>
        <v>36</v>
      </c>
      <c r="J37">
        <f t="shared" si="1"/>
        <v>49</v>
      </c>
      <c r="K37">
        <f t="shared" si="2"/>
        <v>-315</v>
      </c>
      <c r="L37">
        <f t="shared" si="3"/>
        <v>-252</v>
      </c>
      <c r="M37">
        <f t="shared" si="4"/>
        <v>2025</v>
      </c>
      <c r="N37">
        <f t="shared" si="5"/>
        <v>1620</v>
      </c>
      <c r="O37">
        <f t="shared" si="6"/>
        <v>1296</v>
      </c>
      <c r="Q37" s="11">
        <f t="shared" si="8"/>
        <v>2.6282741356822408</v>
      </c>
      <c r="R37" s="12">
        <f t="shared" si="7"/>
        <v>2.2674760965852504E-2</v>
      </c>
      <c r="S37" s="11"/>
      <c r="T37" s="12"/>
    </row>
    <row r="38" spans="1:20" x14ac:dyDescent="0.25">
      <c r="A38">
        <v>-7</v>
      </c>
      <c r="B38">
        <v>45</v>
      </c>
      <c r="C38">
        <v>55</v>
      </c>
      <c r="E38">
        <v>4.45</v>
      </c>
      <c r="G38">
        <f t="shared" si="0"/>
        <v>-7</v>
      </c>
      <c r="H38" s="10">
        <f t="shared" si="0"/>
        <v>45</v>
      </c>
      <c r="I38">
        <f t="shared" si="0"/>
        <v>55</v>
      </c>
      <c r="J38">
        <f t="shared" si="1"/>
        <v>49</v>
      </c>
      <c r="K38">
        <f t="shared" si="2"/>
        <v>-315</v>
      </c>
      <c r="L38">
        <f t="shared" si="3"/>
        <v>-385</v>
      </c>
      <c r="M38">
        <f t="shared" si="4"/>
        <v>2025</v>
      </c>
      <c r="N38">
        <f t="shared" si="5"/>
        <v>2475</v>
      </c>
      <c r="O38">
        <f t="shared" si="6"/>
        <v>3025</v>
      </c>
      <c r="Q38" s="11">
        <f t="shared" si="8"/>
        <v>4.463849573162646</v>
      </c>
      <c r="R38" s="12">
        <f t="shared" si="7"/>
        <v>3.1122636320552333E-3</v>
      </c>
      <c r="S38" s="11"/>
      <c r="T38" s="12"/>
    </row>
    <row r="39" spans="1:20" x14ac:dyDescent="0.25">
      <c r="A39">
        <v>-7</v>
      </c>
      <c r="B39">
        <v>45</v>
      </c>
      <c r="C39">
        <v>85</v>
      </c>
      <c r="E39">
        <v>7.55</v>
      </c>
      <c r="G39">
        <f t="shared" si="0"/>
        <v>-7</v>
      </c>
      <c r="H39" s="10">
        <f t="shared" si="0"/>
        <v>45</v>
      </c>
      <c r="I39">
        <f t="shared" si="0"/>
        <v>85</v>
      </c>
      <c r="J39">
        <f t="shared" si="1"/>
        <v>49</v>
      </c>
      <c r="K39">
        <f t="shared" si="2"/>
        <v>-315</v>
      </c>
      <c r="L39">
        <f t="shared" si="3"/>
        <v>-595</v>
      </c>
      <c r="M39">
        <f t="shared" si="4"/>
        <v>2025</v>
      </c>
      <c r="N39">
        <f t="shared" si="5"/>
        <v>3825</v>
      </c>
      <c r="O39">
        <f t="shared" si="6"/>
        <v>7225</v>
      </c>
      <c r="Q39" s="11">
        <f t="shared" si="8"/>
        <v>7.6204423691843379</v>
      </c>
      <c r="R39" s="12">
        <f t="shared" si="7"/>
        <v>9.3301151237533912E-3</v>
      </c>
      <c r="S39" s="11"/>
      <c r="T39" s="12"/>
    </row>
    <row r="40" spans="1:20" x14ac:dyDescent="0.25">
      <c r="A40">
        <v>2</v>
      </c>
      <c r="B40">
        <v>45</v>
      </c>
      <c r="C40">
        <v>36</v>
      </c>
      <c r="E40">
        <v>4.04</v>
      </c>
      <c r="G40">
        <f t="shared" si="0"/>
        <v>2</v>
      </c>
      <c r="H40" s="10">
        <f t="shared" si="0"/>
        <v>45</v>
      </c>
      <c r="I40">
        <f t="shared" si="0"/>
        <v>36</v>
      </c>
      <c r="J40">
        <f t="shared" si="1"/>
        <v>4</v>
      </c>
      <c r="K40">
        <f t="shared" si="2"/>
        <v>90</v>
      </c>
      <c r="L40">
        <f t="shared" si="3"/>
        <v>72</v>
      </c>
      <c r="M40">
        <f t="shared" si="4"/>
        <v>2025</v>
      </c>
      <c r="N40">
        <f t="shared" si="5"/>
        <v>1620</v>
      </c>
      <c r="O40">
        <f t="shared" si="6"/>
        <v>1296</v>
      </c>
      <c r="Q40" s="11">
        <f t="shared" si="8"/>
        <v>3.8213477013555428</v>
      </c>
      <c r="R40" s="12">
        <f t="shared" si="7"/>
        <v>-5.4121856100113178E-2</v>
      </c>
      <c r="S40" s="11"/>
      <c r="T40" s="12"/>
    </row>
    <row r="41" spans="1:20" x14ac:dyDescent="0.25">
      <c r="A41">
        <v>2</v>
      </c>
      <c r="B41">
        <v>45</v>
      </c>
      <c r="C41">
        <v>55</v>
      </c>
      <c r="E41">
        <v>6.32</v>
      </c>
      <c r="G41">
        <f t="shared" si="0"/>
        <v>2</v>
      </c>
      <c r="H41" s="10">
        <f t="shared" si="0"/>
        <v>45</v>
      </c>
      <c r="I41">
        <f t="shared" si="0"/>
        <v>55</v>
      </c>
      <c r="J41">
        <f t="shared" si="1"/>
        <v>4</v>
      </c>
      <c r="K41">
        <f t="shared" si="2"/>
        <v>90</v>
      </c>
      <c r="L41">
        <f t="shared" si="3"/>
        <v>110</v>
      </c>
      <c r="M41">
        <f t="shared" si="4"/>
        <v>2025</v>
      </c>
      <c r="N41">
        <f t="shared" si="5"/>
        <v>2475</v>
      </c>
      <c r="O41">
        <f t="shared" si="6"/>
        <v>3025</v>
      </c>
      <c r="Q41" s="11">
        <f t="shared" si="8"/>
        <v>6.1704100525893137</v>
      </c>
      <c r="R41" s="12">
        <f t="shared" si="7"/>
        <v>-2.366929547637445E-2</v>
      </c>
      <c r="S41" s="11"/>
      <c r="T41" s="12"/>
    </row>
    <row r="42" spans="1:20" x14ac:dyDescent="0.25">
      <c r="A42">
        <v>2</v>
      </c>
      <c r="B42">
        <v>45</v>
      </c>
      <c r="C42">
        <v>85</v>
      </c>
      <c r="E42">
        <v>10.23</v>
      </c>
      <c r="G42">
        <f t="shared" si="0"/>
        <v>2</v>
      </c>
      <c r="H42" s="10">
        <f t="shared" si="0"/>
        <v>45</v>
      </c>
      <c r="I42">
        <f t="shared" si="0"/>
        <v>85</v>
      </c>
      <c r="J42">
        <f t="shared" si="1"/>
        <v>4</v>
      </c>
      <c r="K42">
        <f t="shared" si="2"/>
        <v>90</v>
      </c>
      <c r="L42">
        <f t="shared" si="3"/>
        <v>170</v>
      </c>
      <c r="M42">
        <f t="shared" si="4"/>
        <v>2025</v>
      </c>
      <c r="N42">
        <f t="shared" si="5"/>
        <v>3825</v>
      </c>
      <c r="O42">
        <f t="shared" si="6"/>
        <v>7225</v>
      </c>
      <c r="Q42" s="11">
        <f t="shared" si="8"/>
        <v>10.13777165980053</v>
      </c>
      <c r="R42" s="12">
        <f t="shared" si="7"/>
        <v>-9.0154780253637132E-3</v>
      </c>
      <c r="S42" s="11"/>
      <c r="T42" s="12"/>
    </row>
    <row r="43" spans="1:20" x14ac:dyDescent="0.25">
      <c r="A43">
        <v>7</v>
      </c>
      <c r="B43">
        <v>45</v>
      </c>
      <c r="C43">
        <v>36</v>
      </c>
      <c r="E43">
        <v>4.8600000000000003</v>
      </c>
      <c r="G43">
        <f t="shared" si="0"/>
        <v>7</v>
      </c>
      <c r="H43" s="10">
        <f t="shared" si="0"/>
        <v>45</v>
      </c>
      <c r="I43">
        <f t="shared" si="0"/>
        <v>36</v>
      </c>
      <c r="J43">
        <f t="shared" si="1"/>
        <v>49</v>
      </c>
      <c r="K43">
        <f t="shared" si="2"/>
        <v>315</v>
      </c>
      <c r="L43">
        <f t="shared" si="3"/>
        <v>252</v>
      </c>
      <c r="M43">
        <f t="shared" si="4"/>
        <v>2025</v>
      </c>
      <c r="N43">
        <f t="shared" si="5"/>
        <v>1620</v>
      </c>
      <c r="O43">
        <f t="shared" si="6"/>
        <v>1296</v>
      </c>
      <c r="Q43" s="11">
        <f t="shared" si="8"/>
        <v>4.6340114775716792</v>
      </c>
      <c r="R43" s="12">
        <f t="shared" si="7"/>
        <v>-4.6499695972905576E-2</v>
      </c>
      <c r="S43" s="11"/>
      <c r="T43" s="12"/>
    </row>
    <row r="44" spans="1:20" x14ac:dyDescent="0.25">
      <c r="A44">
        <v>7</v>
      </c>
      <c r="B44">
        <v>45</v>
      </c>
      <c r="C44">
        <v>55</v>
      </c>
      <c r="E44">
        <v>7.19</v>
      </c>
      <c r="G44">
        <f t="shared" si="0"/>
        <v>7</v>
      </c>
      <c r="H44" s="10">
        <f t="shared" si="0"/>
        <v>45</v>
      </c>
      <c r="I44">
        <f t="shared" si="0"/>
        <v>55</v>
      </c>
      <c r="J44">
        <f t="shared" si="1"/>
        <v>49</v>
      </c>
      <c r="K44">
        <f t="shared" si="2"/>
        <v>315</v>
      </c>
      <c r="L44">
        <f t="shared" si="3"/>
        <v>385</v>
      </c>
      <c r="M44">
        <f t="shared" si="4"/>
        <v>2025</v>
      </c>
      <c r="N44">
        <f t="shared" si="5"/>
        <v>2475</v>
      </c>
      <c r="O44">
        <f t="shared" si="6"/>
        <v>3025</v>
      </c>
      <c r="Q44" s="11">
        <f t="shared" si="8"/>
        <v>7.2683443364462059</v>
      </c>
      <c r="R44" s="12">
        <f t="shared" si="7"/>
        <v>1.089629157805362E-2</v>
      </c>
      <c r="S44" s="11"/>
      <c r="T44" s="12"/>
    </row>
    <row r="45" spans="1:20" x14ac:dyDescent="0.25">
      <c r="A45">
        <v>7</v>
      </c>
      <c r="B45">
        <v>45</v>
      </c>
      <c r="C45">
        <v>85</v>
      </c>
      <c r="E45">
        <v>11.48</v>
      </c>
      <c r="G45">
        <f t="shared" si="0"/>
        <v>7</v>
      </c>
      <c r="H45" s="10">
        <f t="shared" si="0"/>
        <v>45</v>
      </c>
      <c r="I45">
        <f t="shared" si="0"/>
        <v>85</v>
      </c>
      <c r="J45">
        <f t="shared" si="1"/>
        <v>49</v>
      </c>
      <c r="K45">
        <f t="shared" si="2"/>
        <v>315</v>
      </c>
      <c r="L45">
        <f t="shared" si="3"/>
        <v>595</v>
      </c>
      <c r="M45">
        <f t="shared" si="4"/>
        <v>2025</v>
      </c>
      <c r="N45">
        <f t="shared" si="5"/>
        <v>3825</v>
      </c>
      <c r="O45">
        <f t="shared" si="6"/>
        <v>7225</v>
      </c>
      <c r="Q45" s="11">
        <f t="shared" si="8"/>
        <v>11.686133060984938</v>
      </c>
      <c r="R45" s="12">
        <f t="shared" si="7"/>
        <v>1.7955841549210576E-2</v>
      </c>
      <c r="S45" s="11"/>
      <c r="T45" s="12"/>
    </row>
    <row r="46" spans="1:20" x14ac:dyDescent="0.25">
      <c r="A46">
        <v>12</v>
      </c>
      <c r="B46">
        <v>45</v>
      </c>
      <c r="C46">
        <v>36</v>
      </c>
      <c r="E46">
        <v>5.22</v>
      </c>
      <c r="G46">
        <f t="shared" si="0"/>
        <v>12</v>
      </c>
      <c r="H46" s="10">
        <f t="shared" si="0"/>
        <v>45</v>
      </c>
      <c r="I46">
        <f t="shared" si="0"/>
        <v>36</v>
      </c>
      <c r="J46">
        <f t="shared" si="1"/>
        <v>144</v>
      </c>
      <c r="K46">
        <f t="shared" si="2"/>
        <v>540</v>
      </c>
      <c r="L46">
        <f t="shared" si="3"/>
        <v>432</v>
      </c>
      <c r="M46">
        <f t="shared" si="4"/>
        <v>2025</v>
      </c>
      <c r="N46">
        <f t="shared" si="5"/>
        <v>1620</v>
      </c>
      <c r="O46">
        <f t="shared" si="6"/>
        <v>1296</v>
      </c>
      <c r="Q46" s="11">
        <f t="shared" si="8"/>
        <v>5.5537074885162827</v>
      </c>
      <c r="R46" s="12">
        <f t="shared" si="7"/>
        <v>6.3928637646797501E-2</v>
      </c>
      <c r="S46" s="11"/>
      <c r="T46" s="12"/>
    </row>
    <row r="47" spans="1:20" x14ac:dyDescent="0.25">
      <c r="A47">
        <v>12</v>
      </c>
      <c r="B47">
        <v>45</v>
      </c>
      <c r="C47">
        <v>55</v>
      </c>
      <c r="E47">
        <v>8.6199999999999992</v>
      </c>
      <c r="G47">
        <f t="shared" si="0"/>
        <v>12</v>
      </c>
      <c r="H47" s="10">
        <f t="shared" si="0"/>
        <v>45</v>
      </c>
      <c r="I47">
        <f t="shared" si="0"/>
        <v>55</v>
      </c>
      <c r="J47">
        <f t="shared" si="1"/>
        <v>144</v>
      </c>
      <c r="K47">
        <f t="shared" si="2"/>
        <v>540</v>
      </c>
      <c r="L47">
        <f t="shared" si="3"/>
        <v>660</v>
      </c>
      <c r="M47">
        <f t="shared" si="4"/>
        <v>2025</v>
      </c>
      <c r="N47">
        <f t="shared" si="5"/>
        <v>2475</v>
      </c>
      <c r="O47">
        <f t="shared" si="6"/>
        <v>3025</v>
      </c>
      <c r="Q47" s="11">
        <f t="shared" si="8"/>
        <v>8.4733108550315706</v>
      </c>
      <c r="R47" s="12">
        <f t="shared" si="7"/>
        <v>-1.7017302200513767E-2</v>
      </c>
      <c r="S47" s="11"/>
      <c r="T47" s="12"/>
    </row>
    <row r="48" spans="1:20" x14ac:dyDescent="0.25">
      <c r="A48">
        <v>12</v>
      </c>
      <c r="B48">
        <v>45</v>
      </c>
      <c r="C48">
        <v>85</v>
      </c>
      <c r="E48">
        <v>13.28</v>
      </c>
      <c r="G48">
        <f t="shared" si="0"/>
        <v>12</v>
      </c>
      <c r="H48" s="10">
        <f t="shared" si="0"/>
        <v>45</v>
      </c>
      <c r="I48">
        <f t="shared" si="0"/>
        <v>85</v>
      </c>
      <c r="J48">
        <f t="shared" si="1"/>
        <v>144</v>
      </c>
      <c r="K48">
        <f t="shared" si="2"/>
        <v>540</v>
      </c>
      <c r="L48">
        <f t="shared" si="3"/>
        <v>1020</v>
      </c>
      <c r="M48">
        <f t="shared" si="4"/>
        <v>2025</v>
      </c>
      <c r="N48">
        <f t="shared" si="5"/>
        <v>3825</v>
      </c>
      <c r="O48">
        <f t="shared" si="6"/>
        <v>7225</v>
      </c>
      <c r="Q48" s="11">
        <f t="shared" si="8"/>
        <v>13.341526696897814</v>
      </c>
      <c r="R48" s="12">
        <f t="shared" si="7"/>
        <v>4.6330344049559311E-3</v>
      </c>
      <c r="S48" s="11"/>
      <c r="T48" s="12"/>
    </row>
    <row r="51" spans="1:18" x14ac:dyDescent="0.25">
      <c r="A51" t="s">
        <v>27</v>
      </c>
      <c r="G51" s="4" t="s">
        <v>1</v>
      </c>
      <c r="H51" s="4" t="s">
        <v>2</v>
      </c>
      <c r="I51" s="4" t="s">
        <v>3</v>
      </c>
      <c r="J51" s="4" t="s">
        <v>4</v>
      </c>
      <c r="K51" s="4" t="s">
        <v>5</v>
      </c>
      <c r="L51" s="4" t="s">
        <v>6</v>
      </c>
      <c r="M51" s="4" t="s">
        <v>7</v>
      </c>
      <c r="N51" s="4" t="s">
        <v>8</v>
      </c>
      <c r="O51" s="4" t="s">
        <v>9</v>
      </c>
      <c r="P51" s="4" t="s">
        <v>10</v>
      </c>
    </row>
    <row r="52" spans="1:18" x14ac:dyDescent="0.25">
      <c r="A52" s="1"/>
      <c r="C52" s="1"/>
      <c r="D52" s="1"/>
      <c r="E52" s="1"/>
      <c r="F52" s="1"/>
      <c r="G52" s="4">
        <f t="array" ref="G52:P52">LINEST(E54:E98,G54:O98)</f>
        <v>2.7724072084974339E-4</v>
      </c>
      <c r="H52" s="4">
        <v>5.2086291643910383E-4</v>
      </c>
      <c r="I52" s="4">
        <v>4.7333333333333114E-4</v>
      </c>
      <c r="J52" s="4">
        <v>4.6473607175332853E-4</v>
      </c>
      <c r="K52" s="4">
        <v>4.5751911639762026E-4</v>
      </c>
      <c r="L52" s="4">
        <v>-2.71725570608561E-4</v>
      </c>
      <c r="M52" s="4">
        <v>-1.4173178002204256E-2</v>
      </c>
      <c r="N52" s="4">
        <v>-2.9199120607814402E-2</v>
      </c>
      <c r="O52" s="4">
        <v>-3.6091301575639438E-2</v>
      </c>
      <c r="P52" s="4">
        <v>1.0534838468303713</v>
      </c>
    </row>
    <row r="53" spans="1:18" ht="45" x14ac:dyDescent="0.25">
      <c r="A53" s="5" t="s">
        <v>11</v>
      </c>
      <c r="B53" s="5" t="s">
        <v>12</v>
      </c>
      <c r="C53" s="5" t="s">
        <v>13</v>
      </c>
      <c r="D53" s="6"/>
      <c r="E53" s="7" t="s">
        <v>14</v>
      </c>
      <c r="F53" s="3"/>
      <c r="G53" s="8" t="s">
        <v>17</v>
      </c>
      <c r="H53" s="8" t="s">
        <v>18</v>
      </c>
      <c r="I53" s="8" t="s">
        <v>0</v>
      </c>
      <c r="J53" s="8" t="s">
        <v>19</v>
      </c>
      <c r="K53" s="8" t="s">
        <v>20</v>
      </c>
      <c r="L53" s="8" t="s">
        <v>21</v>
      </c>
      <c r="M53" s="8" t="s">
        <v>22</v>
      </c>
      <c r="N53" s="8" t="s">
        <v>23</v>
      </c>
      <c r="O53" s="8" t="s">
        <v>24</v>
      </c>
      <c r="P53" s="3"/>
      <c r="Q53" s="9" t="s">
        <v>14</v>
      </c>
      <c r="R53" s="9" t="s">
        <v>15</v>
      </c>
    </row>
    <row r="54" spans="1:18" x14ac:dyDescent="0.25">
      <c r="A54">
        <v>-15</v>
      </c>
      <c r="B54">
        <v>25</v>
      </c>
      <c r="C54">
        <v>36</v>
      </c>
      <c r="E54">
        <v>0.94</v>
      </c>
      <c r="F54" s="2"/>
      <c r="G54">
        <f t="shared" ref="G54:I98" si="9">A54</f>
        <v>-15</v>
      </c>
      <c r="H54" s="10">
        <f t="shared" si="9"/>
        <v>25</v>
      </c>
      <c r="I54">
        <f t="shared" si="9"/>
        <v>36</v>
      </c>
      <c r="J54">
        <f t="shared" ref="J54:J98" si="10">G54^2</f>
        <v>225</v>
      </c>
      <c r="K54">
        <f t="shared" ref="K54:K98" si="11">G54*H54</f>
        <v>-375</v>
      </c>
      <c r="L54">
        <f t="shared" ref="L54:L98" si="12">G54*I54</f>
        <v>-540</v>
      </c>
      <c r="M54">
        <f t="shared" ref="M54:M98" si="13">H54^2</f>
        <v>625</v>
      </c>
      <c r="N54">
        <f t="shared" ref="N54:N98" si="14">H54*I54</f>
        <v>900</v>
      </c>
      <c r="O54">
        <f t="shared" ref="O54:O98" si="15">I54^2</f>
        <v>1296</v>
      </c>
      <c r="Q54" s="11">
        <f>$P$52+$O$52*G54+$N$52*H54+$M$52*I54+$L$52*J54+$K$52*K54+$J$52*L54+$I$52*M54+$H$52*N54+$G$52*O54</f>
        <v>0.99488947875721112</v>
      </c>
      <c r="R54" s="12">
        <f t="shared" ref="R54:R98" si="16">(Q54-E54)/E54</f>
        <v>5.8393062507671463E-2</v>
      </c>
    </row>
    <row r="55" spans="1:18" x14ac:dyDescent="0.25">
      <c r="A55">
        <v>-15</v>
      </c>
      <c r="B55">
        <v>25</v>
      </c>
      <c r="C55">
        <v>55</v>
      </c>
      <c r="E55">
        <v>1.33</v>
      </c>
      <c r="F55" s="2"/>
      <c r="G55">
        <f t="shared" si="9"/>
        <v>-15</v>
      </c>
      <c r="H55" s="10">
        <f t="shared" si="9"/>
        <v>25</v>
      </c>
      <c r="I55">
        <f t="shared" si="9"/>
        <v>55</v>
      </c>
      <c r="J55">
        <f t="shared" si="10"/>
        <v>225</v>
      </c>
      <c r="K55">
        <f t="shared" si="11"/>
        <v>-375</v>
      </c>
      <c r="L55">
        <f t="shared" si="12"/>
        <v>-825</v>
      </c>
      <c r="M55">
        <f t="shared" si="13"/>
        <v>625</v>
      </c>
      <c r="N55">
        <f t="shared" si="14"/>
        <v>1375</v>
      </c>
      <c r="O55">
        <f t="shared" si="15"/>
        <v>3025</v>
      </c>
      <c r="Q55" s="11">
        <f t="shared" ref="Q55:Q98" si="17">$P$52+$O$52*G55+$N$52*H55+$M$52*I55+$L$52*J55+$K$52*K55+$J$52*L55+$I$52*M55+$H$52*N55+$G$52*O55</f>
        <v>1.3199084079234122</v>
      </c>
      <c r="R55" s="12">
        <f t="shared" si="16"/>
        <v>-7.5876632154795705E-3</v>
      </c>
    </row>
    <row r="56" spans="1:18" x14ac:dyDescent="0.25">
      <c r="A56">
        <v>-15</v>
      </c>
      <c r="B56">
        <v>25</v>
      </c>
      <c r="C56">
        <v>85</v>
      </c>
      <c r="E56">
        <v>2.21</v>
      </c>
      <c r="F56" s="2"/>
      <c r="G56">
        <f t="shared" si="9"/>
        <v>-15</v>
      </c>
      <c r="H56" s="10">
        <f t="shared" si="9"/>
        <v>25</v>
      </c>
      <c r="I56">
        <f t="shared" si="9"/>
        <v>85</v>
      </c>
      <c r="J56">
        <f t="shared" si="10"/>
        <v>225</v>
      </c>
      <c r="K56">
        <f t="shared" si="11"/>
        <v>-375</v>
      </c>
      <c r="L56">
        <f t="shared" si="12"/>
        <v>-1275</v>
      </c>
      <c r="M56">
        <f t="shared" si="13"/>
        <v>625</v>
      </c>
      <c r="N56">
        <f t="shared" si="14"/>
        <v>2125</v>
      </c>
      <c r="O56">
        <f t="shared" si="15"/>
        <v>7225</v>
      </c>
      <c r="Q56" s="11">
        <f t="shared" si="17"/>
        <v>2.2406400504665371</v>
      </c>
      <c r="R56" s="12">
        <f t="shared" si="16"/>
        <v>1.3864276229202341E-2</v>
      </c>
    </row>
    <row r="57" spans="1:18" x14ac:dyDescent="0.25">
      <c r="A57">
        <v>-7</v>
      </c>
      <c r="B57">
        <v>25</v>
      </c>
      <c r="C57">
        <v>36</v>
      </c>
      <c r="E57">
        <v>0.91</v>
      </c>
      <c r="F57" s="2"/>
      <c r="G57">
        <f t="shared" si="9"/>
        <v>-7</v>
      </c>
      <c r="H57" s="10">
        <f t="shared" si="9"/>
        <v>25</v>
      </c>
      <c r="I57">
        <f t="shared" si="9"/>
        <v>36</v>
      </c>
      <c r="J57">
        <f t="shared" si="10"/>
        <v>49</v>
      </c>
      <c r="K57">
        <f t="shared" si="11"/>
        <v>-175</v>
      </c>
      <c r="L57">
        <f t="shared" si="12"/>
        <v>-252</v>
      </c>
      <c r="M57">
        <f t="shared" si="13"/>
        <v>625</v>
      </c>
      <c r="N57">
        <f t="shared" si="14"/>
        <v>900</v>
      </c>
      <c r="O57">
        <f t="shared" si="15"/>
        <v>1296</v>
      </c>
      <c r="Q57" s="11">
        <f t="shared" si="17"/>
        <v>0.97933057852368521</v>
      </c>
      <c r="R57" s="12">
        <f t="shared" si="16"/>
        <v>7.6187448927126575E-2</v>
      </c>
    </row>
    <row r="58" spans="1:18" x14ac:dyDescent="0.25">
      <c r="A58">
        <v>-7</v>
      </c>
      <c r="B58">
        <v>25</v>
      </c>
      <c r="C58">
        <v>55</v>
      </c>
      <c r="E58">
        <v>1.41</v>
      </c>
      <c r="F58" s="2"/>
      <c r="G58">
        <f t="shared" si="9"/>
        <v>-7</v>
      </c>
      <c r="H58" s="10">
        <f t="shared" si="9"/>
        <v>25</v>
      </c>
      <c r="I58">
        <f t="shared" si="9"/>
        <v>55</v>
      </c>
      <c r="J58">
        <f t="shared" si="10"/>
        <v>49</v>
      </c>
      <c r="K58">
        <f t="shared" si="11"/>
        <v>-175</v>
      </c>
      <c r="L58">
        <f t="shared" si="12"/>
        <v>-385</v>
      </c>
      <c r="M58">
        <f t="shared" si="13"/>
        <v>625</v>
      </c>
      <c r="N58">
        <f t="shared" si="14"/>
        <v>1375</v>
      </c>
      <c r="O58">
        <f t="shared" si="15"/>
        <v>3025</v>
      </c>
      <c r="Q58" s="11">
        <f t="shared" si="17"/>
        <v>1.3749893905963924</v>
      </c>
      <c r="R58" s="12">
        <f t="shared" si="16"/>
        <v>-2.4830219435182668E-2</v>
      </c>
    </row>
    <row r="59" spans="1:18" x14ac:dyDescent="0.25">
      <c r="A59">
        <v>-7</v>
      </c>
      <c r="B59">
        <v>25</v>
      </c>
      <c r="C59">
        <v>85</v>
      </c>
      <c r="E59">
        <v>2.4</v>
      </c>
      <c r="F59" s="2"/>
      <c r="G59">
        <f t="shared" si="9"/>
        <v>-7</v>
      </c>
      <c r="H59" s="10">
        <f t="shared" si="9"/>
        <v>25</v>
      </c>
      <c r="I59">
        <f t="shared" si="9"/>
        <v>85</v>
      </c>
      <c r="J59">
        <f t="shared" si="10"/>
        <v>49</v>
      </c>
      <c r="K59">
        <f t="shared" si="11"/>
        <v>-175</v>
      </c>
      <c r="L59">
        <f t="shared" si="12"/>
        <v>-595</v>
      </c>
      <c r="M59">
        <f t="shared" si="13"/>
        <v>625</v>
      </c>
      <c r="N59">
        <f t="shared" si="14"/>
        <v>2125</v>
      </c>
      <c r="O59">
        <f t="shared" si="15"/>
        <v>7225</v>
      </c>
      <c r="Q59" s="11">
        <f t="shared" si="17"/>
        <v>2.407257690360316</v>
      </c>
      <c r="R59" s="12">
        <f t="shared" si="16"/>
        <v>3.0240376501317057E-3</v>
      </c>
    </row>
    <row r="60" spans="1:18" x14ac:dyDescent="0.25">
      <c r="A60">
        <v>2</v>
      </c>
      <c r="B60">
        <v>25</v>
      </c>
      <c r="C60">
        <v>36</v>
      </c>
      <c r="E60">
        <v>0.95</v>
      </c>
      <c r="F60" s="2"/>
      <c r="G60">
        <f t="shared" si="9"/>
        <v>2</v>
      </c>
      <c r="H60" s="10">
        <f t="shared" si="9"/>
        <v>25</v>
      </c>
      <c r="I60">
        <f t="shared" si="9"/>
        <v>36</v>
      </c>
      <c r="J60">
        <f t="shared" si="10"/>
        <v>4</v>
      </c>
      <c r="K60">
        <f t="shared" si="11"/>
        <v>50</v>
      </c>
      <c r="L60">
        <f t="shared" si="12"/>
        <v>72</v>
      </c>
      <c r="M60">
        <f t="shared" si="13"/>
        <v>625</v>
      </c>
      <c r="N60">
        <f t="shared" si="14"/>
        <v>900</v>
      </c>
      <c r="O60">
        <f t="shared" si="15"/>
        <v>1296</v>
      </c>
      <c r="Q60" s="11">
        <f t="shared" si="17"/>
        <v>0.92025280345785854</v>
      </c>
      <c r="R60" s="12">
        <f t="shared" si="16"/>
        <v>-3.1312838465412024E-2</v>
      </c>
    </row>
    <row r="61" spans="1:18" x14ac:dyDescent="0.25">
      <c r="A61">
        <v>2</v>
      </c>
      <c r="B61">
        <v>25</v>
      </c>
      <c r="C61">
        <v>55</v>
      </c>
      <c r="E61">
        <v>1.4</v>
      </c>
      <c r="F61" s="2"/>
      <c r="G61">
        <f t="shared" si="9"/>
        <v>2</v>
      </c>
      <c r="H61" s="10">
        <f t="shared" si="9"/>
        <v>25</v>
      </c>
      <c r="I61">
        <f t="shared" si="9"/>
        <v>55</v>
      </c>
      <c r="J61">
        <f t="shared" si="10"/>
        <v>4</v>
      </c>
      <c r="K61">
        <f t="shared" si="11"/>
        <v>50</v>
      </c>
      <c r="L61">
        <f t="shared" si="12"/>
        <v>110</v>
      </c>
      <c r="M61">
        <f t="shared" si="13"/>
        <v>625</v>
      </c>
      <c r="N61">
        <f t="shared" si="14"/>
        <v>1375</v>
      </c>
      <c r="O61">
        <f t="shared" si="15"/>
        <v>3025</v>
      </c>
      <c r="Q61" s="11">
        <f t="shared" si="17"/>
        <v>1.3953814838003846</v>
      </c>
      <c r="R61" s="12">
        <f t="shared" si="16"/>
        <v>-3.2989401425823472E-3</v>
      </c>
    </row>
    <row r="62" spans="1:18" x14ac:dyDescent="0.25">
      <c r="A62">
        <v>2</v>
      </c>
      <c r="B62">
        <v>25</v>
      </c>
      <c r="C62">
        <v>85</v>
      </c>
      <c r="E62">
        <v>2.5499999999999998</v>
      </c>
      <c r="F62" s="2"/>
      <c r="G62">
        <f t="shared" si="9"/>
        <v>2</v>
      </c>
      <c r="H62" s="10">
        <f t="shared" si="9"/>
        <v>25</v>
      </c>
      <c r="I62">
        <f t="shared" si="9"/>
        <v>85</v>
      </c>
      <c r="J62">
        <f t="shared" si="10"/>
        <v>4</v>
      </c>
      <c r="K62">
        <f t="shared" si="11"/>
        <v>50</v>
      </c>
      <c r="L62">
        <f t="shared" si="12"/>
        <v>170</v>
      </c>
      <c r="M62">
        <f t="shared" si="13"/>
        <v>625</v>
      </c>
      <c r="N62">
        <f t="shared" si="14"/>
        <v>2125</v>
      </c>
      <c r="O62">
        <f t="shared" si="15"/>
        <v>7225</v>
      </c>
      <c r="Q62" s="11">
        <f t="shared" si="17"/>
        <v>2.553128522937707</v>
      </c>
      <c r="R62" s="12">
        <f t="shared" si="16"/>
        <v>1.2268717402773165E-3</v>
      </c>
    </row>
    <row r="63" spans="1:18" x14ac:dyDescent="0.25">
      <c r="A63">
        <v>7</v>
      </c>
      <c r="B63">
        <v>25</v>
      </c>
      <c r="C63">
        <v>36</v>
      </c>
      <c r="E63">
        <v>0.92</v>
      </c>
      <c r="F63" s="2"/>
      <c r="G63">
        <f t="shared" si="9"/>
        <v>7</v>
      </c>
      <c r="H63" s="10">
        <f t="shared" si="9"/>
        <v>25</v>
      </c>
      <c r="I63">
        <f t="shared" si="9"/>
        <v>36</v>
      </c>
      <c r="J63">
        <f t="shared" si="10"/>
        <v>49</v>
      </c>
      <c r="K63">
        <f t="shared" si="11"/>
        <v>175</v>
      </c>
      <c r="L63">
        <f t="shared" si="12"/>
        <v>252</v>
      </c>
      <c r="M63">
        <f t="shared" si="13"/>
        <v>625</v>
      </c>
      <c r="N63">
        <f t="shared" si="14"/>
        <v>900</v>
      </c>
      <c r="O63">
        <f t="shared" si="15"/>
        <v>1296</v>
      </c>
      <c r="Q63" s="11">
        <f t="shared" si="17"/>
        <v>0.8684110273675778</v>
      </c>
      <c r="R63" s="12">
        <f t="shared" si="16"/>
        <v>-5.6074970252632861E-2</v>
      </c>
    </row>
    <row r="64" spans="1:18" x14ac:dyDescent="0.25">
      <c r="A64">
        <v>7</v>
      </c>
      <c r="B64">
        <v>25</v>
      </c>
      <c r="C64">
        <v>55</v>
      </c>
      <c r="E64">
        <v>1.39</v>
      </c>
      <c r="F64" s="2"/>
      <c r="G64">
        <f t="shared" si="9"/>
        <v>7</v>
      </c>
      <c r="H64" s="10">
        <f t="shared" si="9"/>
        <v>25</v>
      </c>
      <c r="I64">
        <f t="shared" si="9"/>
        <v>55</v>
      </c>
      <c r="J64">
        <f t="shared" si="10"/>
        <v>49</v>
      </c>
      <c r="K64">
        <f t="shared" si="11"/>
        <v>175</v>
      </c>
      <c r="L64">
        <f t="shared" si="12"/>
        <v>385</v>
      </c>
      <c r="M64">
        <f t="shared" si="13"/>
        <v>625</v>
      </c>
      <c r="N64">
        <f t="shared" si="14"/>
        <v>1375</v>
      </c>
      <c r="O64">
        <f t="shared" si="15"/>
        <v>3025</v>
      </c>
      <c r="Q64" s="11">
        <f t="shared" si="17"/>
        <v>1.38768963452667</v>
      </c>
      <c r="R64" s="12">
        <f t="shared" si="16"/>
        <v>-1.6621334340502563E-3</v>
      </c>
    </row>
    <row r="65" spans="1:18" x14ac:dyDescent="0.25">
      <c r="A65">
        <v>7</v>
      </c>
      <c r="B65">
        <v>25</v>
      </c>
      <c r="C65">
        <v>85</v>
      </c>
      <c r="E65">
        <v>2.6</v>
      </c>
      <c r="F65" s="2"/>
      <c r="G65">
        <f t="shared" si="9"/>
        <v>7</v>
      </c>
      <c r="H65" s="10">
        <f t="shared" si="9"/>
        <v>25</v>
      </c>
      <c r="I65">
        <f t="shared" si="9"/>
        <v>85</v>
      </c>
      <c r="J65">
        <f t="shared" si="10"/>
        <v>49</v>
      </c>
      <c r="K65">
        <f t="shared" si="11"/>
        <v>175</v>
      </c>
      <c r="L65">
        <f t="shared" si="12"/>
        <v>595</v>
      </c>
      <c r="M65">
        <f t="shared" si="13"/>
        <v>625</v>
      </c>
      <c r="N65">
        <f t="shared" si="14"/>
        <v>2125</v>
      </c>
      <c r="O65">
        <f t="shared" si="15"/>
        <v>7225</v>
      </c>
      <c r="Q65" s="11">
        <f t="shared" si="17"/>
        <v>2.615147084426992</v>
      </c>
      <c r="R65" s="12">
        <f t="shared" si="16"/>
        <v>5.8258017026891779E-3</v>
      </c>
    </row>
    <row r="66" spans="1:18" x14ac:dyDescent="0.25">
      <c r="A66">
        <v>12</v>
      </c>
      <c r="B66">
        <v>25</v>
      </c>
      <c r="C66">
        <v>36</v>
      </c>
      <c r="E66">
        <v>0.86</v>
      </c>
      <c r="F66" s="2"/>
      <c r="G66">
        <f t="shared" si="9"/>
        <v>12</v>
      </c>
      <c r="H66" s="10">
        <f t="shared" si="9"/>
        <v>25</v>
      </c>
      <c r="I66">
        <f t="shared" si="9"/>
        <v>36</v>
      </c>
      <c r="J66">
        <f t="shared" si="10"/>
        <v>144</v>
      </c>
      <c r="K66">
        <f t="shared" si="11"/>
        <v>300</v>
      </c>
      <c r="L66">
        <f t="shared" si="12"/>
        <v>432</v>
      </c>
      <c r="M66">
        <f t="shared" si="13"/>
        <v>625</v>
      </c>
      <c r="N66">
        <f t="shared" si="14"/>
        <v>900</v>
      </c>
      <c r="O66">
        <f t="shared" si="15"/>
        <v>1296</v>
      </c>
      <c r="Q66" s="11">
        <f t="shared" si="17"/>
        <v>0.80298297274686903</v>
      </c>
      <c r="R66" s="12">
        <f t="shared" si="16"/>
        <v>-6.6298868898989491E-2</v>
      </c>
    </row>
    <row r="67" spans="1:18" x14ac:dyDescent="0.25">
      <c r="A67">
        <v>12</v>
      </c>
      <c r="B67">
        <v>25</v>
      </c>
      <c r="C67">
        <v>55</v>
      </c>
      <c r="E67">
        <v>1.35</v>
      </c>
      <c r="F67" s="2"/>
      <c r="G67">
        <f t="shared" si="9"/>
        <v>12</v>
      </c>
      <c r="H67" s="10">
        <f t="shared" si="9"/>
        <v>25</v>
      </c>
      <c r="I67">
        <f t="shared" si="9"/>
        <v>55</v>
      </c>
      <c r="J67">
        <f t="shared" si="10"/>
        <v>144</v>
      </c>
      <c r="K67">
        <f t="shared" si="11"/>
        <v>300</v>
      </c>
      <c r="L67">
        <f t="shared" si="12"/>
        <v>660</v>
      </c>
      <c r="M67">
        <f t="shared" si="13"/>
        <v>625</v>
      </c>
      <c r="N67">
        <f t="shared" si="14"/>
        <v>1375</v>
      </c>
      <c r="O67">
        <f t="shared" si="15"/>
        <v>3025</v>
      </c>
      <c r="Q67" s="11">
        <f t="shared" si="17"/>
        <v>1.3664115067225278</v>
      </c>
      <c r="R67" s="12">
        <f t="shared" si="16"/>
        <v>1.2156671646316791E-2</v>
      </c>
    </row>
    <row r="68" spans="1:18" x14ac:dyDescent="0.25">
      <c r="A68">
        <v>12</v>
      </c>
      <c r="B68">
        <v>25</v>
      </c>
      <c r="C68">
        <v>85</v>
      </c>
      <c r="E68">
        <v>2.67</v>
      </c>
      <c r="F68" s="2"/>
      <c r="G68">
        <f t="shared" si="9"/>
        <v>12</v>
      </c>
      <c r="H68" s="10">
        <f t="shared" si="9"/>
        <v>25</v>
      </c>
      <c r="I68">
        <f t="shared" si="9"/>
        <v>85</v>
      </c>
      <c r="J68">
        <f t="shared" si="10"/>
        <v>144</v>
      </c>
      <c r="K68">
        <f t="shared" si="11"/>
        <v>300</v>
      </c>
      <c r="L68">
        <f t="shared" si="12"/>
        <v>1020</v>
      </c>
      <c r="M68">
        <f t="shared" si="13"/>
        <v>625</v>
      </c>
      <c r="N68">
        <f t="shared" si="14"/>
        <v>2125</v>
      </c>
      <c r="O68">
        <f t="shared" si="15"/>
        <v>7225</v>
      </c>
      <c r="Q68" s="11">
        <f t="shared" si="17"/>
        <v>2.6635793673858483</v>
      </c>
      <c r="R68" s="12">
        <f t="shared" si="16"/>
        <v>-2.4047313161616479E-3</v>
      </c>
    </row>
    <row r="69" spans="1:18" x14ac:dyDescent="0.25">
      <c r="A69">
        <v>-15</v>
      </c>
      <c r="B69">
        <v>35</v>
      </c>
      <c r="C69">
        <v>36</v>
      </c>
      <c r="E69">
        <v>1.1299999999999999</v>
      </c>
      <c r="F69" s="2"/>
      <c r="G69">
        <f t="shared" si="9"/>
        <v>-15</v>
      </c>
      <c r="H69" s="10">
        <f t="shared" si="9"/>
        <v>35</v>
      </c>
      <c r="I69">
        <f t="shared" si="9"/>
        <v>36</v>
      </c>
      <c r="J69">
        <f t="shared" si="10"/>
        <v>225</v>
      </c>
      <c r="K69">
        <f t="shared" si="11"/>
        <v>-525</v>
      </c>
      <c r="L69">
        <f t="shared" si="12"/>
        <v>-540</v>
      </c>
      <c r="M69">
        <f t="shared" si="13"/>
        <v>1225</v>
      </c>
      <c r="N69">
        <f t="shared" si="14"/>
        <v>1260</v>
      </c>
      <c r="O69">
        <f t="shared" si="15"/>
        <v>1296</v>
      </c>
      <c r="Q69" s="11">
        <f t="shared" si="17"/>
        <v>1.1057810551375002</v>
      </c>
      <c r="R69" s="12">
        <f t="shared" si="16"/>
        <v>-2.1432694568583762E-2</v>
      </c>
    </row>
    <row r="70" spans="1:18" x14ac:dyDescent="0.25">
      <c r="A70">
        <v>-15</v>
      </c>
      <c r="B70">
        <v>35</v>
      </c>
      <c r="C70">
        <v>55</v>
      </c>
      <c r="E70">
        <v>1.63</v>
      </c>
      <c r="F70" s="2"/>
      <c r="G70">
        <f t="shared" si="9"/>
        <v>-15</v>
      </c>
      <c r="H70" s="10">
        <f t="shared" si="9"/>
        <v>35</v>
      </c>
      <c r="I70">
        <f t="shared" si="9"/>
        <v>55</v>
      </c>
      <c r="J70">
        <f t="shared" si="10"/>
        <v>225</v>
      </c>
      <c r="K70">
        <f t="shared" si="11"/>
        <v>-525</v>
      </c>
      <c r="L70">
        <f t="shared" si="12"/>
        <v>-825</v>
      </c>
      <c r="M70">
        <f t="shared" si="13"/>
        <v>1225</v>
      </c>
      <c r="N70">
        <f t="shared" si="14"/>
        <v>1925</v>
      </c>
      <c r="O70">
        <f t="shared" si="15"/>
        <v>3025</v>
      </c>
      <c r="Q70" s="11">
        <f t="shared" si="17"/>
        <v>1.5297639384271311</v>
      </c>
      <c r="R70" s="12">
        <f t="shared" si="16"/>
        <v>-6.14945163023735E-2</v>
      </c>
    </row>
    <row r="71" spans="1:18" x14ac:dyDescent="0.25">
      <c r="A71">
        <v>-15</v>
      </c>
      <c r="B71">
        <v>35</v>
      </c>
      <c r="C71">
        <v>85</v>
      </c>
      <c r="E71">
        <v>2.66</v>
      </c>
      <c r="F71" s="2"/>
      <c r="G71">
        <f t="shared" si="9"/>
        <v>-15</v>
      </c>
      <c r="H71" s="10">
        <f t="shared" si="9"/>
        <v>35</v>
      </c>
      <c r="I71">
        <f t="shared" si="9"/>
        <v>85</v>
      </c>
      <c r="J71">
        <f t="shared" si="10"/>
        <v>225</v>
      </c>
      <c r="K71">
        <f t="shared" si="11"/>
        <v>-525</v>
      </c>
      <c r="L71">
        <f t="shared" si="12"/>
        <v>-1275</v>
      </c>
      <c r="M71">
        <f t="shared" si="13"/>
        <v>1225</v>
      </c>
      <c r="N71">
        <f t="shared" si="14"/>
        <v>2975</v>
      </c>
      <c r="O71">
        <f t="shared" si="15"/>
        <v>7225</v>
      </c>
      <c r="Q71" s="11">
        <f t="shared" si="17"/>
        <v>2.6067544559019868</v>
      </c>
      <c r="R71" s="12">
        <f t="shared" si="16"/>
        <v>-2.0017121841358381E-2</v>
      </c>
    </row>
    <row r="72" spans="1:18" x14ac:dyDescent="0.25">
      <c r="A72">
        <v>-7</v>
      </c>
      <c r="B72">
        <v>35</v>
      </c>
      <c r="C72">
        <v>36</v>
      </c>
      <c r="E72">
        <v>1.1599999999999999</v>
      </c>
      <c r="F72" s="2"/>
      <c r="G72">
        <f t="shared" si="9"/>
        <v>-7</v>
      </c>
      <c r="H72" s="10">
        <f t="shared" si="9"/>
        <v>35</v>
      </c>
      <c r="I72">
        <f t="shared" si="9"/>
        <v>36</v>
      </c>
      <c r="J72">
        <f t="shared" si="10"/>
        <v>49</v>
      </c>
      <c r="K72">
        <f t="shared" si="11"/>
        <v>-245</v>
      </c>
      <c r="L72">
        <f t="shared" si="12"/>
        <v>-252</v>
      </c>
      <c r="M72">
        <f t="shared" si="13"/>
        <v>1225</v>
      </c>
      <c r="N72">
        <f t="shared" si="14"/>
        <v>1260</v>
      </c>
      <c r="O72">
        <f t="shared" si="15"/>
        <v>1296</v>
      </c>
      <c r="Q72" s="11">
        <f t="shared" si="17"/>
        <v>1.1268236842157839</v>
      </c>
      <c r="R72" s="12">
        <f t="shared" si="16"/>
        <v>-2.8600272227772401E-2</v>
      </c>
    </row>
    <row r="73" spans="1:18" x14ac:dyDescent="0.25">
      <c r="A73">
        <v>-7</v>
      </c>
      <c r="B73">
        <v>35</v>
      </c>
      <c r="C73">
        <v>55</v>
      </c>
      <c r="E73">
        <v>1.67</v>
      </c>
      <c r="F73" s="2"/>
      <c r="G73">
        <f t="shared" si="9"/>
        <v>-7</v>
      </c>
      <c r="H73" s="10">
        <f t="shared" si="9"/>
        <v>35</v>
      </c>
      <c r="I73">
        <f t="shared" si="9"/>
        <v>55</v>
      </c>
      <c r="J73">
        <f t="shared" si="10"/>
        <v>49</v>
      </c>
      <c r="K73">
        <f t="shared" si="11"/>
        <v>-245</v>
      </c>
      <c r="L73">
        <f t="shared" si="12"/>
        <v>-385</v>
      </c>
      <c r="M73">
        <f t="shared" si="13"/>
        <v>1225</v>
      </c>
      <c r="N73">
        <f t="shared" si="14"/>
        <v>1925</v>
      </c>
      <c r="O73">
        <f t="shared" si="15"/>
        <v>3025</v>
      </c>
      <c r="Q73" s="11">
        <f t="shared" si="17"/>
        <v>1.6214464504119204</v>
      </c>
      <c r="R73" s="12">
        <f t="shared" si="16"/>
        <v>-2.9073981789269197E-2</v>
      </c>
    </row>
    <row r="74" spans="1:18" x14ac:dyDescent="0.25">
      <c r="A74">
        <v>-7</v>
      </c>
      <c r="B74">
        <v>35</v>
      </c>
      <c r="C74">
        <v>85</v>
      </c>
      <c r="E74">
        <v>2.78</v>
      </c>
      <c r="F74" s="2"/>
      <c r="G74">
        <f t="shared" si="9"/>
        <v>-7</v>
      </c>
      <c r="H74" s="10">
        <f t="shared" si="9"/>
        <v>35</v>
      </c>
      <c r="I74">
        <f t="shared" si="9"/>
        <v>85</v>
      </c>
      <c r="J74">
        <f t="shared" si="10"/>
        <v>49</v>
      </c>
      <c r="K74">
        <f t="shared" si="11"/>
        <v>-245</v>
      </c>
      <c r="L74">
        <f t="shared" si="12"/>
        <v>-595</v>
      </c>
      <c r="M74">
        <f t="shared" si="13"/>
        <v>1225</v>
      </c>
      <c r="N74">
        <f t="shared" si="14"/>
        <v>2975</v>
      </c>
      <c r="O74">
        <f t="shared" si="15"/>
        <v>7225</v>
      </c>
      <c r="Q74" s="11">
        <f t="shared" si="17"/>
        <v>2.8099736251075753</v>
      </c>
      <c r="R74" s="12">
        <f t="shared" si="16"/>
        <v>1.0781879535099105E-2</v>
      </c>
    </row>
    <row r="75" spans="1:18" x14ac:dyDescent="0.25">
      <c r="A75">
        <v>2</v>
      </c>
      <c r="B75">
        <v>35</v>
      </c>
      <c r="C75">
        <v>36</v>
      </c>
      <c r="E75">
        <v>1.01</v>
      </c>
      <c r="F75" s="2"/>
      <c r="G75">
        <f t="shared" si="9"/>
        <v>2</v>
      </c>
      <c r="H75" s="10">
        <f t="shared" si="9"/>
        <v>35</v>
      </c>
      <c r="I75">
        <f t="shared" si="9"/>
        <v>36</v>
      </c>
      <c r="J75">
        <f t="shared" si="10"/>
        <v>4</v>
      </c>
      <c r="K75">
        <f t="shared" si="11"/>
        <v>70</v>
      </c>
      <c r="L75">
        <f t="shared" si="12"/>
        <v>72</v>
      </c>
      <c r="M75">
        <f t="shared" si="13"/>
        <v>1225</v>
      </c>
      <c r="N75">
        <f t="shared" si="14"/>
        <v>1260</v>
      </c>
      <c r="O75">
        <f t="shared" si="15"/>
        <v>1296</v>
      </c>
      <c r="Q75" s="11">
        <f t="shared" si="17"/>
        <v>1.1089226296257428</v>
      </c>
      <c r="R75" s="12">
        <f t="shared" si="16"/>
        <v>9.794319764925033E-2</v>
      </c>
    </row>
    <row r="76" spans="1:18" x14ac:dyDescent="0.25">
      <c r="A76">
        <v>2</v>
      </c>
      <c r="B76">
        <v>35</v>
      </c>
      <c r="C76">
        <v>55</v>
      </c>
      <c r="E76">
        <v>1.66</v>
      </c>
      <c r="G76">
        <f t="shared" si="9"/>
        <v>2</v>
      </c>
      <c r="H76" s="10">
        <f t="shared" si="9"/>
        <v>35</v>
      </c>
      <c r="I76">
        <f t="shared" si="9"/>
        <v>55</v>
      </c>
      <c r="J76">
        <f t="shared" si="10"/>
        <v>4</v>
      </c>
      <c r="K76">
        <f t="shared" si="11"/>
        <v>70</v>
      </c>
      <c r="L76">
        <f t="shared" si="12"/>
        <v>110</v>
      </c>
      <c r="M76">
        <f t="shared" si="13"/>
        <v>1225</v>
      </c>
      <c r="N76">
        <f t="shared" si="14"/>
        <v>1925</v>
      </c>
      <c r="O76">
        <f t="shared" si="15"/>
        <v>3025</v>
      </c>
      <c r="Q76" s="11">
        <f t="shared" si="17"/>
        <v>1.6830152640916989</v>
      </c>
      <c r="R76" s="12">
        <f t="shared" si="16"/>
        <v>1.3864616922710219E-2</v>
      </c>
    </row>
    <row r="77" spans="1:18" x14ac:dyDescent="0.25">
      <c r="A77">
        <v>2</v>
      </c>
      <c r="B77">
        <v>35</v>
      </c>
      <c r="C77">
        <v>85</v>
      </c>
      <c r="E77">
        <v>3.01</v>
      </c>
      <c r="G77">
        <f t="shared" si="9"/>
        <v>2</v>
      </c>
      <c r="H77" s="10">
        <f t="shared" si="9"/>
        <v>35</v>
      </c>
      <c r="I77">
        <f t="shared" si="9"/>
        <v>85</v>
      </c>
      <c r="J77">
        <f t="shared" si="10"/>
        <v>4</v>
      </c>
      <c r="K77">
        <f t="shared" si="11"/>
        <v>70</v>
      </c>
      <c r="L77">
        <f t="shared" si="12"/>
        <v>170</v>
      </c>
      <c r="M77">
        <f t="shared" si="13"/>
        <v>1225</v>
      </c>
      <c r="N77">
        <f t="shared" si="14"/>
        <v>2975</v>
      </c>
      <c r="O77">
        <f t="shared" si="15"/>
        <v>7225</v>
      </c>
      <c r="Q77" s="11">
        <f t="shared" si="17"/>
        <v>2.9970211781607521</v>
      </c>
      <c r="R77" s="12">
        <f t="shared" si="16"/>
        <v>-4.3119009432716618E-3</v>
      </c>
    </row>
    <row r="78" spans="1:18" x14ac:dyDescent="0.25">
      <c r="A78">
        <v>7</v>
      </c>
      <c r="B78">
        <v>35</v>
      </c>
      <c r="C78">
        <v>36</v>
      </c>
      <c r="E78">
        <v>1.04</v>
      </c>
      <c r="G78">
        <f t="shared" si="9"/>
        <v>7</v>
      </c>
      <c r="H78" s="10">
        <f t="shared" si="9"/>
        <v>35</v>
      </c>
      <c r="I78">
        <f t="shared" si="9"/>
        <v>36</v>
      </c>
      <c r="J78">
        <f t="shared" si="10"/>
        <v>49</v>
      </c>
      <c r="K78">
        <f t="shared" si="11"/>
        <v>245</v>
      </c>
      <c r="L78">
        <f t="shared" si="12"/>
        <v>252</v>
      </c>
      <c r="M78">
        <f t="shared" si="13"/>
        <v>1225</v>
      </c>
      <c r="N78">
        <f t="shared" si="14"/>
        <v>1260</v>
      </c>
      <c r="O78">
        <f t="shared" si="15"/>
        <v>1296</v>
      </c>
      <c r="Q78" s="11">
        <f t="shared" si="17"/>
        <v>1.0799568093553431</v>
      </c>
      <c r="R78" s="12">
        <f t="shared" si="16"/>
        <v>3.8420008995522184E-2</v>
      </c>
    </row>
    <row r="79" spans="1:18" x14ac:dyDescent="0.25">
      <c r="A79">
        <v>7</v>
      </c>
      <c r="B79">
        <v>35</v>
      </c>
      <c r="C79">
        <v>55</v>
      </c>
      <c r="E79">
        <v>1.65</v>
      </c>
      <c r="G79">
        <f t="shared" si="9"/>
        <v>7</v>
      </c>
      <c r="H79" s="10">
        <f t="shared" si="9"/>
        <v>35</v>
      </c>
      <c r="I79">
        <f t="shared" si="9"/>
        <v>55</v>
      </c>
      <c r="J79">
        <f t="shared" si="10"/>
        <v>49</v>
      </c>
      <c r="K79">
        <f t="shared" si="11"/>
        <v>245</v>
      </c>
      <c r="L79">
        <f t="shared" si="12"/>
        <v>385</v>
      </c>
      <c r="M79">
        <f t="shared" si="13"/>
        <v>1225</v>
      </c>
      <c r="N79">
        <f t="shared" si="14"/>
        <v>1925</v>
      </c>
      <c r="O79">
        <f t="shared" si="15"/>
        <v>3025</v>
      </c>
      <c r="Q79" s="11">
        <f t="shared" si="17"/>
        <v>1.6981993706378651</v>
      </c>
      <c r="R79" s="12">
        <f t="shared" si="16"/>
        <v>2.9211739780524347E-2</v>
      </c>
    </row>
    <row r="80" spans="1:18" x14ac:dyDescent="0.25">
      <c r="A80">
        <v>7</v>
      </c>
      <c r="B80">
        <v>35</v>
      </c>
      <c r="C80">
        <v>85</v>
      </c>
      <c r="E80">
        <v>3.16</v>
      </c>
      <c r="G80">
        <f t="shared" si="9"/>
        <v>7</v>
      </c>
      <c r="H80" s="10">
        <f t="shared" si="9"/>
        <v>35</v>
      </c>
      <c r="I80">
        <f t="shared" si="9"/>
        <v>85</v>
      </c>
      <c r="J80">
        <f t="shared" si="10"/>
        <v>49</v>
      </c>
      <c r="K80">
        <f t="shared" si="11"/>
        <v>245</v>
      </c>
      <c r="L80">
        <f t="shared" si="12"/>
        <v>595</v>
      </c>
      <c r="M80">
        <f t="shared" si="13"/>
        <v>1225</v>
      </c>
      <c r="N80">
        <f t="shared" si="14"/>
        <v>2975</v>
      </c>
      <c r="O80">
        <f t="shared" si="15"/>
        <v>7225</v>
      </c>
      <c r="Q80" s="11">
        <f t="shared" si="17"/>
        <v>3.0819156954699181</v>
      </c>
      <c r="R80" s="12">
        <f t="shared" si="16"/>
        <v>-2.471022295255762E-2</v>
      </c>
    </row>
    <row r="81" spans="1:18" x14ac:dyDescent="0.25">
      <c r="A81">
        <v>12</v>
      </c>
      <c r="B81">
        <v>35</v>
      </c>
      <c r="C81">
        <v>36</v>
      </c>
      <c r="E81">
        <v>1.03</v>
      </c>
      <c r="G81">
        <f t="shared" si="9"/>
        <v>12</v>
      </c>
      <c r="H81" s="10">
        <f t="shared" si="9"/>
        <v>35</v>
      </c>
      <c r="I81">
        <f t="shared" si="9"/>
        <v>36</v>
      </c>
      <c r="J81">
        <f t="shared" si="10"/>
        <v>144</v>
      </c>
      <c r="K81">
        <f t="shared" si="11"/>
        <v>420</v>
      </c>
      <c r="L81">
        <f t="shared" si="12"/>
        <v>432</v>
      </c>
      <c r="M81">
        <f t="shared" si="13"/>
        <v>1225</v>
      </c>
      <c r="N81">
        <f t="shared" si="14"/>
        <v>1260</v>
      </c>
      <c r="O81">
        <f t="shared" si="15"/>
        <v>1296</v>
      </c>
      <c r="Q81" s="11">
        <f t="shared" si="17"/>
        <v>1.0374047105545154</v>
      </c>
      <c r="R81" s="12">
        <f t="shared" si="16"/>
        <v>7.1890393733159367E-3</v>
      </c>
    </row>
    <row r="82" spans="1:18" x14ac:dyDescent="0.25">
      <c r="A82">
        <v>12</v>
      </c>
      <c r="B82">
        <v>35</v>
      </c>
      <c r="C82">
        <v>55</v>
      </c>
      <c r="E82">
        <v>1.65</v>
      </c>
      <c r="G82">
        <f t="shared" si="9"/>
        <v>12</v>
      </c>
      <c r="H82" s="10">
        <f t="shared" si="9"/>
        <v>35</v>
      </c>
      <c r="I82">
        <f t="shared" si="9"/>
        <v>55</v>
      </c>
      <c r="J82">
        <f t="shared" si="10"/>
        <v>144</v>
      </c>
      <c r="K82">
        <f t="shared" si="11"/>
        <v>420</v>
      </c>
      <c r="L82">
        <f t="shared" si="12"/>
        <v>660</v>
      </c>
      <c r="M82">
        <f t="shared" si="13"/>
        <v>1225</v>
      </c>
      <c r="N82">
        <f t="shared" si="14"/>
        <v>1925</v>
      </c>
      <c r="O82">
        <f t="shared" si="15"/>
        <v>3025</v>
      </c>
      <c r="Q82" s="11">
        <f t="shared" si="17"/>
        <v>1.6997971986536036</v>
      </c>
      <c r="R82" s="12">
        <f t="shared" si="16"/>
        <v>3.018012039612343E-2</v>
      </c>
    </row>
    <row r="83" spans="1:18" x14ac:dyDescent="0.25">
      <c r="A83">
        <v>12</v>
      </c>
      <c r="B83">
        <v>35</v>
      </c>
      <c r="C83">
        <v>85</v>
      </c>
      <c r="E83">
        <v>3.1</v>
      </c>
      <c r="G83">
        <f t="shared" si="9"/>
        <v>12</v>
      </c>
      <c r="H83" s="10">
        <f t="shared" si="9"/>
        <v>35</v>
      </c>
      <c r="I83">
        <f t="shared" si="9"/>
        <v>85</v>
      </c>
      <c r="J83">
        <f t="shared" si="10"/>
        <v>144</v>
      </c>
      <c r="K83">
        <f t="shared" si="11"/>
        <v>420</v>
      </c>
      <c r="L83">
        <f t="shared" si="12"/>
        <v>1020</v>
      </c>
      <c r="M83">
        <f t="shared" si="13"/>
        <v>1225</v>
      </c>
      <c r="N83">
        <f t="shared" si="14"/>
        <v>2975</v>
      </c>
      <c r="O83">
        <f t="shared" si="15"/>
        <v>7225</v>
      </c>
      <c r="Q83" s="11">
        <f t="shared" si="17"/>
        <v>3.1532239342486554</v>
      </c>
      <c r="R83" s="12">
        <f t="shared" si="16"/>
        <v>1.7169011047953337E-2</v>
      </c>
    </row>
    <row r="84" spans="1:18" x14ac:dyDescent="0.25">
      <c r="A84">
        <v>-15</v>
      </c>
      <c r="B84">
        <v>45</v>
      </c>
      <c r="C84">
        <v>36</v>
      </c>
      <c r="E84">
        <v>1.29</v>
      </c>
      <c r="G84">
        <f t="shared" si="9"/>
        <v>-15</v>
      </c>
      <c r="H84" s="10">
        <f t="shared" si="9"/>
        <v>45</v>
      </c>
      <c r="I84">
        <f t="shared" si="9"/>
        <v>36</v>
      </c>
      <c r="J84">
        <f t="shared" si="10"/>
        <v>225</v>
      </c>
      <c r="K84">
        <f t="shared" si="11"/>
        <v>-675</v>
      </c>
      <c r="L84">
        <f t="shared" si="12"/>
        <v>-540</v>
      </c>
      <c r="M84">
        <f t="shared" si="13"/>
        <v>2025</v>
      </c>
      <c r="N84">
        <f t="shared" si="14"/>
        <v>1620</v>
      </c>
      <c r="O84">
        <f t="shared" si="15"/>
        <v>1296</v>
      </c>
      <c r="Q84" s="11">
        <f t="shared" si="17"/>
        <v>1.3113392981844554</v>
      </c>
      <c r="R84" s="12">
        <f t="shared" si="16"/>
        <v>1.6542091615856857E-2</v>
      </c>
    </row>
    <row r="85" spans="1:18" x14ac:dyDescent="0.25">
      <c r="A85">
        <v>-15</v>
      </c>
      <c r="B85">
        <v>45</v>
      </c>
      <c r="C85">
        <v>55</v>
      </c>
      <c r="E85">
        <v>1.82</v>
      </c>
      <c r="G85">
        <f t="shared" si="9"/>
        <v>-15</v>
      </c>
      <c r="H85" s="10">
        <f t="shared" si="9"/>
        <v>45</v>
      </c>
      <c r="I85">
        <f t="shared" si="9"/>
        <v>55</v>
      </c>
      <c r="J85">
        <f t="shared" si="10"/>
        <v>225</v>
      </c>
      <c r="K85">
        <f t="shared" si="11"/>
        <v>-675</v>
      </c>
      <c r="L85">
        <f t="shared" si="12"/>
        <v>-825</v>
      </c>
      <c r="M85">
        <f t="shared" si="13"/>
        <v>2025</v>
      </c>
      <c r="N85">
        <f t="shared" si="14"/>
        <v>2475</v>
      </c>
      <c r="O85">
        <f t="shared" si="15"/>
        <v>3025</v>
      </c>
      <c r="Q85" s="11">
        <f t="shared" si="17"/>
        <v>1.834286135597516</v>
      </c>
      <c r="R85" s="12">
        <f t="shared" si="16"/>
        <v>7.8495250535801659E-3</v>
      </c>
    </row>
    <row r="86" spans="1:18" x14ac:dyDescent="0.25">
      <c r="A86">
        <v>-15</v>
      </c>
      <c r="B86">
        <v>45</v>
      </c>
      <c r="C86">
        <v>85</v>
      </c>
      <c r="E86">
        <v>3.02</v>
      </c>
      <c r="G86">
        <f t="shared" si="9"/>
        <v>-15</v>
      </c>
      <c r="H86" s="10">
        <f t="shared" si="9"/>
        <v>45</v>
      </c>
      <c r="I86">
        <f t="shared" si="9"/>
        <v>85</v>
      </c>
      <c r="J86">
        <f t="shared" si="10"/>
        <v>225</v>
      </c>
      <c r="K86">
        <f t="shared" si="11"/>
        <v>-675</v>
      </c>
      <c r="L86">
        <f t="shared" si="12"/>
        <v>-1275</v>
      </c>
      <c r="M86">
        <f t="shared" si="13"/>
        <v>2025</v>
      </c>
      <c r="N86">
        <f t="shared" si="14"/>
        <v>3825</v>
      </c>
      <c r="O86">
        <f t="shared" si="15"/>
        <v>7225</v>
      </c>
      <c r="Q86" s="11">
        <f t="shared" si="17"/>
        <v>3.067535528004103</v>
      </c>
      <c r="R86" s="12">
        <f t="shared" si="16"/>
        <v>1.5740241060961255E-2</v>
      </c>
    </row>
    <row r="87" spans="1:18" x14ac:dyDescent="0.25">
      <c r="A87">
        <v>-7</v>
      </c>
      <c r="B87">
        <v>45</v>
      </c>
      <c r="C87">
        <v>36</v>
      </c>
      <c r="E87">
        <v>1.35</v>
      </c>
      <c r="G87">
        <f t="shared" si="9"/>
        <v>-7</v>
      </c>
      <c r="H87" s="10">
        <f t="shared" si="9"/>
        <v>45</v>
      </c>
      <c r="I87">
        <f t="shared" si="9"/>
        <v>36</v>
      </c>
      <c r="J87">
        <f t="shared" si="10"/>
        <v>49</v>
      </c>
      <c r="K87">
        <f t="shared" si="11"/>
        <v>-315</v>
      </c>
      <c r="L87">
        <f t="shared" si="12"/>
        <v>-252</v>
      </c>
      <c r="M87">
        <f t="shared" si="13"/>
        <v>2025</v>
      </c>
      <c r="N87">
        <f t="shared" si="14"/>
        <v>1620</v>
      </c>
      <c r="O87">
        <f t="shared" si="15"/>
        <v>1296</v>
      </c>
      <c r="Q87" s="11">
        <f t="shared" si="17"/>
        <v>1.3689834565745485</v>
      </c>
      <c r="R87" s="12">
        <f t="shared" si="16"/>
        <v>1.4061819684850638E-2</v>
      </c>
    </row>
    <row r="88" spans="1:18" x14ac:dyDescent="0.25">
      <c r="A88">
        <v>-7</v>
      </c>
      <c r="B88">
        <v>45</v>
      </c>
      <c r="C88">
        <v>55</v>
      </c>
      <c r="E88">
        <v>1.98</v>
      </c>
      <c r="G88">
        <f t="shared" si="9"/>
        <v>-7</v>
      </c>
      <c r="H88" s="10">
        <f t="shared" si="9"/>
        <v>45</v>
      </c>
      <c r="I88">
        <f t="shared" si="9"/>
        <v>55</v>
      </c>
      <c r="J88">
        <f t="shared" si="10"/>
        <v>49</v>
      </c>
      <c r="K88">
        <f t="shared" si="11"/>
        <v>-315</v>
      </c>
      <c r="L88">
        <f t="shared" si="12"/>
        <v>-385</v>
      </c>
      <c r="M88">
        <f t="shared" si="13"/>
        <v>2025</v>
      </c>
      <c r="N88">
        <f t="shared" si="14"/>
        <v>2475</v>
      </c>
      <c r="O88">
        <f t="shared" si="15"/>
        <v>3025</v>
      </c>
      <c r="Q88" s="11">
        <f t="shared" si="17"/>
        <v>1.9625701768941151</v>
      </c>
      <c r="R88" s="12">
        <f t="shared" si="16"/>
        <v>-8.8029409625681437E-3</v>
      </c>
    </row>
    <row r="89" spans="1:18" x14ac:dyDescent="0.25">
      <c r="A89">
        <v>-7</v>
      </c>
      <c r="B89">
        <v>45</v>
      </c>
      <c r="C89">
        <v>85</v>
      </c>
      <c r="E89">
        <v>3.26</v>
      </c>
      <c r="G89">
        <f t="shared" si="9"/>
        <v>-7</v>
      </c>
      <c r="H89" s="10">
        <f t="shared" si="9"/>
        <v>45</v>
      </c>
      <c r="I89">
        <f t="shared" si="9"/>
        <v>85</v>
      </c>
      <c r="J89">
        <f t="shared" si="10"/>
        <v>49</v>
      </c>
      <c r="K89">
        <f t="shared" si="11"/>
        <v>-315</v>
      </c>
      <c r="L89">
        <f t="shared" si="12"/>
        <v>-595</v>
      </c>
      <c r="M89">
        <f t="shared" si="13"/>
        <v>2025</v>
      </c>
      <c r="N89">
        <f t="shared" si="14"/>
        <v>3825</v>
      </c>
      <c r="O89">
        <f t="shared" si="15"/>
        <v>7225</v>
      </c>
      <c r="Q89" s="11">
        <f t="shared" si="17"/>
        <v>3.3073562265215011</v>
      </c>
      <c r="R89" s="12">
        <f t="shared" si="16"/>
        <v>1.4526449853221254E-2</v>
      </c>
    </row>
    <row r="90" spans="1:18" x14ac:dyDescent="0.25">
      <c r="A90">
        <v>2</v>
      </c>
      <c r="B90">
        <v>45</v>
      </c>
      <c r="C90">
        <v>36</v>
      </c>
      <c r="E90">
        <v>1.42</v>
      </c>
      <c r="G90">
        <f t="shared" si="9"/>
        <v>2</v>
      </c>
      <c r="H90" s="10">
        <f t="shared" si="9"/>
        <v>45</v>
      </c>
      <c r="I90">
        <f t="shared" si="9"/>
        <v>36</v>
      </c>
      <c r="J90">
        <f t="shared" si="10"/>
        <v>4</v>
      </c>
      <c r="K90">
        <f t="shared" si="11"/>
        <v>90</v>
      </c>
      <c r="L90">
        <f t="shared" si="12"/>
        <v>72</v>
      </c>
      <c r="M90">
        <f t="shared" si="13"/>
        <v>2025</v>
      </c>
      <c r="N90">
        <f t="shared" si="14"/>
        <v>1620</v>
      </c>
      <c r="O90">
        <f t="shared" si="15"/>
        <v>1296</v>
      </c>
      <c r="Q90" s="11">
        <f t="shared" si="17"/>
        <v>1.3922591224602936</v>
      </c>
      <c r="R90" s="12">
        <f t="shared" si="16"/>
        <v>-1.9535829253314319E-2</v>
      </c>
    </row>
    <row r="91" spans="1:18" x14ac:dyDescent="0.25">
      <c r="A91">
        <v>2</v>
      </c>
      <c r="B91">
        <v>45</v>
      </c>
      <c r="C91">
        <v>55</v>
      </c>
      <c r="E91">
        <v>2.0699999999999998</v>
      </c>
      <c r="G91">
        <f t="shared" si="9"/>
        <v>2</v>
      </c>
      <c r="H91" s="10">
        <f t="shared" si="9"/>
        <v>45</v>
      </c>
      <c r="I91">
        <f t="shared" si="9"/>
        <v>55</v>
      </c>
      <c r="J91">
        <f t="shared" si="10"/>
        <v>4</v>
      </c>
      <c r="K91">
        <f t="shared" si="11"/>
        <v>90</v>
      </c>
      <c r="L91">
        <f t="shared" si="12"/>
        <v>110</v>
      </c>
      <c r="M91">
        <f t="shared" si="13"/>
        <v>2025</v>
      </c>
      <c r="N91">
        <f t="shared" si="14"/>
        <v>2475</v>
      </c>
      <c r="O91">
        <f t="shared" si="15"/>
        <v>3025</v>
      </c>
      <c r="Q91" s="11">
        <f t="shared" si="17"/>
        <v>2.0653157110496796</v>
      </c>
      <c r="R91" s="12">
        <f t="shared" si="16"/>
        <v>-2.2629415218938399E-3</v>
      </c>
    </row>
    <row r="92" spans="1:18" x14ac:dyDescent="0.25">
      <c r="A92">
        <v>2</v>
      </c>
      <c r="B92">
        <v>45</v>
      </c>
      <c r="C92">
        <v>85</v>
      </c>
      <c r="E92">
        <v>3.56</v>
      </c>
      <c r="G92">
        <f t="shared" si="9"/>
        <v>2</v>
      </c>
      <c r="H92" s="10">
        <f t="shared" si="9"/>
        <v>45</v>
      </c>
      <c r="I92">
        <f t="shared" si="9"/>
        <v>85</v>
      </c>
      <c r="J92">
        <f t="shared" si="10"/>
        <v>4</v>
      </c>
      <c r="K92">
        <f t="shared" si="11"/>
        <v>90</v>
      </c>
      <c r="L92">
        <f t="shared" si="12"/>
        <v>170</v>
      </c>
      <c r="M92">
        <f t="shared" si="13"/>
        <v>2025</v>
      </c>
      <c r="N92">
        <f t="shared" si="14"/>
        <v>3825</v>
      </c>
      <c r="O92">
        <f t="shared" si="15"/>
        <v>7225</v>
      </c>
      <c r="Q92" s="11">
        <f t="shared" si="17"/>
        <v>3.5355805000504636</v>
      </c>
      <c r="R92" s="12">
        <f t="shared" si="16"/>
        <v>-6.8594100981843832E-3</v>
      </c>
    </row>
    <row r="93" spans="1:18" x14ac:dyDescent="0.25">
      <c r="A93">
        <v>7</v>
      </c>
      <c r="B93">
        <v>45</v>
      </c>
      <c r="C93">
        <v>36</v>
      </c>
      <c r="E93">
        <v>1.43</v>
      </c>
      <c r="G93">
        <f t="shared" si="9"/>
        <v>7</v>
      </c>
      <c r="H93" s="10">
        <f t="shared" si="9"/>
        <v>45</v>
      </c>
      <c r="I93">
        <f t="shared" si="9"/>
        <v>36</v>
      </c>
      <c r="J93">
        <f t="shared" si="10"/>
        <v>49</v>
      </c>
      <c r="K93">
        <f t="shared" si="11"/>
        <v>315</v>
      </c>
      <c r="L93">
        <f t="shared" si="12"/>
        <v>252</v>
      </c>
      <c r="M93">
        <f t="shared" si="13"/>
        <v>2025</v>
      </c>
      <c r="N93">
        <f t="shared" si="14"/>
        <v>1620</v>
      </c>
      <c r="O93">
        <f t="shared" si="15"/>
        <v>1296</v>
      </c>
      <c r="Q93" s="11">
        <f t="shared" si="17"/>
        <v>1.3861692580097746</v>
      </c>
      <c r="R93" s="12">
        <f t="shared" si="16"/>
        <v>-3.0650868524633078E-2</v>
      </c>
    </row>
    <row r="94" spans="1:18" x14ac:dyDescent="0.25">
      <c r="A94">
        <v>7</v>
      </c>
      <c r="B94">
        <v>45</v>
      </c>
      <c r="C94">
        <v>55</v>
      </c>
      <c r="E94">
        <v>2.12</v>
      </c>
      <c r="G94">
        <f t="shared" si="9"/>
        <v>7</v>
      </c>
      <c r="H94" s="10">
        <f t="shared" si="9"/>
        <v>45</v>
      </c>
      <c r="I94">
        <f t="shared" si="9"/>
        <v>55</v>
      </c>
      <c r="J94">
        <f t="shared" si="10"/>
        <v>49</v>
      </c>
      <c r="K94">
        <f t="shared" si="11"/>
        <v>315</v>
      </c>
      <c r="L94">
        <f t="shared" si="12"/>
        <v>385</v>
      </c>
      <c r="M94">
        <f t="shared" si="13"/>
        <v>2025</v>
      </c>
      <c r="N94">
        <f t="shared" si="14"/>
        <v>2475</v>
      </c>
      <c r="O94">
        <f t="shared" si="15"/>
        <v>3025</v>
      </c>
      <c r="Q94" s="11">
        <f t="shared" si="17"/>
        <v>2.1033757734157268</v>
      </c>
      <c r="R94" s="12">
        <f t="shared" si="16"/>
        <v>-7.8416163133364688E-3</v>
      </c>
    </row>
    <row r="95" spans="1:18" x14ac:dyDescent="0.25">
      <c r="A95">
        <v>7</v>
      </c>
      <c r="B95">
        <v>45</v>
      </c>
      <c r="C95">
        <v>85</v>
      </c>
      <c r="E95">
        <v>3.64</v>
      </c>
      <c r="G95">
        <f t="shared" si="9"/>
        <v>7</v>
      </c>
      <c r="H95" s="10">
        <f t="shared" si="9"/>
        <v>45</v>
      </c>
      <c r="I95">
        <f t="shared" si="9"/>
        <v>85</v>
      </c>
      <c r="J95">
        <f t="shared" si="10"/>
        <v>49</v>
      </c>
      <c r="K95">
        <f t="shared" si="11"/>
        <v>315</v>
      </c>
      <c r="L95">
        <f t="shared" si="12"/>
        <v>595</v>
      </c>
      <c r="M95">
        <f t="shared" si="13"/>
        <v>2025</v>
      </c>
      <c r="N95">
        <f t="shared" si="14"/>
        <v>3825</v>
      </c>
      <c r="O95">
        <f t="shared" si="15"/>
        <v>7225</v>
      </c>
      <c r="Q95" s="11">
        <f t="shared" si="17"/>
        <v>3.6433509731795102</v>
      </c>
      <c r="R95" s="12">
        <f t="shared" si="16"/>
        <v>9.2059702733792651E-4</v>
      </c>
    </row>
    <row r="96" spans="1:18" x14ac:dyDescent="0.25">
      <c r="A96">
        <v>12</v>
      </c>
      <c r="B96">
        <v>45</v>
      </c>
      <c r="C96">
        <v>36</v>
      </c>
      <c r="E96">
        <v>1.41</v>
      </c>
      <c r="G96">
        <f t="shared" si="9"/>
        <v>12</v>
      </c>
      <c r="H96" s="10">
        <f t="shared" si="9"/>
        <v>45</v>
      </c>
      <c r="I96">
        <f t="shared" si="9"/>
        <v>36</v>
      </c>
      <c r="J96">
        <f t="shared" si="10"/>
        <v>144</v>
      </c>
      <c r="K96">
        <f t="shared" si="11"/>
        <v>540</v>
      </c>
      <c r="L96">
        <f t="shared" si="12"/>
        <v>432</v>
      </c>
      <c r="M96">
        <f t="shared" si="13"/>
        <v>2025</v>
      </c>
      <c r="N96">
        <f t="shared" si="14"/>
        <v>1620</v>
      </c>
      <c r="O96">
        <f t="shared" si="15"/>
        <v>1296</v>
      </c>
      <c r="Q96" s="11">
        <f t="shared" si="17"/>
        <v>1.366493115028828</v>
      </c>
      <c r="R96" s="12">
        <f t="shared" si="16"/>
        <v>-3.0855946788065209E-2</v>
      </c>
    </row>
    <row r="97" spans="1:18" x14ac:dyDescent="0.25">
      <c r="A97">
        <v>12</v>
      </c>
      <c r="B97">
        <v>45</v>
      </c>
      <c r="C97">
        <v>55</v>
      </c>
      <c r="E97">
        <v>2.04</v>
      </c>
      <c r="G97">
        <f t="shared" si="9"/>
        <v>12</v>
      </c>
      <c r="H97" s="10">
        <f t="shared" si="9"/>
        <v>45</v>
      </c>
      <c r="I97">
        <f t="shared" si="9"/>
        <v>55</v>
      </c>
      <c r="J97">
        <f t="shared" si="10"/>
        <v>144</v>
      </c>
      <c r="K97">
        <f t="shared" si="11"/>
        <v>540</v>
      </c>
      <c r="L97">
        <f t="shared" si="12"/>
        <v>660</v>
      </c>
      <c r="M97">
        <f t="shared" si="13"/>
        <v>2025</v>
      </c>
      <c r="N97">
        <f t="shared" si="14"/>
        <v>2475</v>
      </c>
      <c r="O97">
        <f t="shared" si="15"/>
        <v>3025</v>
      </c>
      <c r="Q97" s="11">
        <f t="shared" si="17"/>
        <v>2.1278495572513467</v>
      </c>
      <c r="R97" s="12">
        <f t="shared" si="16"/>
        <v>4.3063508456542492E-2</v>
      </c>
    </row>
    <row r="98" spans="1:18" x14ac:dyDescent="0.25">
      <c r="A98">
        <v>12</v>
      </c>
      <c r="B98">
        <v>45</v>
      </c>
      <c r="C98">
        <v>85</v>
      </c>
      <c r="E98">
        <v>3.8</v>
      </c>
      <c r="G98">
        <f t="shared" si="9"/>
        <v>12</v>
      </c>
      <c r="H98" s="10">
        <f t="shared" si="9"/>
        <v>45</v>
      </c>
      <c r="I98">
        <f t="shared" si="9"/>
        <v>85</v>
      </c>
      <c r="J98">
        <f t="shared" si="10"/>
        <v>144</v>
      </c>
      <c r="K98">
        <f t="shared" si="11"/>
        <v>540</v>
      </c>
      <c r="L98">
        <f t="shared" si="12"/>
        <v>1020</v>
      </c>
      <c r="M98">
        <f t="shared" si="13"/>
        <v>2025</v>
      </c>
      <c r="N98">
        <f t="shared" si="14"/>
        <v>3825</v>
      </c>
      <c r="O98">
        <f t="shared" si="15"/>
        <v>7225</v>
      </c>
      <c r="Q98" s="11">
        <f t="shared" si="17"/>
        <v>3.7375351677781294</v>
      </c>
      <c r="R98" s="12">
        <f t="shared" si="16"/>
        <v>-1.643811374259747E-2</v>
      </c>
    </row>
    <row r="101" spans="1:18" x14ac:dyDescent="0.25">
      <c r="A101" t="s">
        <v>28</v>
      </c>
      <c r="G101" s="4" t="s">
        <v>1</v>
      </c>
      <c r="H101" s="4" t="s">
        <v>2</v>
      </c>
      <c r="I101" s="4" t="s">
        <v>3</v>
      </c>
      <c r="J101" s="4" t="s">
        <v>4</v>
      </c>
      <c r="K101" s="4" t="s">
        <v>5</v>
      </c>
      <c r="L101" s="4" t="s">
        <v>6</v>
      </c>
      <c r="M101" s="4" t="s">
        <v>7</v>
      </c>
      <c r="N101" s="4" t="s">
        <v>8</v>
      </c>
      <c r="O101" s="4" t="s">
        <v>9</v>
      </c>
      <c r="P101" s="4" t="s">
        <v>10</v>
      </c>
    </row>
    <row r="102" spans="1:18" x14ac:dyDescent="0.25">
      <c r="A102" s="1"/>
      <c r="C102" s="1"/>
      <c r="D102" s="1"/>
      <c r="E102" s="1"/>
      <c r="F102" s="1"/>
      <c r="G102" s="4">
        <f t="array" ref="G102:P102">LINEST(E104:E148,G104:O148)</f>
        <v>-5.9354194097119749E-2</v>
      </c>
      <c r="H102" s="4">
        <v>1.0029129952856257E-2</v>
      </c>
      <c r="I102" s="4">
        <v>1.5334154281314974E-2</v>
      </c>
      <c r="J102" s="4">
        <v>-0.18202764438201119</v>
      </c>
      <c r="K102" s="4">
        <v>-1.5497534608138958E-2</v>
      </c>
      <c r="L102" s="4">
        <v>2.0860760439188667E-2</v>
      </c>
      <c r="M102" s="4">
        <v>8.9161233687473391</v>
      </c>
      <c r="N102" s="4">
        <v>-0.7717917843461003</v>
      </c>
      <c r="O102" s="4">
        <v>0.1062802128386976</v>
      </c>
      <c r="P102" s="4">
        <v>6.2793600811223627</v>
      </c>
    </row>
    <row r="103" spans="1:18" ht="45" x14ac:dyDescent="0.25">
      <c r="A103" s="5" t="s">
        <v>11</v>
      </c>
      <c r="B103" s="5" t="s">
        <v>12</v>
      </c>
      <c r="C103" s="5" t="s">
        <v>63</v>
      </c>
      <c r="E103" s="7" t="s">
        <v>13</v>
      </c>
      <c r="F103" s="3"/>
      <c r="G103" s="8" t="s">
        <v>17</v>
      </c>
      <c r="H103" s="8" t="s">
        <v>18</v>
      </c>
      <c r="I103" s="8" t="s">
        <v>0</v>
      </c>
      <c r="J103" s="8" t="s">
        <v>19</v>
      </c>
      <c r="K103" s="8" t="s">
        <v>20</v>
      </c>
      <c r="L103" s="8" t="s">
        <v>21</v>
      </c>
      <c r="M103" s="8" t="s">
        <v>22</v>
      </c>
      <c r="N103" s="8" t="s">
        <v>23</v>
      </c>
      <c r="O103" s="8" t="s">
        <v>24</v>
      </c>
      <c r="P103" s="3"/>
      <c r="Q103" s="9" t="s">
        <v>16</v>
      </c>
      <c r="R103" s="9" t="s">
        <v>15</v>
      </c>
    </row>
    <row r="104" spans="1:18" x14ac:dyDescent="0.25">
      <c r="A104">
        <v>-15</v>
      </c>
      <c r="B104">
        <v>25</v>
      </c>
      <c r="C104">
        <f t="shared" ref="C104:C148" si="18">E4</f>
        <v>2.58</v>
      </c>
      <c r="E104">
        <v>36</v>
      </c>
      <c r="F104" s="2"/>
      <c r="G104">
        <f t="shared" ref="G104:I148" si="19">A104</f>
        <v>-15</v>
      </c>
      <c r="H104" s="10">
        <f t="shared" si="19"/>
        <v>25</v>
      </c>
      <c r="I104">
        <f t="shared" si="19"/>
        <v>2.58</v>
      </c>
      <c r="J104">
        <f t="shared" ref="J104:J148" si="20">G104^2</f>
        <v>225</v>
      </c>
      <c r="K104">
        <f t="shared" ref="K104:K148" si="21">G104*H104</f>
        <v>-375</v>
      </c>
      <c r="L104">
        <f t="shared" ref="L104:L148" si="22">G104*I104</f>
        <v>-38.700000000000003</v>
      </c>
      <c r="M104">
        <f t="shared" ref="M104:M148" si="23">H104^2</f>
        <v>625</v>
      </c>
      <c r="N104">
        <f t="shared" ref="N104:N148" si="24">H104*I104</f>
        <v>64.5</v>
      </c>
      <c r="O104">
        <f t="shared" ref="O104:O148" si="25">I104^2</f>
        <v>6.6564000000000005</v>
      </c>
      <c r="Q104" s="11">
        <f>$P$102+$O$102*G104+$N$102*H104+$M$102*I104+$L$102*J104+$K$102*K104+$J$102*L104+$I$102*M104+$H$102*N104+$G$102*O104</f>
        <v>35.779317035903951</v>
      </c>
      <c r="R104" s="12">
        <f t="shared" ref="R104:R148" si="26">(Q104-E104)/E104</f>
        <v>-6.1300823360013685E-3</v>
      </c>
    </row>
    <row r="105" spans="1:18" x14ac:dyDescent="0.25">
      <c r="A105">
        <v>-15</v>
      </c>
      <c r="B105">
        <v>25</v>
      </c>
      <c r="C105">
        <f t="shared" si="18"/>
        <v>4.6399999999999997</v>
      </c>
      <c r="E105">
        <v>55</v>
      </c>
      <c r="F105" s="2"/>
      <c r="G105">
        <f t="shared" si="19"/>
        <v>-15</v>
      </c>
      <c r="H105" s="10">
        <f t="shared" si="19"/>
        <v>25</v>
      </c>
      <c r="I105">
        <f t="shared" si="19"/>
        <v>4.6399999999999997</v>
      </c>
      <c r="J105">
        <f t="shared" si="20"/>
        <v>225</v>
      </c>
      <c r="K105">
        <f t="shared" si="21"/>
        <v>-375</v>
      </c>
      <c r="L105">
        <f t="shared" si="22"/>
        <v>-69.599999999999994</v>
      </c>
      <c r="M105">
        <f t="shared" si="23"/>
        <v>625</v>
      </c>
      <c r="N105">
        <f t="shared" si="24"/>
        <v>115.99999999999999</v>
      </c>
      <c r="O105">
        <f t="shared" si="25"/>
        <v>21.529599999999999</v>
      </c>
      <c r="Q105" s="11">
        <f t="shared" ref="Q105:Q148" si="27">$P$102+$O$102*G105+$N$102*H105+$M$102*I105+$L$102*J105+$K$102*K105+$J$102*L105+$I$102*M105+$H$102*N105+$G$102*O105</f>
        <v>59.404898779854413</v>
      </c>
      <c r="R105" s="12">
        <f t="shared" si="26"/>
        <v>8.0089068724625692E-2</v>
      </c>
    </row>
    <row r="106" spans="1:18" x14ac:dyDescent="0.25">
      <c r="A106">
        <v>-15</v>
      </c>
      <c r="B106">
        <v>25</v>
      </c>
      <c r="C106">
        <f t="shared" si="18"/>
        <v>6.67</v>
      </c>
      <c r="E106">
        <v>85</v>
      </c>
      <c r="F106" s="2"/>
      <c r="G106">
        <f t="shared" si="19"/>
        <v>-15</v>
      </c>
      <c r="H106" s="10">
        <f t="shared" si="19"/>
        <v>25</v>
      </c>
      <c r="I106">
        <f t="shared" si="19"/>
        <v>6.67</v>
      </c>
      <c r="J106">
        <f t="shared" si="20"/>
        <v>225</v>
      </c>
      <c r="K106">
        <f t="shared" si="21"/>
        <v>-375</v>
      </c>
      <c r="L106">
        <f t="shared" si="22"/>
        <v>-100.05</v>
      </c>
      <c r="M106">
        <f t="shared" si="23"/>
        <v>625</v>
      </c>
      <c r="N106">
        <f t="shared" si="24"/>
        <v>166.75</v>
      </c>
      <c r="O106">
        <f t="shared" si="25"/>
        <v>44.488900000000001</v>
      </c>
      <c r="Q106" s="11">
        <f t="shared" si="27"/>
        <v>82.193618586417216</v>
      </c>
      <c r="R106" s="12">
        <f t="shared" si="26"/>
        <v>-3.3016251924503338E-2</v>
      </c>
    </row>
    <row r="107" spans="1:18" x14ac:dyDescent="0.25">
      <c r="A107">
        <v>-7</v>
      </c>
      <c r="B107">
        <v>25</v>
      </c>
      <c r="C107">
        <f t="shared" si="18"/>
        <v>3.64</v>
      </c>
      <c r="E107">
        <v>36</v>
      </c>
      <c r="F107" s="2"/>
      <c r="G107">
        <f t="shared" si="19"/>
        <v>-7</v>
      </c>
      <c r="H107" s="10">
        <f t="shared" si="19"/>
        <v>25</v>
      </c>
      <c r="I107">
        <f t="shared" si="19"/>
        <v>3.64</v>
      </c>
      <c r="J107">
        <f t="shared" si="20"/>
        <v>49</v>
      </c>
      <c r="K107">
        <f t="shared" si="21"/>
        <v>-175</v>
      </c>
      <c r="L107">
        <f t="shared" si="22"/>
        <v>-25.48</v>
      </c>
      <c r="M107">
        <f t="shared" si="23"/>
        <v>625</v>
      </c>
      <c r="N107">
        <f t="shared" si="24"/>
        <v>91</v>
      </c>
      <c r="O107">
        <f t="shared" si="25"/>
        <v>13.249600000000001</v>
      </c>
      <c r="Q107" s="11">
        <f t="shared" si="27"/>
        <v>36.777681163060073</v>
      </c>
      <c r="R107" s="12">
        <f t="shared" si="26"/>
        <v>2.1602254529446481E-2</v>
      </c>
    </row>
    <row r="108" spans="1:18" x14ac:dyDescent="0.25">
      <c r="A108">
        <v>-7</v>
      </c>
      <c r="B108">
        <v>25</v>
      </c>
      <c r="C108">
        <f t="shared" si="18"/>
        <v>5.21</v>
      </c>
      <c r="E108">
        <v>55</v>
      </c>
      <c r="F108" s="2"/>
      <c r="G108">
        <f t="shared" si="19"/>
        <v>-7</v>
      </c>
      <c r="H108" s="10">
        <f t="shared" si="19"/>
        <v>25</v>
      </c>
      <c r="I108">
        <f t="shared" si="19"/>
        <v>5.21</v>
      </c>
      <c r="J108">
        <f t="shared" si="20"/>
        <v>49</v>
      </c>
      <c r="K108">
        <f t="shared" si="21"/>
        <v>-175</v>
      </c>
      <c r="L108">
        <f t="shared" si="22"/>
        <v>-36.47</v>
      </c>
      <c r="M108">
        <f t="shared" si="23"/>
        <v>625</v>
      </c>
      <c r="N108">
        <f t="shared" si="24"/>
        <v>130.25</v>
      </c>
      <c r="O108">
        <f t="shared" si="25"/>
        <v>27.144099999999998</v>
      </c>
      <c r="Q108" s="11">
        <f t="shared" si="27"/>
        <v>52.345425164518886</v>
      </c>
      <c r="R108" s="12">
        <f t="shared" si="26"/>
        <v>-4.8264997008747527E-2</v>
      </c>
    </row>
    <row r="109" spans="1:18" x14ac:dyDescent="0.25">
      <c r="A109">
        <v>-7</v>
      </c>
      <c r="B109">
        <v>25</v>
      </c>
      <c r="C109">
        <f t="shared" si="18"/>
        <v>8.5399999999999991</v>
      </c>
      <c r="E109">
        <v>85</v>
      </c>
      <c r="F109" s="2"/>
      <c r="G109">
        <f t="shared" si="19"/>
        <v>-7</v>
      </c>
      <c r="H109" s="10">
        <f t="shared" si="19"/>
        <v>25</v>
      </c>
      <c r="I109">
        <f t="shared" si="19"/>
        <v>8.5399999999999991</v>
      </c>
      <c r="J109">
        <f t="shared" si="20"/>
        <v>49</v>
      </c>
      <c r="K109">
        <f t="shared" si="21"/>
        <v>-175</v>
      </c>
      <c r="L109">
        <f t="shared" si="22"/>
        <v>-59.779999999999994</v>
      </c>
      <c r="M109">
        <f t="shared" si="23"/>
        <v>625</v>
      </c>
      <c r="N109">
        <f t="shared" si="24"/>
        <v>213.49999999999997</v>
      </c>
      <c r="O109">
        <f t="shared" si="25"/>
        <v>72.931599999999989</v>
      </c>
      <c r="Q109" s="11">
        <f t="shared" si="27"/>
        <v>84.396425279345607</v>
      </c>
      <c r="R109" s="12">
        <f t="shared" si="26"/>
        <v>-7.1008790665222721E-3</v>
      </c>
    </row>
    <row r="110" spans="1:18" x14ac:dyDescent="0.25">
      <c r="A110">
        <v>2</v>
      </c>
      <c r="B110">
        <v>25</v>
      </c>
      <c r="C110">
        <f t="shared" si="18"/>
        <v>4.4800000000000004</v>
      </c>
      <c r="E110">
        <v>36</v>
      </c>
      <c r="F110" s="2"/>
      <c r="G110">
        <f t="shared" si="19"/>
        <v>2</v>
      </c>
      <c r="H110" s="10">
        <f t="shared" si="19"/>
        <v>25</v>
      </c>
      <c r="I110">
        <f t="shared" si="19"/>
        <v>4.4800000000000004</v>
      </c>
      <c r="J110">
        <f t="shared" si="20"/>
        <v>4</v>
      </c>
      <c r="K110">
        <f t="shared" si="21"/>
        <v>50</v>
      </c>
      <c r="L110">
        <f t="shared" si="22"/>
        <v>8.9600000000000009</v>
      </c>
      <c r="M110">
        <f t="shared" si="23"/>
        <v>625</v>
      </c>
      <c r="N110">
        <f t="shared" si="24"/>
        <v>112.00000000000001</v>
      </c>
      <c r="O110">
        <f t="shared" si="25"/>
        <v>20.070400000000003</v>
      </c>
      <c r="Q110" s="11">
        <f t="shared" si="27"/>
        <v>34.334803771157254</v>
      </c>
      <c r="R110" s="12">
        <f t="shared" si="26"/>
        <v>-4.6255450801187377E-2</v>
      </c>
    </row>
    <row r="111" spans="1:18" x14ac:dyDescent="0.25">
      <c r="A111">
        <v>2</v>
      </c>
      <c r="B111">
        <v>25</v>
      </c>
      <c r="C111">
        <f t="shared" si="18"/>
        <v>6.9</v>
      </c>
      <c r="E111">
        <v>55</v>
      </c>
      <c r="F111" s="2"/>
      <c r="G111">
        <f t="shared" si="19"/>
        <v>2</v>
      </c>
      <c r="H111" s="10">
        <f t="shared" si="19"/>
        <v>25</v>
      </c>
      <c r="I111">
        <f t="shared" si="19"/>
        <v>6.9</v>
      </c>
      <c r="J111">
        <f t="shared" si="20"/>
        <v>4</v>
      </c>
      <c r="K111">
        <f t="shared" si="21"/>
        <v>50</v>
      </c>
      <c r="L111">
        <f t="shared" si="22"/>
        <v>13.8</v>
      </c>
      <c r="M111">
        <f t="shared" si="23"/>
        <v>625</v>
      </c>
      <c r="N111">
        <f t="shared" si="24"/>
        <v>172.5</v>
      </c>
      <c r="O111">
        <f t="shared" si="25"/>
        <v>47.610000000000007</v>
      </c>
      <c r="Q111" s="11">
        <f t="shared" si="27"/>
        <v>54.002980123107648</v>
      </c>
      <c r="R111" s="12">
        <f t="shared" si="26"/>
        <v>-1.8127634125315498E-2</v>
      </c>
    </row>
    <row r="112" spans="1:18" x14ac:dyDescent="0.25">
      <c r="A112">
        <v>2</v>
      </c>
      <c r="B112">
        <v>25</v>
      </c>
      <c r="C112">
        <f t="shared" si="18"/>
        <v>11.42</v>
      </c>
      <c r="E112">
        <v>85</v>
      </c>
      <c r="F112" s="2"/>
      <c r="G112">
        <f t="shared" si="19"/>
        <v>2</v>
      </c>
      <c r="H112" s="10">
        <f t="shared" si="19"/>
        <v>25</v>
      </c>
      <c r="I112">
        <f t="shared" si="19"/>
        <v>11.42</v>
      </c>
      <c r="J112">
        <f t="shared" si="20"/>
        <v>4</v>
      </c>
      <c r="K112">
        <f t="shared" si="21"/>
        <v>50</v>
      </c>
      <c r="L112">
        <f t="shared" si="22"/>
        <v>22.84</v>
      </c>
      <c r="M112">
        <f t="shared" si="23"/>
        <v>625</v>
      </c>
      <c r="N112">
        <f t="shared" si="24"/>
        <v>285.5</v>
      </c>
      <c r="O112">
        <f t="shared" si="25"/>
        <v>130.41640000000001</v>
      </c>
      <c r="Q112" s="11">
        <f t="shared" si="27"/>
        <v>88.876712391221233</v>
      </c>
      <c r="R112" s="12">
        <f t="shared" si="26"/>
        <v>4.5608381073190971E-2</v>
      </c>
    </row>
    <row r="113" spans="1:18" x14ac:dyDescent="0.25">
      <c r="A113">
        <v>7</v>
      </c>
      <c r="B113">
        <v>25</v>
      </c>
      <c r="C113">
        <f t="shared" si="18"/>
        <v>5.37</v>
      </c>
      <c r="E113">
        <v>36</v>
      </c>
      <c r="F113" s="2"/>
      <c r="G113">
        <f t="shared" si="19"/>
        <v>7</v>
      </c>
      <c r="H113" s="10">
        <f t="shared" si="19"/>
        <v>25</v>
      </c>
      <c r="I113">
        <f t="shared" si="19"/>
        <v>5.37</v>
      </c>
      <c r="J113">
        <f t="shared" si="20"/>
        <v>49</v>
      </c>
      <c r="K113">
        <f t="shared" si="21"/>
        <v>175</v>
      </c>
      <c r="L113">
        <f t="shared" si="22"/>
        <v>37.590000000000003</v>
      </c>
      <c r="M113">
        <f t="shared" si="23"/>
        <v>625</v>
      </c>
      <c r="N113">
        <f t="shared" si="24"/>
        <v>134.25</v>
      </c>
      <c r="O113">
        <f t="shared" si="25"/>
        <v>28.8369</v>
      </c>
      <c r="Q113" s="11">
        <f t="shared" si="27"/>
        <v>36.294465167523654</v>
      </c>
      <c r="R113" s="12">
        <f t="shared" si="26"/>
        <v>8.1795879867681744E-3</v>
      </c>
    </row>
    <row r="114" spans="1:18" x14ac:dyDescent="0.25">
      <c r="A114">
        <v>7</v>
      </c>
      <c r="B114">
        <v>25</v>
      </c>
      <c r="C114">
        <f t="shared" si="18"/>
        <v>7.92</v>
      </c>
      <c r="E114">
        <v>55</v>
      </c>
      <c r="F114" s="2"/>
      <c r="G114">
        <f t="shared" si="19"/>
        <v>7</v>
      </c>
      <c r="H114" s="10">
        <f t="shared" si="19"/>
        <v>25</v>
      </c>
      <c r="I114">
        <f t="shared" si="19"/>
        <v>7.92</v>
      </c>
      <c r="J114">
        <f t="shared" si="20"/>
        <v>49</v>
      </c>
      <c r="K114">
        <f t="shared" si="21"/>
        <v>175</v>
      </c>
      <c r="L114">
        <f t="shared" si="22"/>
        <v>55.44</v>
      </c>
      <c r="M114">
        <f t="shared" si="23"/>
        <v>625</v>
      </c>
      <c r="N114">
        <f t="shared" si="24"/>
        <v>198</v>
      </c>
      <c r="O114">
        <f t="shared" si="25"/>
        <v>62.726399999999998</v>
      </c>
      <c r="Q114" s="11">
        <f t="shared" si="27"/>
        <v>54.409259379250706</v>
      </c>
      <c r="R114" s="12">
        <f t="shared" si="26"/>
        <v>-1.0740738559078073E-2</v>
      </c>
    </row>
    <row r="115" spans="1:18" x14ac:dyDescent="0.25">
      <c r="A115">
        <v>7</v>
      </c>
      <c r="B115">
        <v>25</v>
      </c>
      <c r="C115">
        <f t="shared" si="18"/>
        <v>12.24</v>
      </c>
      <c r="E115">
        <v>85</v>
      </c>
      <c r="F115" s="2"/>
      <c r="G115">
        <f t="shared" si="19"/>
        <v>7</v>
      </c>
      <c r="H115" s="10">
        <f t="shared" si="19"/>
        <v>25</v>
      </c>
      <c r="I115">
        <f t="shared" si="19"/>
        <v>12.24</v>
      </c>
      <c r="J115">
        <f t="shared" si="20"/>
        <v>49</v>
      </c>
      <c r="K115">
        <f t="shared" si="21"/>
        <v>175</v>
      </c>
      <c r="L115">
        <f t="shared" si="22"/>
        <v>85.68</v>
      </c>
      <c r="M115">
        <f t="shared" si="23"/>
        <v>625</v>
      </c>
      <c r="N115">
        <f t="shared" si="24"/>
        <v>306</v>
      </c>
      <c r="O115">
        <f t="shared" si="25"/>
        <v>149.8176</v>
      </c>
      <c r="Q115" s="11">
        <f t="shared" si="27"/>
        <v>83.336314412084604</v>
      </c>
      <c r="R115" s="12">
        <f t="shared" si="26"/>
        <v>-1.9572771622534065E-2</v>
      </c>
    </row>
    <row r="116" spans="1:18" x14ac:dyDescent="0.25">
      <c r="A116">
        <v>12</v>
      </c>
      <c r="B116">
        <v>25</v>
      </c>
      <c r="C116">
        <f t="shared" si="18"/>
        <v>6.12</v>
      </c>
      <c r="E116">
        <v>36</v>
      </c>
      <c r="F116" s="2"/>
      <c r="G116">
        <f t="shared" si="19"/>
        <v>12</v>
      </c>
      <c r="H116" s="10">
        <f t="shared" si="19"/>
        <v>25</v>
      </c>
      <c r="I116">
        <f t="shared" si="19"/>
        <v>6.12</v>
      </c>
      <c r="J116">
        <f t="shared" si="20"/>
        <v>144</v>
      </c>
      <c r="K116">
        <f t="shared" si="21"/>
        <v>300</v>
      </c>
      <c r="L116">
        <f t="shared" si="22"/>
        <v>73.44</v>
      </c>
      <c r="M116">
        <f t="shared" si="23"/>
        <v>625</v>
      </c>
      <c r="N116">
        <f t="shared" si="24"/>
        <v>153</v>
      </c>
      <c r="O116">
        <f t="shared" si="25"/>
        <v>37.4544</v>
      </c>
      <c r="Q116" s="11">
        <f t="shared" si="27"/>
        <v>36.708409541872228</v>
      </c>
      <c r="R116" s="12">
        <f t="shared" si="26"/>
        <v>1.9678042829784123E-2</v>
      </c>
    </row>
    <row r="117" spans="1:18" x14ac:dyDescent="0.25">
      <c r="A117">
        <v>12</v>
      </c>
      <c r="B117">
        <v>25</v>
      </c>
      <c r="C117">
        <f t="shared" si="18"/>
        <v>9.5</v>
      </c>
      <c r="E117">
        <v>55</v>
      </c>
      <c r="F117" s="2"/>
      <c r="G117">
        <f t="shared" si="19"/>
        <v>12</v>
      </c>
      <c r="H117" s="10">
        <f t="shared" si="19"/>
        <v>25</v>
      </c>
      <c r="I117">
        <f t="shared" si="19"/>
        <v>9.5</v>
      </c>
      <c r="J117">
        <f t="shared" si="20"/>
        <v>144</v>
      </c>
      <c r="K117">
        <f t="shared" si="21"/>
        <v>300</v>
      </c>
      <c r="L117">
        <f t="shared" si="22"/>
        <v>114</v>
      </c>
      <c r="M117">
        <f t="shared" si="23"/>
        <v>625</v>
      </c>
      <c r="N117">
        <f t="shared" si="24"/>
        <v>237.5</v>
      </c>
      <c r="O117">
        <f t="shared" si="25"/>
        <v>90.25</v>
      </c>
      <c r="Q117" s="11">
        <f t="shared" si="27"/>
        <v>57.175686463246315</v>
      </c>
      <c r="R117" s="12">
        <f t="shared" si="26"/>
        <v>3.9557935695387542E-2</v>
      </c>
    </row>
    <row r="118" spans="1:18" x14ac:dyDescent="0.25">
      <c r="A118">
        <v>12</v>
      </c>
      <c r="B118">
        <v>25</v>
      </c>
      <c r="C118">
        <f t="shared" si="18"/>
        <v>14.31</v>
      </c>
      <c r="E118">
        <v>85</v>
      </c>
      <c r="F118" s="2"/>
      <c r="G118">
        <f t="shared" si="19"/>
        <v>12</v>
      </c>
      <c r="H118" s="10">
        <f t="shared" si="19"/>
        <v>25</v>
      </c>
      <c r="I118">
        <f t="shared" si="19"/>
        <v>14.31</v>
      </c>
      <c r="J118">
        <f t="shared" si="20"/>
        <v>144</v>
      </c>
      <c r="K118">
        <f t="shared" si="21"/>
        <v>300</v>
      </c>
      <c r="L118">
        <f t="shared" si="22"/>
        <v>171.72</v>
      </c>
      <c r="M118">
        <f t="shared" si="23"/>
        <v>625</v>
      </c>
      <c r="N118">
        <f t="shared" si="24"/>
        <v>357.75</v>
      </c>
      <c r="O118">
        <f t="shared" si="25"/>
        <v>204.77610000000001</v>
      </c>
      <c r="Q118" s="11">
        <f t="shared" si="27"/>
        <v>83.964002741436161</v>
      </c>
      <c r="R118" s="12">
        <f t="shared" si="26"/>
        <v>-1.2188203041927515E-2</v>
      </c>
    </row>
    <row r="119" spans="1:18" x14ac:dyDescent="0.25">
      <c r="A119">
        <v>-15</v>
      </c>
      <c r="B119">
        <v>35</v>
      </c>
      <c r="C119">
        <f t="shared" si="18"/>
        <v>2.27</v>
      </c>
      <c r="E119">
        <v>36</v>
      </c>
      <c r="F119" s="2"/>
      <c r="G119">
        <f t="shared" si="19"/>
        <v>-15</v>
      </c>
      <c r="H119" s="10">
        <f t="shared" si="19"/>
        <v>35</v>
      </c>
      <c r="I119">
        <f t="shared" si="19"/>
        <v>2.27</v>
      </c>
      <c r="J119">
        <f t="shared" si="20"/>
        <v>225</v>
      </c>
      <c r="K119">
        <f t="shared" si="21"/>
        <v>-525</v>
      </c>
      <c r="L119">
        <f t="shared" si="22"/>
        <v>-34.049999999999997</v>
      </c>
      <c r="M119">
        <f t="shared" si="23"/>
        <v>1225</v>
      </c>
      <c r="N119">
        <f t="shared" si="24"/>
        <v>79.45</v>
      </c>
      <c r="O119">
        <f t="shared" si="25"/>
        <v>5.1528999999999998</v>
      </c>
      <c r="Q119" s="11">
        <f t="shared" si="27"/>
        <v>36.215269685384953</v>
      </c>
      <c r="R119" s="12">
        <f t="shared" si="26"/>
        <v>5.979713482915372E-3</v>
      </c>
    </row>
    <row r="120" spans="1:18" x14ac:dyDescent="0.25">
      <c r="A120">
        <v>-15</v>
      </c>
      <c r="B120">
        <v>35</v>
      </c>
      <c r="C120">
        <f t="shared" si="18"/>
        <v>3.91</v>
      </c>
      <c r="E120">
        <v>55</v>
      </c>
      <c r="F120" s="2"/>
      <c r="G120">
        <f t="shared" si="19"/>
        <v>-15</v>
      </c>
      <c r="H120" s="10">
        <f t="shared" si="19"/>
        <v>35</v>
      </c>
      <c r="I120">
        <f t="shared" si="19"/>
        <v>3.91</v>
      </c>
      <c r="J120">
        <f t="shared" si="20"/>
        <v>225</v>
      </c>
      <c r="K120">
        <f t="shared" si="21"/>
        <v>-525</v>
      </c>
      <c r="L120">
        <f t="shared" si="22"/>
        <v>-58.650000000000006</v>
      </c>
      <c r="M120">
        <f t="shared" si="23"/>
        <v>1225</v>
      </c>
      <c r="N120">
        <f t="shared" si="24"/>
        <v>136.85</v>
      </c>
      <c r="O120">
        <f t="shared" si="25"/>
        <v>15.288100000000002</v>
      </c>
      <c r="Q120" s="11">
        <f t="shared" si="27"/>
        <v>55.289697493208884</v>
      </c>
      <c r="R120" s="12">
        <f t="shared" si="26"/>
        <v>5.2672271492524335E-3</v>
      </c>
    </row>
    <row r="121" spans="1:18" x14ac:dyDescent="0.25">
      <c r="A121">
        <v>-15</v>
      </c>
      <c r="B121">
        <v>35</v>
      </c>
      <c r="C121">
        <f t="shared" si="18"/>
        <v>6.52</v>
      </c>
      <c r="E121">
        <v>85</v>
      </c>
      <c r="F121" s="2"/>
      <c r="G121">
        <f t="shared" si="19"/>
        <v>-15</v>
      </c>
      <c r="H121" s="10">
        <f t="shared" si="19"/>
        <v>35</v>
      </c>
      <c r="I121">
        <f t="shared" si="19"/>
        <v>6.52</v>
      </c>
      <c r="J121">
        <f t="shared" si="20"/>
        <v>225</v>
      </c>
      <c r="K121">
        <f t="shared" si="21"/>
        <v>-525</v>
      </c>
      <c r="L121">
        <f t="shared" si="22"/>
        <v>-97.8</v>
      </c>
      <c r="M121">
        <f t="shared" si="23"/>
        <v>1225</v>
      </c>
      <c r="N121">
        <f t="shared" si="24"/>
        <v>228.2</v>
      </c>
      <c r="O121">
        <f t="shared" si="25"/>
        <v>42.510399999999997</v>
      </c>
      <c r="Q121" s="11">
        <f t="shared" si="27"/>
        <v>84.987565106418586</v>
      </c>
      <c r="R121" s="12">
        <f t="shared" si="26"/>
        <v>-1.4629286566369447E-4</v>
      </c>
    </row>
    <row r="122" spans="1:18" x14ac:dyDescent="0.25">
      <c r="A122">
        <v>-7</v>
      </c>
      <c r="B122">
        <v>35</v>
      </c>
      <c r="C122">
        <f t="shared" si="18"/>
        <v>3.42</v>
      </c>
      <c r="E122">
        <v>36</v>
      </c>
      <c r="F122" s="2"/>
      <c r="G122">
        <f t="shared" si="19"/>
        <v>-7</v>
      </c>
      <c r="H122" s="10">
        <f t="shared" si="19"/>
        <v>35</v>
      </c>
      <c r="I122">
        <f t="shared" si="19"/>
        <v>3.42</v>
      </c>
      <c r="J122">
        <f t="shared" si="20"/>
        <v>49</v>
      </c>
      <c r="K122">
        <f t="shared" si="21"/>
        <v>-245</v>
      </c>
      <c r="L122">
        <f t="shared" si="22"/>
        <v>-23.939999999999998</v>
      </c>
      <c r="M122">
        <f t="shared" si="23"/>
        <v>1225</v>
      </c>
      <c r="N122">
        <f t="shared" si="24"/>
        <v>119.7</v>
      </c>
      <c r="O122">
        <f t="shared" si="25"/>
        <v>11.696399999999999</v>
      </c>
      <c r="Q122" s="11">
        <f t="shared" si="27"/>
        <v>37.483238561403688</v>
      </c>
      <c r="R122" s="12">
        <f t="shared" si="26"/>
        <v>4.1201071150102443E-2</v>
      </c>
    </row>
    <row r="123" spans="1:18" x14ac:dyDescent="0.25">
      <c r="A123">
        <v>-7</v>
      </c>
      <c r="B123">
        <v>35</v>
      </c>
      <c r="C123">
        <f t="shared" si="18"/>
        <v>5.25</v>
      </c>
      <c r="E123">
        <v>55</v>
      </c>
      <c r="F123" s="2"/>
      <c r="G123">
        <f t="shared" si="19"/>
        <v>-7</v>
      </c>
      <c r="H123" s="10">
        <f t="shared" si="19"/>
        <v>35</v>
      </c>
      <c r="I123">
        <f t="shared" si="19"/>
        <v>5.25</v>
      </c>
      <c r="J123">
        <f t="shared" si="20"/>
        <v>49</v>
      </c>
      <c r="K123">
        <f t="shared" si="21"/>
        <v>-245</v>
      </c>
      <c r="L123">
        <f t="shared" si="22"/>
        <v>-36.75</v>
      </c>
      <c r="M123">
        <f t="shared" si="23"/>
        <v>1225</v>
      </c>
      <c r="N123">
        <f t="shared" si="24"/>
        <v>183.75</v>
      </c>
      <c r="O123">
        <f t="shared" si="25"/>
        <v>27.5625</v>
      </c>
      <c r="Q123" s="11">
        <f t="shared" si="27"/>
        <v>55.83216464526101</v>
      </c>
      <c r="R123" s="12">
        <f t="shared" si="26"/>
        <v>1.5130266277472902E-2</v>
      </c>
    </row>
    <row r="124" spans="1:18" x14ac:dyDescent="0.25">
      <c r="A124">
        <v>-7</v>
      </c>
      <c r="B124">
        <v>35</v>
      </c>
      <c r="C124">
        <f t="shared" si="18"/>
        <v>8.07</v>
      </c>
      <c r="E124">
        <v>85</v>
      </c>
      <c r="F124" s="2"/>
      <c r="G124">
        <f t="shared" si="19"/>
        <v>-7</v>
      </c>
      <c r="H124" s="10">
        <f t="shared" si="19"/>
        <v>35</v>
      </c>
      <c r="I124">
        <f t="shared" si="19"/>
        <v>8.07</v>
      </c>
      <c r="J124">
        <f t="shared" si="20"/>
        <v>49</v>
      </c>
      <c r="K124">
        <f t="shared" si="21"/>
        <v>-245</v>
      </c>
      <c r="L124">
        <f t="shared" si="22"/>
        <v>-56.49</v>
      </c>
      <c r="M124">
        <f t="shared" si="23"/>
        <v>1225</v>
      </c>
      <c r="N124">
        <f t="shared" si="24"/>
        <v>282.45</v>
      </c>
      <c r="O124">
        <f t="shared" si="25"/>
        <v>65.124900000000011</v>
      </c>
      <c r="Q124" s="11">
        <f t="shared" si="27"/>
        <v>83.32924739122268</v>
      </c>
      <c r="R124" s="12">
        <f t="shared" si="26"/>
        <v>-1.9655913044439064E-2</v>
      </c>
    </row>
    <row r="125" spans="1:18" x14ac:dyDescent="0.25">
      <c r="A125">
        <v>2</v>
      </c>
      <c r="B125">
        <v>35</v>
      </c>
      <c r="C125">
        <f t="shared" si="18"/>
        <v>4.2699999999999996</v>
      </c>
      <c r="E125">
        <v>36</v>
      </c>
      <c r="F125" s="2"/>
      <c r="G125">
        <f t="shared" si="19"/>
        <v>2</v>
      </c>
      <c r="H125" s="10">
        <f t="shared" si="19"/>
        <v>35</v>
      </c>
      <c r="I125">
        <f t="shared" si="19"/>
        <v>4.2699999999999996</v>
      </c>
      <c r="J125">
        <f t="shared" si="20"/>
        <v>4</v>
      </c>
      <c r="K125">
        <f t="shared" si="21"/>
        <v>70</v>
      </c>
      <c r="L125">
        <f t="shared" si="22"/>
        <v>8.5399999999999991</v>
      </c>
      <c r="M125">
        <f t="shared" si="23"/>
        <v>1225</v>
      </c>
      <c r="N125">
        <f t="shared" si="24"/>
        <v>149.44999999999999</v>
      </c>
      <c r="O125">
        <f t="shared" si="25"/>
        <v>18.232899999999997</v>
      </c>
      <c r="Q125" s="11">
        <f t="shared" si="27"/>
        <v>34.196147755913863</v>
      </c>
      <c r="R125" s="12">
        <f t="shared" si="26"/>
        <v>-5.0107006780170472E-2</v>
      </c>
    </row>
    <row r="126" spans="1:18" x14ac:dyDescent="0.25">
      <c r="A126">
        <v>2</v>
      </c>
      <c r="B126">
        <v>35</v>
      </c>
      <c r="C126">
        <f t="shared" si="18"/>
        <v>6.76</v>
      </c>
      <c r="E126">
        <v>55</v>
      </c>
      <c r="G126">
        <f t="shared" si="19"/>
        <v>2</v>
      </c>
      <c r="H126" s="10">
        <f t="shared" si="19"/>
        <v>35</v>
      </c>
      <c r="I126">
        <f t="shared" si="19"/>
        <v>6.76</v>
      </c>
      <c r="J126">
        <f t="shared" si="20"/>
        <v>4</v>
      </c>
      <c r="K126">
        <f t="shared" si="21"/>
        <v>70</v>
      </c>
      <c r="L126">
        <f t="shared" si="22"/>
        <v>13.52</v>
      </c>
      <c r="M126">
        <f t="shared" si="23"/>
        <v>1225</v>
      </c>
      <c r="N126">
        <f t="shared" si="24"/>
        <v>236.6</v>
      </c>
      <c r="O126">
        <f t="shared" si="25"/>
        <v>45.697599999999994</v>
      </c>
      <c r="Q126" s="11">
        <f t="shared" si="27"/>
        <v>54.734690815844587</v>
      </c>
      <c r="R126" s="12">
        <f t="shared" si="26"/>
        <v>-4.8238033482802352E-3</v>
      </c>
    </row>
    <row r="127" spans="1:18" x14ac:dyDescent="0.25">
      <c r="A127">
        <v>2</v>
      </c>
      <c r="B127">
        <v>35</v>
      </c>
      <c r="C127">
        <f t="shared" si="18"/>
        <v>10.58</v>
      </c>
      <c r="E127">
        <v>85</v>
      </c>
      <c r="G127">
        <f t="shared" si="19"/>
        <v>2</v>
      </c>
      <c r="H127" s="10">
        <f t="shared" si="19"/>
        <v>35</v>
      </c>
      <c r="I127">
        <f t="shared" si="19"/>
        <v>10.58</v>
      </c>
      <c r="J127">
        <f t="shared" si="20"/>
        <v>4</v>
      </c>
      <c r="K127">
        <f t="shared" si="21"/>
        <v>70</v>
      </c>
      <c r="L127">
        <f t="shared" si="22"/>
        <v>21.16</v>
      </c>
      <c r="M127">
        <f t="shared" si="23"/>
        <v>1225</v>
      </c>
      <c r="N127">
        <f t="shared" si="24"/>
        <v>370.3</v>
      </c>
      <c r="O127">
        <f t="shared" si="25"/>
        <v>111.93640000000001</v>
      </c>
      <c r="Q127" s="11">
        <f t="shared" si="27"/>
        <v>84.81293496411746</v>
      </c>
      <c r="R127" s="12">
        <f t="shared" si="26"/>
        <v>-2.2007651280298835E-3</v>
      </c>
    </row>
    <row r="128" spans="1:18" x14ac:dyDescent="0.25">
      <c r="A128">
        <v>7</v>
      </c>
      <c r="B128">
        <v>35</v>
      </c>
      <c r="C128">
        <f t="shared" si="18"/>
        <v>5.34</v>
      </c>
      <c r="E128">
        <v>36</v>
      </c>
      <c r="G128">
        <f t="shared" si="19"/>
        <v>7</v>
      </c>
      <c r="H128" s="10">
        <f t="shared" si="19"/>
        <v>35</v>
      </c>
      <c r="I128">
        <f t="shared" si="19"/>
        <v>5.34</v>
      </c>
      <c r="J128">
        <f t="shared" si="20"/>
        <v>49</v>
      </c>
      <c r="K128">
        <f t="shared" si="21"/>
        <v>245</v>
      </c>
      <c r="L128">
        <f t="shared" si="22"/>
        <v>37.379999999999995</v>
      </c>
      <c r="M128">
        <f t="shared" si="23"/>
        <v>1225</v>
      </c>
      <c r="N128">
        <f t="shared" si="24"/>
        <v>186.9</v>
      </c>
      <c r="O128">
        <f t="shared" si="25"/>
        <v>28.515599999999999</v>
      </c>
      <c r="Q128" s="11">
        <f t="shared" si="27"/>
        <v>37.010058769120995</v>
      </c>
      <c r="R128" s="12">
        <f t="shared" si="26"/>
        <v>2.8057188031138755E-2</v>
      </c>
    </row>
    <row r="129" spans="1:18" x14ac:dyDescent="0.25">
      <c r="A129">
        <v>7</v>
      </c>
      <c r="B129">
        <v>35</v>
      </c>
      <c r="C129">
        <f t="shared" si="18"/>
        <v>7.71</v>
      </c>
      <c r="E129">
        <v>55</v>
      </c>
      <c r="G129">
        <f t="shared" si="19"/>
        <v>7</v>
      </c>
      <c r="H129" s="10">
        <f t="shared" si="19"/>
        <v>35</v>
      </c>
      <c r="I129">
        <f t="shared" si="19"/>
        <v>7.71</v>
      </c>
      <c r="J129">
        <f t="shared" si="20"/>
        <v>49</v>
      </c>
      <c r="K129">
        <f t="shared" si="21"/>
        <v>245</v>
      </c>
      <c r="L129">
        <f t="shared" si="22"/>
        <v>53.97</v>
      </c>
      <c r="M129">
        <f t="shared" si="23"/>
        <v>1225</v>
      </c>
      <c r="N129">
        <f t="shared" si="24"/>
        <v>269.85000000000002</v>
      </c>
      <c r="O129">
        <f t="shared" si="25"/>
        <v>59.444099999999999</v>
      </c>
      <c r="Q129" s="11">
        <f t="shared" si="27"/>
        <v>54.117612670211287</v>
      </c>
      <c r="R129" s="12">
        <f t="shared" si="26"/>
        <v>-1.6043405996158423E-2</v>
      </c>
    </row>
    <row r="130" spans="1:18" x14ac:dyDescent="0.25">
      <c r="A130">
        <v>7</v>
      </c>
      <c r="B130">
        <v>35</v>
      </c>
      <c r="C130">
        <f t="shared" si="18"/>
        <v>12.6</v>
      </c>
      <c r="E130">
        <v>85</v>
      </c>
      <c r="G130">
        <f t="shared" si="19"/>
        <v>7</v>
      </c>
      <c r="H130" s="10">
        <f t="shared" si="19"/>
        <v>35</v>
      </c>
      <c r="I130">
        <f t="shared" si="19"/>
        <v>12.6</v>
      </c>
      <c r="J130">
        <f t="shared" si="20"/>
        <v>49</v>
      </c>
      <c r="K130">
        <f t="shared" si="21"/>
        <v>245</v>
      </c>
      <c r="L130">
        <f t="shared" si="22"/>
        <v>88.2</v>
      </c>
      <c r="M130">
        <f t="shared" si="23"/>
        <v>1225</v>
      </c>
      <c r="N130">
        <f t="shared" si="24"/>
        <v>441</v>
      </c>
      <c r="O130">
        <f t="shared" si="25"/>
        <v>158.76</v>
      </c>
      <c r="Q130" s="11">
        <f t="shared" si="27"/>
        <v>87.308320062090729</v>
      </c>
      <c r="R130" s="12">
        <f t="shared" si="26"/>
        <v>2.7156706612832107E-2</v>
      </c>
    </row>
    <row r="131" spans="1:18" x14ac:dyDescent="0.25">
      <c r="A131">
        <v>12</v>
      </c>
      <c r="B131">
        <v>35</v>
      </c>
      <c r="C131">
        <f t="shared" si="18"/>
        <v>6.11</v>
      </c>
      <c r="E131">
        <v>36</v>
      </c>
      <c r="G131">
        <f t="shared" si="19"/>
        <v>12</v>
      </c>
      <c r="H131" s="10">
        <f t="shared" si="19"/>
        <v>35</v>
      </c>
      <c r="I131">
        <f t="shared" si="19"/>
        <v>6.11</v>
      </c>
      <c r="J131">
        <f t="shared" si="20"/>
        <v>144</v>
      </c>
      <c r="K131">
        <f t="shared" si="21"/>
        <v>420</v>
      </c>
      <c r="L131">
        <f t="shared" si="22"/>
        <v>73.320000000000007</v>
      </c>
      <c r="M131">
        <f t="shared" si="23"/>
        <v>1225</v>
      </c>
      <c r="N131">
        <f t="shared" si="24"/>
        <v>213.85000000000002</v>
      </c>
      <c r="O131">
        <f t="shared" si="25"/>
        <v>37.332100000000004</v>
      </c>
      <c r="Q131" s="11">
        <f t="shared" si="27"/>
        <v>36.881493773431281</v>
      </c>
      <c r="R131" s="12">
        <f t="shared" si="26"/>
        <v>2.4485938150868906E-2</v>
      </c>
    </row>
    <row r="132" spans="1:18" x14ac:dyDescent="0.25">
      <c r="A132">
        <v>12</v>
      </c>
      <c r="B132">
        <v>35</v>
      </c>
      <c r="C132">
        <f t="shared" si="18"/>
        <v>8.77</v>
      </c>
      <c r="E132">
        <v>55</v>
      </c>
      <c r="G132">
        <f t="shared" si="19"/>
        <v>12</v>
      </c>
      <c r="H132" s="10">
        <f t="shared" si="19"/>
        <v>35</v>
      </c>
      <c r="I132">
        <f t="shared" si="19"/>
        <v>8.77</v>
      </c>
      <c r="J132">
        <f t="shared" si="20"/>
        <v>144</v>
      </c>
      <c r="K132">
        <f t="shared" si="21"/>
        <v>420</v>
      </c>
      <c r="L132">
        <f t="shared" si="22"/>
        <v>105.24</v>
      </c>
      <c r="M132">
        <f t="shared" si="23"/>
        <v>1225</v>
      </c>
      <c r="N132">
        <f t="shared" si="24"/>
        <v>306.95</v>
      </c>
      <c r="O132">
        <f t="shared" si="25"/>
        <v>76.912899999999993</v>
      </c>
      <c r="Q132" s="11">
        <f t="shared" si="27"/>
        <v>53.372485038517034</v>
      </c>
      <c r="R132" s="12">
        <f t="shared" si="26"/>
        <v>-2.9591181117872106E-2</v>
      </c>
    </row>
    <row r="133" spans="1:18" x14ac:dyDescent="0.25">
      <c r="A133">
        <v>12</v>
      </c>
      <c r="B133">
        <v>35</v>
      </c>
      <c r="C133">
        <f t="shared" si="18"/>
        <v>14.2</v>
      </c>
      <c r="E133">
        <v>85</v>
      </c>
      <c r="G133">
        <f t="shared" si="19"/>
        <v>12</v>
      </c>
      <c r="H133" s="10">
        <f t="shared" si="19"/>
        <v>35</v>
      </c>
      <c r="I133">
        <f t="shared" si="19"/>
        <v>14.2</v>
      </c>
      <c r="J133">
        <f t="shared" si="20"/>
        <v>144</v>
      </c>
      <c r="K133">
        <f t="shared" si="21"/>
        <v>420</v>
      </c>
      <c r="L133">
        <f t="shared" si="22"/>
        <v>170.39999999999998</v>
      </c>
      <c r="M133">
        <f t="shared" si="23"/>
        <v>1225</v>
      </c>
      <c r="N133">
        <f t="shared" si="24"/>
        <v>497</v>
      </c>
      <c r="O133">
        <f t="shared" si="25"/>
        <v>201.64</v>
      </c>
      <c r="Q133" s="11">
        <f t="shared" si="27"/>
        <v>84.429073267852715</v>
      </c>
      <c r="R133" s="12">
        <f t="shared" si="26"/>
        <v>-6.7167850840857066E-3</v>
      </c>
    </row>
    <row r="134" spans="1:18" x14ac:dyDescent="0.25">
      <c r="A134">
        <v>-15</v>
      </c>
      <c r="B134">
        <v>45</v>
      </c>
      <c r="C134">
        <f t="shared" si="18"/>
        <v>1.88</v>
      </c>
      <c r="E134">
        <v>36</v>
      </c>
      <c r="G134">
        <f t="shared" si="19"/>
        <v>-15</v>
      </c>
      <c r="H134" s="10">
        <f t="shared" si="19"/>
        <v>45</v>
      </c>
      <c r="I134">
        <f t="shared" si="19"/>
        <v>1.88</v>
      </c>
      <c r="J134">
        <f t="shared" si="20"/>
        <v>225</v>
      </c>
      <c r="K134">
        <f t="shared" si="21"/>
        <v>-675</v>
      </c>
      <c r="L134">
        <f t="shared" si="22"/>
        <v>-28.2</v>
      </c>
      <c r="M134">
        <f t="shared" si="23"/>
        <v>2025</v>
      </c>
      <c r="N134">
        <f t="shared" si="24"/>
        <v>84.6</v>
      </c>
      <c r="O134">
        <f t="shared" si="25"/>
        <v>3.5343999999999998</v>
      </c>
      <c r="Q134" s="11">
        <f t="shared" si="27"/>
        <v>38.694870407153942</v>
      </c>
      <c r="R134" s="12">
        <f t="shared" si="26"/>
        <v>7.4857511309831731E-2</v>
      </c>
    </row>
    <row r="135" spans="1:18" x14ac:dyDescent="0.25">
      <c r="A135">
        <v>-15</v>
      </c>
      <c r="B135">
        <v>45</v>
      </c>
      <c r="C135">
        <f t="shared" si="18"/>
        <v>2.97</v>
      </c>
      <c r="E135">
        <v>55</v>
      </c>
      <c r="G135">
        <f t="shared" si="19"/>
        <v>-15</v>
      </c>
      <c r="H135" s="10">
        <f t="shared" si="19"/>
        <v>45</v>
      </c>
      <c r="I135">
        <f t="shared" si="19"/>
        <v>2.97</v>
      </c>
      <c r="J135">
        <f t="shared" si="20"/>
        <v>225</v>
      </c>
      <c r="K135">
        <f t="shared" si="21"/>
        <v>-675</v>
      </c>
      <c r="L135">
        <f t="shared" si="22"/>
        <v>-44.550000000000004</v>
      </c>
      <c r="M135">
        <f t="shared" si="23"/>
        <v>2025</v>
      </c>
      <c r="N135">
        <f t="shared" si="24"/>
        <v>133.65</v>
      </c>
      <c r="O135">
        <f t="shared" si="25"/>
        <v>8.8209000000000017</v>
      </c>
      <c r="Q135" s="11">
        <f t="shared" si="27"/>
        <v>51.567749741827605</v>
      </c>
      <c r="R135" s="12">
        <f t="shared" si="26"/>
        <v>-6.2404550148589005E-2</v>
      </c>
    </row>
    <row r="136" spans="1:18" x14ac:dyDescent="0.25">
      <c r="A136">
        <v>-15</v>
      </c>
      <c r="B136">
        <v>45</v>
      </c>
      <c r="C136">
        <f t="shared" si="18"/>
        <v>5.91</v>
      </c>
      <c r="E136">
        <v>85</v>
      </c>
      <c r="G136">
        <f t="shared" si="19"/>
        <v>-15</v>
      </c>
      <c r="H136" s="10">
        <f t="shared" si="19"/>
        <v>45</v>
      </c>
      <c r="I136">
        <f t="shared" si="19"/>
        <v>5.91</v>
      </c>
      <c r="J136">
        <f t="shared" si="20"/>
        <v>225</v>
      </c>
      <c r="K136">
        <f t="shared" si="21"/>
        <v>-675</v>
      </c>
      <c r="L136">
        <f t="shared" si="22"/>
        <v>-88.65</v>
      </c>
      <c r="M136">
        <f t="shared" si="23"/>
        <v>2025</v>
      </c>
      <c r="N136">
        <f t="shared" si="24"/>
        <v>265.95</v>
      </c>
      <c r="O136">
        <f t="shared" si="25"/>
        <v>34.928100000000001</v>
      </c>
      <c r="Q136" s="11">
        <f t="shared" si="27"/>
        <v>85.585853639822034</v>
      </c>
      <c r="R136" s="12">
        <f t="shared" si="26"/>
        <v>6.8923957626121617E-3</v>
      </c>
    </row>
    <row r="137" spans="1:18" x14ac:dyDescent="0.25">
      <c r="A137">
        <v>-7</v>
      </c>
      <c r="B137">
        <v>45</v>
      </c>
      <c r="C137">
        <f t="shared" si="18"/>
        <v>2.57</v>
      </c>
      <c r="E137">
        <v>36</v>
      </c>
      <c r="G137">
        <f t="shared" si="19"/>
        <v>-7</v>
      </c>
      <c r="H137" s="10">
        <f t="shared" si="19"/>
        <v>45</v>
      </c>
      <c r="I137">
        <f t="shared" si="19"/>
        <v>2.57</v>
      </c>
      <c r="J137">
        <f t="shared" si="20"/>
        <v>49</v>
      </c>
      <c r="K137">
        <f t="shared" si="21"/>
        <v>-315</v>
      </c>
      <c r="L137">
        <f t="shared" si="22"/>
        <v>-17.989999999999998</v>
      </c>
      <c r="M137">
        <f t="shared" si="23"/>
        <v>2025</v>
      </c>
      <c r="N137">
        <f t="shared" si="24"/>
        <v>115.64999999999999</v>
      </c>
      <c r="O137">
        <f t="shared" si="25"/>
        <v>6.6048999999999989</v>
      </c>
      <c r="Q137" s="11">
        <f t="shared" si="27"/>
        <v>34.717286120992611</v>
      </c>
      <c r="R137" s="12">
        <f t="shared" si="26"/>
        <v>-3.5630941083538578E-2</v>
      </c>
    </row>
    <row r="138" spans="1:18" x14ac:dyDescent="0.25">
      <c r="A138">
        <v>-7</v>
      </c>
      <c r="B138">
        <v>45</v>
      </c>
      <c r="C138">
        <f t="shared" si="18"/>
        <v>4.45</v>
      </c>
      <c r="E138">
        <v>55</v>
      </c>
      <c r="G138">
        <f t="shared" si="19"/>
        <v>-7</v>
      </c>
      <c r="H138" s="10">
        <f t="shared" si="19"/>
        <v>45</v>
      </c>
      <c r="I138">
        <f t="shared" si="19"/>
        <v>4.45</v>
      </c>
      <c r="J138">
        <f t="shared" si="20"/>
        <v>49</v>
      </c>
      <c r="K138">
        <f t="shared" si="21"/>
        <v>-315</v>
      </c>
      <c r="L138">
        <f t="shared" si="22"/>
        <v>-31.150000000000002</v>
      </c>
      <c r="M138">
        <f t="shared" si="23"/>
        <v>2025</v>
      </c>
      <c r="N138">
        <f t="shared" si="24"/>
        <v>200.25</v>
      </c>
      <c r="O138">
        <f t="shared" si="25"/>
        <v>19.802500000000002</v>
      </c>
      <c r="Q138" s="11">
        <f t="shared" si="27"/>
        <v>53.94021333630036</v>
      </c>
      <c r="R138" s="12">
        <f t="shared" si="26"/>
        <v>-1.9268848430902544E-2</v>
      </c>
    </row>
    <row r="139" spans="1:18" x14ac:dyDescent="0.25">
      <c r="A139">
        <v>-7</v>
      </c>
      <c r="B139">
        <v>45</v>
      </c>
      <c r="C139">
        <f t="shared" si="18"/>
        <v>7.55</v>
      </c>
      <c r="E139">
        <v>85</v>
      </c>
      <c r="G139">
        <f t="shared" si="19"/>
        <v>-7</v>
      </c>
      <c r="H139" s="10">
        <f t="shared" si="19"/>
        <v>45</v>
      </c>
      <c r="I139">
        <f t="shared" si="19"/>
        <v>7.55</v>
      </c>
      <c r="J139">
        <f t="shared" si="20"/>
        <v>49</v>
      </c>
      <c r="K139">
        <f t="shared" si="21"/>
        <v>-315</v>
      </c>
      <c r="L139">
        <f t="shared" si="22"/>
        <v>-52.85</v>
      </c>
      <c r="M139">
        <f t="shared" si="23"/>
        <v>2025</v>
      </c>
      <c r="N139">
        <f t="shared" si="24"/>
        <v>339.75</v>
      </c>
      <c r="O139">
        <f t="shared" si="25"/>
        <v>57.002499999999998</v>
      </c>
      <c r="Q139" s="11">
        <f t="shared" si="27"/>
        <v>84.721283270517347</v>
      </c>
      <c r="R139" s="12">
        <f t="shared" si="26"/>
        <v>-3.279020346854743E-3</v>
      </c>
    </row>
    <row r="140" spans="1:18" x14ac:dyDescent="0.25">
      <c r="A140">
        <v>2</v>
      </c>
      <c r="B140">
        <v>45</v>
      </c>
      <c r="C140">
        <f t="shared" si="18"/>
        <v>4.04</v>
      </c>
      <c r="E140">
        <v>36</v>
      </c>
      <c r="G140">
        <f t="shared" si="19"/>
        <v>2</v>
      </c>
      <c r="H140" s="10">
        <f t="shared" si="19"/>
        <v>45</v>
      </c>
      <c r="I140">
        <f t="shared" si="19"/>
        <v>4.04</v>
      </c>
      <c r="J140">
        <f t="shared" si="20"/>
        <v>4</v>
      </c>
      <c r="K140">
        <f t="shared" si="21"/>
        <v>90</v>
      </c>
      <c r="L140">
        <f t="shared" si="22"/>
        <v>8.08</v>
      </c>
      <c r="M140">
        <f t="shared" si="23"/>
        <v>2025</v>
      </c>
      <c r="N140">
        <f t="shared" si="24"/>
        <v>181.8</v>
      </c>
      <c r="O140">
        <f t="shared" si="25"/>
        <v>16.3216</v>
      </c>
      <c r="Q140" s="11">
        <f t="shared" si="27"/>
        <v>36.906513012098635</v>
      </c>
      <c r="R140" s="12">
        <f t="shared" si="26"/>
        <v>2.5180917002739871E-2</v>
      </c>
    </row>
    <row r="141" spans="1:18" x14ac:dyDescent="0.25">
      <c r="A141">
        <v>2</v>
      </c>
      <c r="B141">
        <v>45</v>
      </c>
      <c r="C141">
        <f t="shared" si="18"/>
        <v>6.32</v>
      </c>
      <c r="E141">
        <v>55</v>
      </c>
      <c r="G141">
        <f t="shared" si="19"/>
        <v>2</v>
      </c>
      <c r="H141" s="10">
        <f t="shared" si="19"/>
        <v>45</v>
      </c>
      <c r="I141">
        <f t="shared" si="19"/>
        <v>6.32</v>
      </c>
      <c r="J141">
        <f t="shared" si="20"/>
        <v>4</v>
      </c>
      <c r="K141">
        <f t="shared" si="21"/>
        <v>90</v>
      </c>
      <c r="L141">
        <f t="shared" si="22"/>
        <v>12.64</v>
      </c>
      <c r="M141">
        <f t="shared" si="23"/>
        <v>2025</v>
      </c>
      <c r="N141">
        <f t="shared" si="24"/>
        <v>284.40000000000003</v>
      </c>
      <c r="O141">
        <f t="shared" si="25"/>
        <v>39.942400000000006</v>
      </c>
      <c r="Q141" s="11">
        <f t="shared" si="27"/>
        <v>56.032223419694397</v>
      </c>
      <c r="R141" s="12">
        <f t="shared" si="26"/>
        <v>1.8767698539898122E-2</v>
      </c>
    </row>
    <row r="142" spans="1:18" x14ac:dyDescent="0.25">
      <c r="A142">
        <v>2</v>
      </c>
      <c r="B142">
        <v>45</v>
      </c>
      <c r="C142">
        <f t="shared" si="18"/>
        <v>10.23</v>
      </c>
      <c r="E142">
        <v>85</v>
      </c>
      <c r="G142">
        <f t="shared" si="19"/>
        <v>2</v>
      </c>
      <c r="H142" s="10">
        <f t="shared" si="19"/>
        <v>45</v>
      </c>
      <c r="I142">
        <f t="shared" si="19"/>
        <v>10.23</v>
      </c>
      <c r="J142">
        <f t="shared" si="20"/>
        <v>4</v>
      </c>
      <c r="K142">
        <f t="shared" si="21"/>
        <v>90</v>
      </c>
      <c r="L142">
        <f t="shared" si="22"/>
        <v>20.46</v>
      </c>
      <c r="M142">
        <f t="shared" si="23"/>
        <v>2025</v>
      </c>
      <c r="N142">
        <f t="shared" si="24"/>
        <v>460.35</v>
      </c>
      <c r="O142">
        <f t="shared" si="25"/>
        <v>104.6529</v>
      </c>
      <c r="Q142" s="11">
        <f t="shared" si="27"/>
        <v>87.394595450512568</v>
      </c>
      <c r="R142" s="12">
        <f t="shared" si="26"/>
        <v>2.8171711182500805E-2</v>
      </c>
    </row>
    <row r="143" spans="1:18" x14ac:dyDescent="0.25">
      <c r="A143">
        <v>7</v>
      </c>
      <c r="B143">
        <v>45</v>
      </c>
      <c r="C143">
        <f t="shared" si="18"/>
        <v>4.8600000000000003</v>
      </c>
      <c r="E143">
        <v>36</v>
      </c>
      <c r="G143">
        <f t="shared" si="19"/>
        <v>7</v>
      </c>
      <c r="H143" s="10">
        <f t="shared" si="19"/>
        <v>45</v>
      </c>
      <c r="I143">
        <f t="shared" si="19"/>
        <v>4.8600000000000003</v>
      </c>
      <c r="J143">
        <f t="shared" si="20"/>
        <v>49</v>
      </c>
      <c r="K143">
        <f t="shared" si="21"/>
        <v>315</v>
      </c>
      <c r="L143">
        <f t="shared" si="22"/>
        <v>34.020000000000003</v>
      </c>
      <c r="M143">
        <f t="shared" si="23"/>
        <v>2025</v>
      </c>
      <c r="N143">
        <f t="shared" si="24"/>
        <v>218.70000000000002</v>
      </c>
      <c r="O143">
        <f t="shared" si="25"/>
        <v>23.619600000000002</v>
      </c>
      <c r="Q143" s="11">
        <f t="shared" si="27"/>
        <v>37.416035063067405</v>
      </c>
      <c r="R143" s="12">
        <f t="shared" si="26"/>
        <v>3.9334307307427901E-2</v>
      </c>
    </row>
    <row r="144" spans="1:18" x14ac:dyDescent="0.25">
      <c r="A144">
        <v>7</v>
      </c>
      <c r="B144">
        <v>45</v>
      </c>
      <c r="C144">
        <f t="shared" si="18"/>
        <v>7.19</v>
      </c>
      <c r="E144">
        <v>55</v>
      </c>
      <c r="G144">
        <f t="shared" si="19"/>
        <v>7</v>
      </c>
      <c r="H144" s="10">
        <f t="shared" si="19"/>
        <v>45</v>
      </c>
      <c r="I144">
        <f t="shared" si="19"/>
        <v>7.19</v>
      </c>
      <c r="J144">
        <f t="shared" si="20"/>
        <v>49</v>
      </c>
      <c r="K144">
        <f t="shared" si="21"/>
        <v>315</v>
      </c>
      <c r="L144">
        <f t="shared" si="22"/>
        <v>50.330000000000005</v>
      </c>
      <c r="M144">
        <f t="shared" si="23"/>
        <v>2025</v>
      </c>
      <c r="N144">
        <f t="shared" si="24"/>
        <v>323.55</v>
      </c>
      <c r="O144">
        <f t="shared" si="25"/>
        <v>51.696100000000008</v>
      </c>
      <c r="Q144" s="11">
        <f t="shared" si="27"/>
        <v>54.606827877367301</v>
      </c>
      <c r="R144" s="12">
        <f t="shared" si="26"/>
        <v>-7.1485840478672461E-3</v>
      </c>
    </row>
    <row r="145" spans="1:18" x14ac:dyDescent="0.25">
      <c r="A145">
        <v>7</v>
      </c>
      <c r="B145">
        <v>45</v>
      </c>
      <c r="C145">
        <f t="shared" si="18"/>
        <v>11.48</v>
      </c>
      <c r="E145">
        <v>85</v>
      </c>
      <c r="G145">
        <f t="shared" si="19"/>
        <v>7</v>
      </c>
      <c r="H145" s="10">
        <f t="shared" si="19"/>
        <v>45</v>
      </c>
      <c r="I145">
        <f t="shared" si="19"/>
        <v>11.48</v>
      </c>
      <c r="J145">
        <f t="shared" si="20"/>
        <v>49</v>
      </c>
      <c r="K145">
        <f t="shared" si="21"/>
        <v>315</v>
      </c>
      <c r="L145">
        <f t="shared" si="22"/>
        <v>80.36</v>
      </c>
      <c r="M145">
        <f t="shared" si="23"/>
        <v>2025</v>
      </c>
      <c r="N145">
        <f t="shared" si="24"/>
        <v>516.6</v>
      </c>
      <c r="O145">
        <f t="shared" si="25"/>
        <v>131.79040000000001</v>
      </c>
      <c r="Q145" s="11">
        <f t="shared" si="27"/>
        <v>84.57289787762754</v>
      </c>
      <c r="R145" s="12">
        <f t="shared" si="26"/>
        <v>-5.0247308514407086E-3</v>
      </c>
    </row>
    <row r="146" spans="1:18" x14ac:dyDescent="0.25">
      <c r="A146">
        <v>12</v>
      </c>
      <c r="B146">
        <v>45</v>
      </c>
      <c r="C146">
        <f t="shared" si="18"/>
        <v>5.22</v>
      </c>
      <c r="E146">
        <v>36</v>
      </c>
      <c r="G146">
        <f t="shared" si="19"/>
        <v>12</v>
      </c>
      <c r="H146" s="10">
        <f t="shared" si="19"/>
        <v>45</v>
      </c>
      <c r="I146">
        <f t="shared" si="19"/>
        <v>5.22</v>
      </c>
      <c r="J146">
        <f t="shared" si="20"/>
        <v>144</v>
      </c>
      <c r="K146">
        <f t="shared" si="21"/>
        <v>540</v>
      </c>
      <c r="L146">
        <f t="shared" si="22"/>
        <v>62.64</v>
      </c>
      <c r="M146">
        <f t="shared" si="23"/>
        <v>2025</v>
      </c>
      <c r="N146">
        <f t="shared" si="24"/>
        <v>234.89999999999998</v>
      </c>
      <c r="O146">
        <f t="shared" si="25"/>
        <v>27.248399999999997</v>
      </c>
      <c r="Q146" s="11">
        <f t="shared" si="27"/>
        <v>34.389523718385078</v>
      </c>
      <c r="R146" s="12">
        <f t="shared" si="26"/>
        <v>-4.4735452267081165E-2</v>
      </c>
    </row>
    <row r="147" spans="1:18" x14ac:dyDescent="0.25">
      <c r="A147">
        <v>12</v>
      </c>
      <c r="B147">
        <v>45</v>
      </c>
      <c r="C147">
        <f t="shared" si="18"/>
        <v>8.6199999999999992</v>
      </c>
      <c r="E147">
        <v>55</v>
      </c>
      <c r="G147">
        <f t="shared" si="19"/>
        <v>12</v>
      </c>
      <c r="H147" s="10">
        <f t="shared" si="19"/>
        <v>45</v>
      </c>
      <c r="I147">
        <f t="shared" si="19"/>
        <v>8.6199999999999992</v>
      </c>
      <c r="J147">
        <f t="shared" si="20"/>
        <v>144</v>
      </c>
      <c r="K147">
        <f t="shared" si="21"/>
        <v>540</v>
      </c>
      <c r="L147">
        <f t="shared" si="22"/>
        <v>103.44</v>
      </c>
      <c r="M147">
        <f t="shared" si="23"/>
        <v>2025</v>
      </c>
      <c r="N147">
        <f t="shared" si="24"/>
        <v>387.9</v>
      </c>
      <c r="O147">
        <f t="shared" si="25"/>
        <v>74.304399999999987</v>
      </c>
      <c r="Q147" s="11">
        <f t="shared" si="27"/>
        <v>56.019101206692916</v>
      </c>
      <c r="R147" s="12">
        <f t="shared" si="26"/>
        <v>1.8529112848962113E-2</v>
      </c>
    </row>
    <row r="148" spans="1:18" x14ac:dyDescent="0.25">
      <c r="A148">
        <v>12</v>
      </c>
      <c r="B148">
        <v>45</v>
      </c>
      <c r="C148">
        <f t="shared" si="18"/>
        <v>13.28</v>
      </c>
      <c r="E148">
        <v>85</v>
      </c>
      <c r="G148">
        <f t="shared" si="19"/>
        <v>12</v>
      </c>
      <c r="H148" s="10">
        <f t="shared" si="19"/>
        <v>45</v>
      </c>
      <c r="I148">
        <f t="shared" si="19"/>
        <v>13.28</v>
      </c>
      <c r="J148">
        <f t="shared" si="20"/>
        <v>144</v>
      </c>
      <c r="K148">
        <f t="shared" si="21"/>
        <v>540</v>
      </c>
      <c r="L148">
        <f t="shared" si="22"/>
        <v>159.35999999999999</v>
      </c>
      <c r="M148">
        <f t="shared" si="23"/>
        <v>2025</v>
      </c>
      <c r="N148">
        <f t="shared" si="24"/>
        <v>597.6</v>
      </c>
      <c r="O148">
        <f t="shared" si="25"/>
        <v>176.35839999999999</v>
      </c>
      <c r="Q148" s="11">
        <f t="shared" si="27"/>
        <v>83.435025857939948</v>
      </c>
      <c r="R148" s="12">
        <f t="shared" si="26"/>
        <v>-1.8411460494824141E-2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174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31745" r:id="rId4"/>
      </mc:Fallback>
    </mc:AlternateContent>
    <mc:AlternateContent xmlns:mc="http://schemas.openxmlformats.org/markup-compatibility/2006">
      <mc:Choice Requires="x14">
        <oleObject progId="Equation.3" shapeId="31746" r:id="rId6">
          <objectPr defaultSize="0" autoPict="0" r:id="rId5">
            <anchor moveWithCells="1" sizeWithCells="1">
              <from>
                <xdr:col>6</xdr:col>
                <xdr:colOff>171450</xdr:colOff>
                <xdr:row>52</xdr:row>
                <xdr:rowOff>38100</xdr:rowOff>
              </from>
              <to>
                <xdr:col>14</xdr:col>
                <xdr:colOff>1466850</xdr:colOff>
                <xdr:row>52</xdr:row>
                <xdr:rowOff>647700</xdr:rowOff>
              </to>
            </anchor>
          </objectPr>
        </oleObject>
      </mc:Choice>
      <mc:Fallback>
        <oleObject progId="Equation.3" shapeId="31746" r:id="rId6"/>
      </mc:Fallback>
    </mc:AlternateContent>
    <mc:AlternateContent xmlns:mc="http://schemas.openxmlformats.org/markup-compatibility/2006">
      <mc:Choice Requires="x14">
        <oleObject progId="Equation.3" shapeId="31747" r:id="rId7">
          <objectPr defaultSize="0" autoPict="0" r:id="rId5">
            <anchor moveWithCells="1" sizeWithCells="1">
              <from>
                <xdr:col>6</xdr:col>
                <xdr:colOff>171450</xdr:colOff>
                <xdr:row>102</xdr:row>
                <xdr:rowOff>38100</xdr:rowOff>
              </from>
              <to>
                <xdr:col>14</xdr:col>
                <xdr:colOff>1466850</xdr:colOff>
                <xdr:row>102</xdr:row>
                <xdr:rowOff>647700</xdr:rowOff>
              </to>
            </anchor>
          </objectPr>
        </oleObject>
      </mc:Choice>
      <mc:Fallback>
        <oleObject progId="Equation.3" shapeId="31747" r:id="rId7"/>
      </mc:Fallback>
    </mc:AlternateContent>
  </oleObjec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List18"/>
  <dimension ref="A1:T243"/>
  <sheetViews>
    <sheetView zoomScale="70" zoomScaleNormal="70" workbookViewId="0">
      <selection activeCell="W40" sqref="W40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E1" s="268">
        <f>Výpočet!Z1</f>
        <v>0.08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LINEST(E4:E71,G4:O71)</f>
        <v>8.7575015738315966E-5</v>
      </c>
      <c r="H2" s="4">
        <v>-2.6208831130803702E-4</v>
      </c>
      <c r="I2" s="4">
        <v>-1.2176072469379051E-3</v>
      </c>
      <c r="J2" s="4">
        <v>2.2445155317494343E-3</v>
      </c>
      <c r="K2" s="4">
        <v>-1.5608576868469503E-3</v>
      </c>
      <c r="L2" s="4">
        <v>2.0264672818557233E-3</v>
      </c>
      <c r="M2" s="4">
        <v>0.10165679666527305</v>
      </c>
      <c r="N2" s="4">
        <v>7.1697589524897409E-2</v>
      </c>
      <c r="O2" s="4">
        <v>0.10520954213494257</v>
      </c>
      <c r="P2" s="4">
        <v>-1.2764900138330453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  <c r="T3" s="3" t="s">
        <v>270</v>
      </c>
    </row>
    <row r="4" spans="1:20" x14ac:dyDescent="0.25">
      <c r="A4">
        <v>12</v>
      </c>
      <c r="B4">
        <v>35</v>
      </c>
      <c r="C4">
        <v>43</v>
      </c>
      <c r="E4">
        <f>T4-(T4*$E$1)</f>
        <v>5.8106371999999995</v>
      </c>
      <c r="F4" s="2"/>
      <c r="G4">
        <f t="shared" ref="G4:I71" si="0">A4</f>
        <v>12</v>
      </c>
      <c r="H4" s="10">
        <f t="shared" si="0"/>
        <v>35</v>
      </c>
      <c r="I4">
        <f t="shared" si="0"/>
        <v>43</v>
      </c>
      <c r="J4">
        <f t="shared" ref="J4:J71" si="1">G4^2</f>
        <v>144</v>
      </c>
      <c r="K4">
        <f t="shared" ref="K4:K71" si="2">G4*H4</f>
        <v>420</v>
      </c>
      <c r="L4">
        <f t="shared" ref="L4:L71" si="3">G4*I4</f>
        <v>516</v>
      </c>
      <c r="M4">
        <f t="shared" ref="M4:M71" si="4">H4^2</f>
        <v>1225</v>
      </c>
      <c r="N4">
        <f t="shared" ref="N4:N71" si="5">H4*I4</f>
        <v>1505</v>
      </c>
      <c r="O4">
        <f t="shared" ref="O4:O71" si="6">I4^2</f>
        <v>1849</v>
      </c>
      <c r="Q4" s="11">
        <f>$P$2+$O$2*G4+$N$2*H4+$M$2*I4+$L$2*J4+$K$2*K4+$J$2*L4+$I$2*M4+$H$2*N4+$G$2*O4</f>
        <v>5.9370178743412456</v>
      </c>
      <c r="R4" s="12">
        <f t="shared" ref="R4:R71" si="7">(Q4-E4)/E4</f>
        <v>2.1749882154274942E-2</v>
      </c>
      <c r="S4" s="11"/>
      <c r="T4">
        <v>6.3159099999999997</v>
      </c>
    </row>
    <row r="5" spans="1:20" x14ac:dyDescent="0.25">
      <c r="A5">
        <v>12</v>
      </c>
      <c r="B5">
        <v>35</v>
      </c>
      <c r="C5">
        <v>55</v>
      </c>
      <c r="E5">
        <f t="shared" ref="E5:E68" si="8">T5-(T5*$E$1)</f>
        <v>7.3383707999999999</v>
      </c>
      <c r="F5" s="2"/>
      <c r="G5">
        <f t="shared" si="0"/>
        <v>12</v>
      </c>
      <c r="H5" s="10">
        <f t="shared" si="0"/>
        <v>35</v>
      </c>
      <c r="I5">
        <f t="shared" si="0"/>
        <v>55</v>
      </c>
      <c r="J5">
        <f t="shared" si="1"/>
        <v>144</v>
      </c>
      <c r="K5">
        <f t="shared" si="2"/>
        <v>420</v>
      </c>
      <c r="L5">
        <f t="shared" si="3"/>
        <v>660</v>
      </c>
      <c r="M5">
        <f t="shared" si="4"/>
        <v>1225</v>
      </c>
      <c r="N5">
        <f t="shared" si="5"/>
        <v>1925</v>
      </c>
      <c r="O5">
        <f t="shared" si="6"/>
        <v>3025</v>
      </c>
      <c r="Q5" s="11">
        <f t="shared" ref="Q5:Q71" si="9">$P$2+$O$2*G5+$N$2*H5+$M$2*I5+$L$2*J5+$K$2*K5+$J$2*L5+$I$2*M5+$H$2*N5+$G$2*O5</f>
        <v>7.4730207986553259</v>
      </c>
      <c r="R5" s="12">
        <f t="shared" si="7"/>
        <v>1.8348759189890762E-2</v>
      </c>
      <c r="S5" s="11"/>
      <c r="T5">
        <v>7.9764900000000001</v>
      </c>
    </row>
    <row r="6" spans="1:20" x14ac:dyDescent="0.25">
      <c r="A6">
        <v>12</v>
      </c>
      <c r="B6">
        <v>35</v>
      </c>
      <c r="C6">
        <v>67</v>
      </c>
      <c r="E6">
        <f t="shared" si="8"/>
        <v>8.7711787999999995</v>
      </c>
      <c r="F6" s="2"/>
      <c r="G6">
        <f t="shared" si="0"/>
        <v>12</v>
      </c>
      <c r="H6" s="10">
        <f t="shared" si="0"/>
        <v>35</v>
      </c>
      <c r="I6">
        <f t="shared" si="0"/>
        <v>67</v>
      </c>
      <c r="J6">
        <f t="shared" si="1"/>
        <v>144</v>
      </c>
      <c r="K6">
        <f t="shared" si="2"/>
        <v>420</v>
      </c>
      <c r="L6">
        <f t="shared" si="3"/>
        <v>804</v>
      </c>
      <c r="M6">
        <f t="shared" si="4"/>
        <v>1225</v>
      </c>
      <c r="N6">
        <f t="shared" si="5"/>
        <v>2345</v>
      </c>
      <c r="O6">
        <f t="shared" si="6"/>
        <v>4489</v>
      </c>
      <c r="Q6" s="11">
        <f t="shared" si="9"/>
        <v>9.03424532750204</v>
      </c>
      <c r="R6" s="12">
        <f t="shared" si="7"/>
        <v>2.9992151967309175E-2</v>
      </c>
      <c r="S6" s="11"/>
      <c r="T6">
        <v>9.5338899999999995</v>
      </c>
    </row>
    <row r="7" spans="1:20" x14ac:dyDescent="0.25">
      <c r="A7">
        <v>12</v>
      </c>
      <c r="B7">
        <v>35</v>
      </c>
      <c r="C7">
        <v>79</v>
      </c>
      <c r="E7">
        <f t="shared" si="8"/>
        <v>10.2094516</v>
      </c>
      <c r="F7" s="2"/>
      <c r="G7">
        <f t="shared" si="0"/>
        <v>12</v>
      </c>
      <c r="H7" s="10">
        <f t="shared" si="0"/>
        <v>35</v>
      </c>
      <c r="I7">
        <f t="shared" si="0"/>
        <v>79</v>
      </c>
      <c r="J7">
        <f t="shared" si="1"/>
        <v>144</v>
      </c>
      <c r="K7">
        <f t="shared" si="2"/>
        <v>420</v>
      </c>
      <c r="L7">
        <f t="shared" si="3"/>
        <v>948</v>
      </c>
      <c r="M7">
        <f t="shared" si="4"/>
        <v>1225</v>
      </c>
      <c r="N7">
        <f t="shared" si="5"/>
        <v>2765</v>
      </c>
      <c r="O7">
        <f t="shared" si="6"/>
        <v>6241</v>
      </c>
      <c r="Q7" s="11">
        <f t="shared" si="9"/>
        <v>10.620691460881389</v>
      </c>
      <c r="R7" s="12">
        <f t="shared" si="7"/>
        <v>4.0280308580079797E-2</v>
      </c>
      <c r="S7" s="11"/>
      <c r="T7">
        <v>11.09723</v>
      </c>
    </row>
    <row r="8" spans="1:20" x14ac:dyDescent="0.25">
      <c r="A8">
        <v>7</v>
      </c>
      <c r="B8">
        <v>35</v>
      </c>
      <c r="C8">
        <v>43</v>
      </c>
      <c r="E8">
        <f t="shared" si="8"/>
        <v>5.0379199999999997</v>
      </c>
      <c r="F8" s="2"/>
      <c r="G8">
        <f t="shared" si="0"/>
        <v>7</v>
      </c>
      <c r="H8" s="10">
        <f t="shared" si="0"/>
        <v>35</v>
      </c>
      <c r="I8">
        <f t="shared" si="0"/>
        <v>43</v>
      </c>
      <c r="J8">
        <f t="shared" si="1"/>
        <v>49</v>
      </c>
      <c r="K8">
        <f t="shared" si="2"/>
        <v>245</v>
      </c>
      <c r="L8">
        <f t="shared" si="3"/>
        <v>301</v>
      </c>
      <c r="M8">
        <f t="shared" si="4"/>
        <v>1225</v>
      </c>
      <c r="N8">
        <f t="shared" si="5"/>
        <v>1505</v>
      </c>
      <c r="O8">
        <f t="shared" si="6"/>
        <v>1849</v>
      </c>
      <c r="Q8" s="11">
        <f t="shared" si="9"/>
        <v>5.0090350277623266</v>
      </c>
      <c r="R8" s="12">
        <f t="shared" si="7"/>
        <v>-5.7335114963463435E-3</v>
      </c>
      <c r="S8" s="11"/>
      <c r="T8">
        <v>5.476</v>
      </c>
    </row>
    <row r="9" spans="1:20" x14ac:dyDescent="0.25">
      <c r="A9">
        <v>7</v>
      </c>
      <c r="B9">
        <v>35</v>
      </c>
      <c r="C9">
        <v>55</v>
      </c>
      <c r="E9">
        <f t="shared" si="8"/>
        <v>6.5971911999999993</v>
      </c>
      <c r="F9" s="2"/>
      <c r="G9">
        <f t="shared" si="0"/>
        <v>7</v>
      </c>
      <c r="H9" s="10">
        <f t="shared" si="0"/>
        <v>35</v>
      </c>
      <c r="I9">
        <f t="shared" si="0"/>
        <v>55</v>
      </c>
      <c r="J9">
        <f t="shared" si="1"/>
        <v>49</v>
      </c>
      <c r="K9">
        <f t="shared" si="2"/>
        <v>245</v>
      </c>
      <c r="L9">
        <f t="shared" si="3"/>
        <v>385</v>
      </c>
      <c r="M9">
        <f t="shared" si="4"/>
        <v>1225</v>
      </c>
      <c r="N9">
        <f t="shared" si="5"/>
        <v>1925</v>
      </c>
      <c r="O9">
        <f t="shared" si="6"/>
        <v>3025</v>
      </c>
      <c r="Q9" s="11">
        <f t="shared" si="9"/>
        <v>6.4103670201714396</v>
      </c>
      <c r="R9" s="12">
        <f t="shared" si="7"/>
        <v>-2.8318745685066656E-2</v>
      </c>
      <c r="S9" s="11"/>
      <c r="T9">
        <v>7.1708599999999993</v>
      </c>
    </row>
    <row r="10" spans="1:20" x14ac:dyDescent="0.25">
      <c r="A10">
        <v>7</v>
      </c>
      <c r="B10">
        <v>35</v>
      </c>
      <c r="C10">
        <v>67</v>
      </c>
      <c r="E10">
        <f t="shared" si="8"/>
        <v>7.9689020000000008</v>
      </c>
      <c r="F10" s="2"/>
      <c r="G10">
        <f t="shared" si="0"/>
        <v>7</v>
      </c>
      <c r="H10" s="10">
        <f t="shared" si="0"/>
        <v>35</v>
      </c>
      <c r="I10">
        <f t="shared" si="0"/>
        <v>67</v>
      </c>
      <c r="J10">
        <f t="shared" si="1"/>
        <v>49</v>
      </c>
      <c r="K10">
        <f t="shared" si="2"/>
        <v>245</v>
      </c>
      <c r="L10">
        <f t="shared" si="3"/>
        <v>469</v>
      </c>
      <c r="M10">
        <f t="shared" si="4"/>
        <v>1225</v>
      </c>
      <c r="N10">
        <f t="shared" si="5"/>
        <v>2345</v>
      </c>
      <c r="O10">
        <f t="shared" si="6"/>
        <v>4489</v>
      </c>
      <c r="Q10" s="11">
        <f t="shared" si="9"/>
        <v>7.8369206171131891</v>
      </c>
      <c r="R10" s="12">
        <f t="shared" si="7"/>
        <v>-1.6562053704112775E-2</v>
      </c>
      <c r="S10" s="11"/>
      <c r="T10">
        <v>8.6618500000000012</v>
      </c>
    </row>
    <row r="11" spans="1:20" x14ac:dyDescent="0.25">
      <c r="A11">
        <v>7</v>
      </c>
      <c r="B11">
        <v>35</v>
      </c>
      <c r="C11">
        <v>79</v>
      </c>
      <c r="E11">
        <f t="shared" si="8"/>
        <v>9.3228843999999995</v>
      </c>
      <c r="F11" s="2"/>
      <c r="G11">
        <f t="shared" si="0"/>
        <v>7</v>
      </c>
      <c r="H11" s="10">
        <f t="shared" si="0"/>
        <v>35</v>
      </c>
      <c r="I11">
        <f t="shared" si="0"/>
        <v>79</v>
      </c>
      <c r="J11">
        <f t="shared" si="1"/>
        <v>49</v>
      </c>
      <c r="K11">
        <f t="shared" si="2"/>
        <v>245</v>
      </c>
      <c r="L11">
        <f t="shared" si="3"/>
        <v>553</v>
      </c>
      <c r="M11">
        <f t="shared" si="4"/>
        <v>1225</v>
      </c>
      <c r="N11">
        <f t="shared" si="5"/>
        <v>2765</v>
      </c>
      <c r="O11">
        <f t="shared" si="6"/>
        <v>6241</v>
      </c>
      <c r="Q11" s="11">
        <f t="shared" si="9"/>
        <v>9.2886958185875734</v>
      </c>
      <c r="R11" s="12">
        <f t="shared" si="7"/>
        <v>-3.6671677933093421E-3</v>
      </c>
      <c r="S11" s="11"/>
      <c r="T11">
        <v>10.133569999999999</v>
      </c>
    </row>
    <row r="12" spans="1:20" x14ac:dyDescent="0.25">
      <c r="A12">
        <v>7</v>
      </c>
      <c r="B12">
        <v>35</v>
      </c>
      <c r="C12">
        <v>90</v>
      </c>
      <c r="E12">
        <f t="shared" si="8"/>
        <v>10.737163600000001</v>
      </c>
      <c r="F12" s="2"/>
      <c r="G12">
        <f t="shared" si="0"/>
        <v>7</v>
      </c>
      <c r="H12" s="10">
        <f t="shared" si="0"/>
        <v>35</v>
      </c>
      <c r="I12">
        <f t="shared" si="0"/>
        <v>90</v>
      </c>
      <c r="J12">
        <f t="shared" si="1"/>
        <v>49</v>
      </c>
      <c r="K12">
        <f t="shared" si="2"/>
        <v>245</v>
      </c>
      <c r="L12">
        <f t="shared" si="3"/>
        <v>630</v>
      </c>
      <c r="M12">
        <f t="shared" si="4"/>
        <v>1225</v>
      </c>
      <c r="N12">
        <f t="shared" si="5"/>
        <v>3150</v>
      </c>
      <c r="O12">
        <f t="shared" si="6"/>
        <v>8100</v>
      </c>
      <c r="Q12" s="11">
        <f t="shared" si="9"/>
        <v>10.641646232254217</v>
      </c>
      <c r="R12" s="12">
        <f t="shared" si="7"/>
        <v>-8.8959590543803597E-3</v>
      </c>
      <c r="S12" s="11"/>
      <c r="T12">
        <v>11.67083</v>
      </c>
    </row>
    <row r="13" spans="1:20" x14ac:dyDescent="0.25">
      <c r="A13">
        <v>2</v>
      </c>
      <c r="B13">
        <v>35</v>
      </c>
      <c r="C13">
        <v>43</v>
      </c>
      <c r="E13">
        <f t="shared" si="8"/>
        <v>4.3085072000000002</v>
      </c>
      <c r="F13" s="2"/>
      <c r="G13">
        <f t="shared" si="0"/>
        <v>2</v>
      </c>
      <c r="H13" s="10">
        <f t="shared" si="0"/>
        <v>35</v>
      </c>
      <c r="I13">
        <f t="shared" si="0"/>
        <v>43</v>
      </c>
      <c r="J13">
        <f t="shared" si="1"/>
        <v>4</v>
      </c>
      <c r="K13">
        <f t="shared" si="2"/>
        <v>70</v>
      </c>
      <c r="L13">
        <f t="shared" si="3"/>
        <v>86</v>
      </c>
      <c r="M13">
        <f t="shared" si="4"/>
        <v>1225</v>
      </c>
      <c r="N13">
        <f t="shared" si="5"/>
        <v>1505</v>
      </c>
      <c r="O13">
        <f t="shared" si="6"/>
        <v>1849</v>
      </c>
      <c r="Q13" s="11">
        <f t="shared" si="9"/>
        <v>4.1823755452761944</v>
      </c>
      <c r="R13" s="12">
        <f t="shared" si="7"/>
        <v>-2.9275024705495634E-2</v>
      </c>
      <c r="S13" s="11"/>
      <c r="T13">
        <v>4.68316</v>
      </c>
    </row>
    <row r="14" spans="1:20" x14ac:dyDescent="0.25">
      <c r="A14">
        <v>2</v>
      </c>
      <c r="B14">
        <v>35</v>
      </c>
      <c r="C14">
        <v>55</v>
      </c>
      <c r="E14">
        <f t="shared" si="8"/>
        <v>5.4867971999999998</v>
      </c>
      <c r="F14" s="2"/>
      <c r="G14">
        <f t="shared" si="0"/>
        <v>2</v>
      </c>
      <c r="H14" s="10">
        <f t="shared" si="0"/>
        <v>35</v>
      </c>
      <c r="I14">
        <f t="shared" si="0"/>
        <v>55</v>
      </c>
      <c r="J14">
        <f t="shared" si="1"/>
        <v>4</v>
      </c>
      <c r="K14">
        <f t="shared" si="2"/>
        <v>70</v>
      </c>
      <c r="L14">
        <f t="shared" si="3"/>
        <v>110</v>
      </c>
      <c r="M14">
        <f t="shared" si="4"/>
        <v>1225</v>
      </c>
      <c r="N14">
        <f t="shared" si="5"/>
        <v>1925</v>
      </c>
      <c r="O14">
        <f t="shared" si="6"/>
        <v>3025</v>
      </c>
      <c r="Q14" s="11">
        <f t="shared" si="9"/>
        <v>5.4490366057803419</v>
      </c>
      <c r="R14" s="12">
        <f t="shared" si="7"/>
        <v>-6.882083088410474E-3</v>
      </c>
      <c r="S14" s="11"/>
      <c r="T14">
        <v>5.9639100000000003</v>
      </c>
    </row>
    <row r="15" spans="1:20" x14ac:dyDescent="0.25">
      <c r="A15">
        <v>2</v>
      </c>
      <c r="B15">
        <v>35</v>
      </c>
      <c r="C15">
        <v>67</v>
      </c>
      <c r="E15">
        <f t="shared" si="8"/>
        <v>6.7929396000000004</v>
      </c>
      <c r="F15" s="2"/>
      <c r="G15">
        <f t="shared" si="0"/>
        <v>2</v>
      </c>
      <c r="H15" s="10">
        <f t="shared" si="0"/>
        <v>35</v>
      </c>
      <c r="I15">
        <f t="shared" si="0"/>
        <v>67</v>
      </c>
      <c r="J15">
        <f t="shared" si="1"/>
        <v>4</v>
      </c>
      <c r="K15">
        <f t="shared" si="2"/>
        <v>70</v>
      </c>
      <c r="L15">
        <f t="shared" si="3"/>
        <v>134</v>
      </c>
      <c r="M15">
        <f t="shared" si="4"/>
        <v>1225</v>
      </c>
      <c r="N15">
        <f t="shared" si="5"/>
        <v>2345</v>
      </c>
      <c r="O15">
        <f t="shared" si="6"/>
        <v>4489</v>
      </c>
      <c r="Q15" s="11">
        <f t="shared" si="9"/>
        <v>6.7409192708171233</v>
      </c>
      <c r="R15" s="12">
        <f t="shared" si="7"/>
        <v>-7.657999665252011E-3</v>
      </c>
      <c r="S15" s="11"/>
      <c r="T15">
        <v>7.3836300000000001</v>
      </c>
    </row>
    <row r="16" spans="1:20" x14ac:dyDescent="0.25">
      <c r="A16">
        <v>2</v>
      </c>
      <c r="B16">
        <v>35</v>
      </c>
      <c r="C16">
        <v>79</v>
      </c>
      <c r="E16">
        <f t="shared" si="8"/>
        <v>8.2190960000000004</v>
      </c>
      <c r="F16" s="2"/>
      <c r="G16">
        <f t="shared" si="0"/>
        <v>2</v>
      </c>
      <c r="H16" s="10">
        <f t="shared" si="0"/>
        <v>35</v>
      </c>
      <c r="I16">
        <f t="shared" si="0"/>
        <v>79</v>
      </c>
      <c r="J16">
        <f t="shared" si="1"/>
        <v>4</v>
      </c>
      <c r="K16">
        <f t="shared" si="2"/>
        <v>70</v>
      </c>
      <c r="L16">
        <f t="shared" si="3"/>
        <v>158</v>
      </c>
      <c r="M16">
        <f t="shared" si="4"/>
        <v>1225</v>
      </c>
      <c r="N16">
        <f t="shared" si="5"/>
        <v>2765</v>
      </c>
      <c r="O16">
        <f t="shared" si="6"/>
        <v>6241</v>
      </c>
      <c r="Q16" s="11">
        <f t="shared" si="9"/>
        <v>8.0580235403865412</v>
      </c>
      <c r="R16" s="12">
        <f t="shared" si="7"/>
        <v>-1.9597344965122585E-2</v>
      </c>
      <c r="S16" s="11"/>
      <c r="T16">
        <v>8.9337999999999997</v>
      </c>
    </row>
    <row r="17" spans="1:20" x14ac:dyDescent="0.25">
      <c r="A17">
        <v>2</v>
      </c>
      <c r="B17">
        <v>35</v>
      </c>
      <c r="C17">
        <v>90</v>
      </c>
      <c r="E17">
        <f t="shared" si="8"/>
        <v>9.3564000000000007</v>
      </c>
      <c r="F17" s="2"/>
      <c r="G17">
        <f t="shared" si="0"/>
        <v>2</v>
      </c>
      <c r="H17" s="10">
        <f t="shared" si="0"/>
        <v>35</v>
      </c>
      <c r="I17">
        <f t="shared" si="0"/>
        <v>90</v>
      </c>
      <c r="J17">
        <f t="shared" si="1"/>
        <v>4</v>
      </c>
      <c r="K17">
        <f t="shared" si="2"/>
        <v>70</v>
      </c>
      <c r="L17">
        <f t="shared" si="3"/>
        <v>180</v>
      </c>
      <c r="M17">
        <f t="shared" si="4"/>
        <v>1225</v>
      </c>
      <c r="N17">
        <f t="shared" si="5"/>
        <v>3150</v>
      </c>
      <c r="O17">
        <f t="shared" si="6"/>
        <v>8100</v>
      </c>
      <c r="Q17" s="11">
        <f t="shared" si="9"/>
        <v>9.2875255998069672</v>
      </c>
      <c r="R17" s="12">
        <f t="shared" si="7"/>
        <v>-7.3612073225849126E-3</v>
      </c>
      <c r="S17" s="11"/>
      <c r="T17">
        <v>10.17</v>
      </c>
    </row>
    <row r="18" spans="1:20" x14ac:dyDescent="0.25">
      <c r="A18">
        <v>-7</v>
      </c>
      <c r="B18">
        <v>35</v>
      </c>
      <c r="C18">
        <v>43</v>
      </c>
      <c r="E18">
        <f t="shared" si="8"/>
        <v>2.9453892000000002</v>
      </c>
      <c r="F18" s="2"/>
      <c r="G18">
        <f t="shared" si="0"/>
        <v>-7</v>
      </c>
      <c r="H18" s="10">
        <f t="shared" si="0"/>
        <v>35</v>
      </c>
      <c r="I18">
        <f t="shared" si="0"/>
        <v>43</v>
      </c>
      <c r="J18">
        <f t="shared" si="1"/>
        <v>49</v>
      </c>
      <c r="K18">
        <f t="shared" si="2"/>
        <v>-245</v>
      </c>
      <c r="L18">
        <f t="shared" si="3"/>
        <v>-301</v>
      </c>
      <c r="M18">
        <f t="shared" si="4"/>
        <v>1225</v>
      </c>
      <c r="N18">
        <f t="shared" si="5"/>
        <v>1505</v>
      </c>
      <c r="O18">
        <f t="shared" si="6"/>
        <v>1849</v>
      </c>
      <c r="Q18" s="11">
        <f t="shared" si="9"/>
        <v>2.9497233543149779</v>
      </c>
      <c r="R18" s="12">
        <f t="shared" si="7"/>
        <v>1.4715047895801834E-3</v>
      </c>
      <c r="S18" s="11"/>
      <c r="T18">
        <v>3.2015100000000003</v>
      </c>
    </row>
    <row r="19" spans="1:20" x14ac:dyDescent="0.25">
      <c r="A19">
        <v>-7</v>
      </c>
      <c r="B19">
        <v>35</v>
      </c>
      <c r="C19">
        <v>55</v>
      </c>
      <c r="E19">
        <f t="shared" si="8"/>
        <v>4.0648911999999999</v>
      </c>
      <c r="F19" s="2"/>
      <c r="G19">
        <f t="shared" si="0"/>
        <v>-7</v>
      </c>
      <c r="H19" s="10">
        <f t="shared" si="0"/>
        <v>35</v>
      </c>
      <c r="I19">
        <f t="shared" si="0"/>
        <v>55</v>
      </c>
      <c r="J19">
        <f t="shared" si="1"/>
        <v>49</v>
      </c>
      <c r="K19">
        <f t="shared" si="2"/>
        <v>-245</v>
      </c>
      <c r="L19">
        <f t="shared" si="3"/>
        <v>-385</v>
      </c>
      <c r="M19">
        <f t="shared" si="4"/>
        <v>1225</v>
      </c>
      <c r="N19">
        <f t="shared" si="5"/>
        <v>1925</v>
      </c>
      <c r="O19">
        <f t="shared" si="6"/>
        <v>3025</v>
      </c>
      <c r="Q19" s="11">
        <f t="shared" si="9"/>
        <v>3.9739767373901858</v>
      </c>
      <c r="R19" s="12">
        <f t="shared" si="7"/>
        <v>-2.2365780075445603E-2</v>
      </c>
      <c r="S19" s="11"/>
      <c r="T19">
        <v>4.4183599999999998</v>
      </c>
    </row>
    <row r="20" spans="1:20" x14ac:dyDescent="0.25">
      <c r="A20">
        <v>-7</v>
      </c>
      <c r="B20">
        <v>35</v>
      </c>
      <c r="C20">
        <v>67</v>
      </c>
      <c r="E20">
        <f t="shared" si="8"/>
        <v>5.0338536000000005</v>
      </c>
      <c r="F20" s="2"/>
      <c r="G20">
        <f t="shared" si="0"/>
        <v>-7</v>
      </c>
      <c r="H20" s="10">
        <f t="shared" si="0"/>
        <v>35</v>
      </c>
      <c r="I20">
        <f t="shared" si="0"/>
        <v>67</v>
      </c>
      <c r="J20">
        <f t="shared" si="1"/>
        <v>49</v>
      </c>
      <c r="K20">
        <f t="shared" si="2"/>
        <v>-245</v>
      </c>
      <c r="L20">
        <f t="shared" si="3"/>
        <v>-469</v>
      </c>
      <c r="M20">
        <f t="shared" si="4"/>
        <v>1225</v>
      </c>
      <c r="N20">
        <f t="shared" si="5"/>
        <v>2345</v>
      </c>
      <c r="O20">
        <f t="shared" si="6"/>
        <v>4489</v>
      </c>
      <c r="Q20" s="11">
        <f t="shared" si="9"/>
        <v>5.0234517249980293</v>
      </c>
      <c r="R20" s="12">
        <f t="shared" si="7"/>
        <v>-2.0663840922928718E-3</v>
      </c>
      <c r="S20" s="11"/>
      <c r="T20">
        <v>5.4715800000000003</v>
      </c>
    </row>
    <row r="21" spans="1:20" x14ac:dyDescent="0.25">
      <c r="A21">
        <v>-7</v>
      </c>
      <c r="B21">
        <v>35</v>
      </c>
      <c r="C21">
        <v>79</v>
      </c>
      <c r="E21">
        <f t="shared" si="8"/>
        <v>6.2017936000000002</v>
      </c>
      <c r="F21" s="2"/>
      <c r="G21">
        <f t="shared" si="0"/>
        <v>-7</v>
      </c>
      <c r="H21" s="10">
        <f t="shared" si="0"/>
        <v>35</v>
      </c>
      <c r="I21">
        <f t="shared" si="0"/>
        <v>79</v>
      </c>
      <c r="J21">
        <f t="shared" si="1"/>
        <v>49</v>
      </c>
      <c r="K21">
        <f t="shared" si="2"/>
        <v>-245</v>
      </c>
      <c r="L21">
        <f t="shared" si="3"/>
        <v>-553</v>
      </c>
      <c r="M21">
        <f t="shared" si="4"/>
        <v>1225</v>
      </c>
      <c r="N21">
        <f t="shared" si="5"/>
        <v>2765</v>
      </c>
      <c r="O21">
        <f t="shared" si="6"/>
        <v>6241</v>
      </c>
      <c r="Q21" s="11">
        <f t="shared" si="9"/>
        <v>6.0981483171385067</v>
      </c>
      <c r="R21" s="12">
        <f t="shared" si="7"/>
        <v>-1.6712146444456576E-2</v>
      </c>
      <c r="S21" s="11"/>
      <c r="T21">
        <v>6.7410800000000002</v>
      </c>
    </row>
    <row r="22" spans="1:20" x14ac:dyDescent="0.25">
      <c r="A22">
        <v>-7</v>
      </c>
      <c r="B22">
        <v>35</v>
      </c>
      <c r="C22">
        <v>90</v>
      </c>
      <c r="E22">
        <f t="shared" si="8"/>
        <v>7.0350007999999997</v>
      </c>
      <c r="F22" s="2"/>
      <c r="G22">
        <f t="shared" si="0"/>
        <v>-7</v>
      </c>
      <c r="H22" s="10">
        <f t="shared" si="0"/>
        <v>35</v>
      </c>
      <c r="I22">
        <f t="shared" si="0"/>
        <v>90</v>
      </c>
      <c r="J22">
        <f t="shared" si="1"/>
        <v>49</v>
      </c>
      <c r="K22">
        <f t="shared" si="2"/>
        <v>-245</v>
      </c>
      <c r="L22">
        <f t="shared" si="3"/>
        <v>-630</v>
      </c>
      <c r="M22">
        <f t="shared" si="4"/>
        <v>1225</v>
      </c>
      <c r="N22">
        <f t="shared" si="5"/>
        <v>3150</v>
      </c>
      <c r="O22">
        <f t="shared" si="6"/>
        <v>8100</v>
      </c>
      <c r="Q22" s="11">
        <f t="shared" si="9"/>
        <v>7.1054433389157383</v>
      </c>
      <c r="R22" s="12">
        <f t="shared" si="7"/>
        <v>1.0013152936064855E-2</v>
      </c>
      <c r="S22" s="11"/>
      <c r="T22">
        <v>7.6467399999999994</v>
      </c>
    </row>
    <row r="23" spans="1:20" x14ac:dyDescent="0.25">
      <c r="A23">
        <v>-15</v>
      </c>
      <c r="B23">
        <v>35</v>
      </c>
      <c r="C23">
        <v>55</v>
      </c>
      <c r="E23">
        <f t="shared" si="8"/>
        <v>2.9086536000000001</v>
      </c>
      <c r="F23" s="2"/>
      <c r="G23">
        <f t="shared" si="0"/>
        <v>-15</v>
      </c>
      <c r="H23" s="10">
        <f t="shared" si="0"/>
        <v>35</v>
      </c>
      <c r="I23">
        <f t="shared" si="0"/>
        <v>55</v>
      </c>
      <c r="J23">
        <f t="shared" si="1"/>
        <v>225</v>
      </c>
      <c r="K23">
        <f t="shared" si="2"/>
        <v>-525</v>
      </c>
      <c r="L23">
        <f t="shared" si="3"/>
        <v>-825</v>
      </c>
      <c r="M23">
        <f t="shared" si="4"/>
        <v>1225</v>
      </c>
      <c r="N23">
        <f t="shared" si="5"/>
        <v>1925</v>
      </c>
      <c r="O23">
        <f t="shared" si="6"/>
        <v>3025</v>
      </c>
      <c r="Q23" s="11">
        <f t="shared" si="9"/>
        <v>2.9384119602646486</v>
      </c>
      <c r="R23" s="12">
        <f t="shared" si="7"/>
        <v>1.0230974312186404E-2</v>
      </c>
      <c r="S23" s="11"/>
      <c r="T23">
        <v>3.1615799999999998</v>
      </c>
    </row>
    <row r="24" spans="1:20" x14ac:dyDescent="0.25">
      <c r="A24">
        <v>-15</v>
      </c>
      <c r="B24">
        <v>35</v>
      </c>
      <c r="C24">
        <v>67</v>
      </c>
      <c r="E24">
        <f t="shared" si="8"/>
        <v>3.8319563999999997</v>
      </c>
      <c r="F24" s="2"/>
      <c r="G24">
        <f t="shared" si="0"/>
        <v>-15</v>
      </c>
      <c r="H24" s="10">
        <f t="shared" si="0"/>
        <v>35</v>
      </c>
      <c r="I24">
        <f t="shared" si="0"/>
        <v>67</v>
      </c>
      <c r="J24">
        <f t="shared" si="1"/>
        <v>225</v>
      </c>
      <c r="K24">
        <f t="shared" si="2"/>
        <v>-525</v>
      </c>
      <c r="L24">
        <f t="shared" si="3"/>
        <v>-1005</v>
      </c>
      <c r="M24">
        <f t="shared" si="4"/>
        <v>1225</v>
      </c>
      <c r="N24">
        <f t="shared" si="5"/>
        <v>2345</v>
      </c>
      <c r="O24">
        <f t="shared" si="6"/>
        <v>4489</v>
      </c>
      <c r="Q24" s="11">
        <f t="shared" si="9"/>
        <v>3.7724134568245451</v>
      </c>
      <c r="R24" s="12">
        <f t="shared" si="7"/>
        <v>-1.5538523135454937E-2</v>
      </c>
      <c r="S24" s="11"/>
      <c r="T24">
        <v>4.1651699999999998</v>
      </c>
    </row>
    <row r="25" spans="1:20" x14ac:dyDescent="0.25">
      <c r="A25">
        <v>-15</v>
      </c>
      <c r="B25">
        <v>35</v>
      </c>
      <c r="C25">
        <v>79</v>
      </c>
      <c r="E25">
        <f t="shared" si="8"/>
        <v>4.4726167999999999</v>
      </c>
      <c r="F25" s="2"/>
      <c r="G25">
        <f t="shared" si="0"/>
        <v>-15</v>
      </c>
      <c r="H25" s="10">
        <f t="shared" si="0"/>
        <v>35</v>
      </c>
      <c r="I25">
        <f t="shared" si="0"/>
        <v>79</v>
      </c>
      <c r="J25">
        <f t="shared" si="1"/>
        <v>225</v>
      </c>
      <c r="K25">
        <f t="shared" si="2"/>
        <v>-525</v>
      </c>
      <c r="L25">
        <f t="shared" si="3"/>
        <v>-1185</v>
      </c>
      <c r="M25">
        <f t="shared" si="4"/>
        <v>1225</v>
      </c>
      <c r="N25">
        <f t="shared" si="5"/>
        <v>2765</v>
      </c>
      <c r="O25">
        <f t="shared" si="6"/>
        <v>6241</v>
      </c>
      <c r="Q25" s="11">
        <f t="shared" si="9"/>
        <v>4.6316365579170773</v>
      </c>
      <c r="R25" s="12">
        <f t="shared" si="7"/>
        <v>3.5554076065062702E-2</v>
      </c>
      <c r="S25" s="11"/>
      <c r="T25">
        <v>4.8615399999999998</v>
      </c>
    </row>
    <row r="26" spans="1:20" x14ac:dyDescent="0.25">
      <c r="A26">
        <v>-15</v>
      </c>
      <c r="B26">
        <v>35</v>
      </c>
      <c r="C26">
        <v>90</v>
      </c>
      <c r="E26">
        <f t="shared" si="8"/>
        <v>5.4525456000000005</v>
      </c>
      <c r="F26" s="2"/>
      <c r="G26">
        <f t="shared" si="0"/>
        <v>-15</v>
      </c>
      <c r="H26" s="10">
        <f t="shared" si="0"/>
        <v>35</v>
      </c>
      <c r="I26">
        <f t="shared" si="0"/>
        <v>90</v>
      </c>
      <c r="J26">
        <f t="shared" si="1"/>
        <v>225</v>
      </c>
      <c r="K26">
        <f t="shared" si="2"/>
        <v>-525</v>
      </c>
      <c r="L26">
        <f t="shared" si="3"/>
        <v>-1350</v>
      </c>
      <c r="M26">
        <f t="shared" si="4"/>
        <v>1225</v>
      </c>
      <c r="N26">
        <f t="shared" si="5"/>
        <v>3150</v>
      </c>
      <c r="O26">
        <f t="shared" si="6"/>
        <v>8100</v>
      </c>
      <c r="Q26" s="11">
        <f t="shared" si="9"/>
        <v>5.4414142129003578</v>
      </c>
      <c r="R26" s="12">
        <f t="shared" si="7"/>
        <v>-2.0415027981871047E-3</v>
      </c>
      <c r="S26" s="11"/>
      <c r="T26">
        <v>5.9266800000000002</v>
      </c>
    </row>
    <row r="27" spans="1:20" x14ac:dyDescent="0.25">
      <c r="A27">
        <v>12</v>
      </c>
      <c r="B27">
        <v>45</v>
      </c>
      <c r="C27">
        <v>43</v>
      </c>
      <c r="E27">
        <f t="shared" si="8"/>
        <v>5.2697599999999998</v>
      </c>
      <c r="F27" s="2"/>
      <c r="G27">
        <f t="shared" si="0"/>
        <v>12</v>
      </c>
      <c r="H27" s="10">
        <f t="shared" si="0"/>
        <v>45</v>
      </c>
      <c r="I27">
        <f t="shared" si="0"/>
        <v>43</v>
      </c>
      <c r="J27">
        <f t="shared" si="1"/>
        <v>144</v>
      </c>
      <c r="K27">
        <f t="shared" si="2"/>
        <v>540</v>
      </c>
      <c r="L27">
        <f t="shared" si="3"/>
        <v>516</v>
      </c>
      <c r="M27">
        <f t="shared" si="4"/>
        <v>2025</v>
      </c>
      <c r="N27">
        <f t="shared" si="5"/>
        <v>1935</v>
      </c>
      <c r="O27">
        <f t="shared" si="6"/>
        <v>1849</v>
      </c>
      <c r="Q27" s="11">
        <f t="shared" si="9"/>
        <v>5.3799070757558063</v>
      </c>
      <c r="R27" s="12">
        <f t="shared" si="7"/>
        <v>2.090172526942527E-2</v>
      </c>
      <c r="S27" s="11"/>
      <c r="T27">
        <v>5.7279999999999998</v>
      </c>
    </row>
    <row r="28" spans="1:20" x14ac:dyDescent="0.25">
      <c r="A28">
        <v>12</v>
      </c>
      <c r="B28">
        <v>45</v>
      </c>
      <c r="C28">
        <v>55</v>
      </c>
      <c r="E28">
        <f t="shared" si="8"/>
        <v>6.8871843999999998</v>
      </c>
      <c r="F28" s="2"/>
      <c r="G28">
        <f t="shared" si="0"/>
        <v>12</v>
      </c>
      <c r="H28" s="10">
        <f t="shared" si="0"/>
        <v>45</v>
      </c>
      <c r="I28">
        <f t="shared" si="0"/>
        <v>55</v>
      </c>
      <c r="J28">
        <f t="shared" si="1"/>
        <v>144</v>
      </c>
      <c r="K28">
        <f t="shared" si="2"/>
        <v>540</v>
      </c>
      <c r="L28">
        <f t="shared" si="3"/>
        <v>660</v>
      </c>
      <c r="M28">
        <f t="shared" si="4"/>
        <v>2025</v>
      </c>
      <c r="N28">
        <f t="shared" si="5"/>
        <v>2475</v>
      </c>
      <c r="O28">
        <f t="shared" si="6"/>
        <v>3025</v>
      </c>
      <c r="Q28" s="11">
        <f t="shared" si="9"/>
        <v>6.8844594027129205</v>
      </c>
      <c r="R28" s="12">
        <f t="shared" si="7"/>
        <v>-3.956620193121752E-4</v>
      </c>
      <c r="S28" s="11"/>
      <c r="T28">
        <v>7.4860699999999998</v>
      </c>
    </row>
    <row r="29" spans="1:20" x14ac:dyDescent="0.25">
      <c r="A29">
        <v>12</v>
      </c>
      <c r="B29">
        <v>45</v>
      </c>
      <c r="C29">
        <v>67</v>
      </c>
      <c r="E29">
        <f t="shared" si="8"/>
        <v>8.3431212000000006</v>
      </c>
      <c r="F29" s="2"/>
      <c r="G29">
        <f t="shared" si="0"/>
        <v>12</v>
      </c>
      <c r="H29" s="10">
        <f t="shared" si="0"/>
        <v>45</v>
      </c>
      <c r="I29">
        <f t="shared" si="0"/>
        <v>67</v>
      </c>
      <c r="J29">
        <f t="shared" si="1"/>
        <v>144</v>
      </c>
      <c r="K29">
        <f t="shared" si="2"/>
        <v>540</v>
      </c>
      <c r="L29">
        <f t="shared" si="3"/>
        <v>804</v>
      </c>
      <c r="M29">
        <f t="shared" si="4"/>
        <v>2025</v>
      </c>
      <c r="N29">
        <f t="shared" si="5"/>
        <v>3015</v>
      </c>
      <c r="O29">
        <f t="shared" si="6"/>
        <v>4489</v>
      </c>
      <c r="Q29" s="11">
        <f t="shared" si="9"/>
        <v>8.4142333342026721</v>
      </c>
      <c r="R29" s="12">
        <f t="shared" si="7"/>
        <v>8.5234449432032081E-3</v>
      </c>
      <c r="S29" s="11"/>
      <c r="T29">
        <v>9.0686100000000014</v>
      </c>
    </row>
    <row r="30" spans="1:20" x14ac:dyDescent="0.25">
      <c r="A30">
        <v>12</v>
      </c>
      <c r="B30">
        <v>45</v>
      </c>
      <c r="C30">
        <v>79</v>
      </c>
      <c r="E30">
        <f t="shared" si="8"/>
        <v>9.8377624000000008</v>
      </c>
      <c r="F30" s="2"/>
      <c r="G30">
        <f t="shared" si="0"/>
        <v>12</v>
      </c>
      <c r="H30" s="10">
        <f t="shared" si="0"/>
        <v>45</v>
      </c>
      <c r="I30">
        <f t="shared" si="0"/>
        <v>79</v>
      </c>
      <c r="J30">
        <f t="shared" si="1"/>
        <v>144</v>
      </c>
      <c r="K30">
        <f t="shared" si="2"/>
        <v>540</v>
      </c>
      <c r="L30">
        <f t="shared" si="3"/>
        <v>948</v>
      </c>
      <c r="M30">
        <f t="shared" si="4"/>
        <v>2025</v>
      </c>
      <c r="N30">
        <f t="shared" si="5"/>
        <v>3555</v>
      </c>
      <c r="O30">
        <f t="shared" si="6"/>
        <v>6241</v>
      </c>
      <c r="Q30" s="11">
        <f t="shared" si="9"/>
        <v>9.9692288702250558</v>
      </c>
      <c r="R30" s="12">
        <f t="shared" si="7"/>
        <v>1.3363452468119678E-2</v>
      </c>
      <c r="S30" s="11"/>
      <c r="T30">
        <v>10.69322</v>
      </c>
    </row>
    <row r="31" spans="1:20" x14ac:dyDescent="0.25">
      <c r="A31">
        <v>7</v>
      </c>
      <c r="B31">
        <v>45</v>
      </c>
      <c r="C31">
        <v>43</v>
      </c>
      <c r="E31">
        <f t="shared" si="8"/>
        <v>4.4926820000000003</v>
      </c>
      <c r="F31" s="2"/>
      <c r="G31">
        <f t="shared" si="0"/>
        <v>7</v>
      </c>
      <c r="H31" s="10">
        <f t="shared" si="0"/>
        <v>45</v>
      </c>
      <c r="I31">
        <f t="shared" si="0"/>
        <v>43</v>
      </c>
      <c r="J31">
        <f t="shared" si="1"/>
        <v>49</v>
      </c>
      <c r="K31">
        <f t="shared" si="2"/>
        <v>315</v>
      </c>
      <c r="L31">
        <f t="shared" si="3"/>
        <v>301</v>
      </c>
      <c r="M31">
        <f t="shared" si="4"/>
        <v>2025</v>
      </c>
      <c r="N31">
        <f t="shared" si="5"/>
        <v>1935</v>
      </c>
      <c r="O31">
        <f t="shared" si="6"/>
        <v>1849</v>
      </c>
      <c r="Q31" s="11">
        <f t="shared" si="9"/>
        <v>4.529967113519235</v>
      </c>
      <c r="R31" s="12">
        <f t="shared" si="7"/>
        <v>8.2990769253721251E-3</v>
      </c>
      <c r="S31" s="11"/>
      <c r="T31">
        <v>4.8833500000000001</v>
      </c>
    </row>
    <row r="32" spans="1:20" x14ac:dyDescent="0.25">
      <c r="A32">
        <v>7</v>
      </c>
      <c r="B32">
        <v>45</v>
      </c>
      <c r="C32">
        <v>55</v>
      </c>
      <c r="E32">
        <f t="shared" si="8"/>
        <v>6.1177332</v>
      </c>
      <c r="F32" s="2"/>
      <c r="G32">
        <f t="shared" si="0"/>
        <v>7</v>
      </c>
      <c r="H32" s="10">
        <f t="shared" si="0"/>
        <v>45</v>
      </c>
      <c r="I32">
        <f t="shared" si="0"/>
        <v>55</v>
      </c>
      <c r="J32">
        <f t="shared" si="1"/>
        <v>49</v>
      </c>
      <c r="K32">
        <f t="shared" si="2"/>
        <v>315</v>
      </c>
      <c r="L32">
        <f t="shared" si="3"/>
        <v>385</v>
      </c>
      <c r="M32">
        <f t="shared" si="4"/>
        <v>2025</v>
      </c>
      <c r="N32">
        <f t="shared" si="5"/>
        <v>2475</v>
      </c>
      <c r="O32">
        <f t="shared" si="6"/>
        <v>3025</v>
      </c>
      <c r="Q32" s="11">
        <f t="shared" si="9"/>
        <v>5.8998485085713845</v>
      </c>
      <c r="R32" s="12">
        <f t="shared" si="7"/>
        <v>-3.5615265377806182E-2</v>
      </c>
      <c r="S32" s="11"/>
      <c r="T32">
        <v>6.6497099999999998</v>
      </c>
    </row>
    <row r="33" spans="1:20" x14ac:dyDescent="0.25">
      <c r="A33">
        <v>7</v>
      </c>
      <c r="B33">
        <v>45</v>
      </c>
      <c r="C33">
        <v>67</v>
      </c>
      <c r="E33">
        <f t="shared" si="8"/>
        <v>7.3897252000000009</v>
      </c>
      <c r="F33" s="2"/>
      <c r="G33">
        <f t="shared" si="0"/>
        <v>7</v>
      </c>
      <c r="H33" s="10">
        <f t="shared" si="0"/>
        <v>45</v>
      </c>
      <c r="I33">
        <f t="shared" si="0"/>
        <v>67</v>
      </c>
      <c r="J33">
        <f t="shared" si="1"/>
        <v>49</v>
      </c>
      <c r="K33">
        <f t="shared" si="2"/>
        <v>315</v>
      </c>
      <c r="L33">
        <f t="shared" si="3"/>
        <v>469</v>
      </c>
      <c r="M33">
        <f t="shared" si="4"/>
        <v>2025</v>
      </c>
      <c r="N33">
        <f t="shared" si="5"/>
        <v>3015</v>
      </c>
      <c r="O33">
        <f t="shared" si="6"/>
        <v>4489</v>
      </c>
      <c r="Q33" s="11">
        <f t="shared" si="9"/>
        <v>7.2949515081561671</v>
      </c>
      <c r="R33" s="12">
        <f t="shared" si="7"/>
        <v>-1.282506308134892E-2</v>
      </c>
      <c r="S33" s="11"/>
      <c r="T33">
        <v>8.0323100000000007</v>
      </c>
    </row>
    <row r="34" spans="1:20" x14ac:dyDescent="0.25">
      <c r="A34">
        <v>7</v>
      </c>
      <c r="B34">
        <v>45</v>
      </c>
      <c r="C34">
        <v>79</v>
      </c>
      <c r="E34">
        <f t="shared" si="8"/>
        <v>8.8264707999999992</v>
      </c>
      <c r="F34" s="2"/>
      <c r="G34">
        <f t="shared" si="0"/>
        <v>7</v>
      </c>
      <c r="H34" s="10">
        <f t="shared" si="0"/>
        <v>45</v>
      </c>
      <c r="I34">
        <f t="shared" si="0"/>
        <v>79</v>
      </c>
      <c r="J34">
        <f t="shared" si="1"/>
        <v>49</v>
      </c>
      <c r="K34">
        <f t="shared" si="2"/>
        <v>315</v>
      </c>
      <c r="L34">
        <f t="shared" si="3"/>
        <v>553</v>
      </c>
      <c r="M34">
        <f t="shared" si="4"/>
        <v>2025</v>
      </c>
      <c r="N34">
        <f t="shared" si="5"/>
        <v>3555</v>
      </c>
      <c r="O34">
        <f t="shared" si="6"/>
        <v>6241</v>
      </c>
      <c r="Q34" s="11">
        <f t="shared" si="9"/>
        <v>8.7152761122735871</v>
      </c>
      <c r="R34" s="12">
        <f t="shared" si="7"/>
        <v>-1.2597865018305171E-2</v>
      </c>
      <c r="S34" s="11"/>
      <c r="T34">
        <v>9.5939899999999998</v>
      </c>
    </row>
    <row r="35" spans="1:20" x14ac:dyDescent="0.25">
      <c r="A35">
        <v>7</v>
      </c>
      <c r="B35">
        <v>45</v>
      </c>
      <c r="C35">
        <v>90</v>
      </c>
      <c r="E35">
        <f t="shared" si="8"/>
        <v>10.351885999999999</v>
      </c>
      <c r="F35" s="2"/>
      <c r="G35">
        <f t="shared" si="0"/>
        <v>7</v>
      </c>
      <c r="H35" s="10">
        <f t="shared" si="0"/>
        <v>45</v>
      </c>
      <c r="I35">
        <f t="shared" si="0"/>
        <v>90</v>
      </c>
      <c r="J35">
        <f t="shared" si="1"/>
        <v>49</v>
      </c>
      <c r="K35">
        <f t="shared" si="2"/>
        <v>315</v>
      </c>
      <c r="L35">
        <f t="shared" si="3"/>
        <v>630</v>
      </c>
      <c r="M35">
        <f t="shared" si="4"/>
        <v>2025</v>
      </c>
      <c r="N35">
        <f t="shared" si="5"/>
        <v>4050</v>
      </c>
      <c r="O35">
        <f t="shared" si="6"/>
        <v>8100</v>
      </c>
      <c r="Q35" s="11">
        <f t="shared" si="9"/>
        <v>10.039396811696347</v>
      </c>
      <c r="R35" s="12">
        <f t="shared" si="7"/>
        <v>-3.0186691420640756E-2</v>
      </c>
      <c r="S35" s="11"/>
      <c r="T35">
        <v>11.252049999999999</v>
      </c>
    </row>
    <row r="36" spans="1:20" x14ac:dyDescent="0.25">
      <c r="A36">
        <v>2</v>
      </c>
      <c r="B36">
        <v>45</v>
      </c>
      <c r="C36">
        <v>43</v>
      </c>
      <c r="E36">
        <f t="shared" si="8"/>
        <v>3.6785187999999995</v>
      </c>
      <c r="F36" s="2"/>
      <c r="G36">
        <f t="shared" si="0"/>
        <v>2</v>
      </c>
      <c r="H36" s="10">
        <f t="shared" si="0"/>
        <v>45</v>
      </c>
      <c r="I36">
        <f t="shared" si="0"/>
        <v>43</v>
      </c>
      <c r="J36">
        <f t="shared" si="1"/>
        <v>4</v>
      </c>
      <c r="K36">
        <f t="shared" si="2"/>
        <v>90</v>
      </c>
      <c r="L36">
        <f t="shared" si="3"/>
        <v>86</v>
      </c>
      <c r="M36">
        <f t="shared" si="4"/>
        <v>2025</v>
      </c>
      <c r="N36">
        <f t="shared" si="5"/>
        <v>1935</v>
      </c>
      <c r="O36">
        <f t="shared" si="6"/>
        <v>1849</v>
      </c>
      <c r="Q36" s="11">
        <f t="shared" si="9"/>
        <v>3.781350515375451</v>
      </c>
      <c r="R36" s="12">
        <f t="shared" si="7"/>
        <v>2.7954652664939881E-2</v>
      </c>
      <c r="S36" s="11"/>
      <c r="T36">
        <v>3.9983899999999997</v>
      </c>
    </row>
    <row r="37" spans="1:20" x14ac:dyDescent="0.25">
      <c r="A37">
        <v>2</v>
      </c>
      <c r="B37">
        <v>45</v>
      </c>
      <c r="C37">
        <v>55</v>
      </c>
      <c r="E37">
        <f t="shared" si="8"/>
        <v>5.2010452000000003</v>
      </c>
      <c r="F37" s="2"/>
      <c r="G37">
        <f t="shared" si="0"/>
        <v>2</v>
      </c>
      <c r="H37" s="10">
        <f t="shared" si="0"/>
        <v>45</v>
      </c>
      <c r="I37">
        <f t="shared" si="0"/>
        <v>55</v>
      </c>
      <c r="J37">
        <f t="shared" si="1"/>
        <v>4</v>
      </c>
      <c r="K37">
        <f t="shared" si="2"/>
        <v>90</v>
      </c>
      <c r="L37">
        <f t="shared" si="3"/>
        <v>110</v>
      </c>
      <c r="M37">
        <f t="shared" si="4"/>
        <v>2025</v>
      </c>
      <c r="N37">
        <f t="shared" si="5"/>
        <v>2475</v>
      </c>
      <c r="O37">
        <f t="shared" si="6"/>
        <v>3025</v>
      </c>
      <c r="Q37" s="11">
        <f t="shared" si="9"/>
        <v>5.0165609785226337</v>
      </c>
      <c r="R37" s="12">
        <f t="shared" si="7"/>
        <v>-3.547060530782669E-2</v>
      </c>
      <c r="S37" s="11"/>
      <c r="T37">
        <v>5.6533100000000003</v>
      </c>
    </row>
    <row r="38" spans="1:20" x14ac:dyDescent="0.25">
      <c r="A38">
        <v>2</v>
      </c>
      <c r="B38">
        <v>45</v>
      </c>
      <c r="C38">
        <v>67</v>
      </c>
      <c r="E38">
        <f t="shared" si="8"/>
        <v>6.4013784000000005</v>
      </c>
      <c r="F38" s="2"/>
      <c r="G38">
        <f t="shared" si="0"/>
        <v>2</v>
      </c>
      <c r="H38" s="10">
        <f t="shared" si="0"/>
        <v>45</v>
      </c>
      <c r="I38">
        <f t="shared" si="0"/>
        <v>67</v>
      </c>
      <c r="J38">
        <f t="shared" si="1"/>
        <v>4</v>
      </c>
      <c r="K38">
        <f t="shared" si="2"/>
        <v>90</v>
      </c>
      <c r="L38">
        <f t="shared" si="3"/>
        <v>134</v>
      </c>
      <c r="M38">
        <f t="shared" si="4"/>
        <v>2025</v>
      </c>
      <c r="N38">
        <f t="shared" si="5"/>
        <v>3015</v>
      </c>
      <c r="O38">
        <f t="shared" si="6"/>
        <v>4489</v>
      </c>
      <c r="Q38" s="11">
        <f t="shared" si="9"/>
        <v>6.2769930462024508</v>
      </c>
      <c r="R38" s="12">
        <f t="shared" si="7"/>
        <v>-1.9431026573518861E-2</v>
      </c>
      <c r="S38" s="11"/>
      <c r="T38">
        <v>6.9580200000000003</v>
      </c>
    </row>
    <row r="39" spans="1:20" x14ac:dyDescent="0.25">
      <c r="A39">
        <v>2</v>
      </c>
      <c r="B39">
        <v>45</v>
      </c>
      <c r="C39">
        <v>79</v>
      </c>
      <c r="E39">
        <f t="shared" si="8"/>
        <v>7.6934355999999999</v>
      </c>
      <c r="F39" s="2"/>
      <c r="G39">
        <f t="shared" si="0"/>
        <v>2</v>
      </c>
      <c r="H39" s="10">
        <f t="shared" si="0"/>
        <v>45</v>
      </c>
      <c r="I39">
        <f t="shared" si="0"/>
        <v>79</v>
      </c>
      <c r="J39">
        <f t="shared" si="1"/>
        <v>4</v>
      </c>
      <c r="K39">
        <f t="shared" si="2"/>
        <v>90</v>
      </c>
      <c r="L39">
        <f t="shared" si="3"/>
        <v>158</v>
      </c>
      <c r="M39">
        <f t="shared" si="4"/>
        <v>2025</v>
      </c>
      <c r="N39">
        <f t="shared" si="5"/>
        <v>3555</v>
      </c>
      <c r="O39">
        <f t="shared" si="6"/>
        <v>6241</v>
      </c>
      <c r="Q39" s="11">
        <f t="shared" si="9"/>
        <v>7.5626467184149027</v>
      </c>
      <c r="R39" s="12">
        <f t="shared" si="7"/>
        <v>-1.7000061920983297E-2</v>
      </c>
      <c r="S39" s="11"/>
      <c r="T39">
        <v>8.3624299999999998</v>
      </c>
    </row>
    <row r="40" spans="1:20" x14ac:dyDescent="0.25">
      <c r="A40">
        <v>2</v>
      </c>
      <c r="B40">
        <v>45</v>
      </c>
      <c r="C40">
        <v>90</v>
      </c>
      <c r="E40">
        <f t="shared" si="8"/>
        <v>9.0198548000000009</v>
      </c>
      <c r="F40" s="2"/>
      <c r="G40">
        <f t="shared" si="0"/>
        <v>2</v>
      </c>
      <c r="H40" s="10">
        <f t="shared" si="0"/>
        <v>45</v>
      </c>
      <c r="I40">
        <f t="shared" si="0"/>
        <v>90</v>
      </c>
      <c r="J40">
        <f t="shared" si="1"/>
        <v>4</v>
      </c>
      <c r="K40">
        <f t="shared" si="2"/>
        <v>90</v>
      </c>
      <c r="L40">
        <f t="shared" si="3"/>
        <v>180</v>
      </c>
      <c r="M40">
        <f t="shared" si="4"/>
        <v>2025</v>
      </c>
      <c r="N40">
        <f t="shared" si="5"/>
        <v>4050</v>
      </c>
      <c r="O40">
        <f t="shared" si="6"/>
        <v>8100</v>
      </c>
      <c r="Q40" s="11">
        <f t="shared" si="9"/>
        <v>8.7633190635914442</v>
      </c>
      <c r="R40" s="12">
        <f t="shared" si="7"/>
        <v>-2.8441226837549172E-2</v>
      </c>
      <c r="S40" s="11"/>
      <c r="T40">
        <v>9.8041900000000002</v>
      </c>
    </row>
    <row r="41" spans="1:20" x14ac:dyDescent="0.25">
      <c r="A41">
        <v>-7</v>
      </c>
      <c r="B41">
        <v>45</v>
      </c>
      <c r="C41">
        <v>55</v>
      </c>
      <c r="E41">
        <f t="shared" si="8"/>
        <v>3.6311939999999998</v>
      </c>
      <c r="F41" s="2"/>
      <c r="G41">
        <f t="shared" si="0"/>
        <v>-7</v>
      </c>
      <c r="H41" s="10">
        <f t="shared" si="0"/>
        <v>45</v>
      </c>
      <c r="I41">
        <f t="shared" si="0"/>
        <v>55</v>
      </c>
      <c r="J41">
        <f t="shared" si="1"/>
        <v>49</v>
      </c>
      <c r="K41">
        <f t="shared" si="2"/>
        <v>-315</v>
      </c>
      <c r="L41">
        <f t="shared" si="3"/>
        <v>-385</v>
      </c>
      <c r="M41">
        <f t="shared" si="4"/>
        <v>2025</v>
      </c>
      <c r="N41">
        <f t="shared" si="5"/>
        <v>2475</v>
      </c>
      <c r="O41">
        <f t="shared" si="6"/>
        <v>3025</v>
      </c>
      <c r="Q41" s="11">
        <f t="shared" si="9"/>
        <v>3.6819783019487016</v>
      </c>
      <c r="R41" s="12">
        <f t="shared" si="7"/>
        <v>1.3985565615249905E-2</v>
      </c>
      <c r="S41" s="11"/>
      <c r="T41">
        <v>3.9469499999999997</v>
      </c>
    </row>
    <row r="42" spans="1:20" x14ac:dyDescent="0.25">
      <c r="A42">
        <v>-7</v>
      </c>
      <c r="B42">
        <v>45</v>
      </c>
      <c r="C42">
        <v>67</v>
      </c>
      <c r="E42">
        <f t="shared" si="8"/>
        <v>4.5431808</v>
      </c>
      <c r="F42" s="2"/>
      <c r="G42">
        <f t="shared" si="0"/>
        <v>-7</v>
      </c>
      <c r="H42" s="10">
        <f t="shared" si="0"/>
        <v>45</v>
      </c>
      <c r="I42">
        <f t="shared" si="0"/>
        <v>67</v>
      </c>
      <c r="J42">
        <f t="shared" si="1"/>
        <v>49</v>
      </c>
      <c r="K42">
        <f t="shared" si="2"/>
        <v>-315</v>
      </c>
      <c r="L42">
        <f t="shared" si="3"/>
        <v>-469</v>
      </c>
      <c r="M42">
        <f t="shared" si="4"/>
        <v>2025</v>
      </c>
      <c r="N42">
        <f t="shared" si="5"/>
        <v>3015</v>
      </c>
      <c r="O42">
        <f t="shared" si="6"/>
        <v>4489</v>
      </c>
      <c r="Q42" s="11">
        <f t="shared" si="9"/>
        <v>4.7000026921995826</v>
      </c>
      <c r="R42" s="12">
        <f t="shared" si="7"/>
        <v>3.4518083057487506E-2</v>
      </c>
      <c r="S42" s="11"/>
      <c r="T42">
        <v>4.9382399999999995</v>
      </c>
    </row>
    <row r="43" spans="1:20" x14ac:dyDescent="0.25">
      <c r="A43">
        <v>-7</v>
      </c>
      <c r="B43">
        <v>45</v>
      </c>
      <c r="C43">
        <v>79</v>
      </c>
      <c r="E43">
        <f t="shared" si="8"/>
        <v>5.5149767999999995</v>
      </c>
      <c r="F43" s="2"/>
      <c r="G43">
        <f t="shared" si="0"/>
        <v>-7</v>
      </c>
      <c r="H43" s="10">
        <f t="shared" si="0"/>
        <v>45</v>
      </c>
      <c r="I43">
        <f t="shared" si="0"/>
        <v>79</v>
      </c>
      <c r="J43">
        <f t="shared" si="1"/>
        <v>49</v>
      </c>
      <c r="K43">
        <f t="shared" si="2"/>
        <v>-315</v>
      </c>
      <c r="L43">
        <f t="shared" si="3"/>
        <v>-553</v>
      </c>
      <c r="M43">
        <f t="shared" si="4"/>
        <v>2025</v>
      </c>
      <c r="N43">
        <f t="shared" si="5"/>
        <v>3555</v>
      </c>
      <c r="O43">
        <f t="shared" si="6"/>
        <v>6241</v>
      </c>
      <c r="Q43" s="11">
        <f t="shared" si="9"/>
        <v>5.743248686983093</v>
      </c>
      <c r="R43" s="12">
        <f t="shared" si="7"/>
        <v>4.1391268768908251E-2</v>
      </c>
      <c r="S43" s="11"/>
      <c r="T43">
        <v>5.9945399999999998</v>
      </c>
    </row>
    <row r="44" spans="1:20" x14ac:dyDescent="0.25">
      <c r="A44">
        <v>-7</v>
      </c>
      <c r="B44">
        <v>45</v>
      </c>
      <c r="C44">
        <v>90</v>
      </c>
      <c r="E44">
        <f t="shared" si="8"/>
        <v>6.553113999999999</v>
      </c>
      <c r="F44" s="2"/>
      <c r="G44">
        <f t="shared" si="0"/>
        <v>-7</v>
      </c>
      <c r="H44" s="10">
        <f t="shared" si="0"/>
        <v>45</v>
      </c>
      <c r="I44">
        <f t="shared" si="0"/>
        <v>90</v>
      </c>
      <c r="J44">
        <f t="shared" si="1"/>
        <v>49</v>
      </c>
      <c r="K44">
        <f t="shared" si="2"/>
        <v>-315</v>
      </c>
      <c r="L44">
        <f t="shared" si="3"/>
        <v>-630</v>
      </c>
      <c r="M44">
        <f t="shared" si="4"/>
        <v>2025</v>
      </c>
      <c r="N44">
        <f t="shared" si="5"/>
        <v>4050</v>
      </c>
      <c r="O44">
        <f t="shared" si="6"/>
        <v>8100</v>
      </c>
      <c r="Q44" s="11">
        <f t="shared" si="9"/>
        <v>6.7217139945164419</v>
      </c>
      <c r="R44" s="12">
        <f t="shared" si="7"/>
        <v>2.5728225469058365E-2</v>
      </c>
      <c r="S44" s="11"/>
      <c r="T44">
        <v>7.1229499999999994</v>
      </c>
    </row>
    <row r="45" spans="1:20" x14ac:dyDescent="0.25">
      <c r="A45">
        <v>-15</v>
      </c>
      <c r="B45">
        <v>45</v>
      </c>
      <c r="C45">
        <v>67</v>
      </c>
      <c r="E45">
        <f t="shared" si="8"/>
        <v>3.4270643999999999</v>
      </c>
      <c r="F45" s="2"/>
      <c r="G45">
        <f t="shared" si="0"/>
        <v>-15</v>
      </c>
      <c r="H45" s="10">
        <f t="shared" si="0"/>
        <v>45</v>
      </c>
      <c r="I45">
        <f t="shared" si="0"/>
        <v>67</v>
      </c>
      <c r="J45">
        <f t="shared" si="1"/>
        <v>225</v>
      </c>
      <c r="K45">
        <f t="shared" si="2"/>
        <v>-675</v>
      </c>
      <c r="L45">
        <f t="shared" si="3"/>
        <v>-1005</v>
      </c>
      <c r="M45">
        <f t="shared" si="4"/>
        <v>2025</v>
      </c>
      <c r="N45">
        <f t="shared" si="5"/>
        <v>3015</v>
      </c>
      <c r="O45">
        <f t="shared" si="6"/>
        <v>4489</v>
      </c>
      <c r="Q45" s="11">
        <f t="shared" si="9"/>
        <v>3.5738330389738517</v>
      </c>
      <c r="R45" s="12">
        <f t="shared" si="7"/>
        <v>4.2826344020220876E-2</v>
      </c>
      <c r="S45" s="11"/>
      <c r="T45">
        <v>3.7250700000000001</v>
      </c>
    </row>
    <row r="46" spans="1:20" x14ac:dyDescent="0.25">
      <c r="A46">
        <v>-15</v>
      </c>
      <c r="B46">
        <v>45</v>
      </c>
      <c r="C46">
        <v>79</v>
      </c>
      <c r="E46">
        <f t="shared" si="8"/>
        <v>4.1982359999999996</v>
      </c>
      <c r="F46" s="2"/>
      <c r="G46">
        <f t="shared" si="0"/>
        <v>-15</v>
      </c>
      <c r="H46" s="10">
        <f t="shared" si="0"/>
        <v>45</v>
      </c>
      <c r="I46">
        <f t="shared" si="0"/>
        <v>79</v>
      </c>
      <c r="J46">
        <f t="shared" si="1"/>
        <v>225</v>
      </c>
      <c r="K46">
        <f t="shared" si="2"/>
        <v>-675</v>
      </c>
      <c r="L46">
        <f t="shared" si="3"/>
        <v>-1185</v>
      </c>
      <c r="M46">
        <f t="shared" si="4"/>
        <v>2025</v>
      </c>
      <c r="N46">
        <f t="shared" si="5"/>
        <v>3555</v>
      </c>
      <c r="O46">
        <f t="shared" si="6"/>
        <v>6241</v>
      </c>
      <c r="Q46" s="11">
        <f t="shared" si="9"/>
        <v>4.4016055427094214</v>
      </c>
      <c r="R46" s="12">
        <f t="shared" si="7"/>
        <v>4.844166519210015E-2</v>
      </c>
      <c r="S46" s="11"/>
      <c r="T46">
        <v>4.5632999999999999</v>
      </c>
    </row>
    <row r="47" spans="1:20" x14ac:dyDescent="0.25">
      <c r="A47">
        <v>-15</v>
      </c>
      <c r="B47">
        <v>45</v>
      </c>
      <c r="C47">
        <v>90</v>
      </c>
      <c r="E47">
        <f t="shared" si="8"/>
        <v>5.1547508000000004</v>
      </c>
      <c r="G47">
        <f t="shared" si="0"/>
        <v>-15</v>
      </c>
      <c r="H47" s="10">
        <f t="shared" si="0"/>
        <v>45</v>
      </c>
      <c r="I47">
        <f t="shared" si="0"/>
        <v>90</v>
      </c>
      <c r="J47">
        <f t="shared" si="1"/>
        <v>225</v>
      </c>
      <c r="K47">
        <f t="shared" si="2"/>
        <v>-675</v>
      </c>
      <c r="L47">
        <f t="shared" si="3"/>
        <v>-1350</v>
      </c>
      <c r="M47">
        <f t="shared" si="4"/>
        <v>2025</v>
      </c>
      <c r="N47">
        <f t="shared" si="5"/>
        <v>4050</v>
      </c>
      <c r="O47">
        <f t="shared" si="6"/>
        <v>8100</v>
      </c>
      <c r="Q47" s="11">
        <f t="shared" si="9"/>
        <v>5.1825534834488192</v>
      </c>
      <c r="R47" s="12">
        <f t="shared" si="7"/>
        <v>5.3936037895020552E-3</v>
      </c>
      <c r="S47" s="11"/>
      <c r="T47">
        <v>5.6029900000000001</v>
      </c>
    </row>
    <row r="48" spans="1:20" x14ac:dyDescent="0.25">
      <c r="A48">
        <v>12</v>
      </c>
      <c r="B48">
        <v>55</v>
      </c>
      <c r="C48">
        <v>43</v>
      </c>
      <c r="E48">
        <f t="shared" si="8"/>
        <v>4.4604359999999996</v>
      </c>
      <c r="G48">
        <f t="shared" si="0"/>
        <v>12</v>
      </c>
      <c r="H48" s="10">
        <f t="shared" si="0"/>
        <v>55</v>
      </c>
      <c r="I48">
        <f t="shared" si="0"/>
        <v>43</v>
      </c>
      <c r="J48">
        <f t="shared" si="1"/>
        <v>144</v>
      </c>
      <c r="K48">
        <f t="shared" si="2"/>
        <v>660</v>
      </c>
      <c r="L48">
        <f t="shared" si="3"/>
        <v>516</v>
      </c>
      <c r="M48">
        <f t="shared" si="4"/>
        <v>3025</v>
      </c>
      <c r="N48">
        <f t="shared" si="5"/>
        <v>2365</v>
      </c>
      <c r="O48">
        <f t="shared" si="6"/>
        <v>1849</v>
      </c>
      <c r="Q48" s="11">
        <f t="shared" si="9"/>
        <v>4.5792748277827853</v>
      </c>
      <c r="R48" s="12">
        <f t="shared" si="7"/>
        <v>2.6642872531471285E-2</v>
      </c>
      <c r="S48" s="11"/>
      <c r="T48">
        <v>4.8483000000000001</v>
      </c>
    </row>
    <row r="49" spans="1:20" x14ac:dyDescent="0.25">
      <c r="A49">
        <v>12</v>
      </c>
      <c r="B49">
        <v>55</v>
      </c>
      <c r="C49">
        <v>55</v>
      </c>
      <c r="E49">
        <f t="shared" si="8"/>
        <v>6.1901924000000008</v>
      </c>
      <c r="G49">
        <f t="shared" si="0"/>
        <v>12</v>
      </c>
      <c r="H49" s="10">
        <f t="shared" si="0"/>
        <v>55</v>
      </c>
      <c r="I49">
        <f t="shared" si="0"/>
        <v>55</v>
      </c>
      <c r="J49">
        <f t="shared" si="1"/>
        <v>144</v>
      </c>
      <c r="K49">
        <f t="shared" si="2"/>
        <v>660</v>
      </c>
      <c r="L49">
        <f t="shared" si="3"/>
        <v>660</v>
      </c>
      <c r="M49">
        <f t="shared" si="4"/>
        <v>3025</v>
      </c>
      <c r="N49">
        <f t="shared" si="5"/>
        <v>3025</v>
      </c>
      <c r="O49">
        <f t="shared" si="6"/>
        <v>3025</v>
      </c>
      <c r="Q49" s="11">
        <f t="shared" si="9"/>
        <v>6.0523765573829369</v>
      </c>
      <c r="R49" s="12">
        <f t="shared" si="7"/>
        <v>-2.2263579822989654E-2</v>
      </c>
      <c r="S49" s="11"/>
      <c r="T49">
        <v>6.7284700000000006</v>
      </c>
    </row>
    <row r="50" spans="1:20" x14ac:dyDescent="0.25">
      <c r="A50">
        <v>12</v>
      </c>
      <c r="B50">
        <v>55</v>
      </c>
      <c r="C50">
        <v>67</v>
      </c>
      <c r="E50">
        <f t="shared" si="8"/>
        <v>7.5354992000000012</v>
      </c>
      <c r="G50">
        <f t="shared" si="0"/>
        <v>12</v>
      </c>
      <c r="H50" s="10">
        <f t="shared" si="0"/>
        <v>55</v>
      </c>
      <c r="I50">
        <f t="shared" si="0"/>
        <v>67</v>
      </c>
      <c r="J50">
        <f t="shared" si="1"/>
        <v>144</v>
      </c>
      <c r="K50">
        <f t="shared" si="2"/>
        <v>660</v>
      </c>
      <c r="L50">
        <f t="shared" si="3"/>
        <v>804</v>
      </c>
      <c r="M50">
        <f t="shared" si="4"/>
        <v>3025</v>
      </c>
      <c r="N50">
        <f t="shared" si="5"/>
        <v>3685</v>
      </c>
      <c r="O50">
        <f t="shared" si="6"/>
        <v>4489</v>
      </c>
      <c r="Q50" s="11">
        <f t="shared" si="9"/>
        <v>7.5506998915157215</v>
      </c>
      <c r="R50" s="12">
        <f t="shared" si="7"/>
        <v>2.0172109520919784E-3</v>
      </c>
      <c r="S50" s="11"/>
      <c r="T50">
        <v>8.1907600000000009</v>
      </c>
    </row>
    <row r="51" spans="1:20" x14ac:dyDescent="0.25">
      <c r="A51">
        <v>12</v>
      </c>
      <c r="B51">
        <v>55</v>
      </c>
      <c r="C51">
        <v>79</v>
      </c>
      <c r="E51">
        <f t="shared" si="8"/>
        <v>8.8973199999999988</v>
      </c>
      <c r="G51">
        <f t="shared" si="0"/>
        <v>12</v>
      </c>
      <c r="H51" s="10">
        <f t="shared" si="0"/>
        <v>55</v>
      </c>
      <c r="I51">
        <f t="shared" si="0"/>
        <v>79</v>
      </c>
      <c r="J51">
        <f t="shared" si="1"/>
        <v>144</v>
      </c>
      <c r="K51">
        <f t="shared" si="2"/>
        <v>660</v>
      </c>
      <c r="L51">
        <f t="shared" si="3"/>
        <v>948</v>
      </c>
      <c r="M51">
        <f t="shared" si="4"/>
        <v>3025</v>
      </c>
      <c r="N51">
        <f t="shared" si="5"/>
        <v>4345</v>
      </c>
      <c r="O51">
        <f t="shared" si="6"/>
        <v>6241</v>
      </c>
      <c r="Q51" s="11">
        <f t="shared" si="9"/>
        <v>9.0742448301811418</v>
      </c>
      <c r="R51" s="12">
        <f t="shared" si="7"/>
        <v>1.9885182299967073E-2</v>
      </c>
      <c r="S51" s="11"/>
      <c r="T51">
        <v>9.6709999999999994</v>
      </c>
    </row>
    <row r="52" spans="1:20" x14ac:dyDescent="0.25">
      <c r="A52">
        <v>7</v>
      </c>
      <c r="B52">
        <v>55</v>
      </c>
      <c r="C52">
        <v>43</v>
      </c>
      <c r="E52">
        <f t="shared" si="8"/>
        <v>3.4692555999999999</v>
      </c>
      <c r="G52">
        <f t="shared" si="0"/>
        <v>7</v>
      </c>
      <c r="H52" s="10">
        <f t="shared" si="0"/>
        <v>55</v>
      </c>
      <c r="I52">
        <f t="shared" si="0"/>
        <v>43</v>
      </c>
      <c r="J52">
        <f t="shared" si="1"/>
        <v>49</v>
      </c>
      <c r="K52">
        <f t="shared" si="2"/>
        <v>385</v>
      </c>
      <c r="L52">
        <f t="shared" si="3"/>
        <v>301</v>
      </c>
      <c r="M52">
        <f t="shared" si="4"/>
        <v>3025</v>
      </c>
      <c r="N52">
        <f t="shared" si="5"/>
        <v>2365</v>
      </c>
      <c r="O52">
        <f t="shared" si="6"/>
        <v>1849</v>
      </c>
      <c r="Q52" s="11">
        <f t="shared" si="9"/>
        <v>3.8073777498885621</v>
      </c>
      <c r="R52" s="12">
        <f t="shared" si="7"/>
        <v>9.7462449837527762E-2</v>
      </c>
      <c r="S52" s="11"/>
      <c r="T52">
        <v>3.7709299999999999</v>
      </c>
    </row>
    <row r="53" spans="1:20" x14ac:dyDescent="0.25">
      <c r="A53">
        <v>7</v>
      </c>
      <c r="B53">
        <v>55</v>
      </c>
      <c r="C53">
        <v>55</v>
      </c>
      <c r="E53">
        <f t="shared" si="8"/>
        <v>5.3590276000000001</v>
      </c>
      <c r="G53">
        <f t="shared" si="0"/>
        <v>7</v>
      </c>
      <c r="H53" s="10">
        <f t="shared" si="0"/>
        <v>55</v>
      </c>
      <c r="I53">
        <f t="shared" si="0"/>
        <v>55</v>
      </c>
      <c r="J53">
        <f t="shared" si="1"/>
        <v>49</v>
      </c>
      <c r="K53">
        <f t="shared" si="2"/>
        <v>385</v>
      </c>
      <c r="L53">
        <f t="shared" si="3"/>
        <v>385</v>
      </c>
      <c r="M53">
        <f t="shared" si="4"/>
        <v>3025</v>
      </c>
      <c r="N53">
        <f t="shared" si="5"/>
        <v>3025</v>
      </c>
      <c r="O53">
        <f t="shared" si="6"/>
        <v>3025</v>
      </c>
      <c r="Q53" s="11">
        <f t="shared" si="9"/>
        <v>5.1458085475837461</v>
      </c>
      <c r="R53" s="12">
        <f t="shared" si="7"/>
        <v>-3.9786892013068571E-2</v>
      </c>
      <c r="S53" s="11"/>
      <c r="T53">
        <v>5.8250299999999999</v>
      </c>
    </row>
    <row r="54" spans="1:20" x14ac:dyDescent="0.25">
      <c r="A54">
        <v>7</v>
      </c>
      <c r="B54">
        <v>55</v>
      </c>
      <c r="C54">
        <v>67</v>
      </c>
      <c r="E54">
        <f t="shared" si="8"/>
        <v>6.6408267999999993</v>
      </c>
      <c r="G54">
        <f t="shared" si="0"/>
        <v>7</v>
      </c>
      <c r="H54" s="10">
        <f t="shared" si="0"/>
        <v>55</v>
      </c>
      <c r="I54">
        <f t="shared" si="0"/>
        <v>67</v>
      </c>
      <c r="J54">
        <f t="shared" si="1"/>
        <v>49</v>
      </c>
      <c r="K54">
        <f t="shared" si="2"/>
        <v>385</v>
      </c>
      <c r="L54">
        <f t="shared" si="3"/>
        <v>469</v>
      </c>
      <c r="M54">
        <f t="shared" si="4"/>
        <v>3025</v>
      </c>
      <c r="N54">
        <f t="shared" si="5"/>
        <v>3685</v>
      </c>
      <c r="O54">
        <f t="shared" si="6"/>
        <v>4489</v>
      </c>
      <c r="Q54" s="11">
        <f t="shared" si="9"/>
        <v>6.5094609498115661</v>
      </c>
      <c r="R54" s="12">
        <f t="shared" si="7"/>
        <v>-1.9781550422069912E-2</v>
      </c>
      <c r="S54" s="11"/>
      <c r="T54">
        <v>7.2182899999999997</v>
      </c>
    </row>
    <row r="55" spans="1:20" x14ac:dyDescent="0.25">
      <c r="A55">
        <v>7</v>
      </c>
      <c r="B55">
        <v>55</v>
      </c>
      <c r="C55">
        <v>79</v>
      </c>
      <c r="E55">
        <f t="shared" si="8"/>
        <v>8.0212684000000003</v>
      </c>
      <c r="G55">
        <f t="shared" si="0"/>
        <v>7</v>
      </c>
      <c r="H55" s="10">
        <f t="shared" si="0"/>
        <v>55</v>
      </c>
      <c r="I55">
        <f t="shared" si="0"/>
        <v>79</v>
      </c>
      <c r="J55">
        <f t="shared" si="1"/>
        <v>49</v>
      </c>
      <c r="K55">
        <f t="shared" si="2"/>
        <v>385</v>
      </c>
      <c r="L55">
        <f t="shared" si="3"/>
        <v>553</v>
      </c>
      <c r="M55">
        <f t="shared" si="4"/>
        <v>3025</v>
      </c>
      <c r="N55">
        <f t="shared" si="5"/>
        <v>4345</v>
      </c>
      <c r="O55">
        <f t="shared" si="6"/>
        <v>6241</v>
      </c>
      <c r="Q55" s="11">
        <f t="shared" si="9"/>
        <v>7.89833495657202</v>
      </c>
      <c r="R55" s="12">
        <f t="shared" si="7"/>
        <v>-1.5325935662242681E-2</v>
      </c>
      <c r="S55" s="11"/>
      <c r="T55">
        <v>8.718770000000001</v>
      </c>
    </row>
    <row r="56" spans="1:20" x14ac:dyDescent="0.25">
      <c r="A56">
        <v>7</v>
      </c>
      <c r="B56">
        <v>55</v>
      </c>
      <c r="C56">
        <v>90</v>
      </c>
      <c r="E56">
        <f t="shared" si="8"/>
        <v>9.0762600000000013</v>
      </c>
      <c r="G56">
        <f t="shared" si="0"/>
        <v>7</v>
      </c>
      <c r="H56" s="10">
        <f t="shared" si="0"/>
        <v>55</v>
      </c>
      <c r="I56">
        <f t="shared" si="0"/>
        <v>90</v>
      </c>
      <c r="J56">
        <f t="shared" si="1"/>
        <v>49</v>
      </c>
      <c r="K56">
        <f t="shared" si="2"/>
        <v>385</v>
      </c>
      <c r="L56">
        <f t="shared" si="3"/>
        <v>630</v>
      </c>
      <c r="M56">
        <f t="shared" si="4"/>
        <v>3025</v>
      </c>
      <c r="N56">
        <f t="shared" si="5"/>
        <v>4950</v>
      </c>
      <c r="O56">
        <f t="shared" si="6"/>
        <v>8100</v>
      </c>
      <c r="Q56" s="11">
        <f t="shared" si="9"/>
        <v>9.1936259417508968</v>
      </c>
      <c r="R56" s="12">
        <f t="shared" si="7"/>
        <v>1.2931090752236649E-2</v>
      </c>
      <c r="S56" s="11"/>
      <c r="T56">
        <v>9.8655000000000008</v>
      </c>
    </row>
    <row r="57" spans="1:20" x14ac:dyDescent="0.25">
      <c r="A57">
        <v>2</v>
      </c>
      <c r="B57">
        <v>55</v>
      </c>
      <c r="C57">
        <v>43</v>
      </c>
      <c r="E57">
        <f t="shared" si="8"/>
        <v>3.2948787999999998</v>
      </c>
      <c r="G57">
        <f t="shared" si="0"/>
        <v>2</v>
      </c>
      <c r="H57" s="10">
        <f t="shared" si="0"/>
        <v>55</v>
      </c>
      <c r="I57">
        <f t="shared" si="0"/>
        <v>43</v>
      </c>
      <c r="J57">
        <f t="shared" si="1"/>
        <v>4</v>
      </c>
      <c r="K57">
        <f t="shared" si="2"/>
        <v>110</v>
      </c>
      <c r="L57">
        <f t="shared" si="3"/>
        <v>86</v>
      </c>
      <c r="M57">
        <f t="shared" si="4"/>
        <v>3025</v>
      </c>
      <c r="N57">
        <f t="shared" si="5"/>
        <v>2365</v>
      </c>
      <c r="O57">
        <f t="shared" si="6"/>
        <v>1849</v>
      </c>
      <c r="Q57" s="11">
        <f t="shared" si="9"/>
        <v>3.1368040360871245</v>
      </c>
      <c r="R57" s="12">
        <f t="shared" si="7"/>
        <v>-4.7975896385892933E-2</v>
      </c>
      <c r="S57" s="11"/>
      <c r="T57">
        <v>3.5813899999999999</v>
      </c>
    </row>
    <row r="58" spans="1:20" x14ac:dyDescent="0.25">
      <c r="A58">
        <v>2</v>
      </c>
      <c r="B58">
        <v>55</v>
      </c>
      <c r="C58">
        <v>55</v>
      </c>
      <c r="E58">
        <f t="shared" si="8"/>
        <v>4.5620867999999994</v>
      </c>
      <c r="G58">
        <f t="shared" si="0"/>
        <v>2</v>
      </c>
      <c r="H58" s="10">
        <f t="shared" si="0"/>
        <v>55</v>
      </c>
      <c r="I58">
        <f t="shared" si="0"/>
        <v>55</v>
      </c>
      <c r="J58">
        <f t="shared" si="1"/>
        <v>4</v>
      </c>
      <c r="K58">
        <f t="shared" si="2"/>
        <v>110</v>
      </c>
      <c r="L58">
        <f t="shared" si="3"/>
        <v>110</v>
      </c>
      <c r="M58">
        <f t="shared" si="4"/>
        <v>3025</v>
      </c>
      <c r="N58">
        <f t="shared" si="5"/>
        <v>3025</v>
      </c>
      <c r="O58">
        <f t="shared" si="6"/>
        <v>3025</v>
      </c>
      <c r="Q58" s="11">
        <f t="shared" si="9"/>
        <v>4.3405639018773421</v>
      </c>
      <c r="R58" s="12">
        <f t="shared" si="7"/>
        <v>-4.85573615396045E-2</v>
      </c>
      <c r="S58" s="11"/>
      <c r="T58">
        <v>4.9587899999999996</v>
      </c>
    </row>
    <row r="59" spans="1:20" x14ac:dyDescent="0.25">
      <c r="A59">
        <v>2</v>
      </c>
      <c r="B59">
        <v>55</v>
      </c>
      <c r="C59">
        <v>67</v>
      </c>
      <c r="E59">
        <f t="shared" si="8"/>
        <v>5.6333899999999995</v>
      </c>
      <c r="G59">
        <f t="shared" si="0"/>
        <v>2</v>
      </c>
      <c r="H59" s="10">
        <f t="shared" si="0"/>
        <v>55</v>
      </c>
      <c r="I59">
        <f t="shared" si="0"/>
        <v>67</v>
      </c>
      <c r="J59">
        <f t="shared" si="1"/>
        <v>4</v>
      </c>
      <c r="K59">
        <f t="shared" si="2"/>
        <v>110</v>
      </c>
      <c r="L59">
        <f t="shared" si="3"/>
        <v>134</v>
      </c>
      <c r="M59">
        <f t="shared" si="4"/>
        <v>3025</v>
      </c>
      <c r="N59">
        <f t="shared" si="5"/>
        <v>3685</v>
      </c>
      <c r="O59">
        <f t="shared" si="6"/>
        <v>4489</v>
      </c>
      <c r="Q59" s="11">
        <f t="shared" si="9"/>
        <v>5.5695453722001949</v>
      </c>
      <c r="R59" s="12">
        <f t="shared" si="7"/>
        <v>-1.1333251878496714E-2</v>
      </c>
      <c r="S59" s="11"/>
      <c r="T59">
        <v>6.1232499999999996</v>
      </c>
    </row>
    <row r="60" spans="1:20" x14ac:dyDescent="0.25">
      <c r="A60">
        <v>2</v>
      </c>
      <c r="B60">
        <v>55</v>
      </c>
      <c r="C60">
        <v>79</v>
      </c>
      <c r="E60">
        <f t="shared" si="8"/>
        <v>6.9096232000000004</v>
      </c>
      <c r="G60">
        <f t="shared" si="0"/>
        <v>2</v>
      </c>
      <c r="H60" s="10">
        <f t="shared" si="0"/>
        <v>55</v>
      </c>
      <c r="I60">
        <f t="shared" si="0"/>
        <v>79</v>
      </c>
      <c r="J60">
        <f t="shared" si="1"/>
        <v>4</v>
      </c>
      <c r="K60">
        <f t="shared" si="2"/>
        <v>110</v>
      </c>
      <c r="L60">
        <f t="shared" si="3"/>
        <v>158</v>
      </c>
      <c r="M60">
        <f t="shared" si="4"/>
        <v>3025</v>
      </c>
      <c r="N60">
        <f t="shared" si="5"/>
        <v>4345</v>
      </c>
      <c r="O60">
        <f t="shared" si="6"/>
        <v>6241</v>
      </c>
      <c r="Q60" s="11">
        <f t="shared" si="9"/>
        <v>6.8237484470556833</v>
      </c>
      <c r="R60" s="12">
        <f t="shared" si="7"/>
        <v>-1.2428283056638619E-2</v>
      </c>
      <c r="S60" s="11"/>
      <c r="T60">
        <v>7.5104600000000001</v>
      </c>
    </row>
    <row r="61" spans="1:20" x14ac:dyDescent="0.25">
      <c r="A61">
        <v>2</v>
      </c>
      <c r="B61">
        <v>55</v>
      </c>
      <c r="C61">
        <v>90</v>
      </c>
      <c r="E61">
        <f t="shared" si="8"/>
        <v>7.9325435999999998</v>
      </c>
      <c r="G61">
        <f t="shared" si="0"/>
        <v>2</v>
      </c>
      <c r="H61" s="10">
        <f t="shared" si="0"/>
        <v>55</v>
      </c>
      <c r="I61">
        <f t="shared" si="0"/>
        <v>90</v>
      </c>
      <c r="J61">
        <f t="shared" si="1"/>
        <v>4</v>
      </c>
      <c r="K61">
        <f t="shared" si="2"/>
        <v>110</v>
      </c>
      <c r="L61">
        <f t="shared" si="3"/>
        <v>180</v>
      </c>
      <c r="M61">
        <f t="shared" si="4"/>
        <v>3025</v>
      </c>
      <c r="N61">
        <f t="shared" si="5"/>
        <v>4950</v>
      </c>
      <c r="O61">
        <f t="shared" si="6"/>
        <v>8100</v>
      </c>
      <c r="Q61" s="11">
        <f t="shared" si="9"/>
        <v>7.9955910779883403</v>
      </c>
      <c r="R61" s="12">
        <f t="shared" si="7"/>
        <v>7.9479522795614429E-3</v>
      </c>
      <c r="S61" s="11"/>
      <c r="T61">
        <v>8.6223299999999998</v>
      </c>
    </row>
    <row r="62" spans="1:20" x14ac:dyDescent="0.25">
      <c r="A62">
        <v>-7</v>
      </c>
      <c r="B62">
        <v>55</v>
      </c>
      <c r="C62">
        <v>55</v>
      </c>
      <c r="E62">
        <f t="shared" si="8"/>
        <v>3.2010571999999997</v>
      </c>
      <c r="G62">
        <f t="shared" si="0"/>
        <v>-7</v>
      </c>
      <c r="H62" s="10">
        <f t="shared" si="0"/>
        <v>55</v>
      </c>
      <c r="I62">
        <f t="shared" si="0"/>
        <v>55</v>
      </c>
      <c r="J62">
        <f t="shared" si="1"/>
        <v>49</v>
      </c>
      <c r="K62">
        <f t="shared" si="2"/>
        <v>-385</v>
      </c>
      <c r="L62">
        <f t="shared" si="3"/>
        <v>-385</v>
      </c>
      <c r="M62">
        <f t="shared" si="4"/>
        <v>3025</v>
      </c>
      <c r="N62">
        <f t="shared" si="5"/>
        <v>3025</v>
      </c>
      <c r="O62">
        <f t="shared" si="6"/>
        <v>3025</v>
      </c>
      <c r="Q62" s="11">
        <f t="shared" si="9"/>
        <v>3.146458417119637</v>
      </c>
      <c r="R62" s="12">
        <f t="shared" si="7"/>
        <v>-1.7056484614008986E-2</v>
      </c>
      <c r="S62" s="11"/>
      <c r="T62">
        <v>3.4794099999999997</v>
      </c>
    </row>
    <row r="63" spans="1:20" x14ac:dyDescent="0.25">
      <c r="A63">
        <v>-7</v>
      </c>
      <c r="B63">
        <v>55</v>
      </c>
      <c r="C63">
        <v>67</v>
      </c>
      <c r="E63">
        <f t="shared" si="8"/>
        <v>4.0771088000000004</v>
      </c>
      <c r="G63">
        <f t="shared" si="0"/>
        <v>-7</v>
      </c>
      <c r="H63" s="10">
        <f t="shared" si="0"/>
        <v>55</v>
      </c>
      <c r="I63">
        <f t="shared" si="0"/>
        <v>67</v>
      </c>
      <c r="J63">
        <f t="shared" si="1"/>
        <v>49</v>
      </c>
      <c r="K63">
        <f t="shared" si="2"/>
        <v>-385</v>
      </c>
      <c r="L63">
        <f t="shared" si="3"/>
        <v>-469</v>
      </c>
      <c r="M63">
        <f t="shared" si="4"/>
        <v>3025</v>
      </c>
      <c r="N63">
        <f t="shared" si="5"/>
        <v>3685</v>
      </c>
      <c r="O63">
        <f t="shared" si="6"/>
        <v>4489</v>
      </c>
      <c r="Q63" s="11">
        <f t="shared" si="9"/>
        <v>4.1330322100135524</v>
      </c>
      <c r="R63" s="12">
        <f t="shared" si="7"/>
        <v>1.371643798506234E-2</v>
      </c>
      <c r="S63" s="11"/>
      <c r="T63">
        <v>4.4316400000000007</v>
      </c>
    </row>
    <row r="64" spans="1:20" x14ac:dyDescent="0.25">
      <c r="A64">
        <v>-7</v>
      </c>
      <c r="B64">
        <v>55</v>
      </c>
      <c r="C64">
        <v>79</v>
      </c>
      <c r="E64">
        <f t="shared" si="8"/>
        <v>4.9494895999999997</v>
      </c>
      <c r="G64">
        <f t="shared" si="0"/>
        <v>-7</v>
      </c>
      <c r="H64" s="10">
        <f t="shared" si="0"/>
        <v>55</v>
      </c>
      <c r="I64">
        <f t="shared" si="0"/>
        <v>79</v>
      </c>
      <c r="J64">
        <f t="shared" si="1"/>
        <v>49</v>
      </c>
      <c r="K64">
        <f t="shared" si="2"/>
        <v>-385</v>
      </c>
      <c r="L64">
        <f t="shared" si="3"/>
        <v>-553</v>
      </c>
      <c r="M64">
        <f t="shared" si="4"/>
        <v>3025</v>
      </c>
      <c r="N64">
        <f t="shared" si="5"/>
        <v>4345</v>
      </c>
      <c r="O64">
        <f t="shared" si="6"/>
        <v>6241</v>
      </c>
      <c r="Q64" s="11">
        <f t="shared" si="9"/>
        <v>5.1448276074401011</v>
      </c>
      <c r="R64" s="12">
        <f t="shared" si="7"/>
        <v>3.9466293138609977E-2</v>
      </c>
      <c r="S64" s="11"/>
      <c r="T64">
        <v>5.37988</v>
      </c>
    </row>
    <row r="65" spans="1:20" x14ac:dyDescent="0.25">
      <c r="A65">
        <v>-7</v>
      </c>
      <c r="B65">
        <v>55</v>
      </c>
      <c r="C65">
        <v>90</v>
      </c>
      <c r="E65">
        <f t="shared" si="8"/>
        <v>5.9970476000000001</v>
      </c>
      <c r="G65">
        <f t="shared" si="0"/>
        <v>-7</v>
      </c>
      <c r="H65" s="10">
        <f t="shared" si="0"/>
        <v>55</v>
      </c>
      <c r="I65">
        <f t="shared" si="0"/>
        <v>90</v>
      </c>
      <c r="J65">
        <f t="shared" si="1"/>
        <v>49</v>
      </c>
      <c r="K65">
        <f t="shared" si="2"/>
        <v>-385</v>
      </c>
      <c r="L65">
        <f t="shared" si="3"/>
        <v>-630</v>
      </c>
      <c r="M65">
        <f t="shared" si="4"/>
        <v>3025</v>
      </c>
      <c r="N65">
        <f t="shared" si="5"/>
        <v>4950</v>
      </c>
      <c r="O65">
        <f t="shared" si="6"/>
        <v>8100</v>
      </c>
      <c r="Q65" s="11">
        <f t="shared" si="9"/>
        <v>6.0944632007295629</v>
      </c>
      <c r="R65" s="12">
        <f t="shared" si="7"/>
        <v>1.624392654971803E-2</v>
      </c>
      <c r="S65" s="11"/>
      <c r="T65">
        <v>6.5185300000000002</v>
      </c>
    </row>
    <row r="66" spans="1:20" x14ac:dyDescent="0.25">
      <c r="A66">
        <v>-15</v>
      </c>
      <c r="B66">
        <v>55</v>
      </c>
      <c r="C66">
        <v>67</v>
      </c>
      <c r="E66">
        <f t="shared" si="8"/>
        <v>2.9652887999999997</v>
      </c>
      <c r="G66">
        <f t="shared" si="0"/>
        <v>-15</v>
      </c>
      <c r="H66" s="10">
        <f t="shared" si="0"/>
        <v>55</v>
      </c>
      <c r="I66">
        <f t="shared" si="0"/>
        <v>67</v>
      </c>
      <c r="J66">
        <f t="shared" si="1"/>
        <v>225</v>
      </c>
      <c r="K66">
        <f t="shared" si="2"/>
        <v>-825</v>
      </c>
      <c r="L66">
        <f t="shared" si="3"/>
        <v>-1005</v>
      </c>
      <c r="M66">
        <f t="shared" si="4"/>
        <v>3025</v>
      </c>
      <c r="N66">
        <f t="shared" si="5"/>
        <v>3685</v>
      </c>
      <c r="O66">
        <f t="shared" si="6"/>
        <v>4489</v>
      </c>
      <c r="Q66" s="11">
        <f t="shared" si="9"/>
        <v>3.1317311717355811</v>
      </c>
      <c r="R66" s="12">
        <f t="shared" si="7"/>
        <v>5.6130239906339453E-2</v>
      </c>
      <c r="S66" s="11"/>
      <c r="T66">
        <v>3.2231399999999999</v>
      </c>
    </row>
    <row r="67" spans="1:20" x14ac:dyDescent="0.25">
      <c r="A67">
        <v>-15</v>
      </c>
      <c r="B67">
        <v>55</v>
      </c>
      <c r="C67">
        <v>79</v>
      </c>
      <c r="E67">
        <f t="shared" si="8"/>
        <v>3.5685604</v>
      </c>
      <c r="G67">
        <f t="shared" si="0"/>
        <v>-15</v>
      </c>
      <c r="H67" s="10">
        <f t="shared" si="0"/>
        <v>55</v>
      </c>
      <c r="I67">
        <f t="shared" si="0"/>
        <v>79</v>
      </c>
      <c r="J67">
        <f t="shared" si="1"/>
        <v>225</v>
      </c>
      <c r="K67">
        <f t="shared" si="2"/>
        <v>-825</v>
      </c>
      <c r="L67">
        <f t="shared" si="3"/>
        <v>-1185</v>
      </c>
      <c r="M67">
        <f t="shared" si="4"/>
        <v>3025</v>
      </c>
      <c r="N67">
        <f t="shared" si="5"/>
        <v>4345</v>
      </c>
      <c r="O67">
        <f t="shared" si="6"/>
        <v>6241</v>
      </c>
      <c r="Q67" s="11">
        <f t="shared" si="9"/>
        <v>3.9280530781141851</v>
      </c>
      <c r="R67" s="12">
        <f t="shared" si="7"/>
        <v>0.10073885203517507</v>
      </c>
      <c r="S67" s="11"/>
      <c r="T67">
        <v>3.87887</v>
      </c>
    </row>
    <row r="68" spans="1:20" x14ac:dyDescent="0.25">
      <c r="A68">
        <v>-15</v>
      </c>
      <c r="B68">
        <v>55</v>
      </c>
      <c r="C68">
        <v>90</v>
      </c>
      <c r="E68">
        <f t="shared" si="8"/>
        <v>4.4656431999999997</v>
      </c>
      <c r="G68">
        <f t="shared" si="0"/>
        <v>-15</v>
      </c>
      <c r="H68" s="10">
        <f t="shared" si="0"/>
        <v>55</v>
      </c>
      <c r="I68">
        <f t="shared" si="0"/>
        <v>90</v>
      </c>
      <c r="J68">
        <f t="shared" si="1"/>
        <v>225</v>
      </c>
      <c r="K68">
        <f t="shared" si="2"/>
        <v>-825</v>
      </c>
      <c r="L68">
        <f t="shared" si="3"/>
        <v>-1350</v>
      </c>
      <c r="M68">
        <f t="shared" si="4"/>
        <v>3025</v>
      </c>
      <c r="N68">
        <f t="shared" si="5"/>
        <v>4950</v>
      </c>
      <c r="O68">
        <f t="shared" si="6"/>
        <v>8100</v>
      </c>
      <c r="Q68" s="11">
        <f t="shared" si="9"/>
        <v>4.6801713046096962</v>
      </c>
      <c r="R68" s="12">
        <f t="shared" si="7"/>
        <v>4.8039687678069876E-2</v>
      </c>
      <c r="S68" s="11"/>
      <c r="T68">
        <v>4.8539599999999998</v>
      </c>
    </row>
    <row r="69" spans="1:20" x14ac:dyDescent="0.25">
      <c r="A69">
        <v>-25</v>
      </c>
      <c r="B69">
        <v>55</v>
      </c>
      <c r="C69">
        <v>79</v>
      </c>
      <c r="E69">
        <f t="shared" ref="E69:E71" si="10">T69-(T69*$E$1)</f>
        <v>2.8656344000000002</v>
      </c>
      <c r="G69">
        <f t="shared" si="0"/>
        <v>-25</v>
      </c>
      <c r="H69" s="10">
        <f t="shared" si="0"/>
        <v>55</v>
      </c>
      <c r="I69">
        <f t="shared" si="0"/>
        <v>79</v>
      </c>
      <c r="J69">
        <f t="shared" si="1"/>
        <v>625</v>
      </c>
      <c r="K69">
        <f t="shared" si="2"/>
        <v>-1375</v>
      </c>
      <c r="L69">
        <f t="shared" si="3"/>
        <v>-1975</v>
      </c>
      <c r="M69">
        <f t="shared" si="4"/>
        <v>3025</v>
      </c>
      <c r="N69">
        <f t="shared" si="5"/>
        <v>4345</v>
      </c>
      <c r="O69">
        <f t="shared" si="6"/>
        <v>6241</v>
      </c>
      <c r="Q69" s="11">
        <f t="shared" si="9"/>
        <v>2.7718490271908176</v>
      </c>
      <c r="R69" s="12">
        <f t="shared" si="7"/>
        <v>-3.2727612709137856E-2</v>
      </c>
      <c r="S69" s="11"/>
      <c r="T69">
        <v>3.1148200000000004</v>
      </c>
    </row>
    <row r="70" spans="1:20" x14ac:dyDescent="0.25">
      <c r="A70">
        <v>-25</v>
      </c>
      <c r="B70">
        <v>55</v>
      </c>
      <c r="C70">
        <v>85</v>
      </c>
      <c r="E70">
        <f t="shared" si="10"/>
        <v>3.2503692000000006</v>
      </c>
      <c r="G70">
        <f t="shared" si="0"/>
        <v>-25</v>
      </c>
      <c r="H70" s="10">
        <f t="shared" si="0"/>
        <v>55</v>
      </c>
      <c r="I70">
        <f t="shared" si="0"/>
        <v>85</v>
      </c>
      <c r="J70">
        <f t="shared" si="1"/>
        <v>625</v>
      </c>
      <c r="K70">
        <f t="shared" si="2"/>
        <v>-1375</v>
      </c>
      <c r="L70">
        <f t="shared" si="3"/>
        <v>-2125</v>
      </c>
      <c r="M70">
        <f t="shared" si="4"/>
        <v>3025</v>
      </c>
      <c r="N70">
        <f t="shared" si="5"/>
        <v>4675</v>
      </c>
      <c r="O70">
        <f t="shared" si="6"/>
        <v>7225</v>
      </c>
      <c r="Q70" s="11">
        <f t="shared" si="9"/>
        <v>3.0447971501748912</v>
      </c>
      <c r="R70" s="12">
        <f t="shared" si="7"/>
        <v>-6.3245753690106779E-2</v>
      </c>
      <c r="S70" s="11"/>
      <c r="T70">
        <v>3.5330100000000004</v>
      </c>
    </row>
    <row r="71" spans="1:20" x14ac:dyDescent="0.25">
      <c r="A71">
        <v>-25</v>
      </c>
      <c r="B71">
        <v>55</v>
      </c>
      <c r="C71">
        <v>90</v>
      </c>
      <c r="E71">
        <f t="shared" si="10"/>
        <v>3.7071032000000002</v>
      </c>
      <c r="G71">
        <f t="shared" si="0"/>
        <v>-25</v>
      </c>
      <c r="H71" s="10">
        <f t="shared" si="0"/>
        <v>55</v>
      </c>
      <c r="I71">
        <f t="shared" si="0"/>
        <v>90</v>
      </c>
      <c r="J71">
        <f t="shared" si="1"/>
        <v>625</v>
      </c>
      <c r="K71">
        <f t="shared" si="2"/>
        <v>-1375</v>
      </c>
      <c r="L71">
        <f t="shared" si="3"/>
        <v>-2250</v>
      </c>
      <c r="M71">
        <f t="shared" si="4"/>
        <v>3025</v>
      </c>
      <c r="N71">
        <f t="shared" si="5"/>
        <v>4950</v>
      </c>
      <c r="O71">
        <f t="shared" si="6"/>
        <v>8100</v>
      </c>
      <c r="Q71" s="11">
        <f t="shared" si="9"/>
        <v>3.2770705451938924</v>
      </c>
      <c r="R71" s="12">
        <f t="shared" si="7"/>
        <v>-0.11600234242362277</v>
      </c>
      <c r="S71" s="11"/>
      <c r="T71">
        <v>4.0294600000000003</v>
      </c>
    </row>
    <row r="74" spans="1:20" x14ac:dyDescent="0.25">
      <c r="A74" t="s">
        <v>27</v>
      </c>
      <c r="G74" s="4" t="s">
        <v>1</v>
      </c>
      <c r="H74" s="4" t="s">
        <v>2</v>
      </c>
      <c r="I74" s="4" t="s">
        <v>3</v>
      </c>
      <c r="J74" s="4" t="s">
        <v>4</v>
      </c>
      <c r="K74" s="4" t="s">
        <v>5</v>
      </c>
      <c r="L74" s="4" t="s">
        <v>6</v>
      </c>
      <c r="M74" s="4" t="s">
        <v>7</v>
      </c>
      <c r="N74" s="4" t="s">
        <v>8</v>
      </c>
      <c r="O74" s="4" t="s">
        <v>9</v>
      </c>
      <c r="P74" s="4" t="s">
        <v>10</v>
      </c>
    </row>
    <row r="75" spans="1:20" x14ac:dyDescent="0.25">
      <c r="A75" s="1"/>
      <c r="C75" s="1"/>
      <c r="D75" s="1"/>
      <c r="E75" s="1"/>
      <c r="F75" s="1"/>
      <c r="G75" s="4">
        <f t="array" ref="G75:P75">LINEST(E77:E144,G77:O144)</f>
        <v>1.4127912910855679E-4</v>
      </c>
      <c r="H75" s="4">
        <v>7.038540817770843E-4</v>
      </c>
      <c r="I75" s="4">
        <v>4.4354652715354956E-4</v>
      </c>
      <c r="J75" s="4">
        <v>2.4500426228791372E-4</v>
      </c>
      <c r="K75" s="4">
        <v>3.6933614038488021E-4</v>
      </c>
      <c r="L75" s="4">
        <v>-1.3953165126720794E-4</v>
      </c>
      <c r="M75" s="4">
        <v>-1.3035125166024389E-2</v>
      </c>
      <c r="N75" s="4">
        <v>-4.293801488581156E-2</v>
      </c>
      <c r="O75" s="4">
        <v>-2.3335688607504557E-2</v>
      </c>
      <c r="P75" s="4">
        <v>1.343628243251791</v>
      </c>
    </row>
    <row r="76" spans="1:20" ht="45" x14ac:dyDescent="0.25">
      <c r="A76" s="5" t="s">
        <v>11</v>
      </c>
      <c r="B76" s="5" t="s">
        <v>12</v>
      </c>
      <c r="C76" s="5" t="s">
        <v>13</v>
      </c>
      <c r="D76" s="6"/>
      <c r="E76" s="7" t="s">
        <v>14</v>
      </c>
      <c r="F76" s="3"/>
      <c r="G76" s="8" t="s">
        <v>17</v>
      </c>
      <c r="H76" s="8" t="s">
        <v>18</v>
      </c>
      <c r="I76" s="8" t="s">
        <v>0</v>
      </c>
      <c r="J76" s="8" t="s">
        <v>19</v>
      </c>
      <c r="K76" s="8" t="s">
        <v>20</v>
      </c>
      <c r="L76" s="8" t="s">
        <v>21</v>
      </c>
      <c r="M76" s="8" t="s">
        <v>22</v>
      </c>
      <c r="N76" s="8" t="s">
        <v>23</v>
      </c>
      <c r="O76" s="8" t="s">
        <v>24</v>
      </c>
      <c r="P76" s="3"/>
      <c r="Q76" s="9" t="s">
        <v>14</v>
      </c>
      <c r="R76" s="9" t="s">
        <v>15</v>
      </c>
    </row>
    <row r="77" spans="1:20" x14ac:dyDescent="0.25">
      <c r="A77">
        <v>12</v>
      </c>
      <c r="B77">
        <v>35</v>
      </c>
      <c r="C77">
        <v>43</v>
      </c>
      <c r="E77">
        <v>1.1060699999999999</v>
      </c>
      <c r="F77" s="2"/>
      <c r="G77">
        <f t="shared" ref="G77:I144" si="11">A77</f>
        <v>12</v>
      </c>
      <c r="H77" s="10">
        <f t="shared" si="11"/>
        <v>35</v>
      </c>
      <c r="I77">
        <f t="shared" si="11"/>
        <v>43</v>
      </c>
      <c r="J77">
        <f t="shared" ref="J77:J144" si="12">G77^2</f>
        <v>144</v>
      </c>
      <c r="K77">
        <f t="shared" ref="K77:K144" si="13">G77*H77</f>
        <v>420</v>
      </c>
      <c r="L77">
        <f t="shared" ref="L77:L144" si="14">G77*I77</f>
        <v>516</v>
      </c>
      <c r="M77">
        <f t="shared" ref="M77:M144" si="15">H77^2</f>
        <v>1225</v>
      </c>
      <c r="N77">
        <f t="shared" ref="N77:N144" si="16">H77*I77</f>
        <v>1505</v>
      </c>
      <c r="O77">
        <f t="shared" ref="O77:O144" si="17">I77^2</f>
        <v>1849</v>
      </c>
      <c r="Q77" s="11">
        <f>$P$75+$O$75*G77+$N$75*H77+$M$75*I77+$L$75*J77+$K$75*K77+$J$75*L77+$I$75*M77+$H$75*N77+$G$75*O77</f>
        <v>1.1255798958983498</v>
      </c>
      <c r="R77" s="12">
        <f t="shared" ref="R77:R144" si="18">(Q77-E77)/E77</f>
        <v>1.7638934152766055E-2</v>
      </c>
    </row>
    <row r="78" spans="1:20" x14ac:dyDescent="0.25">
      <c r="A78">
        <v>12</v>
      </c>
      <c r="B78">
        <v>35</v>
      </c>
      <c r="C78">
        <v>55</v>
      </c>
      <c r="E78">
        <v>1.4423800000000002</v>
      </c>
      <c r="F78" s="2"/>
      <c r="G78">
        <f t="shared" si="11"/>
        <v>12</v>
      </c>
      <c r="H78" s="10">
        <f t="shared" si="11"/>
        <v>35</v>
      </c>
      <c r="I78">
        <f t="shared" si="11"/>
        <v>55</v>
      </c>
      <c r="J78">
        <f t="shared" si="12"/>
        <v>144</v>
      </c>
      <c r="K78">
        <f t="shared" si="13"/>
        <v>420</v>
      </c>
      <c r="L78">
        <f t="shared" si="14"/>
        <v>660</v>
      </c>
      <c r="M78">
        <f t="shared" si="15"/>
        <v>1225</v>
      </c>
      <c r="N78">
        <f t="shared" si="16"/>
        <v>1925</v>
      </c>
      <c r="O78">
        <f t="shared" si="17"/>
        <v>3025</v>
      </c>
      <c r="Q78" s="11">
        <f t="shared" ref="Q78:Q144" si="19">$P$75+$O$75*G78+$N$75*H78+$M$75*I78+$L$75*J78+$K$75*K78+$J$75*L78+$I$75*M78+$H$75*N78+$G$75*O78</f>
        <v>1.4662019778535549</v>
      </c>
      <c r="R78" s="12">
        <f t="shared" si="18"/>
        <v>1.6515743322532663E-2</v>
      </c>
    </row>
    <row r="79" spans="1:20" x14ac:dyDescent="0.25">
      <c r="A79">
        <v>12</v>
      </c>
      <c r="B79">
        <v>35</v>
      </c>
      <c r="C79">
        <v>67</v>
      </c>
      <c r="E79">
        <v>1.8130599999999999</v>
      </c>
      <c r="F79" s="2"/>
      <c r="G79">
        <f t="shared" si="11"/>
        <v>12</v>
      </c>
      <c r="H79" s="10">
        <f t="shared" si="11"/>
        <v>35</v>
      </c>
      <c r="I79">
        <f t="shared" si="11"/>
        <v>67</v>
      </c>
      <c r="J79">
        <f t="shared" si="12"/>
        <v>144</v>
      </c>
      <c r="K79">
        <f t="shared" si="13"/>
        <v>420</v>
      </c>
      <c r="L79">
        <f t="shared" si="14"/>
        <v>804</v>
      </c>
      <c r="M79">
        <f t="shared" si="15"/>
        <v>1225</v>
      </c>
      <c r="N79">
        <f t="shared" si="16"/>
        <v>2345</v>
      </c>
      <c r="O79">
        <f t="shared" si="17"/>
        <v>4489</v>
      </c>
      <c r="Q79" s="11">
        <f t="shared" si="19"/>
        <v>1.847512448992024</v>
      </c>
      <c r="R79" s="12">
        <f t="shared" si="18"/>
        <v>1.9002376640609882E-2</v>
      </c>
    </row>
    <row r="80" spans="1:20" x14ac:dyDescent="0.25">
      <c r="A80">
        <v>12</v>
      </c>
      <c r="B80">
        <v>35</v>
      </c>
      <c r="C80">
        <v>79</v>
      </c>
      <c r="E80">
        <v>2.2450999999999999</v>
      </c>
      <c r="F80" s="2"/>
      <c r="G80">
        <f t="shared" si="11"/>
        <v>12</v>
      </c>
      <c r="H80" s="10">
        <f t="shared" si="11"/>
        <v>35</v>
      </c>
      <c r="I80">
        <f t="shared" si="11"/>
        <v>79</v>
      </c>
      <c r="J80">
        <f t="shared" si="12"/>
        <v>144</v>
      </c>
      <c r="K80">
        <f t="shared" si="13"/>
        <v>420</v>
      </c>
      <c r="L80">
        <f t="shared" si="14"/>
        <v>948</v>
      </c>
      <c r="M80">
        <f t="shared" si="15"/>
        <v>1225</v>
      </c>
      <c r="N80">
        <f t="shared" si="16"/>
        <v>2765</v>
      </c>
      <c r="O80">
        <f t="shared" si="17"/>
        <v>6241</v>
      </c>
      <c r="Q80" s="11">
        <f t="shared" si="19"/>
        <v>2.2695113093137578</v>
      </c>
      <c r="R80" s="12">
        <f t="shared" si="18"/>
        <v>1.0873150110800367E-2</v>
      </c>
    </row>
    <row r="81" spans="1:18" x14ac:dyDescent="0.25">
      <c r="A81">
        <v>7</v>
      </c>
      <c r="B81">
        <v>35</v>
      </c>
      <c r="C81">
        <v>43</v>
      </c>
      <c r="E81">
        <v>1.1074000000000002</v>
      </c>
      <c r="F81" s="2"/>
      <c r="G81">
        <f t="shared" si="11"/>
        <v>7</v>
      </c>
      <c r="H81" s="10">
        <f t="shared" si="11"/>
        <v>35</v>
      </c>
      <c r="I81">
        <f t="shared" si="11"/>
        <v>43</v>
      </c>
      <c r="J81">
        <f t="shared" si="12"/>
        <v>49</v>
      </c>
      <c r="K81">
        <f t="shared" si="13"/>
        <v>245</v>
      </c>
      <c r="L81">
        <f t="shared" si="14"/>
        <v>301</v>
      </c>
      <c r="M81">
        <f t="shared" si="15"/>
        <v>1225</v>
      </c>
      <c r="N81">
        <f t="shared" si="16"/>
        <v>1505</v>
      </c>
      <c r="O81">
        <f t="shared" si="17"/>
        <v>1849</v>
      </c>
      <c r="Q81" s="11">
        <f t="shared" si="19"/>
        <v>1.138204104847002</v>
      </c>
      <c r="R81" s="12">
        <f t="shared" si="18"/>
        <v>2.7816601812354881E-2</v>
      </c>
    </row>
    <row r="82" spans="1:18" x14ac:dyDescent="0.25">
      <c r="A82">
        <v>7</v>
      </c>
      <c r="B82">
        <v>35</v>
      </c>
      <c r="C82">
        <v>55</v>
      </c>
      <c r="E82">
        <v>1.4610000000000001</v>
      </c>
      <c r="F82" s="2"/>
      <c r="G82">
        <f t="shared" si="11"/>
        <v>7</v>
      </c>
      <c r="H82" s="10">
        <f t="shared" si="11"/>
        <v>35</v>
      </c>
      <c r="I82">
        <f t="shared" si="11"/>
        <v>55</v>
      </c>
      <c r="J82">
        <f t="shared" si="12"/>
        <v>49</v>
      </c>
      <c r="K82">
        <f t="shared" si="13"/>
        <v>245</v>
      </c>
      <c r="L82">
        <f t="shared" si="14"/>
        <v>385</v>
      </c>
      <c r="M82">
        <f t="shared" si="15"/>
        <v>1225</v>
      </c>
      <c r="N82">
        <f t="shared" si="16"/>
        <v>1925</v>
      </c>
      <c r="O82">
        <f t="shared" si="17"/>
        <v>3025</v>
      </c>
      <c r="Q82" s="11">
        <f t="shared" si="19"/>
        <v>1.4641259310649322</v>
      </c>
      <c r="R82" s="12">
        <f t="shared" si="18"/>
        <v>2.1395832066612498E-3</v>
      </c>
    </row>
    <row r="83" spans="1:18" x14ac:dyDescent="0.25">
      <c r="A83">
        <v>7</v>
      </c>
      <c r="B83">
        <v>35</v>
      </c>
      <c r="C83">
        <v>67</v>
      </c>
      <c r="E83">
        <v>1.8237300000000001</v>
      </c>
      <c r="F83" s="2"/>
      <c r="G83">
        <f t="shared" si="11"/>
        <v>7</v>
      </c>
      <c r="H83" s="10">
        <f t="shared" si="11"/>
        <v>35</v>
      </c>
      <c r="I83">
        <f t="shared" si="11"/>
        <v>67</v>
      </c>
      <c r="J83">
        <f t="shared" si="12"/>
        <v>49</v>
      </c>
      <c r="K83">
        <f t="shared" si="13"/>
        <v>245</v>
      </c>
      <c r="L83">
        <f t="shared" si="14"/>
        <v>469</v>
      </c>
      <c r="M83">
        <f t="shared" si="15"/>
        <v>1225</v>
      </c>
      <c r="N83">
        <f t="shared" si="16"/>
        <v>2345</v>
      </c>
      <c r="O83">
        <f t="shared" si="17"/>
        <v>4489</v>
      </c>
      <c r="Q83" s="11">
        <f t="shared" si="19"/>
        <v>1.8307361464661267</v>
      </c>
      <c r="R83" s="12">
        <f t="shared" si="18"/>
        <v>3.8416577377828011E-3</v>
      </c>
    </row>
    <row r="84" spans="1:18" x14ac:dyDescent="0.25">
      <c r="A84">
        <v>7</v>
      </c>
      <c r="B84">
        <v>35</v>
      </c>
      <c r="C84">
        <v>79</v>
      </c>
      <c r="E84">
        <v>2.2263500000000001</v>
      </c>
      <c r="F84" s="2"/>
      <c r="G84">
        <f t="shared" si="11"/>
        <v>7</v>
      </c>
      <c r="H84" s="10">
        <f t="shared" si="11"/>
        <v>35</v>
      </c>
      <c r="I84">
        <f t="shared" si="11"/>
        <v>79</v>
      </c>
      <c r="J84">
        <f t="shared" si="12"/>
        <v>49</v>
      </c>
      <c r="K84">
        <f t="shared" si="13"/>
        <v>245</v>
      </c>
      <c r="L84">
        <f t="shared" si="14"/>
        <v>553</v>
      </c>
      <c r="M84">
        <f t="shared" si="15"/>
        <v>1225</v>
      </c>
      <c r="N84">
        <f t="shared" si="16"/>
        <v>2765</v>
      </c>
      <c r="O84">
        <f t="shared" si="17"/>
        <v>6241</v>
      </c>
      <c r="Q84" s="11">
        <f t="shared" si="19"/>
        <v>2.2380347510505856</v>
      </c>
      <c r="R84" s="12">
        <f t="shared" si="18"/>
        <v>5.2483890900287596E-3</v>
      </c>
    </row>
    <row r="85" spans="1:18" x14ac:dyDescent="0.25">
      <c r="A85">
        <v>7</v>
      </c>
      <c r="B85">
        <v>35</v>
      </c>
      <c r="C85">
        <v>90</v>
      </c>
      <c r="E85">
        <v>2.6831900000000002</v>
      </c>
      <c r="F85" s="2"/>
      <c r="G85">
        <f t="shared" si="11"/>
        <v>7</v>
      </c>
      <c r="H85" s="10">
        <f t="shared" si="11"/>
        <v>35</v>
      </c>
      <c r="I85">
        <f t="shared" si="11"/>
        <v>90</v>
      </c>
      <c r="J85">
        <f t="shared" si="12"/>
        <v>49</v>
      </c>
      <c r="K85">
        <f t="shared" si="13"/>
        <v>245</v>
      </c>
      <c r="L85">
        <f t="shared" si="14"/>
        <v>630</v>
      </c>
      <c r="M85">
        <f t="shared" si="15"/>
        <v>1225</v>
      </c>
      <c r="N85">
        <f t="shared" si="16"/>
        <v>3150</v>
      </c>
      <c r="O85">
        <f t="shared" si="17"/>
        <v>8100</v>
      </c>
      <c r="Q85" s="11">
        <f t="shared" si="19"/>
        <v>2.6471354249174714</v>
      </c>
      <c r="R85" s="12">
        <f t="shared" si="18"/>
        <v>-1.3437205372161023E-2</v>
      </c>
    </row>
    <row r="86" spans="1:18" x14ac:dyDescent="0.25">
      <c r="A86">
        <v>2</v>
      </c>
      <c r="B86">
        <v>35</v>
      </c>
      <c r="C86">
        <v>43</v>
      </c>
      <c r="E86">
        <v>1.1316900000000001</v>
      </c>
      <c r="F86" s="2"/>
      <c r="G86">
        <f t="shared" si="11"/>
        <v>2</v>
      </c>
      <c r="H86" s="10">
        <f t="shared" si="11"/>
        <v>35</v>
      </c>
      <c r="I86">
        <f t="shared" si="11"/>
        <v>43</v>
      </c>
      <c r="J86">
        <f t="shared" si="12"/>
        <v>4</v>
      </c>
      <c r="K86">
        <f t="shared" si="13"/>
        <v>70</v>
      </c>
      <c r="L86">
        <f t="shared" si="14"/>
        <v>86</v>
      </c>
      <c r="M86">
        <f t="shared" si="15"/>
        <v>1225</v>
      </c>
      <c r="N86">
        <f t="shared" si="16"/>
        <v>1505</v>
      </c>
      <c r="O86">
        <f t="shared" si="17"/>
        <v>1849</v>
      </c>
      <c r="Q86" s="11">
        <f t="shared" si="19"/>
        <v>1.1438517312322936</v>
      </c>
      <c r="R86" s="12">
        <f t="shared" si="18"/>
        <v>1.0746521779191713E-2</v>
      </c>
    </row>
    <row r="87" spans="1:18" x14ac:dyDescent="0.25">
      <c r="A87">
        <v>2</v>
      </c>
      <c r="B87">
        <v>35</v>
      </c>
      <c r="C87">
        <v>55</v>
      </c>
      <c r="E87">
        <v>1.46743</v>
      </c>
      <c r="F87" s="2"/>
      <c r="G87">
        <f t="shared" si="11"/>
        <v>2</v>
      </c>
      <c r="H87" s="10">
        <f t="shared" si="11"/>
        <v>35</v>
      </c>
      <c r="I87">
        <f t="shared" si="11"/>
        <v>55</v>
      </c>
      <c r="J87">
        <f t="shared" si="12"/>
        <v>4</v>
      </c>
      <c r="K87">
        <f t="shared" si="13"/>
        <v>70</v>
      </c>
      <c r="L87">
        <f t="shared" si="14"/>
        <v>110</v>
      </c>
      <c r="M87">
        <f t="shared" si="15"/>
        <v>1225</v>
      </c>
      <c r="N87">
        <f t="shared" si="16"/>
        <v>1925</v>
      </c>
      <c r="O87">
        <f t="shared" si="17"/>
        <v>3025</v>
      </c>
      <c r="Q87" s="11">
        <f t="shared" si="19"/>
        <v>1.4550733017129491</v>
      </c>
      <c r="R87" s="12">
        <f t="shared" si="18"/>
        <v>-8.4206389995099482E-3</v>
      </c>
    </row>
    <row r="88" spans="1:18" x14ac:dyDescent="0.25">
      <c r="A88">
        <v>2</v>
      </c>
      <c r="B88">
        <v>35</v>
      </c>
      <c r="C88">
        <v>67</v>
      </c>
      <c r="E88">
        <v>1.8424400000000001</v>
      </c>
      <c r="F88" s="2"/>
      <c r="G88">
        <f t="shared" si="11"/>
        <v>2</v>
      </c>
      <c r="H88" s="10">
        <f t="shared" si="11"/>
        <v>35</v>
      </c>
      <c r="I88">
        <f t="shared" si="11"/>
        <v>67</v>
      </c>
      <c r="J88">
        <f t="shared" si="12"/>
        <v>4</v>
      </c>
      <c r="K88">
        <f t="shared" si="13"/>
        <v>70</v>
      </c>
      <c r="L88">
        <f t="shared" si="14"/>
        <v>134</v>
      </c>
      <c r="M88">
        <f t="shared" si="15"/>
        <v>1225</v>
      </c>
      <c r="N88">
        <f t="shared" si="16"/>
        <v>2345</v>
      </c>
      <c r="O88">
        <f t="shared" si="17"/>
        <v>4489</v>
      </c>
      <c r="Q88" s="11">
        <f t="shared" si="19"/>
        <v>1.8069832613768684</v>
      </c>
      <c r="R88" s="12">
        <f t="shared" si="18"/>
        <v>-1.9244446833075541E-2</v>
      </c>
    </row>
    <row r="89" spans="1:18" x14ac:dyDescent="0.25">
      <c r="A89">
        <v>2</v>
      </c>
      <c r="B89">
        <v>35</v>
      </c>
      <c r="C89">
        <v>79</v>
      </c>
      <c r="E89">
        <v>2.2408000000000001</v>
      </c>
      <c r="F89" s="2"/>
      <c r="G89">
        <f t="shared" si="11"/>
        <v>2</v>
      </c>
      <c r="H89" s="10">
        <f t="shared" si="11"/>
        <v>35</v>
      </c>
      <c r="I89">
        <f t="shared" si="11"/>
        <v>79</v>
      </c>
      <c r="J89">
        <f t="shared" si="12"/>
        <v>4</v>
      </c>
      <c r="K89">
        <f t="shared" si="13"/>
        <v>70</v>
      </c>
      <c r="L89">
        <f t="shared" si="14"/>
        <v>158</v>
      </c>
      <c r="M89">
        <f t="shared" si="15"/>
        <v>1225</v>
      </c>
      <c r="N89">
        <f t="shared" si="16"/>
        <v>2765</v>
      </c>
      <c r="O89">
        <f t="shared" si="17"/>
        <v>6241</v>
      </c>
      <c r="Q89" s="11">
        <f t="shared" si="19"/>
        <v>2.1995816102240529</v>
      </c>
      <c r="R89" s="12">
        <f t="shared" si="18"/>
        <v>-1.8394497400904708E-2</v>
      </c>
    </row>
    <row r="90" spans="1:18" x14ac:dyDescent="0.25">
      <c r="A90">
        <v>2</v>
      </c>
      <c r="B90">
        <v>35</v>
      </c>
      <c r="C90">
        <v>90</v>
      </c>
      <c r="E90">
        <v>2.6147100000000001</v>
      </c>
      <c r="F90" s="2"/>
      <c r="G90">
        <f t="shared" si="11"/>
        <v>2</v>
      </c>
      <c r="H90" s="10">
        <f t="shared" si="11"/>
        <v>35</v>
      </c>
      <c r="I90">
        <f t="shared" si="11"/>
        <v>90</v>
      </c>
      <c r="J90">
        <f t="shared" si="12"/>
        <v>4</v>
      </c>
      <c r="K90">
        <f t="shared" si="13"/>
        <v>70</v>
      </c>
      <c r="L90">
        <f t="shared" si="14"/>
        <v>180</v>
      </c>
      <c r="M90">
        <f t="shared" si="15"/>
        <v>1225</v>
      </c>
      <c r="N90">
        <f t="shared" si="16"/>
        <v>3150</v>
      </c>
      <c r="O90">
        <f t="shared" si="17"/>
        <v>8100</v>
      </c>
      <c r="Q90" s="11">
        <f t="shared" si="19"/>
        <v>2.5952070496651034</v>
      </c>
      <c r="R90" s="12">
        <f t="shared" si="18"/>
        <v>-7.4589343884777599E-3</v>
      </c>
    </row>
    <row r="91" spans="1:18" x14ac:dyDescent="0.25">
      <c r="A91">
        <v>-7</v>
      </c>
      <c r="B91">
        <v>35</v>
      </c>
      <c r="C91">
        <v>43</v>
      </c>
      <c r="E91">
        <v>1.1223699999999999</v>
      </c>
      <c r="F91" s="2"/>
      <c r="G91">
        <f t="shared" si="11"/>
        <v>-7</v>
      </c>
      <c r="H91" s="10">
        <f t="shared" si="11"/>
        <v>35</v>
      </c>
      <c r="I91">
        <f t="shared" si="11"/>
        <v>43</v>
      </c>
      <c r="J91">
        <f t="shared" si="12"/>
        <v>49</v>
      </c>
      <c r="K91">
        <f t="shared" si="13"/>
        <v>-245</v>
      </c>
      <c r="L91">
        <f t="shared" si="14"/>
        <v>-301</v>
      </c>
      <c r="M91">
        <f t="shared" si="15"/>
        <v>1225</v>
      </c>
      <c r="N91">
        <f t="shared" si="16"/>
        <v>1505</v>
      </c>
      <c r="O91">
        <f t="shared" si="17"/>
        <v>1849</v>
      </c>
      <c r="Q91" s="11">
        <f t="shared" si="19"/>
        <v>1.1364364706661503</v>
      </c>
      <c r="R91" s="12">
        <f t="shared" si="18"/>
        <v>1.2532828448863042E-2</v>
      </c>
    </row>
    <row r="92" spans="1:18" x14ac:dyDescent="0.25">
      <c r="A92">
        <v>-7</v>
      </c>
      <c r="B92">
        <v>35</v>
      </c>
      <c r="C92">
        <v>55</v>
      </c>
      <c r="E92">
        <v>1.41994</v>
      </c>
      <c r="F92" s="2"/>
      <c r="G92">
        <f t="shared" si="11"/>
        <v>-7</v>
      </c>
      <c r="H92" s="10">
        <f t="shared" si="11"/>
        <v>35</v>
      </c>
      <c r="I92">
        <f t="shared" si="11"/>
        <v>55</v>
      </c>
      <c r="J92">
        <f t="shared" si="12"/>
        <v>49</v>
      </c>
      <c r="K92">
        <f t="shared" si="13"/>
        <v>-245</v>
      </c>
      <c r="L92">
        <f t="shared" si="14"/>
        <v>-385</v>
      </c>
      <c r="M92">
        <f t="shared" si="15"/>
        <v>1225</v>
      </c>
      <c r="N92">
        <f t="shared" si="16"/>
        <v>1925</v>
      </c>
      <c r="O92">
        <f t="shared" si="17"/>
        <v>3025</v>
      </c>
      <c r="Q92" s="11">
        <f t="shared" si="19"/>
        <v>1.421197580819711</v>
      </c>
      <c r="R92" s="12">
        <f t="shared" si="18"/>
        <v>8.856577177282542E-4</v>
      </c>
    </row>
    <row r="93" spans="1:18" x14ac:dyDescent="0.25">
      <c r="A93">
        <v>-7</v>
      </c>
      <c r="B93">
        <v>35</v>
      </c>
      <c r="C93">
        <v>67</v>
      </c>
      <c r="E93">
        <v>1.7410300000000001</v>
      </c>
      <c r="F93" s="2"/>
      <c r="G93">
        <f t="shared" si="11"/>
        <v>-7</v>
      </c>
      <c r="H93" s="10">
        <f t="shared" si="11"/>
        <v>35</v>
      </c>
      <c r="I93">
        <f t="shared" si="11"/>
        <v>67</v>
      </c>
      <c r="J93">
        <f t="shared" si="12"/>
        <v>49</v>
      </c>
      <c r="K93">
        <f t="shared" si="13"/>
        <v>-245</v>
      </c>
      <c r="L93">
        <f t="shared" si="14"/>
        <v>-469</v>
      </c>
      <c r="M93">
        <f t="shared" si="15"/>
        <v>1225</v>
      </c>
      <c r="N93">
        <f t="shared" si="16"/>
        <v>2345</v>
      </c>
      <c r="O93">
        <f t="shared" si="17"/>
        <v>4489</v>
      </c>
      <c r="Q93" s="11">
        <f t="shared" si="19"/>
        <v>1.7466470801565359</v>
      </c>
      <c r="R93" s="12">
        <f t="shared" si="18"/>
        <v>3.226297166927529E-3</v>
      </c>
    </row>
    <row r="94" spans="1:18" x14ac:dyDescent="0.25">
      <c r="A94">
        <v>-7</v>
      </c>
      <c r="B94">
        <v>35</v>
      </c>
      <c r="C94">
        <v>79</v>
      </c>
      <c r="E94">
        <v>2.1229499999999999</v>
      </c>
      <c r="F94" s="2"/>
      <c r="G94">
        <f t="shared" si="11"/>
        <v>-7</v>
      </c>
      <c r="H94" s="10">
        <f t="shared" si="11"/>
        <v>35</v>
      </c>
      <c r="I94">
        <f t="shared" si="11"/>
        <v>79</v>
      </c>
      <c r="J94">
        <f t="shared" si="12"/>
        <v>49</v>
      </c>
      <c r="K94">
        <f t="shared" si="13"/>
        <v>-245</v>
      </c>
      <c r="L94">
        <f t="shared" si="14"/>
        <v>-553</v>
      </c>
      <c r="M94">
        <f t="shared" si="15"/>
        <v>1225</v>
      </c>
      <c r="N94">
        <f t="shared" si="16"/>
        <v>2765</v>
      </c>
      <c r="O94">
        <f t="shared" si="17"/>
        <v>6241</v>
      </c>
      <c r="Q94" s="11">
        <f t="shared" si="19"/>
        <v>2.1127849686766256</v>
      </c>
      <c r="R94" s="12">
        <f t="shared" si="18"/>
        <v>-4.7881633214980658E-3</v>
      </c>
    </row>
    <row r="95" spans="1:18" x14ac:dyDescent="0.25">
      <c r="A95">
        <v>-7</v>
      </c>
      <c r="B95">
        <v>35</v>
      </c>
      <c r="C95">
        <v>90</v>
      </c>
      <c r="E95">
        <v>2.4687600000000001</v>
      </c>
      <c r="F95" s="2"/>
      <c r="G95">
        <f t="shared" si="11"/>
        <v>-7</v>
      </c>
      <c r="H95" s="10">
        <f t="shared" si="11"/>
        <v>35</v>
      </c>
      <c r="I95">
        <f t="shared" si="11"/>
        <v>90</v>
      </c>
      <c r="J95">
        <f t="shared" si="12"/>
        <v>49</v>
      </c>
      <c r="K95">
        <f t="shared" si="13"/>
        <v>-245</v>
      </c>
      <c r="L95">
        <f t="shared" si="14"/>
        <v>-630</v>
      </c>
      <c r="M95">
        <f t="shared" si="15"/>
        <v>1225</v>
      </c>
      <c r="N95">
        <f t="shared" si="16"/>
        <v>3150</v>
      </c>
      <c r="O95">
        <f t="shared" si="17"/>
        <v>8100</v>
      </c>
      <c r="Q95" s="11">
        <f t="shared" si="19"/>
        <v>2.4841549861511725</v>
      </c>
      <c r="R95" s="12">
        <f t="shared" si="18"/>
        <v>6.2359184980202232E-3</v>
      </c>
    </row>
    <row r="96" spans="1:18" x14ac:dyDescent="0.25">
      <c r="A96">
        <v>-15</v>
      </c>
      <c r="B96">
        <v>35</v>
      </c>
      <c r="C96">
        <v>55</v>
      </c>
      <c r="E96">
        <v>1.40801</v>
      </c>
      <c r="F96" s="2"/>
      <c r="G96">
        <f t="shared" si="11"/>
        <v>-15</v>
      </c>
      <c r="H96" s="10">
        <f t="shared" si="11"/>
        <v>35</v>
      </c>
      <c r="I96">
        <f t="shared" si="11"/>
        <v>55</v>
      </c>
      <c r="J96">
        <f t="shared" si="12"/>
        <v>225</v>
      </c>
      <c r="K96">
        <f t="shared" si="13"/>
        <v>-525</v>
      </c>
      <c r="L96">
        <f t="shared" si="14"/>
        <v>-825</v>
      </c>
      <c r="M96">
        <f t="shared" si="15"/>
        <v>1225</v>
      </c>
      <c r="N96">
        <f t="shared" si="16"/>
        <v>1925</v>
      </c>
      <c r="O96">
        <f t="shared" si="17"/>
        <v>3025</v>
      </c>
      <c r="Q96" s="11">
        <f t="shared" si="19"/>
        <v>1.3721095243422705</v>
      </c>
      <c r="R96" s="12">
        <f t="shared" si="18"/>
        <v>-2.5497315827110227E-2</v>
      </c>
    </row>
    <row r="97" spans="1:18" x14ac:dyDescent="0.25">
      <c r="A97">
        <v>-15</v>
      </c>
      <c r="B97">
        <v>35</v>
      </c>
      <c r="C97">
        <v>67</v>
      </c>
      <c r="E97">
        <v>1.7494499999999999</v>
      </c>
      <c r="F97" s="2"/>
      <c r="G97">
        <f t="shared" si="11"/>
        <v>-15</v>
      </c>
      <c r="H97" s="10">
        <f t="shared" si="11"/>
        <v>35</v>
      </c>
      <c r="I97">
        <f t="shared" si="11"/>
        <v>67</v>
      </c>
      <c r="J97">
        <f t="shared" si="12"/>
        <v>225</v>
      </c>
      <c r="K97">
        <f t="shared" si="13"/>
        <v>-525</v>
      </c>
      <c r="L97">
        <f t="shared" si="14"/>
        <v>-1005</v>
      </c>
      <c r="M97">
        <f t="shared" si="15"/>
        <v>1225</v>
      </c>
      <c r="N97">
        <f t="shared" si="16"/>
        <v>2345</v>
      </c>
      <c r="O97">
        <f t="shared" si="17"/>
        <v>4489</v>
      </c>
      <c r="Q97" s="11">
        <f t="shared" si="19"/>
        <v>1.6740386144994557</v>
      </c>
      <c r="R97" s="12">
        <f t="shared" si="18"/>
        <v>-4.3105767813052261E-2</v>
      </c>
    </row>
    <row r="98" spans="1:18" x14ac:dyDescent="0.25">
      <c r="A98">
        <v>-15</v>
      </c>
      <c r="B98">
        <v>35</v>
      </c>
      <c r="C98">
        <v>79</v>
      </c>
      <c r="E98">
        <v>1.9920100000000001</v>
      </c>
      <c r="F98" s="2"/>
      <c r="G98">
        <f t="shared" si="11"/>
        <v>-15</v>
      </c>
      <c r="H98" s="10">
        <f t="shared" si="11"/>
        <v>35</v>
      </c>
      <c r="I98">
        <f t="shared" si="11"/>
        <v>79</v>
      </c>
      <c r="J98">
        <f t="shared" si="12"/>
        <v>225</v>
      </c>
      <c r="K98">
        <f t="shared" si="13"/>
        <v>-525</v>
      </c>
      <c r="L98">
        <f t="shared" si="14"/>
        <v>-1185</v>
      </c>
      <c r="M98">
        <f t="shared" si="15"/>
        <v>1225</v>
      </c>
      <c r="N98">
        <f t="shared" si="16"/>
        <v>2765</v>
      </c>
      <c r="O98">
        <f t="shared" si="17"/>
        <v>6241</v>
      </c>
      <c r="Q98" s="11">
        <f t="shared" si="19"/>
        <v>2.0166560938399059</v>
      </c>
      <c r="R98" s="12">
        <f t="shared" si="18"/>
        <v>1.237247495740774E-2</v>
      </c>
    </row>
    <row r="99" spans="1:18" x14ac:dyDescent="0.25">
      <c r="A99">
        <v>-15</v>
      </c>
      <c r="B99">
        <v>35</v>
      </c>
      <c r="C99">
        <v>90</v>
      </c>
      <c r="E99">
        <v>2.32836</v>
      </c>
      <c r="F99" s="2"/>
      <c r="G99">
        <f t="shared" si="11"/>
        <v>-15</v>
      </c>
      <c r="H99" s="10">
        <f t="shared" si="11"/>
        <v>35</v>
      </c>
      <c r="I99">
        <f t="shared" si="11"/>
        <v>90</v>
      </c>
      <c r="J99">
        <f t="shared" si="12"/>
        <v>225</v>
      </c>
      <c r="K99">
        <f t="shared" si="13"/>
        <v>-525</v>
      </c>
      <c r="L99">
        <f t="shared" si="14"/>
        <v>-1350</v>
      </c>
      <c r="M99">
        <f t="shared" si="15"/>
        <v>1225</v>
      </c>
      <c r="N99">
        <f t="shared" si="16"/>
        <v>3150</v>
      </c>
      <c r="O99">
        <f t="shared" si="17"/>
        <v>8100</v>
      </c>
      <c r="Q99" s="11">
        <f t="shared" si="19"/>
        <v>2.3664657362331161</v>
      </c>
      <c r="R99" s="12">
        <f t="shared" si="18"/>
        <v>1.6365912587879918E-2</v>
      </c>
    </row>
    <row r="100" spans="1:18" x14ac:dyDescent="0.25">
      <c r="A100">
        <v>12</v>
      </c>
      <c r="B100">
        <v>45</v>
      </c>
      <c r="C100">
        <v>43</v>
      </c>
      <c r="E100">
        <v>1.39757</v>
      </c>
      <c r="F100" s="2"/>
      <c r="G100">
        <f t="shared" si="11"/>
        <v>12</v>
      </c>
      <c r="H100" s="10">
        <f t="shared" si="11"/>
        <v>45</v>
      </c>
      <c r="I100">
        <f t="shared" si="11"/>
        <v>43</v>
      </c>
      <c r="J100">
        <f t="shared" si="12"/>
        <v>144</v>
      </c>
      <c r="K100">
        <f t="shared" si="13"/>
        <v>540</v>
      </c>
      <c r="L100">
        <f t="shared" si="14"/>
        <v>516</v>
      </c>
      <c r="M100">
        <f t="shared" si="15"/>
        <v>2025</v>
      </c>
      <c r="N100">
        <f t="shared" si="16"/>
        <v>1935</v>
      </c>
      <c r="O100">
        <f t="shared" si="17"/>
        <v>1849</v>
      </c>
      <c r="Q100" s="11">
        <f t="shared" si="19"/>
        <v>1.3980145607734056</v>
      </c>
      <c r="R100" s="12">
        <f t="shared" si="18"/>
        <v>3.1809553253547233E-4</v>
      </c>
    </row>
    <row r="101" spans="1:18" x14ac:dyDescent="0.25">
      <c r="A101">
        <v>12</v>
      </c>
      <c r="B101">
        <v>45</v>
      </c>
      <c r="C101">
        <v>55</v>
      </c>
      <c r="E101">
        <v>1.8335299999999999</v>
      </c>
      <c r="F101" s="2"/>
      <c r="G101">
        <f t="shared" si="11"/>
        <v>12</v>
      </c>
      <c r="H101" s="10">
        <f t="shared" si="11"/>
        <v>45</v>
      </c>
      <c r="I101">
        <f t="shared" si="11"/>
        <v>55</v>
      </c>
      <c r="J101">
        <f t="shared" si="12"/>
        <v>144</v>
      </c>
      <c r="K101">
        <f t="shared" si="13"/>
        <v>540</v>
      </c>
      <c r="L101">
        <f t="shared" si="14"/>
        <v>660</v>
      </c>
      <c r="M101">
        <f t="shared" si="15"/>
        <v>2025</v>
      </c>
      <c r="N101">
        <f t="shared" si="16"/>
        <v>2475</v>
      </c>
      <c r="O101">
        <f t="shared" si="17"/>
        <v>3025</v>
      </c>
      <c r="Q101" s="11">
        <f t="shared" si="19"/>
        <v>1.8230991325418608</v>
      </c>
      <c r="R101" s="12">
        <f t="shared" si="18"/>
        <v>-5.6889537984865469E-3</v>
      </c>
    </row>
    <row r="102" spans="1:18" x14ac:dyDescent="0.25">
      <c r="A102">
        <v>12</v>
      </c>
      <c r="B102">
        <v>45</v>
      </c>
      <c r="C102">
        <v>67</v>
      </c>
      <c r="E102">
        <v>2.26003</v>
      </c>
      <c r="F102" s="2"/>
      <c r="G102">
        <f t="shared" si="11"/>
        <v>12</v>
      </c>
      <c r="H102" s="10">
        <f t="shared" si="11"/>
        <v>45</v>
      </c>
      <c r="I102">
        <f t="shared" si="11"/>
        <v>67</v>
      </c>
      <c r="J102">
        <f t="shared" si="12"/>
        <v>144</v>
      </c>
      <c r="K102">
        <f t="shared" si="13"/>
        <v>540</v>
      </c>
      <c r="L102">
        <f t="shared" si="14"/>
        <v>804</v>
      </c>
      <c r="M102">
        <f t="shared" si="15"/>
        <v>2025</v>
      </c>
      <c r="N102">
        <f t="shared" si="16"/>
        <v>3015</v>
      </c>
      <c r="O102">
        <f t="shared" si="17"/>
        <v>4489</v>
      </c>
      <c r="Q102" s="11">
        <f t="shared" si="19"/>
        <v>2.2888720934935805</v>
      </c>
      <c r="R102" s="12">
        <f t="shared" si="18"/>
        <v>1.2761818866820559E-2</v>
      </c>
    </row>
    <row r="103" spans="1:18" x14ac:dyDescent="0.25">
      <c r="A103">
        <v>12</v>
      </c>
      <c r="B103">
        <v>45</v>
      </c>
      <c r="C103">
        <v>79</v>
      </c>
      <c r="E103">
        <v>2.7964799999999999</v>
      </c>
      <c r="F103" s="2"/>
      <c r="G103">
        <f t="shared" si="11"/>
        <v>12</v>
      </c>
      <c r="H103" s="10">
        <f t="shared" si="11"/>
        <v>45</v>
      </c>
      <c r="I103">
        <f t="shared" si="11"/>
        <v>79</v>
      </c>
      <c r="J103">
        <f t="shared" si="12"/>
        <v>144</v>
      </c>
      <c r="K103">
        <f t="shared" si="13"/>
        <v>540</v>
      </c>
      <c r="L103">
        <f t="shared" si="14"/>
        <v>948</v>
      </c>
      <c r="M103">
        <f t="shared" si="15"/>
        <v>2025</v>
      </c>
      <c r="N103">
        <f t="shared" si="16"/>
        <v>3555</v>
      </c>
      <c r="O103">
        <f t="shared" si="17"/>
        <v>6241</v>
      </c>
      <c r="Q103" s="11">
        <f t="shared" si="19"/>
        <v>2.795333443628564</v>
      </c>
      <c r="R103" s="12">
        <f t="shared" si="18"/>
        <v>-4.0999984674873518E-4</v>
      </c>
    </row>
    <row r="104" spans="1:18" x14ac:dyDescent="0.25">
      <c r="A104">
        <v>7</v>
      </c>
      <c r="B104">
        <v>45</v>
      </c>
      <c r="C104">
        <v>43</v>
      </c>
      <c r="E104">
        <v>1.4012100000000001</v>
      </c>
      <c r="F104" s="2"/>
      <c r="G104">
        <f t="shared" si="11"/>
        <v>7</v>
      </c>
      <c r="H104" s="10">
        <f t="shared" si="11"/>
        <v>45</v>
      </c>
      <c r="I104">
        <f t="shared" si="11"/>
        <v>43</v>
      </c>
      <c r="J104">
        <f t="shared" si="12"/>
        <v>49</v>
      </c>
      <c r="K104">
        <f t="shared" si="13"/>
        <v>315</v>
      </c>
      <c r="L104">
        <f t="shared" si="14"/>
        <v>301</v>
      </c>
      <c r="M104">
        <f t="shared" si="15"/>
        <v>2025</v>
      </c>
      <c r="N104">
        <f t="shared" si="16"/>
        <v>1935</v>
      </c>
      <c r="O104">
        <f t="shared" si="17"/>
        <v>1849</v>
      </c>
      <c r="Q104" s="11">
        <f t="shared" si="19"/>
        <v>1.3921719627028137</v>
      </c>
      <c r="R104" s="12">
        <f t="shared" si="18"/>
        <v>-6.450166140111996E-3</v>
      </c>
    </row>
    <row r="105" spans="1:18" x14ac:dyDescent="0.25">
      <c r="A105">
        <v>7</v>
      </c>
      <c r="B105">
        <v>45</v>
      </c>
      <c r="C105">
        <v>55</v>
      </c>
      <c r="E105">
        <v>1.8311999999999999</v>
      </c>
      <c r="F105" s="2"/>
      <c r="G105">
        <f t="shared" si="11"/>
        <v>7</v>
      </c>
      <c r="H105" s="10">
        <f t="shared" si="11"/>
        <v>45</v>
      </c>
      <c r="I105">
        <f t="shared" si="11"/>
        <v>55</v>
      </c>
      <c r="J105">
        <f t="shared" si="12"/>
        <v>49</v>
      </c>
      <c r="K105">
        <f t="shared" si="13"/>
        <v>315</v>
      </c>
      <c r="L105">
        <f t="shared" si="14"/>
        <v>385</v>
      </c>
      <c r="M105">
        <f t="shared" si="15"/>
        <v>2025</v>
      </c>
      <c r="N105">
        <f t="shared" si="16"/>
        <v>2475</v>
      </c>
      <c r="O105">
        <f t="shared" si="17"/>
        <v>3025</v>
      </c>
      <c r="Q105" s="11">
        <f t="shared" si="19"/>
        <v>1.8025562787339942</v>
      </c>
      <c r="R105" s="12">
        <f t="shared" si="18"/>
        <v>-1.5642049621016701E-2</v>
      </c>
    </row>
    <row r="106" spans="1:18" x14ac:dyDescent="0.25">
      <c r="A106">
        <v>7</v>
      </c>
      <c r="B106">
        <v>45</v>
      </c>
      <c r="C106">
        <v>67</v>
      </c>
      <c r="E106">
        <v>2.2750700000000004</v>
      </c>
      <c r="F106" s="2"/>
      <c r="G106">
        <f t="shared" si="11"/>
        <v>7</v>
      </c>
      <c r="H106" s="10">
        <f t="shared" si="11"/>
        <v>45</v>
      </c>
      <c r="I106">
        <f t="shared" si="11"/>
        <v>67</v>
      </c>
      <c r="J106">
        <f t="shared" si="12"/>
        <v>49</v>
      </c>
      <c r="K106">
        <f t="shared" si="13"/>
        <v>315</v>
      </c>
      <c r="L106">
        <f t="shared" si="14"/>
        <v>469</v>
      </c>
      <c r="M106">
        <f t="shared" si="15"/>
        <v>2025</v>
      </c>
      <c r="N106">
        <f t="shared" si="16"/>
        <v>3015</v>
      </c>
      <c r="O106">
        <f t="shared" si="17"/>
        <v>4489</v>
      </c>
      <c r="Q106" s="11">
        <f t="shared" si="19"/>
        <v>2.2536289839484391</v>
      </c>
      <c r="R106" s="12">
        <f t="shared" si="18"/>
        <v>-9.4243324607863627E-3</v>
      </c>
    </row>
    <row r="107" spans="1:18" x14ac:dyDescent="0.25">
      <c r="A107">
        <v>7</v>
      </c>
      <c r="B107">
        <v>45</v>
      </c>
      <c r="C107">
        <v>79</v>
      </c>
      <c r="E107">
        <v>2.7610199999999998</v>
      </c>
      <c r="F107" s="2"/>
      <c r="G107">
        <f t="shared" si="11"/>
        <v>7</v>
      </c>
      <c r="H107" s="10">
        <f t="shared" si="11"/>
        <v>45</v>
      </c>
      <c r="I107">
        <f t="shared" si="11"/>
        <v>79</v>
      </c>
      <c r="J107">
        <f t="shared" si="12"/>
        <v>49</v>
      </c>
      <c r="K107">
        <f t="shared" si="13"/>
        <v>315</v>
      </c>
      <c r="L107">
        <f t="shared" si="14"/>
        <v>553</v>
      </c>
      <c r="M107">
        <f t="shared" si="15"/>
        <v>2025</v>
      </c>
      <c r="N107">
        <f t="shared" si="16"/>
        <v>3555</v>
      </c>
      <c r="O107">
        <f t="shared" si="17"/>
        <v>6241</v>
      </c>
      <c r="Q107" s="11">
        <f t="shared" si="19"/>
        <v>2.7453900783461478</v>
      </c>
      <c r="R107" s="12">
        <f t="shared" si="18"/>
        <v>-5.6609230117319036E-3</v>
      </c>
    </row>
    <row r="108" spans="1:18" x14ac:dyDescent="0.25">
      <c r="A108">
        <v>7</v>
      </c>
      <c r="B108">
        <v>45</v>
      </c>
      <c r="C108">
        <v>90</v>
      </c>
      <c r="E108">
        <v>3.2629699999999997</v>
      </c>
      <c r="F108" s="2"/>
      <c r="G108">
        <f t="shared" si="11"/>
        <v>7</v>
      </c>
      <c r="H108" s="10">
        <f t="shared" si="11"/>
        <v>45</v>
      </c>
      <c r="I108">
        <f t="shared" si="11"/>
        <v>90</v>
      </c>
      <c r="J108">
        <f t="shared" si="12"/>
        <v>49</v>
      </c>
      <c r="K108">
        <f t="shared" si="13"/>
        <v>315</v>
      </c>
      <c r="L108">
        <f t="shared" si="14"/>
        <v>630</v>
      </c>
      <c r="M108">
        <f t="shared" si="15"/>
        <v>2025</v>
      </c>
      <c r="N108">
        <f t="shared" si="16"/>
        <v>4050</v>
      </c>
      <c r="O108">
        <f t="shared" si="17"/>
        <v>8100</v>
      </c>
      <c r="Q108" s="11">
        <f t="shared" si="19"/>
        <v>3.2319147012085132</v>
      </c>
      <c r="R108" s="12">
        <f t="shared" si="18"/>
        <v>-9.5174944273120812E-3</v>
      </c>
    </row>
    <row r="109" spans="1:18" x14ac:dyDescent="0.25">
      <c r="A109">
        <v>2</v>
      </c>
      <c r="B109">
        <v>45</v>
      </c>
      <c r="C109">
        <v>43</v>
      </c>
      <c r="E109">
        <v>1.41</v>
      </c>
      <c r="F109" s="2"/>
      <c r="G109">
        <f t="shared" si="11"/>
        <v>2</v>
      </c>
      <c r="H109" s="10">
        <f t="shared" si="11"/>
        <v>45</v>
      </c>
      <c r="I109">
        <f t="shared" si="11"/>
        <v>43</v>
      </c>
      <c r="J109">
        <f t="shared" si="12"/>
        <v>4</v>
      </c>
      <c r="K109">
        <f t="shared" si="13"/>
        <v>90</v>
      </c>
      <c r="L109">
        <f t="shared" si="14"/>
        <v>86</v>
      </c>
      <c r="M109">
        <f t="shared" si="15"/>
        <v>2025</v>
      </c>
      <c r="N109">
        <f t="shared" si="16"/>
        <v>1935</v>
      </c>
      <c r="O109">
        <f t="shared" si="17"/>
        <v>1849</v>
      </c>
      <c r="Q109" s="11">
        <f t="shared" si="19"/>
        <v>1.3793527820688614</v>
      </c>
      <c r="R109" s="12">
        <f t="shared" si="18"/>
        <v>-2.1735615553998978E-2</v>
      </c>
    </row>
    <row r="110" spans="1:18" x14ac:dyDescent="0.25">
      <c r="A110">
        <v>2</v>
      </c>
      <c r="B110">
        <v>45</v>
      </c>
      <c r="C110">
        <v>55</v>
      </c>
      <c r="E110">
        <v>1.8104800000000001</v>
      </c>
      <c r="F110" s="2"/>
      <c r="G110">
        <f t="shared" si="11"/>
        <v>2</v>
      </c>
      <c r="H110" s="10">
        <f t="shared" si="11"/>
        <v>45</v>
      </c>
      <c r="I110">
        <f t="shared" si="11"/>
        <v>55</v>
      </c>
      <c r="J110">
        <f t="shared" si="12"/>
        <v>4</v>
      </c>
      <c r="K110">
        <f t="shared" si="13"/>
        <v>90</v>
      </c>
      <c r="L110">
        <f t="shared" si="14"/>
        <v>110</v>
      </c>
      <c r="M110">
        <f t="shared" si="15"/>
        <v>2025</v>
      </c>
      <c r="N110">
        <f t="shared" si="16"/>
        <v>2475</v>
      </c>
      <c r="O110">
        <f t="shared" si="17"/>
        <v>3025</v>
      </c>
      <c r="Q110" s="11">
        <f t="shared" si="19"/>
        <v>1.7750368423627669</v>
      </c>
      <c r="R110" s="12">
        <f t="shared" si="18"/>
        <v>-1.9576663446839046E-2</v>
      </c>
    </row>
    <row r="111" spans="1:18" x14ac:dyDescent="0.25">
      <c r="A111">
        <v>2</v>
      </c>
      <c r="B111">
        <v>45</v>
      </c>
      <c r="C111">
        <v>67</v>
      </c>
      <c r="E111">
        <v>2.2260900000000001</v>
      </c>
      <c r="F111" s="2"/>
      <c r="G111">
        <f t="shared" si="11"/>
        <v>2</v>
      </c>
      <c r="H111" s="10">
        <f t="shared" si="11"/>
        <v>45</v>
      </c>
      <c r="I111">
        <f t="shared" si="11"/>
        <v>67</v>
      </c>
      <c r="J111">
        <f t="shared" si="12"/>
        <v>4</v>
      </c>
      <c r="K111">
        <f t="shared" si="13"/>
        <v>90</v>
      </c>
      <c r="L111">
        <f t="shared" si="14"/>
        <v>134</v>
      </c>
      <c r="M111">
        <f t="shared" si="15"/>
        <v>2025</v>
      </c>
      <c r="N111">
        <f t="shared" si="16"/>
        <v>3015</v>
      </c>
      <c r="O111">
        <f t="shared" si="17"/>
        <v>4489</v>
      </c>
      <c r="Q111" s="11">
        <f t="shared" si="19"/>
        <v>2.2114092918399368</v>
      </c>
      <c r="R111" s="12">
        <f t="shared" si="18"/>
        <v>-6.5948403523951333E-3</v>
      </c>
    </row>
    <row r="112" spans="1:18" x14ac:dyDescent="0.25">
      <c r="A112">
        <v>2</v>
      </c>
      <c r="B112">
        <v>45</v>
      </c>
      <c r="C112">
        <v>79</v>
      </c>
      <c r="E112">
        <v>2.70526</v>
      </c>
      <c r="F112" s="2"/>
      <c r="G112">
        <f t="shared" si="11"/>
        <v>2</v>
      </c>
      <c r="H112" s="10">
        <f t="shared" si="11"/>
        <v>45</v>
      </c>
      <c r="I112">
        <f t="shared" si="11"/>
        <v>79</v>
      </c>
      <c r="J112">
        <f t="shared" si="12"/>
        <v>4</v>
      </c>
      <c r="K112">
        <f t="shared" si="13"/>
        <v>90</v>
      </c>
      <c r="L112">
        <f t="shared" si="14"/>
        <v>158</v>
      </c>
      <c r="M112">
        <f t="shared" si="15"/>
        <v>2025</v>
      </c>
      <c r="N112">
        <f t="shared" si="16"/>
        <v>3555</v>
      </c>
      <c r="O112">
        <f t="shared" si="17"/>
        <v>6241</v>
      </c>
      <c r="Q112" s="11">
        <f t="shared" si="19"/>
        <v>2.6884701305003706</v>
      </c>
      <c r="R112" s="12">
        <f t="shared" si="18"/>
        <v>-6.206379238827082E-3</v>
      </c>
    </row>
    <row r="113" spans="1:18" x14ac:dyDescent="0.25">
      <c r="A113">
        <v>2</v>
      </c>
      <c r="B113">
        <v>45</v>
      </c>
      <c r="C113">
        <v>90</v>
      </c>
      <c r="E113">
        <v>3.1901999999999999</v>
      </c>
      <c r="F113" s="2"/>
      <c r="G113">
        <f t="shared" si="11"/>
        <v>2</v>
      </c>
      <c r="H113" s="10">
        <f t="shared" si="11"/>
        <v>45</v>
      </c>
      <c r="I113">
        <f t="shared" si="11"/>
        <v>90</v>
      </c>
      <c r="J113">
        <f t="shared" si="12"/>
        <v>4</v>
      </c>
      <c r="K113">
        <f t="shared" si="13"/>
        <v>90</v>
      </c>
      <c r="L113">
        <f t="shared" si="14"/>
        <v>180</v>
      </c>
      <c r="M113">
        <f t="shared" si="15"/>
        <v>2025</v>
      </c>
      <c r="N113">
        <f t="shared" si="16"/>
        <v>4050</v>
      </c>
      <c r="O113">
        <f t="shared" si="17"/>
        <v>8100</v>
      </c>
      <c r="Q113" s="11">
        <f t="shared" si="19"/>
        <v>3.1615195189369008</v>
      </c>
      <c r="R113" s="12">
        <f t="shared" si="18"/>
        <v>-8.9901827669422521E-3</v>
      </c>
    </row>
    <row r="114" spans="1:18" x14ac:dyDescent="0.25">
      <c r="A114">
        <v>-7</v>
      </c>
      <c r="B114">
        <v>45</v>
      </c>
      <c r="C114">
        <v>55</v>
      </c>
      <c r="E114">
        <v>1.70645</v>
      </c>
      <c r="F114" s="2"/>
      <c r="G114">
        <f t="shared" si="11"/>
        <v>-7</v>
      </c>
      <c r="H114" s="10">
        <f t="shared" si="11"/>
        <v>45</v>
      </c>
      <c r="I114">
        <f t="shared" si="11"/>
        <v>55</v>
      </c>
      <c r="J114">
        <f t="shared" si="12"/>
        <v>49</v>
      </c>
      <c r="K114">
        <f t="shared" si="13"/>
        <v>-315</v>
      </c>
      <c r="L114">
        <f t="shared" si="14"/>
        <v>-385</v>
      </c>
      <c r="M114">
        <f t="shared" si="15"/>
        <v>2025</v>
      </c>
      <c r="N114">
        <f t="shared" si="16"/>
        <v>2475</v>
      </c>
      <c r="O114">
        <f t="shared" si="17"/>
        <v>3025</v>
      </c>
      <c r="Q114" s="11">
        <f t="shared" si="19"/>
        <v>1.7079208688348899</v>
      </c>
      <c r="R114" s="12">
        <f t="shared" si="18"/>
        <v>8.6194663476216323E-4</v>
      </c>
    </row>
    <row r="115" spans="1:18" x14ac:dyDescent="0.25">
      <c r="A115">
        <v>-7</v>
      </c>
      <c r="B115">
        <v>45</v>
      </c>
      <c r="C115">
        <v>67</v>
      </c>
      <c r="E115">
        <v>2.0876999999999999</v>
      </c>
      <c r="F115" s="2"/>
      <c r="G115">
        <f t="shared" si="11"/>
        <v>-7</v>
      </c>
      <c r="H115" s="10">
        <f t="shared" si="11"/>
        <v>45</v>
      </c>
      <c r="I115">
        <f t="shared" si="11"/>
        <v>67</v>
      </c>
      <c r="J115">
        <f t="shared" si="12"/>
        <v>49</v>
      </c>
      <c r="K115">
        <f t="shared" si="13"/>
        <v>-315</v>
      </c>
      <c r="L115">
        <f t="shared" si="14"/>
        <v>-469</v>
      </c>
      <c r="M115">
        <f t="shared" si="15"/>
        <v>2025</v>
      </c>
      <c r="N115">
        <f t="shared" si="16"/>
        <v>3015</v>
      </c>
      <c r="O115">
        <f t="shared" si="17"/>
        <v>4489</v>
      </c>
      <c r="Q115" s="11">
        <f t="shared" si="19"/>
        <v>2.1178328579849652</v>
      </c>
      <c r="R115" s="12">
        <f t="shared" si="18"/>
        <v>1.4433519176589235E-2</v>
      </c>
    </row>
    <row r="116" spans="1:18" x14ac:dyDescent="0.25">
      <c r="A116">
        <v>-7</v>
      </c>
      <c r="B116">
        <v>45</v>
      </c>
      <c r="C116">
        <v>79</v>
      </c>
      <c r="E116">
        <v>2.55755</v>
      </c>
      <c r="F116" s="2"/>
      <c r="G116">
        <f t="shared" si="11"/>
        <v>-7</v>
      </c>
      <c r="H116" s="10">
        <f t="shared" si="11"/>
        <v>45</v>
      </c>
      <c r="I116">
        <f t="shared" si="11"/>
        <v>79</v>
      </c>
      <c r="J116">
        <f t="shared" si="12"/>
        <v>49</v>
      </c>
      <c r="K116">
        <f t="shared" si="13"/>
        <v>-315</v>
      </c>
      <c r="L116">
        <f t="shared" si="14"/>
        <v>-553</v>
      </c>
      <c r="M116">
        <f t="shared" si="15"/>
        <v>2025</v>
      </c>
      <c r="N116">
        <f t="shared" si="16"/>
        <v>3555</v>
      </c>
      <c r="O116">
        <f t="shared" si="17"/>
        <v>6241</v>
      </c>
      <c r="Q116" s="11">
        <f t="shared" si="19"/>
        <v>2.5684332363183047</v>
      </c>
      <c r="R116" s="12">
        <f t="shared" si="18"/>
        <v>4.2553366770169418E-3</v>
      </c>
    </row>
    <row r="117" spans="1:18" x14ac:dyDescent="0.25">
      <c r="A117">
        <v>-7</v>
      </c>
      <c r="B117">
        <v>45</v>
      </c>
      <c r="C117">
        <v>90</v>
      </c>
      <c r="E117">
        <v>2.98394</v>
      </c>
      <c r="F117" s="2"/>
      <c r="G117">
        <f t="shared" si="11"/>
        <v>-7</v>
      </c>
      <c r="H117" s="10">
        <f t="shared" si="11"/>
        <v>45</v>
      </c>
      <c r="I117">
        <f t="shared" si="11"/>
        <v>90</v>
      </c>
      <c r="J117">
        <f t="shared" si="12"/>
        <v>49</v>
      </c>
      <c r="K117">
        <f t="shared" si="13"/>
        <v>-315</v>
      </c>
      <c r="L117">
        <f t="shared" si="14"/>
        <v>-630</v>
      </c>
      <c r="M117">
        <f t="shared" si="15"/>
        <v>2025</v>
      </c>
      <c r="N117">
        <f t="shared" si="16"/>
        <v>4050</v>
      </c>
      <c r="O117">
        <f t="shared" si="17"/>
        <v>8100</v>
      </c>
      <c r="Q117" s="11">
        <f t="shared" si="19"/>
        <v>3.0172272027883311</v>
      </c>
      <c r="R117" s="12">
        <f t="shared" si="18"/>
        <v>1.1155453121822517E-2</v>
      </c>
    </row>
    <row r="118" spans="1:18" x14ac:dyDescent="0.25">
      <c r="A118">
        <v>-15</v>
      </c>
      <c r="B118">
        <v>45</v>
      </c>
      <c r="C118">
        <v>67</v>
      </c>
      <c r="E118">
        <v>1.9907300000000001</v>
      </c>
      <c r="F118" s="2"/>
      <c r="G118">
        <f t="shared" si="11"/>
        <v>-15</v>
      </c>
      <c r="H118" s="10">
        <f t="shared" si="11"/>
        <v>45</v>
      </c>
      <c r="I118">
        <f t="shared" si="11"/>
        <v>67</v>
      </c>
      <c r="J118">
        <f t="shared" si="12"/>
        <v>225</v>
      </c>
      <c r="K118">
        <f t="shared" si="13"/>
        <v>-675</v>
      </c>
      <c r="L118">
        <f t="shared" si="14"/>
        <v>-1005</v>
      </c>
      <c r="M118">
        <f t="shared" si="15"/>
        <v>2025</v>
      </c>
      <c r="N118">
        <f t="shared" si="16"/>
        <v>3015</v>
      </c>
      <c r="O118">
        <f t="shared" si="17"/>
        <v>4489</v>
      </c>
      <c r="Q118" s="11">
        <f t="shared" si="19"/>
        <v>2.0156775010970942</v>
      </c>
      <c r="R118" s="12">
        <f t="shared" si="18"/>
        <v>1.2531835606583561E-2</v>
      </c>
    </row>
    <row r="119" spans="1:18" x14ac:dyDescent="0.25">
      <c r="A119">
        <v>-15</v>
      </c>
      <c r="B119">
        <v>45</v>
      </c>
      <c r="C119">
        <v>79</v>
      </c>
      <c r="E119">
        <v>2.3983699999999999</v>
      </c>
      <c r="G119">
        <f t="shared" si="11"/>
        <v>-15</v>
      </c>
      <c r="H119" s="10">
        <f t="shared" si="11"/>
        <v>45</v>
      </c>
      <c r="I119">
        <f t="shared" si="11"/>
        <v>79</v>
      </c>
      <c r="J119">
        <f t="shared" si="12"/>
        <v>225</v>
      </c>
      <c r="K119">
        <f t="shared" si="13"/>
        <v>-675</v>
      </c>
      <c r="L119">
        <f t="shared" si="14"/>
        <v>-1185</v>
      </c>
      <c r="M119">
        <f t="shared" si="15"/>
        <v>2025</v>
      </c>
      <c r="N119">
        <f t="shared" si="16"/>
        <v>3555</v>
      </c>
      <c r="O119">
        <f t="shared" si="17"/>
        <v>6241</v>
      </c>
      <c r="Q119" s="11">
        <f t="shared" si="19"/>
        <v>2.4427574702507941</v>
      </c>
      <c r="R119" s="12">
        <f t="shared" si="18"/>
        <v>1.8507348845588571E-2</v>
      </c>
    </row>
    <row r="120" spans="1:18" x14ac:dyDescent="0.25">
      <c r="A120">
        <v>-15</v>
      </c>
      <c r="B120">
        <v>45</v>
      </c>
      <c r="C120">
        <v>90</v>
      </c>
      <c r="E120">
        <v>2.8007600000000004</v>
      </c>
      <c r="G120">
        <f t="shared" si="11"/>
        <v>-15</v>
      </c>
      <c r="H120" s="10">
        <f t="shared" si="11"/>
        <v>45</v>
      </c>
      <c r="I120">
        <f t="shared" si="11"/>
        <v>90</v>
      </c>
      <c r="J120">
        <f t="shared" si="12"/>
        <v>225</v>
      </c>
      <c r="K120">
        <f t="shared" si="13"/>
        <v>-675</v>
      </c>
      <c r="L120">
        <f t="shared" si="14"/>
        <v>-1350</v>
      </c>
      <c r="M120">
        <f t="shared" si="15"/>
        <v>2025</v>
      </c>
      <c r="N120">
        <f t="shared" si="16"/>
        <v>4050</v>
      </c>
      <c r="O120">
        <f t="shared" si="17"/>
        <v>8100</v>
      </c>
      <c r="Q120" s="11">
        <f t="shared" si="19"/>
        <v>2.8699910616394844</v>
      </c>
      <c r="R120" s="12">
        <f t="shared" si="18"/>
        <v>2.4718669803726129E-2</v>
      </c>
    </row>
    <row r="121" spans="1:18" x14ac:dyDescent="0.25">
      <c r="A121">
        <v>12</v>
      </c>
      <c r="B121">
        <v>55</v>
      </c>
      <c r="C121">
        <v>43</v>
      </c>
      <c r="E121">
        <v>1.7564200000000001</v>
      </c>
      <c r="G121">
        <f t="shared" si="11"/>
        <v>12</v>
      </c>
      <c r="H121" s="10">
        <f t="shared" si="11"/>
        <v>55</v>
      </c>
      <c r="I121">
        <f t="shared" si="11"/>
        <v>43</v>
      </c>
      <c r="J121">
        <f t="shared" si="12"/>
        <v>144</v>
      </c>
      <c r="K121">
        <f t="shared" si="13"/>
        <v>660</v>
      </c>
      <c r="L121">
        <f t="shared" si="14"/>
        <v>516</v>
      </c>
      <c r="M121">
        <f t="shared" si="15"/>
        <v>3025</v>
      </c>
      <c r="N121">
        <f t="shared" si="16"/>
        <v>2365</v>
      </c>
      <c r="O121">
        <f t="shared" si="17"/>
        <v>1849</v>
      </c>
      <c r="Q121" s="11">
        <f t="shared" si="19"/>
        <v>1.7591585310791713</v>
      </c>
      <c r="R121" s="12">
        <f t="shared" si="18"/>
        <v>1.5591550307848996E-3</v>
      </c>
    </row>
    <row r="122" spans="1:18" x14ac:dyDescent="0.25">
      <c r="A122">
        <v>12</v>
      </c>
      <c r="B122">
        <v>55</v>
      </c>
      <c r="C122">
        <v>55</v>
      </c>
      <c r="E122">
        <v>2.2487399999999997</v>
      </c>
      <c r="G122">
        <f t="shared" si="11"/>
        <v>12</v>
      </c>
      <c r="H122" s="10">
        <f t="shared" si="11"/>
        <v>55</v>
      </c>
      <c r="I122">
        <f t="shared" si="11"/>
        <v>55</v>
      </c>
      <c r="J122">
        <f t="shared" si="12"/>
        <v>144</v>
      </c>
      <c r="K122">
        <f t="shared" si="13"/>
        <v>660</v>
      </c>
      <c r="L122">
        <f t="shared" si="14"/>
        <v>660</v>
      </c>
      <c r="M122">
        <f t="shared" si="15"/>
        <v>3025</v>
      </c>
      <c r="N122">
        <f t="shared" si="16"/>
        <v>3025</v>
      </c>
      <c r="O122">
        <f t="shared" si="17"/>
        <v>3025</v>
      </c>
      <c r="Q122" s="11">
        <f t="shared" si="19"/>
        <v>2.2687055926608766</v>
      </c>
      <c r="R122" s="12">
        <f t="shared" si="18"/>
        <v>8.8785687366600106E-3</v>
      </c>
    </row>
    <row r="123" spans="1:18" x14ac:dyDescent="0.25">
      <c r="A123">
        <v>12</v>
      </c>
      <c r="B123">
        <v>55</v>
      </c>
      <c r="C123">
        <v>67</v>
      </c>
      <c r="E123">
        <v>2.7870200000000001</v>
      </c>
      <c r="G123">
        <f t="shared" si="11"/>
        <v>12</v>
      </c>
      <c r="H123" s="10">
        <f t="shared" si="11"/>
        <v>55</v>
      </c>
      <c r="I123">
        <f t="shared" si="11"/>
        <v>67</v>
      </c>
      <c r="J123">
        <f t="shared" si="12"/>
        <v>144</v>
      </c>
      <c r="K123">
        <f t="shared" si="13"/>
        <v>660</v>
      </c>
      <c r="L123">
        <f t="shared" si="14"/>
        <v>804</v>
      </c>
      <c r="M123">
        <f t="shared" si="15"/>
        <v>3025</v>
      </c>
      <c r="N123">
        <f t="shared" si="16"/>
        <v>3685</v>
      </c>
      <c r="O123">
        <f t="shared" si="17"/>
        <v>4489</v>
      </c>
      <c r="Q123" s="11">
        <f t="shared" si="19"/>
        <v>2.8189410434258462</v>
      </c>
      <c r="R123" s="12">
        <f t="shared" si="18"/>
        <v>1.1453467655720488E-2</v>
      </c>
    </row>
    <row r="124" spans="1:18" x14ac:dyDescent="0.25">
      <c r="A124">
        <v>12</v>
      </c>
      <c r="B124">
        <v>55</v>
      </c>
      <c r="C124">
        <v>79</v>
      </c>
      <c r="E124">
        <v>3.4590000000000001</v>
      </c>
      <c r="G124">
        <f t="shared" si="11"/>
        <v>12</v>
      </c>
      <c r="H124" s="10">
        <f t="shared" si="11"/>
        <v>55</v>
      </c>
      <c r="I124">
        <f t="shared" si="11"/>
        <v>79</v>
      </c>
      <c r="J124">
        <f t="shared" si="12"/>
        <v>144</v>
      </c>
      <c r="K124">
        <f t="shared" si="13"/>
        <v>660</v>
      </c>
      <c r="L124">
        <f t="shared" si="14"/>
        <v>948</v>
      </c>
      <c r="M124">
        <f t="shared" si="15"/>
        <v>3025</v>
      </c>
      <c r="N124">
        <f t="shared" si="16"/>
        <v>4345</v>
      </c>
      <c r="O124">
        <f t="shared" si="17"/>
        <v>6241</v>
      </c>
      <c r="Q124" s="11">
        <f t="shared" si="19"/>
        <v>3.4098648833740808</v>
      </c>
      <c r="R124" s="12">
        <f t="shared" si="18"/>
        <v>-1.420500625207265E-2</v>
      </c>
    </row>
    <row r="125" spans="1:18" x14ac:dyDescent="0.25">
      <c r="A125">
        <v>7</v>
      </c>
      <c r="B125">
        <v>55</v>
      </c>
      <c r="C125">
        <v>43</v>
      </c>
      <c r="E125">
        <v>1.7599100000000001</v>
      </c>
      <c r="G125">
        <f t="shared" si="11"/>
        <v>7</v>
      </c>
      <c r="H125" s="10">
        <f t="shared" si="11"/>
        <v>55</v>
      </c>
      <c r="I125">
        <f t="shared" si="11"/>
        <v>43</v>
      </c>
      <c r="J125">
        <f t="shared" si="12"/>
        <v>49</v>
      </c>
      <c r="K125">
        <f t="shared" si="13"/>
        <v>385</v>
      </c>
      <c r="L125">
        <f t="shared" si="14"/>
        <v>301</v>
      </c>
      <c r="M125">
        <f t="shared" si="15"/>
        <v>3025</v>
      </c>
      <c r="N125">
        <f t="shared" si="16"/>
        <v>2365</v>
      </c>
      <c r="O125">
        <f t="shared" si="17"/>
        <v>1849</v>
      </c>
      <c r="Q125" s="11">
        <f t="shared" si="19"/>
        <v>1.7348491259893357</v>
      </c>
      <c r="R125" s="12">
        <f t="shared" si="18"/>
        <v>-1.4239861135321901E-2</v>
      </c>
    </row>
    <row r="126" spans="1:18" x14ac:dyDescent="0.25">
      <c r="A126">
        <v>7</v>
      </c>
      <c r="B126">
        <v>55</v>
      </c>
      <c r="C126">
        <v>55</v>
      </c>
      <c r="E126">
        <v>2.2450199999999998</v>
      </c>
      <c r="G126">
        <f t="shared" si="11"/>
        <v>7</v>
      </c>
      <c r="H126" s="10">
        <f t="shared" si="11"/>
        <v>55</v>
      </c>
      <c r="I126">
        <f t="shared" si="11"/>
        <v>55</v>
      </c>
      <c r="J126">
        <f t="shared" si="12"/>
        <v>49</v>
      </c>
      <c r="K126">
        <f t="shared" si="13"/>
        <v>385</v>
      </c>
      <c r="L126">
        <f t="shared" si="14"/>
        <v>385</v>
      </c>
      <c r="M126">
        <f t="shared" si="15"/>
        <v>3025</v>
      </c>
      <c r="N126">
        <f t="shared" si="16"/>
        <v>3025</v>
      </c>
      <c r="O126">
        <f t="shared" si="17"/>
        <v>3025</v>
      </c>
      <c r="Q126" s="11">
        <f t="shared" si="19"/>
        <v>2.2296959318337661</v>
      </c>
      <c r="R126" s="12">
        <f t="shared" si="18"/>
        <v>-6.8258047439370981E-3</v>
      </c>
    </row>
    <row r="127" spans="1:18" x14ac:dyDescent="0.25">
      <c r="A127">
        <v>7</v>
      </c>
      <c r="B127">
        <v>55</v>
      </c>
      <c r="C127">
        <v>67</v>
      </c>
      <c r="E127">
        <v>2.7530700000000001</v>
      </c>
      <c r="G127">
        <f t="shared" si="11"/>
        <v>7</v>
      </c>
      <c r="H127" s="10">
        <f t="shared" si="11"/>
        <v>55</v>
      </c>
      <c r="I127">
        <f t="shared" si="11"/>
        <v>67</v>
      </c>
      <c r="J127">
        <f t="shared" si="12"/>
        <v>49</v>
      </c>
      <c r="K127">
        <f t="shared" si="13"/>
        <v>385</v>
      </c>
      <c r="L127">
        <f t="shared" si="14"/>
        <v>469</v>
      </c>
      <c r="M127">
        <f t="shared" si="15"/>
        <v>3025</v>
      </c>
      <c r="N127">
        <f t="shared" si="16"/>
        <v>3685</v>
      </c>
      <c r="O127">
        <f t="shared" si="17"/>
        <v>4489</v>
      </c>
      <c r="Q127" s="11">
        <f t="shared" si="19"/>
        <v>2.7652311268614604</v>
      </c>
      <c r="R127" s="12">
        <f t="shared" si="18"/>
        <v>4.4172966402816908E-3</v>
      </c>
    </row>
    <row r="128" spans="1:18" x14ac:dyDescent="0.25">
      <c r="A128">
        <v>7</v>
      </c>
      <c r="B128">
        <v>55</v>
      </c>
      <c r="C128">
        <v>79</v>
      </c>
      <c r="E128">
        <v>3.40286</v>
      </c>
      <c r="G128">
        <f t="shared" si="11"/>
        <v>7</v>
      </c>
      <c r="H128" s="10">
        <f t="shared" si="11"/>
        <v>55</v>
      </c>
      <c r="I128">
        <f t="shared" si="11"/>
        <v>79</v>
      </c>
      <c r="J128">
        <f t="shared" si="12"/>
        <v>49</v>
      </c>
      <c r="K128">
        <f t="shared" si="13"/>
        <v>385</v>
      </c>
      <c r="L128">
        <f t="shared" si="14"/>
        <v>553</v>
      </c>
      <c r="M128">
        <f t="shared" si="15"/>
        <v>3025</v>
      </c>
      <c r="N128">
        <f t="shared" si="16"/>
        <v>4345</v>
      </c>
      <c r="O128">
        <f t="shared" si="17"/>
        <v>6241</v>
      </c>
      <c r="Q128" s="11">
        <f t="shared" si="19"/>
        <v>3.3414547110724202</v>
      </c>
      <c r="R128" s="12">
        <f t="shared" si="18"/>
        <v>-1.8045199898785079E-2</v>
      </c>
    </row>
    <row r="129" spans="1:18" x14ac:dyDescent="0.25">
      <c r="A129">
        <v>7</v>
      </c>
      <c r="B129">
        <v>55</v>
      </c>
      <c r="C129">
        <v>90</v>
      </c>
      <c r="E129">
        <v>3.7511300000000003</v>
      </c>
      <c r="G129">
        <f t="shared" si="11"/>
        <v>7</v>
      </c>
      <c r="H129" s="10">
        <f t="shared" si="11"/>
        <v>55</v>
      </c>
      <c r="I129">
        <f t="shared" si="11"/>
        <v>90</v>
      </c>
      <c r="J129">
        <f t="shared" si="12"/>
        <v>49</v>
      </c>
      <c r="K129">
        <f t="shared" si="13"/>
        <v>385</v>
      </c>
      <c r="L129">
        <f t="shared" si="14"/>
        <v>630</v>
      </c>
      <c r="M129">
        <f t="shared" si="15"/>
        <v>3025</v>
      </c>
      <c r="N129">
        <f t="shared" si="16"/>
        <v>4950</v>
      </c>
      <c r="O129">
        <f t="shared" si="17"/>
        <v>8100</v>
      </c>
      <c r="Q129" s="11">
        <f t="shared" si="19"/>
        <v>3.9054032829302647</v>
      </c>
      <c r="R129" s="12">
        <f t="shared" si="18"/>
        <v>4.1127149133798196E-2</v>
      </c>
    </row>
    <row r="130" spans="1:18" x14ac:dyDescent="0.25">
      <c r="A130">
        <v>2</v>
      </c>
      <c r="B130">
        <v>55</v>
      </c>
      <c r="C130">
        <v>43</v>
      </c>
      <c r="E130">
        <v>1.70614</v>
      </c>
      <c r="G130">
        <f t="shared" si="11"/>
        <v>2</v>
      </c>
      <c r="H130" s="10">
        <f t="shared" si="11"/>
        <v>55</v>
      </c>
      <c r="I130">
        <f t="shared" si="11"/>
        <v>43</v>
      </c>
      <c r="J130">
        <f t="shared" si="12"/>
        <v>4</v>
      </c>
      <c r="K130">
        <f t="shared" si="13"/>
        <v>110</v>
      </c>
      <c r="L130">
        <f t="shared" si="14"/>
        <v>86</v>
      </c>
      <c r="M130">
        <f t="shared" si="15"/>
        <v>3025</v>
      </c>
      <c r="N130">
        <f t="shared" si="16"/>
        <v>2365</v>
      </c>
      <c r="O130">
        <f t="shared" si="17"/>
        <v>1849</v>
      </c>
      <c r="Q130" s="11">
        <f t="shared" si="19"/>
        <v>1.7035631383361391</v>
      </c>
      <c r="R130" s="12">
        <f t="shared" si="18"/>
        <v>-1.5103459644934419E-3</v>
      </c>
    </row>
    <row r="131" spans="1:18" x14ac:dyDescent="0.25">
      <c r="A131">
        <v>2</v>
      </c>
      <c r="B131">
        <v>55</v>
      </c>
      <c r="C131">
        <v>55</v>
      </c>
      <c r="E131">
        <v>2.1872800000000003</v>
      </c>
      <c r="G131">
        <f t="shared" si="11"/>
        <v>2</v>
      </c>
      <c r="H131" s="10">
        <f t="shared" si="11"/>
        <v>55</v>
      </c>
      <c r="I131">
        <f t="shared" si="11"/>
        <v>55</v>
      </c>
      <c r="J131">
        <f t="shared" si="12"/>
        <v>4</v>
      </c>
      <c r="K131">
        <f t="shared" si="13"/>
        <v>110</v>
      </c>
      <c r="L131">
        <f t="shared" si="14"/>
        <v>110</v>
      </c>
      <c r="M131">
        <f t="shared" si="15"/>
        <v>3025</v>
      </c>
      <c r="N131">
        <f t="shared" si="16"/>
        <v>3025</v>
      </c>
      <c r="O131">
        <f t="shared" si="17"/>
        <v>3025</v>
      </c>
      <c r="Q131" s="11">
        <f t="shared" si="19"/>
        <v>2.1837096884432943</v>
      </c>
      <c r="R131" s="12">
        <f t="shared" si="18"/>
        <v>-1.6323065893283266E-3</v>
      </c>
    </row>
    <row r="132" spans="1:18" x14ac:dyDescent="0.25">
      <c r="A132">
        <v>2</v>
      </c>
      <c r="B132">
        <v>55</v>
      </c>
      <c r="C132">
        <v>67</v>
      </c>
      <c r="E132">
        <v>2.7110100000000004</v>
      </c>
      <c r="G132">
        <f t="shared" si="11"/>
        <v>2</v>
      </c>
      <c r="H132" s="10">
        <f t="shared" si="11"/>
        <v>55</v>
      </c>
      <c r="I132">
        <f t="shared" si="11"/>
        <v>67</v>
      </c>
      <c r="J132">
        <f t="shared" si="12"/>
        <v>4</v>
      </c>
      <c r="K132">
        <f t="shared" si="13"/>
        <v>110</v>
      </c>
      <c r="L132">
        <f t="shared" si="14"/>
        <v>134</v>
      </c>
      <c r="M132">
        <f t="shared" si="15"/>
        <v>3025</v>
      </c>
      <c r="N132">
        <f t="shared" si="16"/>
        <v>3685</v>
      </c>
      <c r="O132">
        <f t="shared" si="17"/>
        <v>4489</v>
      </c>
      <c r="Q132" s="11">
        <f t="shared" si="19"/>
        <v>2.7045446277337146</v>
      </c>
      <c r="R132" s="12">
        <f t="shared" si="18"/>
        <v>-2.3848574023281875E-3</v>
      </c>
    </row>
    <row r="133" spans="1:18" x14ac:dyDescent="0.25">
      <c r="A133">
        <v>2</v>
      </c>
      <c r="B133">
        <v>55</v>
      </c>
      <c r="C133">
        <v>79</v>
      </c>
      <c r="E133">
        <v>3.3153099999999998</v>
      </c>
      <c r="G133">
        <f t="shared" si="11"/>
        <v>2</v>
      </c>
      <c r="H133" s="10">
        <f t="shared" si="11"/>
        <v>55</v>
      </c>
      <c r="I133">
        <f t="shared" si="11"/>
        <v>79</v>
      </c>
      <c r="J133">
        <f t="shared" si="12"/>
        <v>4</v>
      </c>
      <c r="K133">
        <f t="shared" si="13"/>
        <v>110</v>
      </c>
      <c r="L133">
        <f t="shared" si="14"/>
        <v>158</v>
      </c>
      <c r="M133">
        <f t="shared" si="15"/>
        <v>3025</v>
      </c>
      <c r="N133">
        <f t="shared" si="16"/>
        <v>4345</v>
      </c>
      <c r="O133">
        <f t="shared" si="17"/>
        <v>6241</v>
      </c>
      <c r="Q133" s="11">
        <f t="shared" si="19"/>
        <v>3.2660679562073995</v>
      </c>
      <c r="R133" s="12">
        <f t="shared" si="18"/>
        <v>-1.4852922891856335E-2</v>
      </c>
    </row>
    <row r="134" spans="1:18" x14ac:dyDescent="0.25">
      <c r="A134">
        <v>2</v>
      </c>
      <c r="B134">
        <v>55</v>
      </c>
      <c r="C134">
        <v>90</v>
      </c>
      <c r="E134">
        <v>3.7766899999999999</v>
      </c>
      <c r="G134">
        <f t="shared" si="11"/>
        <v>2</v>
      </c>
      <c r="H134" s="10">
        <f t="shared" si="11"/>
        <v>55</v>
      </c>
      <c r="I134">
        <f t="shared" si="11"/>
        <v>90</v>
      </c>
      <c r="J134">
        <f t="shared" si="12"/>
        <v>4</v>
      </c>
      <c r="K134">
        <f t="shared" si="13"/>
        <v>110</v>
      </c>
      <c r="L134">
        <f t="shared" si="14"/>
        <v>180</v>
      </c>
      <c r="M134">
        <f t="shared" si="15"/>
        <v>3025</v>
      </c>
      <c r="N134">
        <f t="shared" si="16"/>
        <v>4950</v>
      </c>
      <c r="O134">
        <f t="shared" si="17"/>
        <v>8100</v>
      </c>
      <c r="Q134" s="11">
        <f t="shared" si="19"/>
        <v>3.8165412936394079</v>
      </c>
      <c r="R134" s="12">
        <f t="shared" si="18"/>
        <v>1.0551910175155488E-2</v>
      </c>
    </row>
    <row r="135" spans="1:18" x14ac:dyDescent="0.25">
      <c r="A135">
        <v>-7</v>
      </c>
      <c r="B135">
        <v>55</v>
      </c>
      <c r="C135">
        <v>55</v>
      </c>
      <c r="E135">
        <v>2.04705</v>
      </c>
      <c r="G135">
        <f t="shared" si="11"/>
        <v>-7</v>
      </c>
      <c r="H135" s="10">
        <f t="shared" si="11"/>
        <v>55</v>
      </c>
      <c r="I135">
        <f t="shared" si="11"/>
        <v>55</v>
      </c>
      <c r="J135">
        <f t="shared" si="12"/>
        <v>49</v>
      </c>
      <c r="K135">
        <f t="shared" si="13"/>
        <v>-385</v>
      </c>
      <c r="L135">
        <f t="shared" si="14"/>
        <v>-385</v>
      </c>
      <c r="M135">
        <f t="shared" si="15"/>
        <v>3025</v>
      </c>
      <c r="N135">
        <f t="shared" si="16"/>
        <v>3025</v>
      </c>
      <c r="O135">
        <f t="shared" si="17"/>
        <v>3025</v>
      </c>
      <c r="Q135" s="11">
        <f t="shared" si="19"/>
        <v>2.0833534622807788</v>
      </c>
      <c r="R135" s="12">
        <f t="shared" si="18"/>
        <v>1.7734526406672401E-2</v>
      </c>
    </row>
    <row r="136" spans="1:18" x14ac:dyDescent="0.25">
      <c r="A136">
        <v>-7</v>
      </c>
      <c r="B136">
        <v>55</v>
      </c>
      <c r="C136">
        <v>67</v>
      </c>
      <c r="E136">
        <v>2.5541199999999997</v>
      </c>
      <c r="G136">
        <f t="shared" si="11"/>
        <v>-7</v>
      </c>
      <c r="H136" s="10">
        <f t="shared" si="11"/>
        <v>55</v>
      </c>
      <c r="I136">
        <f t="shared" si="11"/>
        <v>67</v>
      </c>
      <c r="J136">
        <f t="shared" si="12"/>
        <v>49</v>
      </c>
      <c r="K136">
        <f t="shared" si="13"/>
        <v>-385</v>
      </c>
      <c r="L136">
        <f t="shared" si="14"/>
        <v>-469</v>
      </c>
      <c r="M136">
        <f t="shared" si="15"/>
        <v>3025</v>
      </c>
      <c r="N136">
        <f t="shared" si="16"/>
        <v>3685</v>
      </c>
      <c r="O136">
        <f t="shared" si="17"/>
        <v>4489</v>
      </c>
      <c r="Q136" s="11">
        <f t="shared" si="19"/>
        <v>2.5777279412441039</v>
      </c>
      <c r="R136" s="12">
        <f t="shared" si="18"/>
        <v>9.2430822530281068E-3</v>
      </c>
    </row>
    <row r="137" spans="1:18" x14ac:dyDescent="0.25">
      <c r="A137">
        <v>-7</v>
      </c>
      <c r="B137">
        <v>55</v>
      </c>
      <c r="C137">
        <v>79</v>
      </c>
      <c r="E137">
        <v>3.12887</v>
      </c>
      <c r="G137">
        <f t="shared" si="11"/>
        <v>-7</v>
      </c>
      <c r="H137" s="10">
        <f t="shared" si="11"/>
        <v>55</v>
      </c>
      <c r="I137">
        <f t="shared" si="11"/>
        <v>79</v>
      </c>
      <c r="J137">
        <f t="shared" si="12"/>
        <v>49</v>
      </c>
      <c r="K137">
        <f t="shared" si="13"/>
        <v>-385</v>
      </c>
      <c r="L137">
        <f t="shared" si="14"/>
        <v>-553</v>
      </c>
      <c r="M137">
        <f t="shared" si="15"/>
        <v>3025</v>
      </c>
      <c r="N137">
        <f t="shared" si="16"/>
        <v>4345</v>
      </c>
      <c r="O137">
        <f t="shared" si="17"/>
        <v>6241</v>
      </c>
      <c r="Q137" s="11">
        <f t="shared" si="19"/>
        <v>3.112790809390694</v>
      </c>
      <c r="R137" s="12">
        <f t="shared" si="18"/>
        <v>-5.1389768860023175E-3</v>
      </c>
    </row>
    <row r="138" spans="1:18" x14ac:dyDescent="0.25">
      <c r="A138">
        <v>-7</v>
      </c>
      <c r="B138">
        <v>55</v>
      </c>
      <c r="C138">
        <v>90</v>
      </c>
      <c r="E138">
        <v>3.75474</v>
      </c>
      <c r="G138">
        <f t="shared" si="11"/>
        <v>-7</v>
      </c>
      <c r="H138" s="10">
        <f t="shared" si="11"/>
        <v>55</v>
      </c>
      <c r="I138">
        <f t="shared" si="11"/>
        <v>90</v>
      </c>
      <c r="J138">
        <f t="shared" si="12"/>
        <v>49</v>
      </c>
      <c r="K138">
        <f t="shared" si="13"/>
        <v>-385</v>
      </c>
      <c r="L138">
        <f t="shared" si="14"/>
        <v>-630</v>
      </c>
      <c r="M138">
        <f t="shared" si="15"/>
        <v>3025</v>
      </c>
      <c r="N138">
        <f t="shared" si="16"/>
        <v>4950</v>
      </c>
      <c r="O138">
        <f t="shared" si="17"/>
        <v>8100</v>
      </c>
      <c r="Q138" s="11">
        <f t="shared" si="19"/>
        <v>3.6390087248561995</v>
      </c>
      <c r="R138" s="12">
        <f t="shared" si="18"/>
        <v>-3.0822713461864319E-2</v>
      </c>
    </row>
    <row r="139" spans="1:18" x14ac:dyDescent="0.25">
      <c r="A139">
        <v>-15</v>
      </c>
      <c r="B139">
        <v>55</v>
      </c>
      <c r="C139">
        <v>67</v>
      </c>
      <c r="E139">
        <v>2.3971399999999998</v>
      </c>
      <c r="G139">
        <f t="shared" si="11"/>
        <v>-15</v>
      </c>
      <c r="H139" s="10">
        <f t="shared" si="11"/>
        <v>55</v>
      </c>
      <c r="I139">
        <f t="shared" si="11"/>
        <v>67</v>
      </c>
      <c r="J139">
        <f t="shared" si="12"/>
        <v>225</v>
      </c>
      <c r="K139">
        <f t="shared" si="13"/>
        <v>-825</v>
      </c>
      <c r="L139">
        <f t="shared" si="14"/>
        <v>-1005</v>
      </c>
      <c r="M139">
        <f t="shared" si="15"/>
        <v>3025</v>
      </c>
      <c r="N139">
        <f t="shared" si="16"/>
        <v>3685</v>
      </c>
      <c r="O139">
        <f t="shared" si="17"/>
        <v>4489</v>
      </c>
      <c r="Q139" s="11">
        <f t="shared" si="19"/>
        <v>2.4460256931254429</v>
      </c>
      <c r="R139" s="12">
        <f t="shared" si="18"/>
        <v>2.0393340866800901E-2</v>
      </c>
    </row>
    <row r="140" spans="1:18" x14ac:dyDescent="0.25">
      <c r="A140">
        <v>-15</v>
      </c>
      <c r="B140">
        <v>55</v>
      </c>
      <c r="C140">
        <v>79</v>
      </c>
      <c r="E140">
        <v>2.85026</v>
      </c>
      <c r="G140">
        <f t="shared" si="11"/>
        <v>-15</v>
      </c>
      <c r="H140" s="10">
        <f t="shared" si="11"/>
        <v>55</v>
      </c>
      <c r="I140">
        <f t="shared" si="11"/>
        <v>79</v>
      </c>
      <c r="J140">
        <f t="shared" si="12"/>
        <v>225</v>
      </c>
      <c r="K140">
        <f t="shared" si="13"/>
        <v>-825</v>
      </c>
      <c r="L140">
        <f t="shared" si="14"/>
        <v>-1185</v>
      </c>
      <c r="M140">
        <f t="shared" si="15"/>
        <v>3025</v>
      </c>
      <c r="N140">
        <f t="shared" si="16"/>
        <v>4345</v>
      </c>
      <c r="O140">
        <f t="shared" si="17"/>
        <v>6241</v>
      </c>
      <c r="Q140" s="11">
        <f t="shared" si="19"/>
        <v>2.9575681520923927</v>
      </c>
      <c r="R140" s="12">
        <f t="shared" si="18"/>
        <v>3.7648548585880813E-2</v>
      </c>
    </row>
    <row r="141" spans="1:18" x14ac:dyDescent="0.25">
      <c r="A141">
        <v>-15</v>
      </c>
      <c r="B141">
        <v>55</v>
      </c>
      <c r="C141">
        <v>90</v>
      </c>
      <c r="E141">
        <v>3.4872899999999998</v>
      </c>
      <c r="G141">
        <f t="shared" si="11"/>
        <v>-15</v>
      </c>
      <c r="H141" s="10">
        <f t="shared" si="11"/>
        <v>55</v>
      </c>
      <c r="I141">
        <f t="shared" si="11"/>
        <v>90</v>
      </c>
      <c r="J141">
        <f t="shared" si="12"/>
        <v>225</v>
      </c>
      <c r="K141">
        <f t="shared" si="13"/>
        <v>-825</v>
      </c>
      <c r="L141">
        <f t="shared" si="14"/>
        <v>-1350</v>
      </c>
      <c r="M141">
        <f t="shared" si="15"/>
        <v>3025</v>
      </c>
      <c r="N141">
        <f t="shared" si="16"/>
        <v>4950</v>
      </c>
      <c r="O141">
        <f t="shared" si="17"/>
        <v>8100</v>
      </c>
      <c r="Q141" s="11">
        <f t="shared" si="19"/>
        <v>3.4622256924765615</v>
      </c>
      <c r="R141" s="12">
        <f t="shared" si="18"/>
        <v>-7.1873310001285369E-3</v>
      </c>
    </row>
    <row r="142" spans="1:18" x14ac:dyDescent="0.25">
      <c r="A142">
        <v>-25</v>
      </c>
      <c r="B142">
        <v>55</v>
      </c>
      <c r="C142">
        <v>79</v>
      </c>
      <c r="E142">
        <v>2.7757399999999999</v>
      </c>
      <c r="G142">
        <f t="shared" si="11"/>
        <v>-25</v>
      </c>
      <c r="H142" s="10">
        <f t="shared" si="11"/>
        <v>55</v>
      </c>
      <c r="I142">
        <f t="shared" si="11"/>
        <v>79</v>
      </c>
      <c r="J142">
        <f t="shared" si="12"/>
        <v>625</v>
      </c>
      <c r="K142">
        <f t="shared" si="13"/>
        <v>-1375</v>
      </c>
      <c r="L142">
        <f t="shared" si="14"/>
        <v>-1975</v>
      </c>
      <c r="M142">
        <f t="shared" si="15"/>
        <v>3025</v>
      </c>
      <c r="N142">
        <f t="shared" si="16"/>
        <v>4345</v>
      </c>
      <c r="O142">
        <f t="shared" si="17"/>
        <v>6241</v>
      </c>
      <c r="Q142" s="11">
        <f t="shared" si="19"/>
        <v>2.7384241332414194</v>
      </c>
      <c r="R142" s="12">
        <f t="shared" si="18"/>
        <v>-1.3443574239150805E-2</v>
      </c>
    </row>
    <row r="143" spans="1:18" x14ac:dyDescent="0.25">
      <c r="A143">
        <v>-25</v>
      </c>
      <c r="B143">
        <v>55</v>
      </c>
      <c r="C143">
        <v>85</v>
      </c>
      <c r="E143">
        <v>2.9896400000000001</v>
      </c>
      <c r="G143">
        <f t="shared" si="11"/>
        <v>-25</v>
      </c>
      <c r="H143" s="10">
        <f t="shared" si="11"/>
        <v>55</v>
      </c>
      <c r="I143">
        <f t="shared" si="11"/>
        <v>85</v>
      </c>
      <c r="J143">
        <f t="shared" si="12"/>
        <v>625</v>
      </c>
      <c r="K143">
        <f t="shared" si="13"/>
        <v>-1375</v>
      </c>
      <c r="L143">
        <f t="shared" si="14"/>
        <v>-2125</v>
      </c>
      <c r="M143">
        <f t="shared" si="15"/>
        <v>3025</v>
      </c>
      <c r="N143">
        <f t="shared" si="16"/>
        <v>4675</v>
      </c>
      <c r="O143">
        <f t="shared" si="17"/>
        <v>7225</v>
      </c>
      <c r="Q143" s="11">
        <f t="shared" si="19"/>
        <v>2.9947532529313436</v>
      </c>
      <c r="R143" s="12">
        <f t="shared" si="18"/>
        <v>1.7103239625317998E-3</v>
      </c>
    </row>
    <row r="144" spans="1:18" x14ac:dyDescent="0.25">
      <c r="A144">
        <v>-25</v>
      </c>
      <c r="B144">
        <v>55</v>
      </c>
      <c r="C144">
        <v>90</v>
      </c>
      <c r="E144">
        <v>3.29129</v>
      </c>
      <c r="G144">
        <f t="shared" si="11"/>
        <v>-25</v>
      </c>
      <c r="H144" s="10">
        <f t="shared" si="11"/>
        <v>55</v>
      </c>
      <c r="I144">
        <f t="shared" si="11"/>
        <v>90</v>
      </c>
      <c r="J144">
        <f t="shared" si="12"/>
        <v>625</v>
      </c>
      <c r="K144">
        <f t="shared" si="13"/>
        <v>-1375</v>
      </c>
      <c r="L144">
        <f t="shared" si="14"/>
        <v>-2250</v>
      </c>
      <c r="M144">
        <f t="shared" si="15"/>
        <v>3025</v>
      </c>
      <c r="N144">
        <f t="shared" si="16"/>
        <v>4950</v>
      </c>
      <c r="O144">
        <f t="shared" si="17"/>
        <v>8100</v>
      </c>
      <c r="Q144" s="11">
        <f t="shared" si="19"/>
        <v>3.2161312047739177</v>
      </c>
      <c r="R144" s="12">
        <f t="shared" si="18"/>
        <v>-2.283566480804863E-2</v>
      </c>
    </row>
    <row r="147" spans="1:18" x14ac:dyDescent="0.25">
      <c r="A147" t="s">
        <v>28</v>
      </c>
      <c r="G147" s="4" t="s">
        <v>1</v>
      </c>
      <c r="H147" s="4" t="s">
        <v>2</v>
      </c>
      <c r="I147" s="4" t="s">
        <v>3</v>
      </c>
      <c r="J147" s="4" t="s">
        <v>4</v>
      </c>
      <c r="K147" s="4" t="s">
        <v>5</v>
      </c>
      <c r="L147" s="4" t="s">
        <v>6</v>
      </c>
      <c r="M147" s="4" t="s">
        <v>7</v>
      </c>
      <c r="N147" s="4" t="s">
        <v>8</v>
      </c>
      <c r="O147" s="4" t="s">
        <v>9</v>
      </c>
      <c r="P147" s="4" t="s">
        <v>10</v>
      </c>
    </row>
    <row r="148" spans="1:18" x14ac:dyDescent="0.25">
      <c r="A148" s="1"/>
      <c r="C148" s="1"/>
      <c r="D148" s="1"/>
      <c r="E148" s="1"/>
      <c r="F148" s="1"/>
      <c r="G148" s="4">
        <f t="array" ref="G148:P148">LINEST(E150:E217,G150:O217)</f>
        <v>-0.1491666898250541</v>
      </c>
      <c r="H148" s="4">
        <v>-9.4528985990313293E-3</v>
      </c>
      <c r="I148" s="4">
        <v>9.5998489759117674E-3</v>
      </c>
      <c r="J148" s="4">
        <v>-0.14158551186206514</v>
      </c>
      <c r="K148" s="4">
        <v>6.1282968125776901E-3</v>
      </c>
      <c r="L148" s="4">
        <v>9.0758279061136284E-3</v>
      </c>
      <c r="M148" s="4">
        <v>12.077384305110382</v>
      </c>
      <c r="N148" s="4">
        <v>-0.27225823477668271</v>
      </c>
      <c r="O148" s="4">
        <v>-1.2696511922303593</v>
      </c>
      <c r="P148" s="4">
        <v>-3.037670749531749</v>
      </c>
    </row>
    <row r="149" spans="1:18" ht="45" x14ac:dyDescent="0.25">
      <c r="A149" s="5" t="s">
        <v>11</v>
      </c>
      <c r="B149" s="5" t="s">
        <v>12</v>
      </c>
      <c r="C149" s="5" t="s">
        <v>63</v>
      </c>
      <c r="E149" s="7" t="s">
        <v>13</v>
      </c>
      <c r="F149" s="3"/>
      <c r="G149" s="8" t="s">
        <v>17</v>
      </c>
      <c r="H149" s="8" t="s">
        <v>18</v>
      </c>
      <c r="I149" s="8" t="s">
        <v>0</v>
      </c>
      <c r="J149" s="8" t="s">
        <v>19</v>
      </c>
      <c r="K149" s="8" t="s">
        <v>20</v>
      </c>
      <c r="L149" s="8" t="s">
        <v>21</v>
      </c>
      <c r="M149" s="8" t="s">
        <v>22</v>
      </c>
      <c r="N149" s="8" t="s">
        <v>23</v>
      </c>
      <c r="O149" s="8" t="s">
        <v>24</v>
      </c>
      <c r="P149" s="3"/>
      <c r="Q149" s="9" t="s">
        <v>16</v>
      </c>
      <c r="R149" s="9" t="s">
        <v>15</v>
      </c>
    </row>
    <row r="150" spans="1:18" x14ac:dyDescent="0.25">
      <c r="A150">
        <v>12</v>
      </c>
      <c r="B150">
        <v>35</v>
      </c>
      <c r="C150">
        <f>E4</f>
        <v>5.8106371999999995</v>
      </c>
      <c r="E150">
        <v>43</v>
      </c>
      <c r="F150" s="2"/>
      <c r="G150">
        <f t="shared" ref="G150:I217" si="20">A150</f>
        <v>12</v>
      </c>
      <c r="H150" s="10">
        <f t="shared" si="20"/>
        <v>35</v>
      </c>
      <c r="I150">
        <f t="shared" si="20"/>
        <v>5.8106371999999995</v>
      </c>
      <c r="J150">
        <f t="shared" ref="J150:J217" si="21">G150^2</f>
        <v>144</v>
      </c>
      <c r="K150">
        <f t="shared" ref="K150:K217" si="22">G150*H150</f>
        <v>420</v>
      </c>
      <c r="L150">
        <f t="shared" ref="L150:L217" si="23">G150*I150</f>
        <v>69.727646399999998</v>
      </c>
      <c r="M150">
        <f t="shared" ref="M150:M217" si="24">H150^2</f>
        <v>1225</v>
      </c>
      <c r="N150">
        <f t="shared" ref="N150:N217" si="25">H150*I150</f>
        <v>203.37230199999999</v>
      </c>
      <c r="O150">
        <f t="shared" ref="O150:O217" si="26">I150^2</f>
        <v>33.763504670023835</v>
      </c>
      <c r="Q150" s="11">
        <f>$P$148+$O$148*G150+$N$148*H150+$M$148*I150+$L$148*J150+$K$148*K150+$J$148*L150+$I$148*M150+$H$148*N150+$G$148*O150</f>
        <v>41.184121640086602</v>
      </c>
      <c r="R150" s="12">
        <f t="shared" ref="R150:R217" si="27">(Q150-E150)/E150</f>
        <v>-4.2229729300311589E-2</v>
      </c>
    </row>
    <row r="151" spans="1:18" x14ac:dyDescent="0.25">
      <c r="A151">
        <v>12</v>
      </c>
      <c r="B151">
        <v>35</v>
      </c>
      <c r="C151">
        <f t="shared" ref="C151:C214" si="28">E5</f>
        <v>7.3383707999999999</v>
      </c>
      <c r="E151">
        <v>55</v>
      </c>
      <c r="F151" s="2"/>
      <c r="G151">
        <f t="shared" si="20"/>
        <v>12</v>
      </c>
      <c r="H151" s="10">
        <f t="shared" si="20"/>
        <v>35</v>
      </c>
      <c r="I151">
        <f t="shared" si="20"/>
        <v>7.3383707999999999</v>
      </c>
      <c r="J151">
        <f t="shared" si="21"/>
        <v>144</v>
      </c>
      <c r="K151">
        <f t="shared" si="22"/>
        <v>420</v>
      </c>
      <c r="L151">
        <f t="shared" si="23"/>
        <v>88.060449599999998</v>
      </c>
      <c r="M151">
        <f t="shared" si="24"/>
        <v>1225</v>
      </c>
      <c r="N151">
        <f t="shared" si="25"/>
        <v>256.84297800000002</v>
      </c>
      <c r="O151">
        <f t="shared" si="26"/>
        <v>53.851685998292638</v>
      </c>
      <c r="Q151" s="11">
        <f t="shared" ref="Q151:Q217" si="29">$P$148+$O$148*G151+$N$148*H151+$M$148*I151+$L$148*J151+$K$148*K151+$J$148*L151+$I$148*M151+$H$148*N151+$G$148*O151</f>
        <v>53.537547726584918</v>
      </c>
      <c r="R151" s="12">
        <f t="shared" si="27"/>
        <v>-2.6590041334819663E-2</v>
      </c>
    </row>
    <row r="152" spans="1:18" x14ac:dyDescent="0.25">
      <c r="A152">
        <v>12</v>
      </c>
      <c r="B152">
        <v>35</v>
      </c>
      <c r="C152">
        <f t="shared" si="28"/>
        <v>8.7711787999999995</v>
      </c>
      <c r="E152">
        <v>67</v>
      </c>
      <c r="F152" s="2"/>
      <c r="G152">
        <f t="shared" si="20"/>
        <v>12</v>
      </c>
      <c r="H152" s="10">
        <f t="shared" si="20"/>
        <v>35</v>
      </c>
      <c r="I152">
        <f t="shared" si="20"/>
        <v>8.7711787999999995</v>
      </c>
      <c r="J152">
        <f t="shared" si="21"/>
        <v>144</v>
      </c>
      <c r="K152">
        <f t="shared" si="22"/>
        <v>420</v>
      </c>
      <c r="L152">
        <f t="shared" si="23"/>
        <v>105.25414559999999</v>
      </c>
      <c r="M152">
        <f t="shared" si="24"/>
        <v>1225</v>
      </c>
      <c r="N152">
        <f t="shared" si="25"/>
        <v>306.99125799999996</v>
      </c>
      <c r="O152">
        <f t="shared" si="26"/>
        <v>76.933577541569434</v>
      </c>
      <c r="Q152" s="11">
        <f t="shared" si="29"/>
        <v>64.490646366893444</v>
      </c>
      <c r="R152" s="12">
        <f t="shared" si="27"/>
        <v>-3.7453039300097857E-2</v>
      </c>
    </row>
    <row r="153" spans="1:18" x14ac:dyDescent="0.25">
      <c r="A153">
        <v>12</v>
      </c>
      <c r="B153">
        <v>35</v>
      </c>
      <c r="C153">
        <f t="shared" si="28"/>
        <v>10.2094516</v>
      </c>
      <c r="E153">
        <v>79</v>
      </c>
      <c r="F153" s="2"/>
      <c r="G153">
        <f t="shared" si="20"/>
        <v>12</v>
      </c>
      <c r="H153" s="10">
        <f t="shared" si="20"/>
        <v>35</v>
      </c>
      <c r="I153">
        <f t="shared" si="20"/>
        <v>10.2094516</v>
      </c>
      <c r="J153">
        <f t="shared" si="21"/>
        <v>144</v>
      </c>
      <c r="K153">
        <f t="shared" si="22"/>
        <v>420</v>
      </c>
      <c r="L153">
        <f t="shared" si="23"/>
        <v>122.51341919999999</v>
      </c>
      <c r="M153">
        <f t="shared" si="24"/>
        <v>1225</v>
      </c>
      <c r="N153">
        <f t="shared" si="25"/>
        <v>357.330806</v>
      </c>
      <c r="O153">
        <f t="shared" si="26"/>
        <v>104.23290197274255</v>
      </c>
      <c r="Q153" s="11">
        <f t="shared" si="29"/>
        <v>74.869552118433774</v>
      </c>
      <c r="R153" s="12">
        <f t="shared" si="27"/>
        <v>-5.2284150399572488E-2</v>
      </c>
    </row>
    <row r="154" spans="1:18" x14ac:dyDescent="0.25">
      <c r="A154">
        <v>7</v>
      </c>
      <c r="B154">
        <v>35</v>
      </c>
      <c r="C154">
        <f t="shared" si="28"/>
        <v>5.0379199999999997</v>
      </c>
      <c r="E154">
        <v>43</v>
      </c>
      <c r="F154" s="2"/>
      <c r="G154">
        <f t="shared" si="20"/>
        <v>7</v>
      </c>
      <c r="H154" s="10">
        <f t="shared" si="20"/>
        <v>35</v>
      </c>
      <c r="I154">
        <f t="shared" si="20"/>
        <v>5.0379199999999997</v>
      </c>
      <c r="J154">
        <f t="shared" si="21"/>
        <v>49</v>
      </c>
      <c r="K154">
        <f t="shared" si="22"/>
        <v>245</v>
      </c>
      <c r="L154">
        <f t="shared" si="23"/>
        <v>35.265439999999998</v>
      </c>
      <c r="M154">
        <f t="shared" si="24"/>
        <v>1225</v>
      </c>
      <c r="N154">
        <f t="shared" si="25"/>
        <v>176.3272</v>
      </c>
      <c r="O154">
        <f t="shared" si="26"/>
        <v>25.380637926399999</v>
      </c>
      <c r="Q154" s="11">
        <f t="shared" si="29"/>
        <v>42.65076764762518</v>
      </c>
      <c r="R154" s="12">
        <f t="shared" si="27"/>
        <v>-8.1216826133679015E-3</v>
      </c>
    </row>
    <row r="155" spans="1:18" x14ac:dyDescent="0.25">
      <c r="A155">
        <v>7</v>
      </c>
      <c r="B155">
        <v>35</v>
      </c>
      <c r="C155">
        <f t="shared" si="28"/>
        <v>6.5971911999999993</v>
      </c>
      <c r="E155">
        <v>55</v>
      </c>
      <c r="F155" s="2"/>
      <c r="G155">
        <f t="shared" si="20"/>
        <v>7</v>
      </c>
      <c r="H155" s="10">
        <f t="shared" si="20"/>
        <v>35</v>
      </c>
      <c r="I155">
        <f t="shared" si="20"/>
        <v>6.5971911999999993</v>
      </c>
      <c r="J155">
        <f t="shared" si="21"/>
        <v>49</v>
      </c>
      <c r="K155">
        <f t="shared" si="22"/>
        <v>245</v>
      </c>
      <c r="L155">
        <f t="shared" si="23"/>
        <v>46.180338399999997</v>
      </c>
      <c r="M155">
        <f t="shared" si="24"/>
        <v>1225</v>
      </c>
      <c r="N155">
        <f t="shared" si="25"/>
        <v>230.90169199999997</v>
      </c>
      <c r="O155">
        <f t="shared" si="26"/>
        <v>43.522931729357431</v>
      </c>
      <c r="Q155" s="11">
        <f t="shared" si="29"/>
        <v>56.715180637638959</v>
      </c>
      <c r="R155" s="12">
        <f t="shared" si="27"/>
        <v>3.118510250252652E-2</v>
      </c>
    </row>
    <row r="156" spans="1:18" x14ac:dyDescent="0.25">
      <c r="A156">
        <v>7</v>
      </c>
      <c r="B156">
        <v>35</v>
      </c>
      <c r="C156">
        <f t="shared" si="28"/>
        <v>7.9689020000000008</v>
      </c>
      <c r="E156">
        <v>67</v>
      </c>
      <c r="F156" s="2"/>
      <c r="G156">
        <f t="shared" si="20"/>
        <v>7</v>
      </c>
      <c r="H156" s="10">
        <f t="shared" si="20"/>
        <v>35</v>
      </c>
      <c r="I156">
        <f t="shared" si="20"/>
        <v>7.9689020000000008</v>
      </c>
      <c r="J156">
        <f t="shared" si="21"/>
        <v>49</v>
      </c>
      <c r="K156">
        <f t="shared" si="22"/>
        <v>245</v>
      </c>
      <c r="L156">
        <f t="shared" si="23"/>
        <v>55.782314000000007</v>
      </c>
      <c r="M156">
        <f t="shared" si="24"/>
        <v>1225</v>
      </c>
      <c r="N156">
        <f t="shared" si="25"/>
        <v>278.91157000000004</v>
      </c>
      <c r="O156">
        <f t="shared" si="26"/>
        <v>63.503399085604016</v>
      </c>
      <c r="Q156" s="11">
        <f t="shared" si="29"/>
        <v>68.48810580932161</v>
      </c>
      <c r="R156" s="12">
        <f t="shared" si="27"/>
        <v>2.2210534467486713E-2</v>
      </c>
    </row>
    <row r="157" spans="1:18" x14ac:dyDescent="0.25">
      <c r="A157">
        <v>7</v>
      </c>
      <c r="B157">
        <v>35</v>
      </c>
      <c r="C157">
        <f t="shared" si="28"/>
        <v>9.3228843999999995</v>
      </c>
      <c r="E157">
        <v>79</v>
      </c>
      <c r="F157" s="2"/>
      <c r="G157">
        <f t="shared" si="20"/>
        <v>7</v>
      </c>
      <c r="H157" s="10">
        <f t="shared" si="20"/>
        <v>35</v>
      </c>
      <c r="I157">
        <f t="shared" si="20"/>
        <v>9.3228843999999995</v>
      </c>
      <c r="J157">
        <f t="shared" si="21"/>
        <v>49</v>
      </c>
      <c r="K157">
        <f t="shared" si="22"/>
        <v>245</v>
      </c>
      <c r="L157">
        <f t="shared" si="23"/>
        <v>65.260190800000004</v>
      </c>
      <c r="M157">
        <f t="shared" si="24"/>
        <v>1225</v>
      </c>
      <c r="N157">
        <f t="shared" si="25"/>
        <v>326.30095399999999</v>
      </c>
      <c r="O157">
        <f t="shared" si="26"/>
        <v>86.916173535763349</v>
      </c>
      <c r="Q157" s="11">
        <f t="shared" si="29"/>
        <v>79.558368452410264</v>
      </c>
      <c r="R157" s="12">
        <f t="shared" si="27"/>
        <v>7.0679550938008056E-3</v>
      </c>
    </row>
    <row r="158" spans="1:18" x14ac:dyDescent="0.25">
      <c r="A158">
        <v>7</v>
      </c>
      <c r="B158">
        <v>35</v>
      </c>
      <c r="C158">
        <f t="shared" si="28"/>
        <v>10.737163600000001</v>
      </c>
      <c r="E158">
        <v>90</v>
      </c>
      <c r="F158" s="2"/>
      <c r="G158">
        <f t="shared" si="20"/>
        <v>7</v>
      </c>
      <c r="H158" s="10">
        <f t="shared" si="20"/>
        <v>35</v>
      </c>
      <c r="I158">
        <f t="shared" si="20"/>
        <v>10.737163600000001</v>
      </c>
      <c r="J158">
        <f t="shared" si="21"/>
        <v>49</v>
      </c>
      <c r="K158">
        <f t="shared" si="22"/>
        <v>245</v>
      </c>
      <c r="L158">
        <f t="shared" si="23"/>
        <v>75.160145200000002</v>
      </c>
      <c r="M158">
        <f t="shared" si="24"/>
        <v>1225</v>
      </c>
      <c r="N158">
        <f t="shared" si="25"/>
        <v>375.800726</v>
      </c>
      <c r="O158">
        <f t="shared" si="26"/>
        <v>115.28668217316498</v>
      </c>
      <c r="Q158" s="11">
        <f t="shared" si="29"/>
        <v>90.537620566913773</v>
      </c>
      <c r="R158" s="12">
        <f t="shared" si="27"/>
        <v>5.9735618545974801E-3</v>
      </c>
    </row>
    <row r="159" spans="1:18" x14ac:dyDescent="0.25">
      <c r="A159">
        <v>2</v>
      </c>
      <c r="B159">
        <v>35</v>
      </c>
      <c r="C159">
        <f t="shared" si="28"/>
        <v>4.3085072000000002</v>
      </c>
      <c r="E159">
        <v>43</v>
      </c>
      <c r="F159" s="2"/>
      <c r="G159">
        <f t="shared" si="20"/>
        <v>2</v>
      </c>
      <c r="H159" s="10">
        <f t="shared" si="20"/>
        <v>35</v>
      </c>
      <c r="I159">
        <f t="shared" si="20"/>
        <v>4.3085072000000002</v>
      </c>
      <c r="J159">
        <f t="shared" si="21"/>
        <v>4</v>
      </c>
      <c r="K159">
        <f t="shared" si="22"/>
        <v>70</v>
      </c>
      <c r="L159">
        <f t="shared" si="23"/>
        <v>8.6170144000000004</v>
      </c>
      <c r="M159">
        <f t="shared" si="24"/>
        <v>1225</v>
      </c>
      <c r="N159">
        <f t="shared" si="25"/>
        <v>150.797752</v>
      </c>
      <c r="O159">
        <f t="shared" si="26"/>
        <v>18.563234292451842</v>
      </c>
      <c r="Q159" s="11">
        <f t="shared" si="29"/>
        <v>43.740048503538894</v>
      </c>
      <c r="R159" s="12">
        <f t="shared" si="27"/>
        <v>1.7210430314858E-2</v>
      </c>
    </row>
    <row r="160" spans="1:18" x14ac:dyDescent="0.25">
      <c r="A160">
        <v>2</v>
      </c>
      <c r="B160">
        <v>35</v>
      </c>
      <c r="C160">
        <f t="shared" si="28"/>
        <v>5.4867971999999998</v>
      </c>
      <c r="E160">
        <v>55</v>
      </c>
      <c r="F160" s="2"/>
      <c r="G160">
        <f t="shared" si="20"/>
        <v>2</v>
      </c>
      <c r="H160" s="10">
        <f t="shared" si="20"/>
        <v>35</v>
      </c>
      <c r="I160">
        <f t="shared" si="20"/>
        <v>5.4867971999999998</v>
      </c>
      <c r="J160">
        <f t="shared" si="21"/>
        <v>4</v>
      </c>
      <c r="K160">
        <f t="shared" si="22"/>
        <v>70</v>
      </c>
      <c r="L160">
        <f t="shared" si="23"/>
        <v>10.9735944</v>
      </c>
      <c r="M160">
        <f t="shared" si="24"/>
        <v>1225</v>
      </c>
      <c r="N160">
        <f t="shared" si="25"/>
        <v>192.037902</v>
      </c>
      <c r="O160">
        <f t="shared" si="26"/>
        <v>30.104943513927839</v>
      </c>
      <c r="Q160" s="11">
        <f t="shared" si="29"/>
        <v>55.52557455521378</v>
      </c>
      <c r="R160" s="12">
        <f t="shared" si="27"/>
        <v>9.5559010038869015E-3</v>
      </c>
    </row>
    <row r="161" spans="1:18" x14ac:dyDescent="0.25">
      <c r="A161">
        <v>2</v>
      </c>
      <c r="B161">
        <v>35</v>
      </c>
      <c r="C161">
        <f t="shared" si="28"/>
        <v>6.7929396000000004</v>
      </c>
      <c r="E161">
        <v>67</v>
      </c>
      <c r="F161" s="2"/>
      <c r="G161">
        <f t="shared" si="20"/>
        <v>2</v>
      </c>
      <c r="H161" s="10">
        <f t="shared" si="20"/>
        <v>35</v>
      </c>
      <c r="I161">
        <f t="shared" si="20"/>
        <v>6.7929396000000004</v>
      </c>
      <c r="J161">
        <f t="shared" si="21"/>
        <v>4</v>
      </c>
      <c r="K161">
        <f t="shared" si="22"/>
        <v>70</v>
      </c>
      <c r="L161">
        <f t="shared" si="23"/>
        <v>13.585879200000001</v>
      </c>
      <c r="M161">
        <f t="shared" si="24"/>
        <v>1225</v>
      </c>
      <c r="N161">
        <f t="shared" si="25"/>
        <v>237.75288600000002</v>
      </c>
      <c r="O161">
        <f t="shared" si="26"/>
        <v>46.144028409248165</v>
      </c>
      <c r="Q161" s="11">
        <f t="shared" si="29"/>
        <v>68.10586028680919</v>
      </c>
      <c r="R161" s="12">
        <f t="shared" si="27"/>
        <v>1.6505377415062531E-2</v>
      </c>
    </row>
    <row r="162" spans="1:18" x14ac:dyDescent="0.25">
      <c r="A162">
        <v>2</v>
      </c>
      <c r="B162">
        <v>35</v>
      </c>
      <c r="C162">
        <f t="shared" si="28"/>
        <v>8.2190960000000004</v>
      </c>
      <c r="E162">
        <v>79</v>
      </c>
      <c r="F162" s="2"/>
      <c r="G162">
        <f t="shared" si="20"/>
        <v>2</v>
      </c>
      <c r="H162" s="10">
        <f t="shared" si="20"/>
        <v>35</v>
      </c>
      <c r="I162">
        <f t="shared" si="20"/>
        <v>8.2190960000000004</v>
      </c>
      <c r="J162">
        <f t="shared" si="21"/>
        <v>4</v>
      </c>
      <c r="K162">
        <f t="shared" si="22"/>
        <v>70</v>
      </c>
      <c r="L162">
        <f t="shared" si="23"/>
        <v>16.438192000000001</v>
      </c>
      <c r="M162">
        <f t="shared" si="24"/>
        <v>1225</v>
      </c>
      <c r="N162">
        <f t="shared" si="25"/>
        <v>287.66836000000001</v>
      </c>
      <c r="O162">
        <f t="shared" si="26"/>
        <v>67.553539057216</v>
      </c>
      <c r="Q162" s="11">
        <f t="shared" si="29"/>
        <v>81.260821292646995</v>
      </c>
      <c r="R162" s="12">
        <f t="shared" si="27"/>
        <v>2.8617991046164488E-2</v>
      </c>
    </row>
    <row r="163" spans="1:18" x14ac:dyDescent="0.25">
      <c r="A163">
        <v>2</v>
      </c>
      <c r="B163">
        <v>35</v>
      </c>
      <c r="C163">
        <f t="shared" si="28"/>
        <v>9.3564000000000007</v>
      </c>
      <c r="E163">
        <v>90</v>
      </c>
      <c r="F163" s="2"/>
      <c r="G163">
        <f t="shared" si="20"/>
        <v>2</v>
      </c>
      <c r="H163" s="10">
        <f t="shared" si="20"/>
        <v>35</v>
      </c>
      <c r="I163">
        <f t="shared" si="20"/>
        <v>9.3564000000000007</v>
      </c>
      <c r="J163">
        <f t="shared" si="21"/>
        <v>4</v>
      </c>
      <c r="K163">
        <f t="shared" si="22"/>
        <v>70</v>
      </c>
      <c r="L163">
        <f t="shared" si="23"/>
        <v>18.712800000000001</v>
      </c>
      <c r="M163">
        <f t="shared" si="24"/>
        <v>1225</v>
      </c>
      <c r="N163">
        <f t="shared" si="25"/>
        <v>327.47400000000005</v>
      </c>
      <c r="O163">
        <f t="shared" si="26"/>
        <v>87.542220960000009</v>
      </c>
      <c r="Q163" s="11">
        <f t="shared" si="29"/>
        <v>91.316503042426916</v>
      </c>
      <c r="R163" s="12">
        <f t="shared" si="27"/>
        <v>1.4627811582521291E-2</v>
      </c>
    </row>
    <row r="164" spans="1:18" x14ac:dyDescent="0.25">
      <c r="A164">
        <v>-7</v>
      </c>
      <c r="B164">
        <v>35</v>
      </c>
      <c r="C164">
        <f t="shared" si="28"/>
        <v>2.9453892000000002</v>
      </c>
      <c r="E164">
        <v>43</v>
      </c>
      <c r="F164" s="2"/>
      <c r="G164">
        <f t="shared" si="20"/>
        <v>-7</v>
      </c>
      <c r="H164" s="10">
        <f t="shared" si="20"/>
        <v>35</v>
      </c>
      <c r="I164">
        <f t="shared" si="20"/>
        <v>2.9453892000000002</v>
      </c>
      <c r="J164">
        <f t="shared" si="21"/>
        <v>49</v>
      </c>
      <c r="K164">
        <f t="shared" si="22"/>
        <v>-245</v>
      </c>
      <c r="L164">
        <f t="shared" si="23"/>
        <v>-20.6177244</v>
      </c>
      <c r="M164">
        <f t="shared" si="24"/>
        <v>1225</v>
      </c>
      <c r="N164">
        <f t="shared" si="25"/>
        <v>103.088622</v>
      </c>
      <c r="O164">
        <f t="shared" si="26"/>
        <v>8.6753175394766409</v>
      </c>
      <c r="Q164" s="11">
        <f t="shared" si="29"/>
        <v>43.247160890808594</v>
      </c>
      <c r="R164" s="12">
        <f t="shared" si="27"/>
        <v>5.7479276932231177E-3</v>
      </c>
    </row>
    <row r="165" spans="1:18" x14ac:dyDescent="0.25">
      <c r="A165">
        <v>-7</v>
      </c>
      <c r="B165">
        <v>35</v>
      </c>
      <c r="C165">
        <f t="shared" si="28"/>
        <v>4.0648911999999999</v>
      </c>
      <c r="E165">
        <v>55</v>
      </c>
      <c r="F165" s="2"/>
      <c r="G165">
        <f t="shared" si="20"/>
        <v>-7</v>
      </c>
      <c r="H165" s="10">
        <f t="shared" si="20"/>
        <v>35</v>
      </c>
      <c r="I165">
        <f t="shared" si="20"/>
        <v>4.0648911999999999</v>
      </c>
      <c r="J165">
        <f t="shared" si="21"/>
        <v>49</v>
      </c>
      <c r="K165">
        <f t="shared" si="22"/>
        <v>-245</v>
      </c>
      <c r="L165">
        <f t="shared" si="23"/>
        <v>-28.454238400000001</v>
      </c>
      <c r="M165">
        <f t="shared" si="24"/>
        <v>1225</v>
      </c>
      <c r="N165">
        <f t="shared" si="25"/>
        <v>142.27119199999999</v>
      </c>
      <c r="O165">
        <f t="shared" si="26"/>
        <v>16.523340467837439</v>
      </c>
      <c r="Q165" s="11">
        <f t="shared" si="29"/>
        <v>56.336301158098365</v>
      </c>
      <c r="R165" s="12">
        <f t="shared" si="27"/>
        <v>2.4296384692697549E-2</v>
      </c>
    </row>
    <row r="166" spans="1:18" x14ac:dyDescent="0.25">
      <c r="A166">
        <v>-7</v>
      </c>
      <c r="B166">
        <v>35</v>
      </c>
      <c r="C166">
        <f t="shared" si="28"/>
        <v>5.0338536000000005</v>
      </c>
      <c r="E166">
        <v>67</v>
      </c>
      <c r="F166" s="2"/>
      <c r="G166">
        <f t="shared" si="20"/>
        <v>-7</v>
      </c>
      <c r="H166" s="10">
        <f t="shared" si="20"/>
        <v>35</v>
      </c>
      <c r="I166">
        <f t="shared" si="20"/>
        <v>5.0338536000000005</v>
      </c>
      <c r="J166">
        <f t="shared" si="21"/>
        <v>49</v>
      </c>
      <c r="K166">
        <f t="shared" si="22"/>
        <v>-245</v>
      </c>
      <c r="L166">
        <f t="shared" si="23"/>
        <v>-35.236975200000003</v>
      </c>
      <c r="M166">
        <f t="shared" si="24"/>
        <v>1225</v>
      </c>
      <c r="N166">
        <f t="shared" si="25"/>
        <v>176.18487600000003</v>
      </c>
      <c r="O166">
        <f t="shared" si="26"/>
        <v>25.339682066232964</v>
      </c>
      <c r="Q166" s="11">
        <f t="shared" si="29"/>
        <v>67.363482593182951</v>
      </c>
      <c r="R166" s="12">
        <f t="shared" si="27"/>
        <v>5.4251133310888218E-3</v>
      </c>
    </row>
    <row r="167" spans="1:18" x14ac:dyDescent="0.25">
      <c r="A167">
        <v>-7</v>
      </c>
      <c r="B167">
        <v>35</v>
      </c>
      <c r="C167">
        <f t="shared" si="28"/>
        <v>6.2017936000000002</v>
      </c>
      <c r="E167">
        <v>79</v>
      </c>
      <c r="F167" s="2"/>
      <c r="G167">
        <f t="shared" si="20"/>
        <v>-7</v>
      </c>
      <c r="H167" s="10">
        <f t="shared" si="20"/>
        <v>35</v>
      </c>
      <c r="I167">
        <f t="shared" si="20"/>
        <v>6.2017936000000002</v>
      </c>
      <c r="J167">
        <f t="shared" si="21"/>
        <v>49</v>
      </c>
      <c r="K167">
        <f t="shared" si="22"/>
        <v>-245</v>
      </c>
      <c r="L167">
        <f t="shared" si="23"/>
        <v>-43.4125552</v>
      </c>
      <c r="M167">
        <f t="shared" si="24"/>
        <v>1225</v>
      </c>
      <c r="N167">
        <f t="shared" si="25"/>
        <v>217.06277600000001</v>
      </c>
      <c r="O167">
        <f t="shared" si="26"/>
        <v>38.462243857000963</v>
      </c>
      <c r="Q167" s="11">
        <f t="shared" si="29"/>
        <v>80.282822749567885</v>
      </c>
      <c r="R167" s="12">
        <f t="shared" si="27"/>
        <v>1.6238262652758031E-2</v>
      </c>
    </row>
    <row r="168" spans="1:18" x14ac:dyDescent="0.25">
      <c r="A168">
        <v>-7</v>
      </c>
      <c r="B168">
        <v>35</v>
      </c>
      <c r="C168">
        <f t="shared" si="28"/>
        <v>7.0350007999999997</v>
      </c>
      <c r="E168">
        <v>90</v>
      </c>
      <c r="F168" s="2"/>
      <c r="G168">
        <f t="shared" si="20"/>
        <v>-7</v>
      </c>
      <c r="H168" s="10">
        <f t="shared" si="20"/>
        <v>35</v>
      </c>
      <c r="I168">
        <f t="shared" si="20"/>
        <v>7.0350007999999997</v>
      </c>
      <c r="J168">
        <f t="shared" si="21"/>
        <v>49</v>
      </c>
      <c r="K168">
        <f t="shared" si="22"/>
        <v>-245</v>
      </c>
      <c r="L168">
        <f t="shared" si="23"/>
        <v>-49.245005599999999</v>
      </c>
      <c r="M168">
        <f t="shared" si="24"/>
        <v>1225</v>
      </c>
      <c r="N168">
        <f t="shared" si="25"/>
        <v>246.22502799999998</v>
      </c>
      <c r="O168">
        <f t="shared" si="26"/>
        <v>49.491236256000633</v>
      </c>
      <c r="Q168" s="11">
        <f t="shared" si="29"/>
        <v>89.250750685707089</v>
      </c>
      <c r="R168" s="12">
        <f t="shared" si="27"/>
        <v>-8.3249923810323409E-3</v>
      </c>
    </row>
    <row r="169" spans="1:18" x14ac:dyDescent="0.25">
      <c r="A169">
        <v>-15</v>
      </c>
      <c r="B169">
        <v>35</v>
      </c>
      <c r="C169">
        <f t="shared" si="28"/>
        <v>2.9086536000000001</v>
      </c>
      <c r="E169">
        <v>55</v>
      </c>
      <c r="F169" s="2"/>
      <c r="G169">
        <f t="shared" si="20"/>
        <v>-15</v>
      </c>
      <c r="H169" s="10">
        <f t="shared" si="20"/>
        <v>35</v>
      </c>
      <c r="I169">
        <f t="shared" si="20"/>
        <v>2.9086536000000001</v>
      </c>
      <c r="J169">
        <f t="shared" si="21"/>
        <v>225</v>
      </c>
      <c r="K169">
        <f t="shared" si="22"/>
        <v>-525</v>
      </c>
      <c r="L169">
        <f t="shared" si="23"/>
        <v>-43.629804</v>
      </c>
      <c r="M169">
        <f t="shared" si="24"/>
        <v>1225</v>
      </c>
      <c r="N169">
        <f t="shared" si="25"/>
        <v>101.802876</v>
      </c>
      <c r="O169">
        <f t="shared" si="26"/>
        <v>8.4602657647929611</v>
      </c>
      <c r="Q169" s="11">
        <f t="shared" si="29"/>
        <v>56.144532730836175</v>
      </c>
      <c r="R169" s="12">
        <f t="shared" si="27"/>
        <v>2.080968601520319E-2</v>
      </c>
    </row>
    <row r="170" spans="1:18" x14ac:dyDescent="0.25">
      <c r="A170">
        <v>-15</v>
      </c>
      <c r="B170">
        <v>35</v>
      </c>
      <c r="C170">
        <f t="shared" si="28"/>
        <v>3.8319563999999997</v>
      </c>
      <c r="E170">
        <v>67</v>
      </c>
      <c r="F170" s="2"/>
      <c r="G170">
        <f t="shared" si="20"/>
        <v>-15</v>
      </c>
      <c r="H170" s="10">
        <f t="shared" si="20"/>
        <v>35</v>
      </c>
      <c r="I170">
        <f t="shared" si="20"/>
        <v>3.8319563999999997</v>
      </c>
      <c r="J170">
        <f t="shared" si="21"/>
        <v>225</v>
      </c>
      <c r="K170">
        <f t="shared" si="22"/>
        <v>-525</v>
      </c>
      <c r="L170">
        <f t="shared" si="23"/>
        <v>-57.479345999999993</v>
      </c>
      <c r="M170">
        <f t="shared" si="24"/>
        <v>1225</v>
      </c>
      <c r="N170">
        <f t="shared" si="25"/>
        <v>134.11847399999999</v>
      </c>
      <c r="O170">
        <f t="shared" si="26"/>
        <v>14.683889851500957</v>
      </c>
      <c r="Q170" s="11">
        <f t="shared" si="29"/>
        <v>68.022676494755018</v>
      </c>
      <c r="R170" s="12">
        <f t="shared" si="27"/>
        <v>1.5263828279925642E-2</v>
      </c>
    </row>
    <row r="171" spans="1:18" x14ac:dyDescent="0.25">
      <c r="A171">
        <v>-15</v>
      </c>
      <c r="B171">
        <v>35</v>
      </c>
      <c r="C171">
        <f t="shared" si="28"/>
        <v>4.4726167999999999</v>
      </c>
      <c r="E171">
        <v>79</v>
      </c>
      <c r="F171" s="2"/>
      <c r="G171">
        <f t="shared" si="20"/>
        <v>-15</v>
      </c>
      <c r="H171" s="10">
        <f t="shared" si="20"/>
        <v>35</v>
      </c>
      <c r="I171">
        <f t="shared" si="20"/>
        <v>4.4726167999999999</v>
      </c>
      <c r="J171">
        <f t="shared" si="21"/>
        <v>225</v>
      </c>
      <c r="K171">
        <f t="shared" si="22"/>
        <v>-525</v>
      </c>
      <c r="L171">
        <f t="shared" si="23"/>
        <v>-67.089252000000002</v>
      </c>
      <c r="M171">
        <f t="shared" si="24"/>
        <v>1225</v>
      </c>
      <c r="N171">
        <f t="shared" si="25"/>
        <v>156.54158799999999</v>
      </c>
      <c r="O171">
        <f t="shared" si="26"/>
        <v>20.00430103964224</v>
      </c>
      <c r="Q171" s="11">
        <f t="shared" si="29"/>
        <v>76.115210266217389</v>
      </c>
      <c r="R171" s="12">
        <f t="shared" si="27"/>
        <v>-3.6516325744083686E-2</v>
      </c>
    </row>
    <row r="172" spans="1:18" x14ac:dyDescent="0.25">
      <c r="A172">
        <v>-15</v>
      </c>
      <c r="B172">
        <v>35</v>
      </c>
      <c r="C172">
        <f t="shared" si="28"/>
        <v>5.4525456000000005</v>
      </c>
      <c r="E172">
        <v>90</v>
      </c>
      <c r="F172" s="2"/>
      <c r="G172">
        <f t="shared" si="20"/>
        <v>-15</v>
      </c>
      <c r="H172" s="10">
        <f t="shared" si="20"/>
        <v>35</v>
      </c>
      <c r="I172">
        <f t="shared" si="20"/>
        <v>5.4525456000000005</v>
      </c>
      <c r="J172">
        <f t="shared" si="21"/>
        <v>225</v>
      </c>
      <c r="K172">
        <f t="shared" si="22"/>
        <v>-525</v>
      </c>
      <c r="L172">
        <f t="shared" si="23"/>
        <v>-81.788184000000001</v>
      </c>
      <c r="M172">
        <f t="shared" si="24"/>
        <v>1225</v>
      </c>
      <c r="N172">
        <f t="shared" si="25"/>
        <v>190.83909600000001</v>
      </c>
      <c r="O172">
        <f t="shared" si="26"/>
        <v>29.730253520079366</v>
      </c>
      <c r="Q172" s="11">
        <f t="shared" si="29"/>
        <v>88.256343784282677</v>
      </c>
      <c r="R172" s="12">
        <f t="shared" si="27"/>
        <v>-1.9373957952414696E-2</v>
      </c>
    </row>
    <row r="173" spans="1:18" x14ac:dyDescent="0.25">
      <c r="A173">
        <v>12</v>
      </c>
      <c r="B173">
        <v>45</v>
      </c>
      <c r="C173">
        <f t="shared" si="28"/>
        <v>5.2697599999999998</v>
      </c>
      <c r="E173">
        <v>43</v>
      </c>
      <c r="F173" s="2"/>
      <c r="G173">
        <f t="shared" si="20"/>
        <v>12</v>
      </c>
      <c r="H173" s="10">
        <f t="shared" si="20"/>
        <v>45</v>
      </c>
      <c r="I173">
        <f t="shared" si="20"/>
        <v>5.2697599999999998</v>
      </c>
      <c r="J173">
        <f t="shared" si="21"/>
        <v>144</v>
      </c>
      <c r="K173">
        <f t="shared" si="22"/>
        <v>540</v>
      </c>
      <c r="L173">
        <f t="shared" si="23"/>
        <v>63.237119999999997</v>
      </c>
      <c r="M173">
        <f t="shared" si="24"/>
        <v>2025</v>
      </c>
      <c r="N173">
        <f t="shared" si="25"/>
        <v>237.13919999999999</v>
      </c>
      <c r="O173">
        <f t="shared" si="26"/>
        <v>27.770370457599999</v>
      </c>
      <c r="Q173" s="11">
        <f t="shared" si="29"/>
        <v>41.838177716231435</v>
      </c>
      <c r="R173" s="12">
        <f t="shared" si="27"/>
        <v>-2.7019122878338721E-2</v>
      </c>
    </row>
    <row r="174" spans="1:18" x14ac:dyDescent="0.25">
      <c r="A174">
        <v>12</v>
      </c>
      <c r="B174">
        <v>45</v>
      </c>
      <c r="C174">
        <f t="shared" si="28"/>
        <v>6.8871843999999998</v>
      </c>
      <c r="E174">
        <v>55</v>
      </c>
      <c r="F174" s="2"/>
      <c r="G174">
        <f t="shared" si="20"/>
        <v>12</v>
      </c>
      <c r="H174" s="10">
        <f t="shared" si="20"/>
        <v>45</v>
      </c>
      <c r="I174">
        <f t="shared" si="20"/>
        <v>6.8871843999999998</v>
      </c>
      <c r="J174">
        <f t="shared" si="21"/>
        <v>144</v>
      </c>
      <c r="K174">
        <f t="shared" si="22"/>
        <v>540</v>
      </c>
      <c r="L174">
        <f t="shared" si="23"/>
        <v>82.646212800000001</v>
      </c>
      <c r="M174">
        <f t="shared" si="24"/>
        <v>2025</v>
      </c>
      <c r="N174">
        <f t="shared" si="25"/>
        <v>309.92329799999999</v>
      </c>
      <c r="O174">
        <f t="shared" si="26"/>
        <v>47.433308959603359</v>
      </c>
      <c r="Q174" s="11">
        <f t="shared" si="29"/>
        <v>55.003311294034283</v>
      </c>
      <c r="R174" s="12">
        <f t="shared" si="27"/>
        <v>6.0205346077876504E-5</v>
      </c>
    </row>
    <row r="175" spans="1:18" x14ac:dyDescent="0.25">
      <c r="A175">
        <v>12</v>
      </c>
      <c r="B175">
        <v>45</v>
      </c>
      <c r="C175">
        <f t="shared" si="28"/>
        <v>8.3431212000000006</v>
      </c>
      <c r="E175">
        <v>67</v>
      </c>
      <c r="F175" s="2"/>
      <c r="G175">
        <f t="shared" si="20"/>
        <v>12</v>
      </c>
      <c r="H175" s="10">
        <f t="shared" si="20"/>
        <v>45</v>
      </c>
      <c r="I175">
        <f t="shared" si="20"/>
        <v>8.3431212000000006</v>
      </c>
      <c r="J175">
        <f t="shared" si="21"/>
        <v>144</v>
      </c>
      <c r="K175">
        <f t="shared" si="22"/>
        <v>540</v>
      </c>
      <c r="L175">
        <f t="shared" si="23"/>
        <v>100.11745440000001</v>
      </c>
      <c r="M175">
        <f t="shared" si="24"/>
        <v>2025</v>
      </c>
      <c r="N175">
        <f t="shared" si="25"/>
        <v>375.44045400000005</v>
      </c>
      <c r="O175">
        <f t="shared" si="26"/>
        <v>69.607671357889444</v>
      </c>
      <c r="Q175" s="11">
        <f t="shared" si="29"/>
        <v>66.186541596686709</v>
      </c>
      <c r="R175" s="12">
        <f t="shared" si="27"/>
        <v>-1.2141170198705836E-2</v>
      </c>
    </row>
    <row r="176" spans="1:18" x14ac:dyDescent="0.25">
      <c r="A176">
        <v>12</v>
      </c>
      <c r="B176">
        <v>45</v>
      </c>
      <c r="C176">
        <f t="shared" si="28"/>
        <v>9.8377624000000008</v>
      </c>
      <c r="E176">
        <v>79</v>
      </c>
      <c r="F176" s="2"/>
      <c r="G176">
        <f t="shared" si="20"/>
        <v>12</v>
      </c>
      <c r="H176" s="10">
        <f t="shared" si="20"/>
        <v>45</v>
      </c>
      <c r="I176">
        <f t="shared" si="20"/>
        <v>9.8377624000000008</v>
      </c>
      <c r="J176">
        <f t="shared" si="21"/>
        <v>144</v>
      </c>
      <c r="K176">
        <f t="shared" si="22"/>
        <v>540</v>
      </c>
      <c r="L176">
        <f t="shared" si="23"/>
        <v>118.0531488</v>
      </c>
      <c r="M176">
        <f t="shared" si="24"/>
        <v>2025</v>
      </c>
      <c r="N176">
        <f t="shared" si="25"/>
        <v>442.69930800000003</v>
      </c>
      <c r="O176">
        <f t="shared" si="26"/>
        <v>96.781569038853775</v>
      </c>
      <c r="Q176" s="11">
        <f t="shared" si="29"/>
        <v>77.009231801649278</v>
      </c>
      <c r="R176" s="12">
        <f t="shared" si="27"/>
        <v>-2.519959744747749E-2</v>
      </c>
    </row>
    <row r="177" spans="1:18" x14ac:dyDescent="0.25">
      <c r="A177">
        <v>7</v>
      </c>
      <c r="B177">
        <v>45</v>
      </c>
      <c r="C177">
        <f t="shared" si="28"/>
        <v>4.4926820000000003</v>
      </c>
      <c r="E177">
        <v>43</v>
      </c>
      <c r="F177" s="2"/>
      <c r="G177">
        <f t="shared" si="20"/>
        <v>7</v>
      </c>
      <c r="H177" s="10">
        <f t="shared" si="20"/>
        <v>45</v>
      </c>
      <c r="I177">
        <f t="shared" si="20"/>
        <v>4.4926820000000003</v>
      </c>
      <c r="J177">
        <f t="shared" si="21"/>
        <v>49</v>
      </c>
      <c r="K177">
        <f t="shared" si="22"/>
        <v>315</v>
      </c>
      <c r="L177">
        <f t="shared" si="23"/>
        <v>31.448774</v>
      </c>
      <c r="M177">
        <f t="shared" si="24"/>
        <v>2025</v>
      </c>
      <c r="N177">
        <f t="shared" si="25"/>
        <v>202.17069000000001</v>
      </c>
      <c r="O177">
        <f t="shared" si="26"/>
        <v>20.184191553124002</v>
      </c>
      <c r="Q177" s="11">
        <f t="shared" si="29"/>
        <v>42.523221816874873</v>
      </c>
      <c r="R177" s="12">
        <f t="shared" si="27"/>
        <v>-1.1087864723840163E-2</v>
      </c>
    </row>
    <row r="178" spans="1:18" x14ac:dyDescent="0.25">
      <c r="A178">
        <v>7</v>
      </c>
      <c r="B178">
        <v>45</v>
      </c>
      <c r="C178">
        <f t="shared" si="28"/>
        <v>6.1177332</v>
      </c>
      <c r="E178">
        <v>55</v>
      </c>
      <c r="F178" s="2"/>
      <c r="G178">
        <f t="shared" si="20"/>
        <v>7</v>
      </c>
      <c r="H178" s="10">
        <f t="shared" si="20"/>
        <v>45</v>
      </c>
      <c r="I178">
        <f t="shared" si="20"/>
        <v>6.1177332</v>
      </c>
      <c r="J178">
        <f t="shared" si="21"/>
        <v>49</v>
      </c>
      <c r="K178">
        <f t="shared" si="22"/>
        <v>315</v>
      </c>
      <c r="L178">
        <f t="shared" si="23"/>
        <v>42.824132399999996</v>
      </c>
      <c r="M178">
        <f t="shared" si="24"/>
        <v>2025</v>
      </c>
      <c r="N178">
        <f t="shared" si="25"/>
        <v>275.29799400000002</v>
      </c>
      <c r="O178">
        <f t="shared" si="26"/>
        <v>37.426659506382236</v>
      </c>
      <c r="Q178" s="11">
        <f t="shared" si="29"/>
        <v>57.275736874542567</v>
      </c>
      <c r="R178" s="12">
        <f t="shared" si="27"/>
        <v>4.1377034082592121E-2</v>
      </c>
    </row>
    <row r="179" spans="1:18" x14ac:dyDescent="0.25">
      <c r="A179">
        <v>7</v>
      </c>
      <c r="B179">
        <v>45</v>
      </c>
      <c r="C179">
        <f t="shared" si="28"/>
        <v>7.3897252000000009</v>
      </c>
      <c r="E179">
        <v>67</v>
      </c>
      <c r="F179" s="2"/>
      <c r="G179">
        <f t="shared" si="20"/>
        <v>7</v>
      </c>
      <c r="H179" s="10">
        <f t="shared" si="20"/>
        <v>45</v>
      </c>
      <c r="I179">
        <f t="shared" si="20"/>
        <v>7.3897252000000009</v>
      </c>
      <c r="J179">
        <f t="shared" si="21"/>
        <v>49</v>
      </c>
      <c r="K179">
        <f t="shared" si="22"/>
        <v>315</v>
      </c>
      <c r="L179">
        <f t="shared" si="23"/>
        <v>51.728076400000006</v>
      </c>
      <c r="M179">
        <f t="shared" si="24"/>
        <v>2025</v>
      </c>
      <c r="N179">
        <f t="shared" si="25"/>
        <v>332.53763400000003</v>
      </c>
      <c r="O179">
        <f t="shared" si="26"/>
        <v>54.608038531515056</v>
      </c>
      <c r="Q179" s="11">
        <f t="shared" si="29"/>
        <v>68.273433674163655</v>
      </c>
      <c r="R179" s="12">
        <f t="shared" si="27"/>
        <v>1.9006472748711273E-2</v>
      </c>
    </row>
    <row r="180" spans="1:18" x14ac:dyDescent="0.25">
      <c r="A180">
        <v>7</v>
      </c>
      <c r="B180">
        <v>45</v>
      </c>
      <c r="C180">
        <f t="shared" si="28"/>
        <v>8.8264707999999992</v>
      </c>
      <c r="E180">
        <v>79</v>
      </c>
      <c r="F180" s="2"/>
      <c r="G180">
        <f t="shared" si="20"/>
        <v>7</v>
      </c>
      <c r="H180" s="10">
        <f t="shared" si="20"/>
        <v>45</v>
      </c>
      <c r="I180">
        <f t="shared" si="20"/>
        <v>8.8264707999999992</v>
      </c>
      <c r="J180">
        <f t="shared" si="21"/>
        <v>49</v>
      </c>
      <c r="K180">
        <f t="shared" si="22"/>
        <v>315</v>
      </c>
      <c r="L180">
        <f t="shared" si="23"/>
        <v>61.785295599999998</v>
      </c>
      <c r="M180">
        <f t="shared" si="24"/>
        <v>2025</v>
      </c>
      <c r="N180">
        <f t="shared" si="25"/>
        <v>397.19118599999996</v>
      </c>
      <c r="O180">
        <f t="shared" si="26"/>
        <v>77.906586783252621</v>
      </c>
      <c r="Q180" s="11">
        <f t="shared" si="29"/>
        <v>80.115075114134854</v>
      </c>
      <c r="R180" s="12">
        <f t="shared" si="27"/>
        <v>1.4114874862466502E-2</v>
      </c>
    </row>
    <row r="181" spans="1:18" x14ac:dyDescent="0.25">
      <c r="A181">
        <v>7</v>
      </c>
      <c r="B181">
        <v>45</v>
      </c>
      <c r="C181">
        <f t="shared" si="28"/>
        <v>10.351885999999999</v>
      </c>
      <c r="E181">
        <v>90</v>
      </c>
      <c r="F181" s="2"/>
      <c r="G181">
        <f t="shared" si="20"/>
        <v>7</v>
      </c>
      <c r="H181" s="10">
        <f t="shared" si="20"/>
        <v>45</v>
      </c>
      <c r="I181">
        <f t="shared" si="20"/>
        <v>10.351885999999999</v>
      </c>
      <c r="J181">
        <f t="shared" si="21"/>
        <v>49</v>
      </c>
      <c r="K181">
        <f t="shared" si="22"/>
        <v>315</v>
      </c>
      <c r="L181">
        <f t="shared" si="23"/>
        <v>72.463201999999995</v>
      </c>
      <c r="M181">
        <f t="shared" si="24"/>
        <v>2025</v>
      </c>
      <c r="N181">
        <f t="shared" si="25"/>
        <v>465.83486999999991</v>
      </c>
      <c r="O181">
        <f t="shared" si="26"/>
        <v>107.16154375699597</v>
      </c>
      <c r="Q181" s="11">
        <f t="shared" si="29"/>
        <v>92.013516989068833</v>
      </c>
      <c r="R181" s="12">
        <f t="shared" si="27"/>
        <v>2.2372410989653702E-2</v>
      </c>
    </row>
    <row r="182" spans="1:18" x14ac:dyDescent="0.25">
      <c r="A182">
        <v>2</v>
      </c>
      <c r="B182">
        <v>45</v>
      </c>
      <c r="C182">
        <f t="shared" si="28"/>
        <v>3.6785187999999995</v>
      </c>
      <c r="E182">
        <v>43</v>
      </c>
      <c r="F182" s="2"/>
      <c r="G182">
        <f t="shared" si="20"/>
        <v>2</v>
      </c>
      <c r="H182" s="10">
        <f t="shared" si="20"/>
        <v>45</v>
      </c>
      <c r="I182">
        <f t="shared" si="20"/>
        <v>3.6785187999999995</v>
      </c>
      <c r="J182">
        <f t="shared" si="21"/>
        <v>4</v>
      </c>
      <c r="K182">
        <f t="shared" si="22"/>
        <v>90</v>
      </c>
      <c r="L182">
        <f t="shared" si="23"/>
        <v>7.3570375999999991</v>
      </c>
      <c r="M182">
        <f t="shared" si="24"/>
        <v>2025</v>
      </c>
      <c r="N182">
        <f t="shared" si="25"/>
        <v>165.53334599999997</v>
      </c>
      <c r="O182">
        <f t="shared" si="26"/>
        <v>13.531500561953436</v>
      </c>
      <c r="Q182" s="11">
        <f t="shared" si="29"/>
        <v>42.000966707134779</v>
      </c>
      <c r="R182" s="12">
        <f t="shared" si="27"/>
        <v>-2.3233332392214437E-2</v>
      </c>
    </row>
    <row r="183" spans="1:18" x14ac:dyDescent="0.25">
      <c r="A183">
        <v>2</v>
      </c>
      <c r="B183">
        <v>45</v>
      </c>
      <c r="C183">
        <f t="shared" si="28"/>
        <v>5.2010452000000003</v>
      </c>
      <c r="E183">
        <v>55</v>
      </c>
      <c r="F183" s="2"/>
      <c r="G183">
        <f t="shared" si="20"/>
        <v>2</v>
      </c>
      <c r="H183" s="10">
        <f t="shared" si="20"/>
        <v>45</v>
      </c>
      <c r="I183">
        <f t="shared" si="20"/>
        <v>5.2010452000000003</v>
      </c>
      <c r="J183">
        <f t="shared" si="21"/>
        <v>4</v>
      </c>
      <c r="K183">
        <f t="shared" si="22"/>
        <v>90</v>
      </c>
      <c r="L183">
        <f t="shared" si="23"/>
        <v>10.402090400000001</v>
      </c>
      <c r="M183">
        <f t="shared" si="24"/>
        <v>2025</v>
      </c>
      <c r="N183">
        <f t="shared" si="25"/>
        <v>234.04703400000002</v>
      </c>
      <c r="O183">
        <f t="shared" si="26"/>
        <v>27.050871172443042</v>
      </c>
      <c r="Q183" s="11">
        <f t="shared" si="29"/>
        <v>57.293675087481468</v>
      </c>
      <c r="R183" s="12">
        <f t="shared" si="27"/>
        <v>4.1703183408753959E-2</v>
      </c>
    </row>
    <row r="184" spans="1:18" x14ac:dyDescent="0.25">
      <c r="A184">
        <v>2</v>
      </c>
      <c r="B184">
        <v>45</v>
      </c>
      <c r="C184">
        <f t="shared" si="28"/>
        <v>6.4013784000000005</v>
      </c>
      <c r="E184">
        <v>67</v>
      </c>
      <c r="F184" s="2"/>
      <c r="G184">
        <f t="shared" si="20"/>
        <v>2</v>
      </c>
      <c r="H184" s="10">
        <f t="shared" si="20"/>
        <v>45</v>
      </c>
      <c r="I184">
        <f t="shared" si="20"/>
        <v>6.4013784000000005</v>
      </c>
      <c r="J184">
        <f t="shared" si="21"/>
        <v>4</v>
      </c>
      <c r="K184">
        <f t="shared" si="22"/>
        <v>90</v>
      </c>
      <c r="L184">
        <f t="shared" si="23"/>
        <v>12.802756800000001</v>
      </c>
      <c r="M184">
        <f t="shared" si="24"/>
        <v>2025</v>
      </c>
      <c r="N184">
        <f t="shared" si="25"/>
        <v>288.062028</v>
      </c>
      <c r="O184">
        <f t="shared" si="26"/>
        <v>40.977645419986565</v>
      </c>
      <c r="Q184" s="11">
        <f t="shared" si="29"/>
        <v>68.862651781454161</v>
      </c>
      <c r="R184" s="12">
        <f t="shared" si="27"/>
        <v>2.7800772857524799E-2</v>
      </c>
    </row>
    <row r="185" spans="1:18" x14ac:dyDescent="0.25">
      <c r="A185">
        <v>2</v>
      </c>
      <c r="B185">
        <v>45</v>
      </c>
      <c r="C185">
        <f t="shared" si="28"/>
        <v>7.6934355999999999</v>
      </c>
      <c r="E185">
        <v>79</v>
      </c>
      <c r="F185" s="2"/>
      <c r="G185">
        <f t="shared" si="20"/>
        <v>2</v>
      </c>
      <c r="H185" s="10">
        <f t="shared" si="20"/>
        <v>45</v>
      </c>
      <c r="I185">
        <f t="shared" si="20"/>
        <v>7.6934355999999999</v>
      </c>
      <c r="J185">
        <f t="shared" si="21"/>
        <v>4</v>
      </c>
      <c r="K185">
        <f t="shared" si="22"/>
        <v>90</v>
      </c>
      <c r="L185">
        <f t="shared" si="23"/>
        <v>15.3868712</v>
      </c>
      <c r="M185">
        <f t="shared" si="24"/>
        <v>2025</v>
      </c>
      <c r="N185">
        <f t="shared" si="25"/>
        <v>346.20460200000002</v>
      </c>
      <c r="O185">
        <f t="shared" si="26"/>
        <v>59.188951331347361</v>
      </c>
      <c r="Q185" s="11">
        <f t="shared" si="29"/>
        <v>80.835313893507092</v>
      </c>
      <c r="R185" s="12">
        <f t="shared" si="27"/>
        <v>2.3231821436798628E-2</v>
      </c>
    </row>
    <row r="186" spans="1:18" x14ac:dyDescent="0.25">
      <c r="A186">
        <v>2</v>
      </c>
      <c r="B186">
        <v>45</v>
      </c>
      <c r="C186">
        <f t="shared" si="28"/>
        <v>9.0198548000000009</v>
      </c>
      <c r="E186">
        <v>90</v>
      </c>
      <c r="F186" s="2"/>
      <c r="G186">
        <f t="shared" si="20"/>
        <v>2</v>
      </c>
      <c r="H186" s="10">
        <f t="shared" si="20"/>
        <v>45</v>
      </c>
      <c r="I186">
        <f t="shared" si="20"/>
        <v>9.0198548000000009</v>
      </c>
      <c r="J186">
        <f t="shared" si="21"/>
        <v>4</v>
      </c>
      <c r="K186">
        <f t="shared" si="22"/>
        <v>90</v>
      </c>
      <c r="L186">
        <f t="shared" si="23"/>
        <v>18.039709600000002</v>
      </c>
      <c r="M186">
        <f t="shared" si="24"/>
        <v>2025</v>
      </c>
      <c r="N186">
        <f t="shared" si="25"/>
        <v>405.89346600000005</v>
      </c>
      <c r="O186">
        <f t="shared" si="26"/>
        <v>81.357780613083051</v>
      </c>
      <c r="Q186" s="11">
        <f t="shared" si="29"/>
        <v>92.608301178696195</v>
      </c>
      <c r="R186" s="12">
        <f t="shared" si="27"/>
        <v>2.8981124207735496E-2</v>
      </c>
    </row>
    <row r="187" spans="1:18" x14ac:dyDescent="0.25">
      <c r="A187">
        <v>-7</v>
      </c>
      <c r="B187">
        <v>45</v>
      </c>
      <c r="C187">
        <f t="shared" si="28"/>
        <v>3.6311939999999998</v>
      </c>
      <c r="E187">
        <v>55</v>
      </c>
      <c r="F187" s="2"/>
      <c r="G187">
        <f t="shared" si="20"/>
        <v>-7</v>
      </c>
      <c r="H187" s="10">
        <f t="shared" si="20"/>
        <v>45</v>
      </c>
      <c r="I187">
        <f t="shared" si="20"/>
        <v>3.6311939999999998</v>
      </c>
      <c r="J187">
        <f t="shared" si="21"/>
        <v>49</v>
      </c>
      <c r="K187">
        <f t="shared" si="22"/>
        <v>-315</v>
      </c>
      <c r="L187">
        <f t="shared" si="23"/>
        <v>-25.418357999999998</v>
      </c>
      <c r="M187">
        <f t="shared" si="24"/>
        <v>2025</v>
      </c>
      <c r="N187">
        <f t="shared" si="25"/>
        <v>163.40373</v>
      </c>
      <c r="O187">
        <f t="shared" si="26"/>
        <v>13.185569865635999</v>
      </c>
      <c r="Q187" s="11">
        <f t="shared" si="29"/>
        <v>55.49497323061577</v>
      </c>
      <c r="R187" s="12">
        <f t="shared" si="27"/>
        <v>8.9995132839230888E-3</v>
      </c>
    </row>
    <row r="188" spans="1:18" x14ac:dyDescent="0.25">
      <c r="A188">
        <v>-7</v>
      </c>
      <c r="B188">
        <v>45</v>
      </c>
      <c r="C188">
        <f t="shared" si="28"/>
        <v>4.5431808</v>
      </c>
      <c r="E188">
        <v>67</v>
      </c>
      <c r="F188" s="2"/>
      <c r="G188">
        <f t="shared" si="20"/>
        <v>-7</v>
      </c>
      <c r="H188" s="10">
        <f t="shared" si="20"/>
        <v>45</v>
      </c>
      <c r="I188">
        <f t="shared" si="20"/>
        <v>4.5431808</v>
      </c>
      <c r="J188">
        <f t="shared" si="21"/>
        <v>49</v>
      </c>
      <c r="K188">
        <f t="shared" si="22"/>
        <v>-315</v>
      </c>
      <c r="L188">
        <f t="shared" si="23"/>
        <v>-31.802265599999998</v>
      </c>
      <c r="M188">
        <f t="shared" si="24"/>
        <v>2025</v>
      </c>
      <c r="N188">
        <f t="shared" si="25"/>
        <v>204.44313600000001</v>
      </c>
      <c r="O188">
        <f t="shared" si="26"/>
        <v>20.640491781488642</v>
      </c>
      <c r="Q188" s="11">
        <f t="shared" si="29"/>
        <v>65.913289752055263</v>
      </c>
      <c r="R188" s="12">
        <f t="shared" si="27"/>
        <v>-1.6219555939473683E-2</v>
      </c>
    </row>
    <row r="189" spans="1:18" x14ac:dyDescent="0.25">
      <c r="A189">
        <v>-7</v>
      </c>
      <c r="B189">
        <v>45</v>
      </c>
      <c r="C189">
        <f t="shared" si="28"/>
        <v>5.5149767999999995</v>
      </c>
      <c r="E189">
        <v>79</v>
      </c>
      <c r="F189" s="2"/>
      <c r="G189">
        <f t="shared" si="20"/>
        <v>-7</v>
      </c>
      <c r="H189" s="10">
        <f t="shared" si="20"/>
        <v>45</v>
      </c>
      <c r="I189">
        <f t="shared" si="20"/>
        <v>5.5149767999999995</v>
      </c>
      <c r="J189">
        <f t="shared" si="21"/>
        <v>49</v>
      </c>
      <c r="K189">
        <f t="shared" si="22"/>
        <v>-315</v>
      </c>
      <c r="L189">
        <f t="shared" si="23"/>
        <v>-38.604837599999996</v>
      </c>
      <c r="M189">
        <f t="shared" si="24"/>
        <v>2025</v>
      </c>
      <c r="N189">
        <f t="shared" si="25"/>
        <v>248.17395599999998</v>
      </c>
      <c r="O189">
        <f t="shared" si="26"/>
        <v>30.414969104538233</v>
      </c>
      <c r="Q189" s="11">
        <f t="shared" si="29"/>
        <v>76.741779714661021</v>
      </c>
      <c r="R189" s="12">
        <f t="shared" si="27"/>
        <v>-2.8585066903025046E-2</v>
      </c>
    </row>
    <row r="190" spans="1:18" x14ac:dyDescent="0.25">
      <c r="A190">
        <v>-7</v>
      </c>
      <c r="B190">
        <v>45</v>
      </c>
      <c r="C190">
        <f t="shared" si="28"/>
        <v>6.553113999999999</v>
      </c>
      <c r="E190">
        <v>90</v>
      </c>
      <c r="G190">
        <f t="shared" si="20"/>
        <v>-7</v>
      </c>
      <c r="H190" s="10">
        <f t="shared" si="20"/>
        <v>45</v>
      </c>
      <c r="I190">
        <f t="shared" si="20"/>
        <v>6.553113999999999</v>
      </c>
      <c r="J190">
        <f t="shared" si="21"/>
        <v>49</v>
      </c>
      <c r="K190">
        <f t="shared" si="22"/>
        <v>-315</v>
      </c>
      <c r="L190">
        <f t="shared" si="23"/>
        <v>-45.871797999999991</v>
      </c>
      <c r="M190">
        <f t="shared" si="24"/>
        <v>2025</v>
      </c>
      <c r="N190">
        <f t="shared" si="25"/>
        <v>294.89012999999994</v>
      </c>
      <c r="O190">
        <f t="shared" si="26"/>
        <v>42.94330309699599</v>
      </c>
      <c r="Q190" s="11">
        <f t="shared" si="29"/>
        <v>87.998244581973253</v>
      </c>
      <c r="R190" s="12">
        <f t="shared" si="27"/>
        <v>-2.2241726866963851E-2</v>
      </c>
    </row>
    <row r="191" spans="1:18" x14ac:dyDescent="0.25">
      <c r="A191">
        <v>-15</v>
      </c>
      <c r="B191">
        <v>45</v>
      </c>
      <c r="C191">
        <f t="shared" si="28"/>
        <v>3.4270643999999999</v>
      </c>
      <c r="E191">
        <v>67</v>
      </c>
      <c r="G191">
        <f t="shared" si="20"/>
        <v>-15</v>
      </c>
      <c r="H191" s="10">
        <f t="shared" si="20"/>
        <v>45</v>
      </c>
      <c r="I191">
        <f t="shared" si="20"/>
        <v>3.4270643999999999</v>
      </c>
      <c r="J191">
        <f t="shared" si="21"/>
        <v>225</v>
      </c>
      <c r="K191">
        <f t="shared" si="22"/>
        <v>-675</v>
      </c>
      <c r="L191">
        <f t="shared" si="23"/>
        <v>-51.405965999999999</v>
      </c>
      <c r="M191">
        <f t="shared" si="24"/>
        <v>2025</v>
      </c>
      <c r="N191">
        <f t="shared" si="25"/>
        <v>154.21789799999999</v>
      </c>
      <c r="O191">
        <f t="shared" si="26"/>
        <v>11.74477040174736</v>
      </c>
      <c r="Q191" s="11">
        <f t="shared" si="29"/>
        <v>66.559210806082632</v>
      </c>
      <c r="R191" s="12">
        <f t="shared" si="27"/>
        <v>-6.5789431927965377E-3</v>
      </c>
    </row>
    <row r="192" spans="1:18" x14ac:dyDescent="0.25">
      <c r="A192">
        <v>-15</v>
      </c>
      <c r="B192">
        <v>45</v>
      </c>
      <c r="C192">
        <f t="shared" si="28"/>
        <v>4.1982359999999996</v>
      </c>
      <c r="E192">
        <v>79</v>
      </c>
      <c r="G192">
        <f t="shared" si="20"/>
        <v>-15</v>
      </c>
      <c r="H192" s="10">
        <f t="shared" si="20"/>
        <v>45</v>
      </c>
      <c r="I192">
        <f t="shared" si="20"/>
        <v>4.1982359999999996</v>
      </c>
      <c r="J192">
        <f t="shared" si="21"/>
        <v>225</v>
      </c>
      <c r="K192">
        <f t="shared" si="22"/>
        <v>-675</v>
      </c>
      <c r="L192">
        <f t="shared" si="23"/>
        <v>-62.973539999999993</v>
      </c>
      <c r="M192">
        <f t="shared" si="24"/>
        <v>2025</v>
      </c>
      <c r="N192">
        <f t="shared" si="25"/>
        <v>188.92061999999999</v>
      </c>
      <c r="O192">
        <f t="shared" si="26"/>
        <v>17.625185511695996</v>
      </c>
      <c r="Q192" s="11">
        <f t="shared" si="29"/>
        <v>76.305544101337162</v>
      </c>
      <c r="R192" s="12">
        <f t="shared" si="27"/>
        <v>-3.4107036691934656E-2</v>
      </c>
    </row>
    <row r="193" spans="1:18" x14ac:dyDescent="0.25">
      <c r="A193">
        <v>-15</v>
      </c>
      <c r="B193">
        <v>45</v>
      </c>
      <c r="C193">
        <f t="shared" si="28"/>
        <v>5.1547508000000004</v>
      </c>
      <c r="E193">
        <v>90</v>
      </c>
      <c r="G193">
        <f t="shared" si="20"/>
        <v>-15</v>
      </c>
      <c r="H193" s="10">
        <f t="shared" si="20"/>
        <v>45</v>
      </c>
      <c r="I193">
        <f t="shared" si="20"/>
        <v>5.1547508000000004</v>
      </c>
      <c r="J193">
        <f t="shared" si="21"/>
        <v>225</v>
      </c>
      <c r="K193">
        <f t="shared" si="22"/>
        <v>-675</v>
      </c>
      <c r="L193">
        <f t="shared" si="23"/>
        <v>-77.321262000000004</v>
      </c>
      <c r="M193">
        <f t="shared" si="24"/>
        <v>2025</v>
      </c>
      <c r="N193">
        <f t="shared" si="25"/>
        <v>231.96378600000003</v>
      </c>
      <c r="O193">
        <f t="shared" si="26"/>
        <v>26.571455810100645</v>
      </c>
      <c r="Q193" s="11">
        <f t="shared" si="29"/>
        <v>88.147802287615093</v>
      </c>
      <c r="R193" s="12">
        <f t="shared" si="27"/>
        <v>-2.057997458205452E-2</v>
      </c>
    </row>
    <row r="194" spans="1:18" x14ac:dyDescent="0.25">
      <c r="A194">
        <v>12</v>
      </c>
      <c r="B194">
        <v>55</v>
      </c>
      <c r="C194">
        <f t="shared" si="28"/>
        <v>4.4604359999999996</v>
      </c>
      <c r="E194">
        <v>43</v>
      </c>
      <c r="G194">
        <f t="shared" si="20"/>
        <v>12</v>
      </c>
      <c r="H194" s="10">
        <f t="shared" si="20"/>
        <v>55</v>
      </c>
      <c r="I194">
        <f t="shared" si="20"/>
        <v>4.4604359999999996</v>
      </c>
      <c r="J194">
        <f t="shared" si="21"/>
        <v>144</v>
      </c>
      <c r="K194">
        <f t="shared" si="22"/>
        <v>660</v>
      </c>
      <c r="L194">
        <f t="shared" si="23"/>
        <v>53.525231999999995</v>
      </c>
      <c r="M194">
        <f t="shared" si="24"/>
        <v>3025</v>
      </c>
      <c r="N194">
        <f t="shared" si="25"/>
        <v>245.32397999999998</v>
      </c>
      <c r="O194">
        <f t="shared" si="26"/>
        <v>19.895489310095996</v>
      </c>
      <c r="Q194" s="11">
        <f t="shared" si="29"/>
        <v>42.14868567830711</v>
      </c>
      <c r="R194" s="12">
        <f t="shared" si="27"/>
        <v>-1.9798007481229989E-2</v>
      </c>
    </row>
    <row r="195" spans="1:18" x14ac:dyDescent="0.25">
      <c r="A195">
        <v>12</v>
      </c>
      <c r="B195">
        <v>55</v>
      </c>
      <c r="C195">
        <f t="shared" si="28"/>
        <v>6.1901924000000008</v>
      </c>
      <c r="E195">
        <v>55</v>
      </c>
      <c r="G195">
        <f t="shared" si="20"/>
        <v>12</v>
      </c>
      <c r="H195" s="10">
        <f t="shared" si="20"/>
        <v>55</v>
      </c>
      <c r="I195">
        <f t="shared" si="20"/>
        <v>6.1901924000000008</v>
      </c>
      <c r="J195">
        <f t="shared" si="21"/>
        <v>144</v>
      </c>
      <c r="K195">
        <f t="shared" si="22"/>
        <v>660</v>
      </c>
      <c r="L195">
        <f t="shared" si="23"/>
        <v>74.28230880000001</v>
      </c>
      <c r="M195">
        <f t="shared" si="24"/>
        <v>3025</v>
      </c>
      <c r="N195">
        <f t="shared" si="25"/>
        <v>340.46058200000004</v>
      </c>
      <c r="O195">
        <f t="shared" si="26"/>
        <v>38.318481949017773</v>
      </c>
      <c r="Q195" s="11">
        <f t="shared" si="29"/>
        <v>56.453303651461439</v>
      </c>
      <c r="R195" s="12">
        <f t="shared" si="27"/>
        <v>2.6423702753844355E-2</v>
      </c>
    </row>
    <row r="196" spans="1:18" x14ac:dyDescent="0.25">
      <c r="A196">
        <v>12</v>
      </c>
      <c r="B196">
        <v>55</v>
      </c>
      <c r="C196">
        <f t="shared" si="28"/>
        <v>7.5354992000000012</v>
      </c>
      <c r="E196">
        <v>67</v>
      </c>
      <c r="G196">
        <f t="shared" si="20"/>
        <v>12</v>
      </c>
      <c r="H196" s="10">
        <f t="shared" si="20"/>
        <v>55</v>
      </c>
      <c r="I196">
        <f t="shared" si="20"/>
        <v>7.5354992000000012</v>
      </c>
      <c r="J196">
        <f t="shared" si="21"/>
        <v>144</v>
      </c>
      <c r="K196">
        <f t="shared" si="22"/>
        <v>660</v>
      </c>
      <c r="L196">
        <f t="shared" si="23"/>
        <v>90.425990400000018</v>
      </c>
      <c r="M196">
        <f t="shared" si="24"/>
        <v>3025</v>
      </c>
      <c r="N196">
        <f t="shared" si="25"/>
        <v>414.45245600000004</v>
      </c>
      <c r="O196">
        <f t="shared" si="26"/>
        <v>56.783748193200658</v>
      </c>
      <c r="Q196" s="11">
        <f t="shared" si="29"/>
        <v>66.961539136208145</v>
      </c>
      <c r="R196" s="12">
        <f t="shared" si="27"/>
        <v>-5.7404274316200966E-4</v>
      </c>
    </row>
    <row r="197" spans="1:18" x14ac:dyDescent="0.25">
      <c r="A197">
        <v>12</v>
      </c>
      <c r="B197">
        <v>55</v>
      </c>
      <c r="C197">
        <f t="shared" si="28"/>
        <v>8.8973199999999988</v>
      </c>
      <c r="E197">
        <v>79</v>
      </c>
      <c r="G197">
        <f t="shared" si="20"/>
        <v>12</v>
      </c>
      <c r="H197" s="10">
        <f t="shared" si="20"/>
        <v>55</v>
      </c>
      <c r="I197">
        <f t="shared" si="20"/>
        <v>8.8973199999999988</v>
      </c>
      <c r="J197">
        <f t="shared" si="21"/>
        <v>144</v>
      </c>
      <c r="K197">
        <f t="shared" si="22"/>
        <v>660</v>
      </c>
      <c r="L197">
        <f t="shared" si="23"/>
        <v>106.76783999999998</v>
      </c>
      <c r="M197">
        <f t="shared" si="24"/>
        <v>3025</v>
      </c>
      <c r="N197">
        <f t="shared" si="25"/>
        <v>489.35259999999994</v>
      </c>
      <c r="O197">
        <f t="shared" si="26"/>
        <v>79.162303182399981</v>
      </c>
      <c r="Q197" s="11">
        <f t="shared" si="29"/>
        <v>77.048844715020451</v>
      </c>
      <c r="R197" s="12">
        <f t="shared" si="27"/>
        <v>-2.4698168164298092E-2</v>
      </c>
    </row>
    <row r="198" spans="1:18" x14ac:dyDescent="0.25">
      <c r="A198">
        <v>7</v>
      </c>
      <c r="B198">
        <v>55</v>
      </c>
      <c r="C198">
        <f t="shared" si="28"/>
        <v>3.4692555999999999</v>
      </c>
      <c r="E198">
        <v>43</v>
      </c>
      <c r="G198">
        <f t="shared" si="20"/>
        <v>7</v>
      </c>
      <c r="H198" s="10">
        <f t="shared" si="20"/>
        <v>55</v>
      </c>
      <c r="I198">
        <f t="shared" si="20"/>
        <v>3.4692555999999999</v>
      </c>
      <c r="J198">
        <f t="shared" si="21"/>
        <v>49</v>
      </c>
      <c r="K198">
        <f t="shared" si="22"/>
        <v>385</v>
      </c>
      <c r="L198">
        <f t="shared" si="23"/>
        <v>24.284789199999999</v>
      </c>
      <c r="M198">
        <f t="shared" si="24"/>
        <v>3025</v>
      </c>
      <c r="N198">
        <f t="shared" si="25"/>
        <v>190.80905799999999</v>
      </c>
      <c r="O198">
        <f t="shared" si="26"/>
        <v>12.035734418131359</v>
      </c>
      <c r="Q198" s="11">
        <f t="shared" si="29"/>
        <v>39.806350469208397</v>
      </c>
      <c r="R198" s="12">
        <f t="shared" si="27"/>
        <v>-7.4270919320734957E-2</v>
      </c>
    </row>
    <row r="199" spans="1:18" x14ac:dyDescent="0.25">
      <c r="A199">
        <v>7</v>
      </c>
      <c r="B199">
        <v>55</v>
      </c>
      <c r="C199">
        <f t="shared" si="28"/>
        <v>5.3590276000000001</v>
      </c>
      <c r="E199">
        <v>55</v>
      </c>
      <c r="G199">
        <f t="shared" si="20"/>
        <v>7</v>
      </c>
      <c r="H199" s="10">
        <f t="shared" si="20"/>
        <v>55</v>
      </c>
      <c r="I199">
        <f t="shared" si="20"/>
        <v>5.3590276000000001</v>
      </c>
      <c r="J199">
        <f t="shared" si="21"/>
        <v>49</v>
      </c>
      <c r="K199">
        <f t="shared" si="22"/>
        <v>385</v>
      </c>
      <c r="L199">
        <f t="shared" si="23"/>
        <v>37.513193200000003</v>
      </c>
      <c r="M199">
        <f t="shared" si="24"/>
        <v>3025</v>
      </c>
      <c r="N199">
        <f t="shared" si="25"/>
        <v>294.74651799999998</v>
      </c>
      <c r="O199">
        <f t="shared" si="26"/>
        <v>28.71917681756176</v>
      </c>
      <c r="Q199" s="11">
        <f t="shared" si="29"/>
        <v>57.285778663156393</v>
      </c>
      <c r="R199" s="12">
        <f t="shared" si="27"/>
        <v>4.1559612057388957E-2</v>
      </c>
    </row>
    <row r="200" spans="1:18" x14ac:dyDescent="0.25">
      <c r="A200">
        <v>7</v>
      </c>
      <c r="B200">
        <v>55</v>
      </c>
      <c r="C200">
        <f t="shared" si="28"/>
        <v>6.6408267999999993</v>
      </c>
      <c r="E200">
        <v>67</v>
      </c>
      <c r="G200">
        <f t="shared" si="20"/>
        <v>7</v>
      </c>
      <c r="H200" s="10">
        <f t="shared" si="20"/>
        <v>55</v>
      </c>
      <c r="I200">
        <f t="shared" si="20"/>
        <v>6.6408267999999993</v>
      </c>
      <c r="J200">
        <f t="shared" si="21"/>
        <v>49</v>
      </c>
      <c r="K200">
        <f t="shared" si="22"/>
        <v>385</v>
      </c>
      <c r="L200">
        <f t="shared" si="23"/>
        <v>46.485787599999995</v>
      </c>
      <c r="M200">
        <f t="shared" si="24"/>
        <v>3025</v>
      </c>
      <c r="N200">
        <f t="shared" si="25"/>
        <v>365.24547399999994</v>
      </c>
      <c r="O200">
        <f t="shared" si="26"/>
        <v>44.10058058759823</v>
      </c>
      <c r="Q200" s="11">
        <f t="shared" si="29"/>
        <v>68.535358265040216</v>
      </c>
      <c r="R200" s="12">
        <f t="shared" si="27"/>
        <v>2.2915795000600238E-2</v>
      </c>
    </row>
    <row r="201" spans="1:18" x14ac:dyDescent="0.25">
      <c r="A201">
        <v>7</v>
      </c>
      <c r="B201">
        <v>55</v>
      </c>
      <c r="C201">
        <f t="shared" si="28"/>
        <v>8.0212684000000003</v>
      </c>
      <c r="E201">
        <v>79</v>
      </c>
      <c r="G201">
        <f t="shared" si="20"/>
        <v>7</v>
      </c>
      <c r="H201" s="10">
        <f t="shared" si="20"/>
        <v>55</v>
      </c>
      <c r="I201">
        <f t="shared" si="20"/>
        <v>8.0212684000000003</v>
      </c>
      <c r="J201">
        <f t="shared" si="21"/>
        <v>49</v>
      </c>
      <c r="K201">
        <f t="shared" si="22"/>
        <v>385</v>
      </c>
      <c r="L201">
        <f t="shared" si="23"/>
        <v>56.148878800000006</v>
      </c>
      <c r="M201">
        <f t="shared" si="24"/>
        <v>3025</v>
      </c>
      <c r="N201">
        <f t="shared" si="25"/>
        <v>441.16976199999999</v>
      </c>
      <c r="O201">
        <f t="shared" si="26"/>
        <v>64.340746744838569</v>
      </c>
      <c r="Q201" s="11">
        <f t="shared" si="29"/>
        <v>80.102465082427599</v>
      </c>
      <c r="R201" s="12">
        <f t="shared" si="27"/>
        <v>1.3955254207944297E-2</v>
      </c>
    </row>
    <row r="202" spans="1:18" x14ac:dyDescent="0.25">
      <c r="A202">
        <v>7</v>
      </c>
      <c r="B202">
        <v>55</v>
      </c>
      <c r="C202">
        <f t="shared" si="28"/>
        <v>9.0762600000000013</v>
      </c>
      <c r="E202">
        <v>90</v>
      </c>
      <c r="G202">
        <f t="shared" si="20"/>
        <v>7</v>
      </c>
      <c r="H202" s="10">
        <f t="shared" si="20"/>
        <v>55</v>
      </c>
      <c r="I202">
        <f t="shared" si="20"/>
        <v>9.0762600000000013</v>
      </c>
      <c r="J202">
        <f t="shared" si="21"/>
        <v>49</v>
      </c>
      <c r="K202">
        <f t="shared" si="22"/>
        <v>385</v>
      </c>
      <c r="L202">
        <f t="shared" si="23"/>
        <v>63.533820000000006</v>
      </c>
      <c r="M202">
        <f t="shared" si="24"/>
        <v>3025</v>
      </c>
      <c r="N202">
        <f t="shared" si="25"/>
        <v>499.19430000000006</v>
      </c>
      <c r="O202">
        <f t="shared" si="26"/>
        <v>82.378495587600028</v>
      </c>
      <c r="Q202" s="11">
        <f t="shared" si="29"/>
        <v>88.559272033677559</v>
      </c>
      <c r="R202" s="12">
        <f t="shared" si="27"/>
        <v>-1.6008088514693795E-2</v>
      </c>
    </row>
    <row r="203" spans="1:18" x14ac:dyDescent="0.25">
      <c r="A203">
        <v>2</v>
      </c>
      <c r="B203">
        <v>55</v>
      </c>
      <c r="C203">
        <f t="shared" si="28"/>
        <v>3.2948787999999998</v>
      </c>
      <c r="E203">
        <v>43</v>
      </c>
      <c r="G203">
        <f t="shared" si="20"/>
        <v>2</v>
      </c>
      <c r="H203" s="10">
        <f t="shared" si="20"/>
        <v>55</v>
      </c>
      <c r="I203">
        <f t="shared" si="20"/>
        <v>3.2948787999999998</v>
      </c>
      <c r="J203">
        <f t="shared" si="21"/>
        <v>4</v>
      </c>
      <c r="K203">
        <f t="shared" si="22"/>
        <v>110</v>
      </c>
      <c r="L203">
        <f t="shared" si="23"/>
        <v>6.5897575999999995</v>
      </c>
      <c r="M203">
        <f t="shared" si="24"/>
        <v>3025</v>
      </c>
      <c r="N203">
        <f t="shared" si="25"/>
        <v>181.218334</v>
      </c>
      <c r="O203">
        <f t="shared" si="26"/>
        <v>10.856226306689438</v>
      </c>
      <c r="Q203" s="11">
        <f t="shared" si="29"/>
        <v>44.726860492201141</v>
      </c>
      <c r="R203" s="12">
        <f t="shared" si="27"/>
        <v>4.0159546330259081E-2</v>
      </c>
    </row>
    <row r="204" spans="1:18" x14ac:dyDescent="0.25">
      <c r="A204">
        <v>2</v>
      </c>
      <c r="B204">
        <v>55</v>
      </c>
      <c r="C204">
        <f t="shared" si="28"/>
        <v>4.5620867999999994</v>
      </c>
      <c r="E204">
        <v>55</v>
      </c>
      <c r="G204">
        <f t="shared" si="20"/>
        <v>2</v>
      </c>
      <c r="H204" s="10">
        <f t="shared" si="20"/>
        <v>55</v>
      </c>
      <c r="I204">
        <f t="shared" si="20"/>
        <v>4.5620867999999994</v>
      </c>
      <c r="J204">
        <f t="shared" si="21"/>
        <v>4</v>
      </c>
      <c r="K204">
        <f t="shared" si="22"/>
        <v>110</v>
      </c>
      <c r="L204">
        <f t="shared" si="23"/>
        <v>9.1241735999999989</v>
      </c>
      <c r="M204">
        <f t="shared" si="24"/>
        <v>3025</v>
      </c>
      <c r="N204">
        <f t="shared" si="25"/>
        <v>250.91477399999997</v>
      </c>
      <c r="O204">
        <f t="shared" si="26"/>
        <v>20.812635970734235</v>
      </c>
      <c r="Q204" s="11">
        <f t="shared" si="29"/>
        <v>57.52858386391884</v>
      </c>
      <c r="R204" s="12">
        <f t="shared" si="27"/>
        <v>4.597425207125163E-2</v>
      </c>
    </row>
    <row r="205" spans="1:18" x14ac:dyDescent="0.25">
      <c r="A205">
        <v>2</v>
      </c>
      <c r="B205">
        <v>55</v>
      </c>
      <c r="C205">
        <f t="shared" si="28"/>
        <v>5.6333899999999995</v>
      </c>
      <c r="E205">
        <v>67</v>
      </c>
      <c r="G205">
        <f t="shared" si="20"/>
        <v>2</v>
      </c>
      <c r="H205" s="10">
        <f t="shared" si="20"/>
        <v>55</v>
      </c>
      <c r="I205">
        <f t="shared" si="20"/>
        <v>5.6333899999999995</v>
      </c>
      <c r="J205">
        <f t="shared" si="21"/>
        <v>4</v>
      </c>
      <c r="K205">
        <f t="shared" si="22"/>
        <v>110</v>
      </c>
      <c r="L205">
        <f t="shared" si="23"/>
        <v>11.266779999999999</v>
      </c>
      <c r="M205">
        <f t="shared" si="24"/>
        <v>3025</v>
      </c>
      <c r="N205">
        <f t="shared" si="25"/>
        <v>309.83644999999996</v>
      </c>
      <c r="O205">
        <f t="shared" si="26"/>
        <v>31.735082892099992</v>
      </c>
      <c r="Q205" s="11">
        <f t="shared" si="29"/>
        <v>67.977516413187459</v>
      </c>
      <c r="R205" s="12">
        <f t="shared" si="27"/>
        <v>1.4589797211753118E-2</v>
      </c>
    </row>
    <row r="206" spans="1:18" x14ac:dyDescent="0.25">
      <c r="A206">
        <v>2</v>
      </c>
      <c r="B206">
        <v>55</v>
      </c>
      <c r="C206">
        <f t="shared" si="28"/>
        <v>6.9096232000000004</v>
      </c>
      <c r="E206">
        <v>79</v>
      </c>
      <c r="G206">
        <f t="shared" si="20"/>
        <v>2</v>
      </c>
      <c r="H206" s="10">
        <f t="shared" si="20"/>
        <v>55</v>
      </c>
      <c r="I206">
        <f t="shared" si="20"/>
        <v>6.9096232000000004</v>
      </c>
      <c r="J206">
        <f t="shared" si="21"/>
        <v>4</v>
      </c>
      <c r="K206">
        <f t="shared" si="22"/>
        <v>110</v>
      </c>
      <c r="L206">
        <f t="shared" si="23"/>
        <v>13.819246400000001</v>
      </c>
      <c r="M206">
        <f t="shared" si="24"/>
        <v>3025</v>
      </c>
      <c r="N206">
        <f t="shared" si="25"/>
        <v>380.02927600000004</v>
      </c>
      <c r="O206">
        <f t="shared" si="26"/>
        <v>47.742892765978247</v>
      </c>
      <c r="Q206" s="11">
        <f t="shared" si="29"/>
        <v>79.978325293980873</v>
      </c>
      <c r="R206" s="12">
        <f t="shared" si="27"/>
        <v>1.2383864480770548E-2</v>
      </c>
    </row>
    <row r="207" spans="1:18" x14ac:dyDescent="0.25">
      <c r="A207">
        <v>2</v>
      </c>
      <c r="B207">
        <v>55</v>
      </c>
      <c r="C207">
        <f t="shared" si="28"/>
        <v>7.9325435999999998</v>
      </c>
      <c r="E207">
        <v>90</v>
      </c>
      <c r="G207">
        <f t="shared" si="20"/>
        <v>2</v>
      </c>
      <c r="H207" s="10">
        <f t="shared" si="20"/>
        <v>55</v>
      </c>
      <c r="I207">
        <f t="shared" si="20"/>
        <v>7.9325435999999998</v>
      </c>
      <c r="J207">
        <f t="shared" si="21"/>
        <v>4</v>
      </c>
      <c r="K207">
        <f t="shared" si="22"/>
        <v>110</v>
      </c>
      <c r="L207">
        <f t="shared" si="23"/>
        <v>15.8650872</v>
      </c>
      <c r="M207">
        <f t="shared" si="24"/>
        <v>3025</v>
      </c>
      <c r="N207">
        <f t="shared" si="25"/>
        <v>436.28989799999999</v>
      </c>
      <c r="O207">
        <f t="shared" si="26"/>
        <v>62.925247965900958</v>
      </c>
      <c r="Q207" s="11">
        <f t="shared" si="29"/>
        <v>89.246339037656668</v>
      </c>
      <c r="R207" s="12">
        <f t="shared" si="27"/>
        <v>-8.3740106927036907E-3</v>
      </c>
    </row>
    <row r="208" spans="1:18" x14ac:dyDescent="0.25">
      <c r="A208">
        <v>-7</v>
      </c>
      <c r="B208">
        <v>55</v>
      </c>
      <c r="C208">
        <f t="shared" si="28"/>
        <v>3.2010571999999997</v>
      </c>
      <c r="E208">
        <v>55</v>
      </c>
      <c r="G208">
        <f t="shared" si="20"/>
        <v>-7</v>
      </c>
      <c r="H208" s="10">
        <f t="shared" si="20"/>
        <v>55</v>
      </c>
      <c r="I208">
        <f t="shared" si="20"/>
        <v>3.2010571999999997</v>
      </c>
      <c r="J208">
        <f t="shared" si="21"/>
        <v>49</v>
      </c>
      <c r="K208">
        <f t="shared" si="22"/>
        <v>-385</v>
      </c>
      <c r="L208">
        <f t="shared" si="23"/>
        <v>-22.407400399999997</v>
      </c>
      <c r="M208">
        <f t="shared" si="24"/>
        <v>3025</v>
      </c>
      <c r="N208">
        <f t="shared" si="25"/>
        <v>176.05814599999999</v>
      </c>
      <c r="O208">
        <f t="shared" si="26"/>
        <v>10.246767197671838</v>
      </c>
      <c r="Q208" s="11">
        <f t="shared" si="29"/>
        <v>56.640774226270189</v>
      </c>
      <c r="R208" s="12">
        <f t="shared" si="27"/>
        <v>2.9832258659457978E-2</v>
      </c>
    </row>
    <row r="209" spans="1:18" x14ac:dyDescent="0.25">
      <c r="A209">
        <v>-7</v>
      </c>
      <c r="B209">
        <v>55</v>
      </c>
      <c r="C209">
        <f t="shared" si="28"/>
        <v>4.0771088000000004</v>
      </c>
      <c r="E209">
        <v>67</v>
      </c>
      <c r="G209">
        <f t="shared" si="20"/>
        <v>-7</v>
      </c>
      <c r="H209" s="10">
        <f t="shared" si="20"/>
        <v>55</v>
      </c>
      <c r="I209">
        <f t="shared" si="20"/>
        <v>4.0771088000000004</v>
      </c>
      <c r="J209">
        <f t="shared" si="21"/>
        <v>49</v>
      </c>
      <c r="K209">
        <f t="shared" si="22"/>
        <v>-385</v>
      </c>
      <c r="L209">
        <f t="shared" si="23"/>
        <v>-28.539761600000002</v>
      </c>
      <c r="M209">
        <f t="shared" si="24"/>
        <v>3025</v>
      </c>
      <c r="N209">
        <f t="shared" si="25"/>
        <v>224.24098400000003</v>
      </c>
      <c r="O209">
        <f t="shared" si="26"/>
        <v>16.622816167037442</v>
      </c>
      <c r="Q209" s="11">
        <f t="shared" si="29"/>
        <v>66.682877969251848</v>
      </c>
      <c r="R209" s="12">
        <f t="shared" si="27"/>
        <v>-4.7331646380321182E-3</v>
      </c>
    </row>
    <row r="210" spans="1:18" x14ac:dyDescent="0.25">
      <c r="A210">
        <v>-7</v>
      </c>
      <c r="B210">
        <v>55</v>
      </c>
      <c r="C210">
        <f t="shared" si="28"/>
        <v>4.9494895999999997</v>
      </c>
      <c r="E210">
        <v>79</v>
      </c>
      <c r="G210">
        <f t="shared" si="20"/>
        <v>-7</v>
      </c>
      <c r="H210" s="10">
        <f t="shared" si="20"/>
        <v>55</v>
      </c>
      <c r="I210">
        <f t="shared" si="20"/>
        <v>4.9494895999999997</v>
      </c>
      <c r="J210">
        <f t="shared" si="21"/>
        <v>49</v>
      </c>
      <c r="K210">
        <f t="shared" si="22"/>
        <v>-385</v>
      </c>
      <c r="L210">
        <f t="shared" si="23"/>
        <v>-34.646427199999998</v>
      </c>
      <c r="M210">
        <f t="shared" si="24"/>
        <v>3025</v>
      </c>
      <c r="N210">
        <f t="shared" si="25"/>
        <v>272.22192799999999</v>
      </c>
      <c r="O210">
        <f t="shared" si="26"/>
        <v>24.497447300508156</v>
      </c>
      <c r="Q210" s="11">
        <f t="shared" si="29"/>
        <v>76.455379867906998</v>
      </c>
      <c r="R210" s="12">
        <f t="shared" si="27"/>
        <v>-3.2210381418898752E-2</v>
      </c>
    </row>
    <row r="211" spans="1:18" x14ac:dyDescent="0.25">
      <c r="A211">
        <v>-7</v>
      </c>
      <c r="B211">
        <v>55</v>
      </c>
      <c r="C211">
        <f t="shared" si="28"/>
        <v>5.9970476000000001</v>
      </c>
      <c r="E211">
        <v>90</v>
      </c>
      <c r="G211">
        <f t="shared" si="20"/>
        <v>-7</v>
      </c>
      <c r="H211" s="10">
        <f t="shared" si="20"/>
        <v>55</v>
      </c>
      <c r="I211">
        <f t="shared" si="20"/>
        <v>5.9970476000000001</v>
      </c>
      <c r="J211">
        <f t="shared" si="21"/>
        <v>49</v>
      </c>
      <c r="K211">
        <f t="shared" si="22"/>
        <v>-385</v>
      </c>
      <c r="L211">
        <f t="shared" si="23"/>
        <v>-41.979333199999999</v>
      </c>
      <c r="M211">
        <f t="shared" si="24"/>
        <v>3025</v>
      </c>
      <c r="N211">
        <f t="shared" si="25"/>
        <v>329.83761800000002</v>
      </c>
      <c r="O211">
        <f t="shared" si="26"/>
        <v>35.964579916665762</v>
      </c>
      <c r="Q211" s="11">
        <f t="shared" si="29"/>
        <v>87.89022417582585</v>
      </c>
      <c r="R211" s="12">
        <f t="shared" si="27"/>
        <v>-2.3441953601935003E-2</v>
      </c>
    </row>
    <row r="212" spans="1:18" x14ac:dyDescent="0.25">
      <c r="A212">
        <v>-15</v>
      </c>
      <c r="B212">
        <v>55</v>
      </c>
      <c r="C212">
        <f t="shared" si="28"/>
        <v>2.9652887999999997</v>
      </c>
      <c r="E212">
        <v>67</v>
      </c>
      <c r="G212">
        <f t="shared" si="20"/>
        <v>-15</v>
      </c>
      <c r="H212" s="10">
        <f t="shared" si="20"/>
        <v>55</v>
      </c>
      <c r="I212">
        <f t="shared" si="20"/>
        <v>2.9652887999999997</v>
      </c>
      <c r="J212">
        <f t="shared" si="21"/>
        <v>225</v>
      </c>
      <c r="K212">
        <f t="shared" si="22"/>
        <v>-825</v>
      </c>
      <c r="L212">
        <f t="shared" si="23"/>
        <v>-44.479331999999999</v>
      </c>
      <c r="M212">
        <f t="shared" si="24"/>
        <v>3025</v>
      </c>
      <c r="N212">
        <f t="shared" si="25"/>
        <v>163.09088399999999</v>
      </c>
      <c r="O212">
        <f t="shared" si="26"/>
        <v>8.7929376674054378</v>
      </c>
      <c r="Q212" s="11">
        <f t="shared" si="29"/>
        <v>66.315920189017206</v>
      </c>
      <c r="R212" s="12">
        <f t="shared" si="27"/>
        <v>-1.0210146432579021E-2</v>
      </c>
    </row>
    <row r="213" spans="1:18" x14ac:dyDescent="0.25">
      <c r="A213">
        <v>-15</v>
      </c>
      <c r="B213">
        <v>55</v>
      </c>
      <c r="C213">
        <f t="shared" si="28"/>
        <v>3.5685604</v>
      </c>
      <c r="E213">
        <v>79</v>
      </c>
      <c r="G213">
        <f t="shared" si="20"/>
        <v>-15</v>
      </c>
      <c r="H213" s="10">
        <f t="shared" si="20"/>
        <v>55</v>
      </c>
      <c r="I213">
        <f t="shared" si="20"/>
        <v>3.5685604</v>
      </c>
      <c r="J213">
        <f t="shared" si="21"/>
        <v>225</v>
      </c>
      <c r="K213">
        <f t="shared" si="22"/>
        <v>-825</v>
      </c>
      <c r="L213">
        <f t="shared" si="23"/>
        <v>-53.528405999999997</v>
      </c>
      <c r="M213">
        <f t="shared" si="24"/>
        <v>3025</v>
      </c>
      <c r="N213">
        <f t="shared" si="25"/>
        <v>196.27082200000001</v>
      </c>
      <c r="O213">
        <f t="shared" si="26"/>
        <v>12.73462332844816</v>
      </c>
      <c r="Q213" s="11">
        <f t="shared" si="29"/>
        <v>73.981466124918981</v>
      </c>
      <c r="R213" s="12">
        <f t="shared" si="27"/>
        <v>-6.3525745254190108E-2</v>
      </c>
    </row>
    <row r="214" spans="1:18" x14ac:dyDescent="0.25">
      <c r="A214">
        <v>-15</v>
      </c>
      <c r="B214">
        <v>55</v>
      </c>
      <c r="C214">
        <f t="shared" si="28"/>
        <v>4.4656431999999997</v>
      </c>
      <c r="E214">
        <v>90</v>
      </c>
      <c r="G214">
        <f t="shared" si="20"/>
        <v>-15</v>
      </c>
      <c r="H214" s="10">
        <f t="shared" si="20"/>
        <v>55</v>
      </c>
      <c r="I214">
        <f t="shared" si="20"/>
        <v>4.4656431999999997</v>
      </c>
      <c r="J214">
        <f t="shared" si="21"/>
        <v>225</v>
      </c>
      <c r="K214">
        <f t="shared" si="22"/>
        <v>-825</v>
      </c>
      <c r="L214">
        <f t="shared" si="23"/>
        <v>-66.984647999999993</v>
      </c>
      <c r="M214">
        <f t="shared" si="24"/>
        <v>3025</v>
      </c>
      <c r="N214">
        <f t="shared" si="25"/>
        <v>245.61037599999997</v>
      </c>
      <c r="O214">
        <f t="shared" si="26"/>
        <v>19.941969189706239</v>
      </c>
      <c r="Q214" s="11">
        <f t="shared" si="29"/>
        <v>85.179591039901666</v>
      </c>
      <c r="R214" s="12">
        <f t="shared" si="27"/>
        <v>-5.3560099556648151E-2</v>
      </c>
    </row>
    <row r="215" spans="1:18" x14ac:dyDescent="0.25">
      <c r="A215">
        <v>-25</v>
      </c>
      <c r="B215">
        <v>55</v>
      </c>
      <c r="C215">
        <f t="shared" ref="C215:C217" si="30">E69</f>
        <v>2.8656344000000002</v>
      </c>
      <c r="E215">
        <v>79</v>
      </c>
      <c r="G215">
        <f t="shared" si="20"/>
        <v>-25</v>
      </c>
      <c r="H215" s="10">
        <f t="shared" si="20"/>
        <v>55</v>
      </c>
      <c r="I215">
        <f t="shared" si="20"/>
        <v>2.8656344000000002</v>
      </c>
      <c r="J215">
        <f t="shared" si="21"/>
        <v>625</v>
      </c>
      <c r="K215">
        <f t="shared" si="22"/>
        <v>-1375</v>
      </c>
      <c r="L215">
        <f t="shared" si="23"/>
        <v>-71.640860000000004</v>
      </c>
      <c r="M215">
        <f t="shared" si="24"/>
        <v>3025</v>
      </c>
      <c r="N215">
        <f t="shared" si="25"/>
        <v>157.609892</v>
      </c>
      <c r="O215">
        <f t="shared" si="26"/>
        <v>8.2118605144633623</v>
      </c>
      <c r="Q215" s="11">
        <f t="shared" si="29"/>
        <v>82.052803002224593</v>
      </c>
      <c r="R215" s="12">
        <f t="shared" si="27"/>
        <v>3.8643075977526489E-2</v>
      </c>
    </row>
    <row r="216" spans="1:18" x14ac:dyDescent="0.25">
      <c r="A216">
        <v>-25</v>
      </c>
      <c r="B216">
        <v>55</v>
      </c>
      <c r="C216">
        <f t="shared" si="30"/>
        <v>3.2503692000000006</v>
      </c>
      <c r="E216">
        <v>85</v>
      </c>
      <c r="G216">
        <f t="shared" si="20"/>
        <v>-25</v>
      </c>
      <c r="H216" s="10">
        <f t="shared" si="20"/>
        <v>55</v>
      </c>
      <c r="I216">
        <f t="shared" si="20"/>
        <v>3.2503692000000006</v>
      </c>
      <c r="J216">
        <f t="shared" si="21"/>
        <v>625</v>
      </c>
      <c r="K216">
        <f t="shared" si="22"/>
        <v>-1375</v>
      </c>
      <c r="L216">
        <f t="shared" si="23"/>
        <v>-81.259230000000017</v>
      </c>
      <c r="M216">
        <f t="shared" si="24"/>
        <v>3025</v>
      </c>
      <c r="N216">
        <f t="shared" si="25"/>
        <v>178.77030600000003</v>
      </c>
      <c r="O216">
        <f t="shared" si="26"/>
        <v>10.564899936308644</v>
      </c>
      <c r="Q216" s="11">
        <f t="shared" si="29"/>
        <v>87.510192527663065</v>
      </c>
      <c r="R216" s="12">
        <f t="shared" si="27"/>
        <v>2.953167679603606E-2</v>
      </c>
    </row>
    <row r="217" spans="1:18" x14ac:dyDescent="0.25">
      <c r="A217">
        <v>-25</v>
      </c>
      <c r="B217">
        <v>55</v>
      </c>
      <c r="C217">
        <f t="shared" si="30"/>
        <v>3.7071032000000002</v>
      </c>
      <c r="E217">
        <v>90</v>
      </c>
      <c r="G217">
        <f t="shared" si="20"/>
        <v>-25</v>
      </c>
      <c r="H217" s="10">
        <f t="shared" si="20"/>
        <v>55</v>
      </c>
      <c r="I217">
        <f t="shared" si="20"/>
        <v>3.7071032000000002</v>
      </c>
      <c r="J217">
        <f t="shared" si="21"/>
        <v>625</v>
      </c>
      <c r="K217">
        <f t="shared" si="22"/>
        <v>-1375</v>
      </c>
      <c r="L217">
        <f t="shared" si="23"/>
        <v>-92.677580000000006</v>
      </c>
      <c r="M217">
        <f t="shared" si="24"/>
        <v>3025</v>
      </c>
      <c r="N217">
        <f t="shared" si="25"/>
        <v>203.89067600000001</v>
      </c>
      <c r="O217">
        <f t="shared" si="26"/>
        <v>13.742614135450241</v>
      </c>
      <c r="Q217" s="11">
        <f t="shared" si="29"/>
        <v>93.931548081567385</v>
      </c>
      <c r="R217" s="12">
        <f t="shared" si="27"/>
        <v>4.3683867572970943E-2</v>
      </c>
    </row>
    <row r="218" spans="1:18" x14ac:dyDescent="0.25">
      <c r="H218" s="10"/>
      <c r="Q218" s="11"/>
      <c r="R218" s="12"/>
    </row>
    <row r="219" spans="1:18" x14ac:dyDescent="0.25">
      <c r="H219" s="10"/>
      <c r="Q219" s="11"/>
      <c r="R219" s="12"/>
    </row>
    <row r="220" spans="1:18" x14ac:dyDescent="0.25">
      <c r="H220" s="10"/>
      <c r="Q220" s="11"/>
      <c r="R220" s="12"/>
    </row>
    <row r="221" spans="1:18" x14ac:dyDescent="0.25">
      <c r="H221" s="10"/>
      <c r="Q221" s="11"/>
      <c r="R221" s="12"/>
    </row>
    <row r="222" spans="1:18" x14ac:dyDescent="0.25">
      <c r="H222" s="10"/>
      <c r="Q222" s="11"/>
      <c r="R222" s="12"/>
    </row>
    <row r="223" spans="1:18" x14ac:dyDescent="0.25">
      <c r="H223" s="10"/>
      <c r="Q223" s="11"/>
      <c r="R223" s="12"/>
    </row>
    <row r="224" spans="1:18" x14ac:dyDescent="0.25">
      <c r="H224" s="10"/>
      <c r="Q224" s="11"/>
      <c r="R224" s="12"/>
    </row>
    <row r="225" spans="8:18" x14ac:dyDescent="0.25">
      <c r="H225" s="10"/>
      <c r="Q225" s="11"/>
      <c r="R225" s="12"/>
    </row>
    <row r="226" spans="8:18" x14ac:dyDescent="0.25">
      <c r="H226" s="10"/>
      <c r="Q226" s="11"/>
      <c r="R226" s="12"/>
    </row>
    <row r="227" spans="8:18" x14ac:dyDescent="0.25">
      <c r="H227" s="10"/>
      <c r="Q227" s="11"/>
      <c r="R227" s="12"/>
    </row>
    <row r="228" spans="8:18" x14ac:dyDescent="0.25">
      <c r="H228" s="10"/>
      <c r="Q228" s="11"/>
      <c r="R228" s="12"/>
    </row>
    <row r="229" spans="8:18" x14ac:dyDescent="0.25">
      <c r="H229" s="10"/>
      <c r="Q229" s="11"/>
      <c r="R229" s="12"/>
    </row>
    <row r="230" spans="8:18" x14ac:dyDescent="0.25">
      <c r="H230" s="10"/>
      <c r="Q230" s="11"/>
      <c r="R230" s="12"/>
    </row>
    <row r="231" spans="8:18" x14ac:dyDescent="0.25">
      <c r="H231" s="10"/>
      <c r="Q231" s="11"/>
      <c r="R231" s="12"/>
    </row>
    <row r="232" spans="8:18" x14ac:dyDescent="0.25">
      <c r="H232" s="10"/>
      <c r="Q232" s="11"/>
      <c r="R232" s="12"/>
    </row>
    <row r="233" spans="8:18" x14ac:dyDescent="0.25">
      <c r="H233" s="10"/>
      <c r="Q233" s="11"/>
      <c r="R233" s="12"/>
    </row>
    <row r="234" spans="8:18" x14ac:dyDescent="0.25">
      <c r="H234" s="10"/>
      <c r="Q234" s="11"/>
      <c r="R234" s="12"/>
    </row>
    <row r="235" spans="8:18" x14ac:dyDescent="0.25">
      <c r="H235" s="10"/>
      <c r="Q235" s="11"/>
      <c r="R235" s="12"/>
    </row>
    <row r="236" spans="8:18" x14ac:dyDescent="0.25">
      <c r="H236" s="10"/>
      <c r="Q236" s="11"/>
      <c r="R236" s="12"/>
    </row>
    <row r="237" spans="8:18" x14ac:dyDescent="0.25">
      <c r="H237" s="10"/>
      <c r="Q237" s="11"/>
      <c r="R237" s="12"/>
    </row>
    <row r="238" spans="8:18" x14ac:dyDescent="0.25">
      <c r="H238" s="10"/>
      <c r="Q238" s="11"/>
      <c r="R238" s="12"/>
    </row>
    <row r="239" spans="8:18" x14ac:dyDescent="0.25">
      <c r="H239" s="10"/>
      <c r="Q239" s="11"/>
      <c r="R239" s="12"/>
    </row>
    <row r="240" spans="8:18" x14ac:dyDescent="0.25">
      <c r="H240" s="10"/>
      <c r="Q240" s="11"/>
      <c r="R240" s="12"/>
    </row>
    <row r="241" spans="8:18" x14ac:dyDescent="0.25">
      <c r="H241" s="10"/>
      <c r="Q241" s="11"/>
      <c r="R241" s="12"/>
    </row>
    <row r="242" spans="8:18" x14ac:dyDescent="0.25">
      <c r="H242" s="10"/>
      <c r="Q242" s="11"/>
      <c r="R242" s="12"/>
    </row>
    <row r="243" spans="8:18" x14ac:dyDescent="0.25">
      <c r="H243" s="10"/>
      <c r="Q243" s="11"/>
      <c r="R243" s="12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198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41985" r:id="rId4"/>
      </mc:Fallback>
    </mc:AlternateContent>
    <mc:AlternateContent xmlns:mc="http://schemas.openxmlformats.org/markup-compatibility/2006">
      <mc:Choice Requires="x14">
        <oleObject progId="Equation.3" shapeId="41986" r:id="rId6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41986" r:id="rId6"/>
      </mc:Fallback>
    </mc:AlternateContent>
    <mc:AlternateContent xmlns:mc="http://schemas.openxmlformats.org/markup-compatibility/2006">
      <mc:Choice Requires="x14">
        <oleObject progId="Equation.3" shapeId="41987" r:id="rId7">
          <objectPr defaultSize="0" autoPict="0" r:id="rId5">
            <anchor moveWithCells="1" sizeWithCells="1">
              <from>
                <xdr:col>6</xdr:col>
                <xdr:colOff>171450</xdr:colOff>
                <xdr:row>75</xdr:row>
                <xdr:rowOff>38100</xdr:rowOff>
              </from>
              <to>
                <xdr:col>14</xdr:col>
                <xdr:colOff>1466850</xdr:colOff>
                <xdr:row>75</xdr:row>
                <xdr:rowOff>647700</xdr:rowOff>
              </to>
            </anchor>
          </objectPr>
        </oleObject>
      </mc:Choice>
      <mc:Fallback>
        <oleObject progId="Equation.3" shapeId="41987" r:id="rId7"/>
      </mc:Fallback>
    </mc:AlternateContent>
    <mc:AlternateContent xmlns:mc="http://schemas.openxmlformats.org/markup-compatibility/2006">
      <mc:Choice Requires="x14">
        <oleObject progId="Equation.3" shapeId="41988" r:id="rId8">
          <objectPr defaultSize="0" autoPict="0" r:id="rId5">
            <anchor moveWithCells="1" sizeWithCells="1">
              <from>
                <xdr:col>6</xdr:col>
                <xdr:colOff>171450</xdr:colOff>
                <xdr:row>148</xdr:row>
                <xdr:rowOff>38100</xdr:rowOff>
              </from>
              <to>
                <xdr:col>14</xdr:col>
                <xdr:colOff>1466850</xdr:colOff>
                <xdr:row>148</xdr:row>
                <xdr:rowOff>647700</xdr:rowOff>
              </to>
            </anchor>
          </objectPr>
        </oleObject>
      </mc:Choice>
      <mc:Fallback>
        <oleObject progId="Equation.3" shapeId="41988" r:id="rId8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List19"/>
  <dimension ref="A1:T111"/>
  <sheetViews>
    <sheetView zoomScale="70" zoomScaleNormal="70" workbookViewId="0">
      <selection activeCell="P2" sqref="P2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LINEST(E4:E27,G4:O27)</f>
        <v>-5.9452646090407929E-4</v>
      </c>
      <c r="H2" s="4">
        <v>1.4706341983155274E-3</v>
      </c>
      <c r="I2" s="4">
        <v>5.088567080873495E-3</v>
      </c>
      <c r="J2" s="4">
        <v>2.1799791593980059E-3</v>
      </c>
      <c r="K2" s="4">
        <v>-2.1251711252008986E-3</v>
      </c>
      <c r="L2" s="4">
        <v>-6.202060572317771E-3</v>
      </c>
      <c r="M2" s="4">
        <v>0.12635294397344546</v>
      </c>
      <c r="N2" s="4">
        <v>-0.63167136442271432</v>
      </c>
      <c r="O2" s="4">
        <v>0.16933979154423179</v>
      </c>
      <c r="P2" s="4">
        <v>14.365565540399665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7</v>
      </c>
      <c r="B4">
        <v>35</v>
      </c>
      <c r="C4">
        <v>30</v>
      </c>
      <c r="E4">
        <v>4.0999999999999996</v>
      </c>
      <c r="F4" s="2"/>
      <c r="G4">
        <f t="shared" ref="G4:I27" si="0">A4</f>
        <v>7</v>
      </c>
      <c r="H4" s="10">
        <f t="shared" si="0"/>
        <v>35</v>
      </c>
      <c r="I4">
        <f t="shared" si="0"/>
        <v>30</v>
      </c>
      <c r="J4">
        <f t="shared" ref="J4:J27" si="1">G4^2</f>
        <v>49</v>
      </c>
      <c r="K4">
        <f t="shared" ref="K4:K27" si="2">G4*H4</f>
        <v>245</v>
      </c>
      <c r="L4">
        <f t="shared" ref="L4:L27" si="3">G4*I4</f>
        <v>210</v>
      </c>
      <c r="M4">
        <f t="shared" ref="M4:M27" si="4">H4^2</f>
        <v>1225</v>
      </c>
      <c r="N4">
        <f t="shared" ref="N4:N27" si="5">H4*I4</f>
        <v>1050</v>
      </c>
      <c r="O4">
        <f t="shared" ref="O4:O27" si="6">I4^2</f>
        <v>900</v>
      </c>
      <c r="Q4" s="11">
        <f t="shared" ref="Q4:Q27" si="7">$P$2+$O$2*G4+$N$2*H4+$M$2*I4+$L$2*J4+$K$2*K4+$J$2*L4+$I$2*M4+$H$2*N4+$G$2*O4</f>
        <v>4.1088491428611054</v>
      </c>
      <c r="R4" s="12">
        <f t="shared" ref="R4:R27" si="8">(Q4-E4)/E4</f>
        <v>2.1583275270989559E-3</v>
      </c>
      <c r="S4" s="11"/>
      <c r="T4" s="12"/>
    </row>
    <row r="5" spans="1:20" x14ac:dyDescent="0.25">
      <c r="A5">
        <v>7</v>
      </c>
      <c r="B5">
        <v>35</v>
      </c>
      <c r="C5">
        <v>55</v>
      </c>
      <c r="E5">
        <v>8.3000000000000007</v>
      </c>
      <c r="F5" s="2"/>
      <c r="G5">
        <f t="shared" si="0"/>
        <v>7</v>
      </c>
      <c r="H5" s="10">
        <f t="shared" si="0"/>
        <v>35</v>
      </c>
      <c r="I5">
        <f t="shared" si="0"/>
        <v>55</v>
      </c>
      <c r="J5">
        <f t="shared" si="1"/>
        <v>49</v>
      </c>
      <c r="K5">
        <f t="shared" si="2"/>
        <v>245</v>
      </c>
      <c r="L5">
        <f t="shared" si="3"/>
        <v>385</v>
      </c>
      <c r="M5">
        <f t="shared" si="4"/>
        <v>1225</v>
      </c>
      <c r="N5">
        <f t="shared" si="5"/>
        <v>1925</v>
      </c>
      <c r="O5">
        <f t="shared" si="6"/>
        <v>3025</v>
      </c>
      <c r="Q5" s="11">
        <f t="shared" si="7"/>
        <v>7.6726052891968113</v>
      </c>
      <c r="R5" s="12">
        <f t="shared" si="8"/>
        <v>-7.558972419315535E-2</v>
      </c>
      <c r="S5" s="11"/>
      <c r="T5" s="12"/>
    </row>
    <row r="6" spans="1:20" x14ac:dyDescent="0.25">
      <c r="A6">
        <v>7</v>
      </c>
      <c r="B6">
        <v>35</v>
      </c>
      <c r="C6">
        <v>95</v>
      </c>
      <c r="E6">
        <v>12.2</v>
      </c>
      <c r="F6" s="2"/>
      <c r="G6">
        <f t="shared" si="0"/>
        <v>7</v>
      </c>
      <c r="H6" s="10">
        <f t="shared" si="0"/>
        <v>35</v>
      </c>
      <c r="I6">
        <f t="shared" si="0"/>
        <v>95</v>
      </c>
      <c r="J6">
        <f t="shared" si="1"/>
        <v>49</v>
      </c>
      <c r="K6">
        <f t="shared" si="2"/>
        <v>245</v>
      </c>
      <c r="L6">
        <f t="shared" si="3"/>
        <v>665</v>
      </c>
      <c r="M6">
        <f t="shared" si="4"/>
        <v>1225</v>
      </c>
      <c r="N6">
        <f t="shared" si="5"/>
        <v>3325</v>
      </c>
      <c r="O6">
        <f t="shared" si="6"/>
        <v>9025</v>
      </c>
      <c r="Q6" s="11">
        <f t="shared" si="7"/>
        <v>11.828846324983335</v>
      </c>
      <c r="R6" s="12">
        <f t="shared" si="8"/>
        <v>-3.0422432378415118E-2</v>
      </c>
      <c r="S6" s="11"/>
      <c r="T6" s="12"/>
    </row>
    <row r="7" spans="1:20" x14ac:dyDescent="0.25">
      <c r="A7">
        <v>2</v>
      </c>
      <c r="B7">
        <v>35</v>
      </c>
      <c r="C7">
        <v>30</v>
      </c>
      <c r="E7">
        <v>3.5</v>
      </c>
      <c r="F7" s="2"/>
      <c r="G7">
        <f t="shared" si="0"/>
        <v>2</v>
      </c>
      <c r="H7" s="10">
        <f t="shared" si="0"/>
        <v>35</v>
      </c>
      <c r="I7">
        <f t="shared" si="0"/>
        <v>30</v>
      </c>
      <c r="J7">
        <f t="shared" si="1"/>
        <v>4</v>
      </c>
      <c r="K7">
        <f t="shared" si="2"/>
        <v>70</v>
      </c>
      <c r="L7">
        <f t="shared" si="3"/>
        <v>60</v>
      </c>
      <c r="M7">
        <f t="shared" si="4"/>
        <v>1225</v>
      </c>
      <c r="N7">
        <f t="shared" si="5"/>
        <v>1050</v>
      </c>
      <c r="O7">
        <f t="shared" si="6"/>
        <v>900</v>
      </c>
      <c r="Q7" s="11">
        <f t="shared" si="7"/>
        <v>3.5861509838947025</v>
      </c>
      <c r="R7" s="12">
        <f t="shared" si="8"/>
        <v>2.4614566827057871E-2</v>
      </c>
      <c r="S7" s="11"/>
      <c r="T7" s="12"/>
    </row>
    <row r="8" spans="1:20" x14ac:dyDescent="0.25">
      <c r="A8">
        <v>2</v>
      </c>
      <c r="B8">
        <v>35</v>
      </c>
      <c r="C8">
        <v>55</v>
      </c>
      <c r="E8">
        <v>7.2</v>
      </c>
      <c r="F8" s="2"/>
      <c r="G8">
        <f t="shared" si="0"/>
        <v>2</v>
      </c>
      <c r="H8" s="10">
        <f t="shared" si="0"/>
        <v>35</v>
      </c>
      <c r="I8">
        <f t="shared" si="0"/>
        <v>55</v>
      </c>
      <c r="J8">
        <f t="shared" si="1"/>
        <v>4</v>
      </c>
      <c r="K8">
        <f t="shared" si="2"/>
        <v>70</v>
      </c>
      <c r="L8">
        <f t="shared" si="3"/>
        <v>110</v>
      </c>
      <c r="M8">
        <f t="shared" si="4"/>
        <v>1225</v>
      </c>
      <c r="N8">
        <f t="shared" si="5"/>
        <v>1925</v>
      </c>
      <c r="O8">
        <f t="shared" si="6"/>
        <v>3025</v>
      </c>
      <c r="Q8" s="11">
        <f t="shared" si="7"/>
        <v>6.8774097353056565</v>
      </c>
      <c r="R8" s="12">
        <f t="shared" si="8"/>
        <v>-4.4804203429769957E-2</v>
      </c>
      <c r="S8" s="11"/>
      <c r="T8" s="12"/>
    </row>
    <row r="9" spans="1:20" x14ac:dyDescent="0.25">
      <c r="A9">
        <v>2</v>
      </c>
      <c r="B9">
        <v>35</v>
      </c>
      <c r="C9">
        <v>95</v>
      </c>
      <c r="E9">
        <v>9.9</v>
      </c>
      <c r="F9" s="2"/>
      <c r="G9">
        <f t="shared" si="0"/>
        <v>2</v>
      </c>
      <c r="H9" s="10">
        <f t="shared" si="0"/>
        <v>35</v>
      </c>
      <c r="I9">
        <f t="shared" si="0"/>
        <v>95</v>
      </c>
      <c r="J9">
        <f t="shared" si="1"/>
        <v>4</v>
      </c>
      <c r="K9">
        <f t="shared" si="2"/>
        <v>70</v>
      </c>
      <c r="L9">
        <f t="shared" si="3"/>
        <v>190</v>
      </c>
      <c r="M9">
        <f t="shared" si="4"/>
        <v>1225</v>
      </c>
      <c r="N9">
        <f t="shared" si="5"/>
        <v>3325</v>
      </c>
      <c r="O9">
        <f t="shared" si="6"/>
        <v>9025</v>
      </c>
      <c r="Q9" s="11">
        <f t="shared" si="7"/>
        <v>10.597654939212578</v>
      </c>
      <c r="R9" s="12">
        <f t="shared" si="8"/>
        <v>7.0470195880058373E-2</v>
      </c>
      <c r="S9" s="11"/>
      <c r="T9" s="12"/>
    </row>
    <row r="10" spans="1:20" x14ac:dyDescent="0.25">
      <c r="A10">
        <v>-7</v>
      </c>
      <c r="B10">
        <v>35</v>
      </c>
      <c r="C10">
        <v>30</v>
      </c>
      <c r="E10">
        <v>1.5</v>
      </c>
      <c r="F10" s="2"/>
      <c r="G10">
        <f t="shared" si="0"/>
        <v>-7</v>
      </c>
      <c r="H10" s="10">
        <f t="shared" si="0"/>
        <v>35</v>
      </c>
      <c r="I10">
        <f t="shared" si="0"/>
        <v>30</v>
      </c>
      <c r="J10">
        <f t="shared" si="1"/>
        <v>49</v>
      </c>
      <c r="K10">
        <f t="shared" si="2"/>
        <v>-245</v>
      </c>
      <c r="L10">
        <f t="shared" si="3"/>
        <v>-210</v>
      </c>
      <c r="M10">
        <f t="shared" si="4"/>
        <v>1225</v>
      </c>
      <c r="N10">
        <f t="shared" si="5"/>
        <v>1050</v>
      </c>
      <c r="O10">
        <f t="shared" si="6"/>
        <v>900</v>
      </c>
      <c r="Q10" s="11">
        <f t="shared" si="7"/>
        <v>1.8638346656431377</v>
      </c>
      <c r="R10" s="12">
        <f t="shared" si="8"/>
        <v>0.24255644376209182</v>
      </c>
      <c r="S10" s="11"/>
      <c r="T10" s="12"/>
    </row>
    <row r="11" spans="1:20" x14ac:dyDescent="0.25">
      <c r="A11">
        <v>-7</v>
      </c>
      <c r="B11">
        <v>35</v>
      </c>
      <c r="C11">
        <v>55</v>
      </c>
      <c r="E11">
        <v>4.9000000000000004</v>
      </c>
      <c r="F11" s="2"/>
      <c r="G11">
        <f t="shared" si="0"/>
        <v>-7</v>
      </c>
      <c r="H11" s="10">
        <f t="shared" si="0"/>
        <v>35</v>
      </c>
      <c r="I11">
        <f t="shared" si="0"/>
        <v>55</v>
      </c>
      <c r="J11">
        <f t="shared" si="1"/>
        <v>49</v>
      </c>
      <c r="K11">
        <f t="shared" si="2"/>
        <v>-245</v>
      </c>
      <c r="L11">
        <f t="shared" si="3"/>
        <v>-385</v>
      </c>
      <c r="M11">
        <f t="shared" si="4"/>
        <v>1225</v>
      </c>
      <c r="N11">
        <f t="shared" si="5"/>
        <v>1925</v>
      </c>
      <c r="O11">
        <f t="shared" si="6"/>
        <v>3025</v>
      </c>
      <c r="Q11" s="11">
        <f t="shared" si="7"/>
        <v>4.6645981061895405</v>
      </c>
      <c r="R11" s="12">
        <f t="shared" si="8"/>
        <v>-4.8041202818461186E-2</v>
      </c>
      <c r="S11" s="11"/>
      <c r="T11" s="12"/>
    </row>
    <row r="12" spans="1:20" x14ac:dyDescent="0.25">
      <c r="A12">
        <v>-7</v>
      </c>
      <c r="B12">
        <v>35</v>
      </c>
      <c r="C12">
        <v>95</v>
      </c>
      <c r="E12">
        <v>7.2</v>
      </c>
      <c r="F12" s="2"/>
      <c r="G12">
        <f t="shared" si="0"/>
        <v>-7</v>
      </c>
      <c r="H12" s="10">
        <f t="shared" si="0"/>
        <v>35</v>
      </c>
      <c r="I12">
        <f t="shared" si="0"/>
        <v>95</v>
      </c>
      <c r="J12">
        <f t="shared" si="1"/>
        <v>49</v>
      </c>
      <c r="K12">
        <f t="shared" si="2"/>
        <v>-245</v>
      </c>
      <c r="L12">
        <f t="shared" si="3"/>
        <v>-665</v>
      </c>
      <c r="M12">
        <f t="shared" si="4"/>
        <v>1225</v>
      </c>
      <c r="N12">
        <f t="shared" si="5"/>
        <v>3325</v>
      </c>
      <c r="O12">
        <f t="shared" si="6"/>
        <v>9025</v>
      </c>
      <c r="Q12" s="11">
        <f t="shared" si="7"/>
        <v>7.6000508127131807</v>
      </c>
      <c r="R12" s="12">
        <f t="shared" si="8"/>
        <v>5.5562612876830633E-2</v>
      </c>
      <c r="S12" s="11"/>
      <c r="T12" s="12"/>
    </row>
    <row r="13" spans="1:20" x14ac:dyDescent="0.25">
      <c r="A13">
        <v>7</v>
      </c>
      <c r="B13">
        <v>45</v>
      </c>
      <c r="C13">
        <v>36</v>
      </c>
      <c r="E13">
        <v>3.6</v>
      </c>
      <c r="F13" s="2"/>
      <c r="G13">
        <f t="shared" si="0"/>
        <v>7</v>
      </c>
      <c r="H13" s="10">
        <f t="shared" si="0"/>
        <v>45</v>
      </c>
      <c r="I13">
        <f t="shared" si="0"/>
        <v>36</v>
      </c>
      <c r="J13">
        <f t="shared" si="1"/>
        <v>49</v>
      </c>
      <c r="K13">
        <f t="shared" si="2"/>
        <v>315</v>
      </c>
      <c r="L13">
        <f t="shared" si="3"/>
        <v>252</v>
      </c>
      <c r="M13">
        <f t="shared" si="4"/>
        <v>2025</v>
      </c>
      <c r="N13">
        <f t="shared" si="5"/>
        <v>1620</v>
      </c>
      <c r="O13">
        <f t="shared" si="6"/>
        <v>1296</v>
      </c>
      <c r="Q13" s="11">
        <f t="shared" si="7"/>
        <v>3.1667329876259185</v>
      </c>
      <c r="R13" s="12">
        <f t="shared" si="8"/>
        <v>-0.12035194788168933</v>
      </c>
      <c r="S13" s="11"/>
      <c r="T13" s="12"/>
    </row>
    <row r="14" spans="1:20" x14ac:dyDescent="0.25">
      <c r="A14">
        <v>7</v>
      </c>
      <c r="B14">
        <v>45</v>
      </c>
      <c r="C14">
        <v>61</v>
      </c>
      <c r="E14">
        <v>4.2</v>
      </c>
      <c r="F14" s="2"/>
      <c r="G14">
        <f t="shared" si="0"/>
        <v>7</v>
      </c>
      <c r="H14" s="10">
        <f t="shared" si="0"/>
        <v>45</v>
      </c>
      <c r="I14">
        <f t="shared" si="0"/>
        <v>61</v>
      </c>
      <c r="J14">
        <f t="shared" si="1"/>
        <v>49</v>
      </c>
      <c r="K14">
        <f t="shared" si="2"/>
        <v>315</v>
      </c>
      <c r="L14">
        <f t="shared" si="3"/>
        <v>427</v>
      </c>
      <c r="M14">
        <f t="shared" si="4"/>
        <v>2025</v>
      </c>
      <c r="N14">
        <f t="shared" si="5"/>
        <v>2745</v>
      </c>
      <c r="O14">
        <f t="shared" si="6"/>
        <v>3721</v>
      </c>
      <c r="Q14" s="11">
        <f t="shared" si="7"/>
        <v>6.9197897452692798</v>
      </c>
      <c r="R14" s="12">
        <f t="shared" si="8"/>
        <v>0.6475689869688761</v>
      </c>
      <c r="S14" s="11"/>
      <c r="T14" s="12"/>
    </row>
    <row r="15" spans="1:20" x14ac:dyDescent="0.25">
      <c r="A15">
        <v>7</v>
      </c>
      <c r="B15">
        <v>45</v>
      </c>
      <c r="C15">
        <v>91</v>
      </c>
      <c r="E15">
        <v>10.9</v>
      </c>
      <c r="F15" s="2"/>
      <c r="G15">
        <f t="shared" si="0"/>
        <v>7</v>
      </c>
      <c r="H15" s="10">
        <f t="shared" si="0"/>
        <v>45</v>
      </c>
      <c r="I15">
        <f t="shared" si="0"/>
        <v>91</v>
      </c>
      <c r="J15">
        <f t="shared" si="1"/>
        <v>49</v>
      </c>
      <c r="K15">
        <f t="shared" si="2"/>
        <v>315</v>
      </c>
      <c r="L15">
        <f t="shared" si="3"/>
        <v>637</v>
      </c>
      <c r="M15">
        <f t="shared" si="4"/>
        <v>2025</v>
      </c>
      <c r="N15">
        <f t="shared" si="5"/>
        <v>4095</v>
      </c>
      <c r="O15">
        <f t="shared" si="6"/>
        <v>8281</v>
      </c>
      <c r="Q15" s="11">
        <f t="shared" si="7"/>
        <v>10.442489193949587</v>
      </c>
      <c r="R15" s="12">
        <f t="shared" si="8"/>
        <v>-4.1973468444992029E-2</v>
      </c>
      <c r="S15" s="11"/>
      <c r="T15" s="12"/>
    </row>
    <row r="16" spans="1:20" x14ac:dyDescent="0.25">
      <c r="A16">
        <v>2</v>
      </c>
      <c r="B16">
        <v>45</v>
      </c>
      <c r="C16">
        <v>36</v>
      </c>
      <c r="E16">
        <v>2.6</v>
      </c>
      <c r="F16" s="2"/>
      <c r="G16">
        <f t="shared" si="0"/>
        <v>2</v>
      </c>
      <c r="H16" s="10">
        <f t="shared" si="0"/>
        <v>45</v>
      </c>
      <c r="I16">
        <f t="shared" si="0"/>
        <v>36</v>
      </c>
      <c r="J16">
        <f t="shared" si="1"/>
        <v>4</v>
      </c>
      <c r="K16">
        <f t="shared" si="2"/>
        <v>90</v>
      </c>
      <c r="L16">
        <f t="shared" si="3"/>
        <v>72</v>
      </c>
      <c r="M16">
        <f t="shared" si="4"/>
        <v>2025</v>
      </c>
      <c r="N16">
        <f t="shared" si="5"/>
        <v>1620</v>
      </c>
      <c r="O16">
        <f t="shared" si="6"/>
        <v>1296</v>
      </c>
      <c r="Q16" s="11">
        <f t="shared" si="7"/>
        <v>2.6848940101376186</v>
      </c>
      <c r="R16" s="12">
        <f t="shared" si="8"/>
        <v>3.2651542360622517E-2</v>
      </c>
      <c r="S16" s="11"/>
      <c r="T16" s="12"/>
    </row>
    <row r="17" spans="1:20" x14ac:dyDescent="0.25">
      <c r="A17">
        <v>2</v>
      </c>
      <c r="B17">
        <v>45</v>
      </c>
      <c r="C17">
        <v>61</v>
      </c>
      <c r="E17">
        <v>6.5</v>
      </c>
      <c r="F17" s="2"/>
      <c r="G17">
        <f t="shared" si="0"/>
        <v>2</v>
      </c>
      <c r="H17" s="10">
        <f t="shared" si="0"/>
        <v>45</v>
      </c>
      <c r="I17">
        <f t="shared" si="0"/>
        <v>61</v>
      </c>
      <c r="J17">
        <f t="shared" si="1"/>
        <v>4</v>
      </c>
      <c r="K17">
        <f t="shared" si="2"/>
        <v>90</v>
      </c>
      <c r="L17">
        <f t="shared" si="3"/>
        <v>122</v>
      </c>
      <c r="M17">
        <f t="shared" si="4"/>
        <v>2025</v>
      </c>
      <c r="N17">
        <f t="shared" si="5"/>
        <v>2745</v>
      </c>
      <c r="O17">
        <f t="shared" si="6"/>
        <v>3721</v>
      </c>
      <c r="Q17" s="11">
        <f t="shared" si="7"/>
        <v>6.1654533728562297</v>
      </c>
      <c r="R17" s="12">
        <f t="shared" si="8"/>
        <v>-5.146871186827235E-2</v>
      </c>
      <c r="S17" s="11"/>
      <c r="T17" s="12"/>
    </row>
    <row r="18" spans="1:20" x14ac:dyDescent="0.25">
      <c r="A18">
        <v>2</v>
      </c>
      <c r="B18">
        <v>45</v>
      </c>
      <c r="C18">
        <v>91</v>
      </c>
      <c r="E18">
        <v>9.8000000000000007</v>
      </c>
      <c r="F18" s="2"/>
      <c r="G18">
        <f t="shared" si="0"/>
        <v>2</v>
      </c>
      <c r="H18" s="10">
        <f t="shared" si="0"/>
        <v>45</v>
      </c>
      <c r="I18">
        <f t="shared" si="0"/>
        <v>91</v>
      </c>
      <c r="J18">
        <f t="shared" si="1"/>
        <v>4</v>
      </c>
      <c r="K18">
        <f t="shared" si="2"/>
        <v>90</v>
      </c>
      <c r="L18">
        <f t="shared" si="3"/>
        <v>182</v>
      </c>
      <c r="M18">
        <f t="shared" si="4"/>
        <v>2025</v>
      </c>
      <c r="N18">
        <f t="shared" si="5"/>
        <v>4095</v>
      </c>
      <c r="O18">
        <f t="shared" si="6"/>
        <v>8281</v>
      </c>
      <c r="Q18" s="11">
        <f t="shared" si="7"/>
        <v>9.361155947626834</v>
      </c>
      <c r="R18" s="12">
        <f t="shared" si="8"/>
        <v>-4.478000534420068E-2</v>
      </c>
      <c r="S18" s="11"/>
      <c r="T18" s="12"/>
    </row>
    <row r="19" spans="1:20" x14ac:dyDescent="0.25">
      <c r="A19">
        <v>-7</v>
      </c>
      <c r="B19">
        <v>45</v>
      </c>
      <c r="C19">
        <v>61</v>
      </c>
      <c r="E19">
        <v>4.5999999999999996</v>
      </c>
      <c r="F19" s="2"/>
      <c r="G19">
        <f t="shared" si="0"/>
        <v>-7</v>
      </c>
      <c r="H19" s="10">
        <f t="shared" si="0"/>
        <v>45</v>
      </c>
      <c r="I19">
        <f t="shared" si="0"/>
        <v>61</v>
      </c>
      <c r="J19">
        <f t="shared" si="1"/>
        <v>49</v>
      </c>
      <c r="K19">
        <f t="shared" si="2"/>
        <v>-315</v>
      </c>
      <c r="L19">
        <f t="shared" si="3"/>
        <v>-427</v>
      </c>
      <c r="M19">
        <f t="shared" si="4"/>
        <v>2025</v>
      </c>
      <c r="N19">
        <f t="shared" si="5"/>
        <v>2745</v>
      </c>
      <c r="O19">
        <f t="shared" si="6"/>
        <v>3721</v>
      </c>
      <c r="Q19" s="11">
        <f t="shared" si="7"/>
        <v>4.0261882704007022</v>
      </c>
      <c r="R19" s="12">
        <f t="shared" si="8"/>
        <v>-0.12474168034767338</v>
      </c>
      <c r="S19" s="11"/>
      <c r="T19" s="12"/>
    </row>
    <row r="20" spans="1:20" x14ac:dyDescent="0.25">
      <c r="A20">
        <v>-7</v>
      </c>
      <c r="B20">
        <v>45</v>
      </c>
      <c r="C20">
        <v>91</v>
      </c>
      <c r="E20">
        <v>7.2</v>
      </c>
      <c r="F20" s="2"/>
      <c r="G20">
        <f t="shared" si="0"/>
        <v>-7</v>
      </c>
      <c r="H20" s="10">
        <f t="shared" si="0"/>
        <v>45</v>
      </c>
      <c r="I20">
        <f t="shared" si="0"/>
        <v>91</v>
      </c>
      <c r="J20">
        <f t="shared" si="1"/>
        <v>49</v>
      </c>
      <c r="K20">
        <f t="shared" si="2"/>
        <v>-315</v>
      </c>
      <c r="L20">
        <f t="shared" si="3"/>
        <v>-637</v>
      </c>
      <c r="M20">
        <f t="shared" si="4"/>
        <v>2025</v>
      </c>
      <c r="N20">
        <f t="shared" si="5"/>
        <v>4095</v>
      </c>
      <c r="O20">
        <f t="shared" si="6"/>
        <v>8281</v>
      </c>
      <c r="Q20" s="11">
        <f t="shared" si="7"/>
        <v>6.6332964721338463</v>
      </c>
      <c r="R20" s="12">
        <f t="shared" si="8"/>
        <v>-7.870882331474359E-2</v>
      </c>
      <c r="S20" s="11"/>
      <c r="T20" s="12"/>
    </row>
    <row r="21" spans="1:20" x14ac:dyDescent="0.25">
      <c r="A21">
        <v>7</v>
      </c>
      <c r="B21">
        <v>55</v>
      </c>
      <c r="C21">
        <v>36</v>
      </c>
      <c r="E21">
        <v>2.4</v>
      </c>
      <c r="G21">
        <f t="shared" si="0"/>
        <v>7</v>
      </c>
      <c r="H21" s="10">
        <f t="shared" si="0"/>
        <v>55</v>
      </c>
      <c r="I21">
        <f t="shared" si="0"/>
        <v>36</v>
      </c>
      <c r="J21">
        <f t="shared" si="1"/>
        <v>49</v>
      </c>
      <c r="K21">
        <f t="shared" si="2"/>
        <v>385</v>
      </c>
      <c r="L21">
        <f t="shared" si="3"/>
        <v>252</v>
      </c>
      <c r="M21">
        <f t="shared" si="4"/>
        <v>3025</v>
      </c>
      <c r="N21">
        <f t="shared" si="5"/>
        <v>1980</v>
      </c>
      <c r="O21">
        <f t="shared" si="6"/>
        <v>1296</v>
      </c>
      <c r="Q21" s="11">
        <f t="shared" si="7"/>
        <v>2.3192527569017973</v>
      </c>
      <c r="R21" s="12">
        <f t="shared" si="8"/>
        <v>-3.3644684624251076E-2</v>
      </c>
      <c r="S21" s="11"/>
      <c r="T21" s="12"/>
    </row>
    <row r="22" spans="1:20" x14ac:dyDescent="0.25">
      <c r="A22">
        <v>7</v>
      </c>
      <c r="B22">
        <v>55</v>
      </c>
      <c r="C22">
        <v>61</v>
      </c>
      <c r="E22">
        <v>7.3</v>
      </c>
      <c r="G22">
        <f t="shared" si="0"/>
        <v>7</v>
      </c>
      <c r="H22" s="10">
        <f t="shared" si="0"/>
        <v>55</v>
      </c>
      <c r="I22">
        <f t="shared" si="0"/>
        <v>61</v>
      </c>
      <c r="J22">
        <f t="shared" si="1"/>
        <v>49</v>
      </c>
      <c r="K22">
        <f t="shared" si="2"/>
        <v>385</v>
      </c>
      <c r="L22">
        <f t="shared" si="3"/>
        <v>427</v>
      </c>
      <c r="M22">
        <f t="shared" si="4"/>
        <v>3025</v>
      </c>
      <c r="N22">
        <f t="shared" si="5"/>
        <v>3355</v>
      </c>
      <c r="O22">
        <f t="shared" si="6"/>
        <v>3721</v>
      </c>
      <c r="Q22" s="11">
        <f t="shared" si="7"/>
        <v>6.4399680641240407</v>
      </c>
      <c r="R22" s="12">
        <f t="shared" si="8"/>
        <v>-0.11781259395561085</v>
      </c>
      <c r="S22" s="11"/>
      <c r="T22" s="12"/>
    </row>
    <row r="23" spans="1:20" x14ac:dyDescent="0.25">
      <c r="A23">
        <v>7</v>
      </c>
      <c r="B23">
        <v>55</v>
      </c>
      <c r="C23">
        <v>81</v>
      </c>
      <c r="E23">
        <v>9.1</v>
      </c>
      <c r="G23">
        <f t="shared" si="0"/>
        <v>7</v>
      </c>
      <c r="H23" s="10">
        <f t="shared" si="0"/>
        <v>55</v>
      </c>
      <c r="I23">
        <f t="shared" si="0"/>
        <v>81</v>
      </c>
      <c r="J23">
        <f t="shared" si="1"/>
        <v>49</v>
      </c>
      <c r="K23">
        <f t="shared" si="2"/>
        <v>385</v>
      </c>
      <c r="L23">
        <f t="shared" si="3"/>
        <v>567</v>
      </c>
      <c r="M23">
        <f t="shared" si="4"/>
        <v>3025</v>
      </c>
      <c r="N23">
        <f t="shared" si="5"/>
        <v>4455</v>
      </c>
      <c r="O23">
        <f t="shared" si="6"/>
        <v>6561</v>
      </c>
      <c r="Q23" s="11">
        <f t="shared" si="7"/>
        <v>9.2014664950881659</v>
      </c>
      <c r="R23" s="12">
        <f t="shared" si="8"/>
        <v>1.115016429540289E-2</v>
      </c>
      <c r="S23" s="11"/>
      <c r="T23" s="12"/>
    </row>
    <row r="24" spans="1:20" x14ac:dyDescent="0.25">
      <c r="A24">
        <v>2</v>
      </c>
      <c r="B24">
        <v>55</v>
      </c>
      <c r="C24">
        <v>61</v>
      </c>
      <c r="E24">
        <v>5.8</v>
      </c>
      <c r="G24">
        <f t="shared" si="0"/>
        <v>2</v>
      </c>
      <c r="H24" s="10">
        <f t="shared" si="0"/>
        <v>55</v>
      </c>
      <c r="I24">
        <f t="shared" si="0"/>
        <v>61</v>
      </c>
      <c r="J24">
        <f t="shared" si="1"/>
        <v>4</v>
      </c>
      <c r="K24">
        <f t="shared" si="2"/>
        <v>110</v>
      </c>
      <c r="L24">
        <f t="shared" si="3"/>
        <v>122</v>
      </c>
      <c r="M24">
        <f t="shared" si="4"/>
        <v>3025</v>
      </c>
      <c r="N24">
        <f t="shared" si="5"/>
        <v>3355</v>
      </c>
      <c r="O24">
        <f t="shared" si="6"/>
        <v>3721</v>
      </c>
      <c r="Q24" s="11">
        <f t="shared" si="7"/>
        <v>5.7918902479710352</v>
      </c>
      <c r="R24" s="12">
        <f t="shared" si="8"/>
        <v>-1.3982331084421687E-3</v>
      </c>
      <c r="S24" s="11"/>
      <c r="T24" s="12"/>
    </row>
    <row r="25" spans="1:20" x14ac:dyDescent="0.25">
      <c r="A25">
        <v>2</v>
      </c>
      <c r="B25">
        <v>55</v>
      </c>
      <c r="C25">
        <v>81</v>
      </c>
      <c r="E25">
        <v>8.1</v>
      </c>
      <c r="G25">
        <f t="shared" si="0"/>
        <v>2</v>
      </c>
      <c r="H25" s="10">
        <f t="shared" si="0"/>
        <v>55</v>
      </c>
      <c r="I25">
        <f t="shared" si="0"/>
        <v>81</v>
      </c>
      <c r="J25">
        <f t="shared" si="1"/>
        <v>4</v>
      </c>
      <c r="K25">
        <f t="shared" si="2"/>
        <v>110</v>
      </c>
      <c r="L25">
        <f t="shared" si="3"/>
        <v>162</v>
      </c>
      <c r="M25">
        <f t="shared" si="4"/>
        <v>3025</v>
      </c>
      <c r="N25">
        <f t="shared" si="5"/>
        <v>4455</v>
      </c>
      <c r="O25">
        <f t="shared" si="6"/>
        <v>6561</v>
      </c>
      <c r="Q25" s="11">
        <f t="shared" si="7"/>
        <v>8.3353907629953614</v>
      </c>
      <c r="R25" s="12">
        <f t="shared" si="8"/>
        <v>2.9060588024118737E-2</v>
      </c>
      <c r="S25" s="11"/>
      <c r="T25" s="12"/>
    </row>
    <row r="26" spans="1:20" x14ac:dyDescent="0.25">
      <c r="A26">
        <v>-7</v>
      </c>
      <c r="B26">
        <v>55</v>
      </c>
      <c r="C26">
        <v>61</v>
      </c>
      <c r="E26">
        <v>3.6</v>
      </c>
      <c r="G26">
        <f t="shared" si="0"/>
        <v>-7</v>
      </c>
      <c r="H26" s="10">
        <f t="shared" si="0"/>
        <v>55</v>
      </c>
      <c r="I26">
        <f t="shared" si="0"/>
        <v>61</v>
      </c>
      <c r="J26">
        <f t="shared" si="1"/>
        <v>49</v>
      </c>
      <c r="K26">
        <f t="shared" si="2"/>
        <v>-385</v>
      </c>
      <c r="L26">
        <f t="shared" si="3"/>
        <v>-427</v>
      </c>
      <c r="M26">
        <f t="shared" si="4"/>
        <v>3025</v>
      </c>
      <c r="N26">
        <f t="shared" si="5"/>
        <v>3355</v>
      </c>
      <c r="O26">
        <f t="shared" si="6"/>
        <v>3721</v>
      </c>
      <c r="Q26" s="11">
        <f t="shared" si="7"/>
        <v>3.8438905467835891</v>
      </c>
      <c r="R26" s="12">
        <f t="shared" si="8"/>
        <v>6.7747374106552502E-2</v>
      </c>
      <c r="S26" s="11"/>
      <c r="T26" s="12"/>
    </row>
    <row r="27" spans="1:20" x14ac:dyDescent="0.25">
      <c r="A27">
        <v>-7</v>
      </c>
      <c r="B27">
        <v>55</v>
      </c>
      <c r="C27">
        <v>85</v>
      </c>
      <c r="E27">
        <v>6</v>
      </c>
      <c r="G27">
        <f t="shared" si="0"/>
        <v>-7</v>
      </c>
      <c r="H27" s="10">
        <f t="shared" si="0"/>
        <v>55</v>
      </c>
      <c r="I27">
        <f t="shared" si="0"/>
        <v>85</v>
      </c>
      <c r="J27">
        <f t="shared" si="1"/>
        <v>49</v>
      </c>
      <c r="K27">
        <f t="shared" si="2"/>
        <v>-385</v>
      </c>
      <c r="L27">
        <f t="shared" si="3"/>
        <v>-595</v>
      </c>
      <c r="M27">
        <f t="shared" si="4"/>
        <v>3025</v>
      </c>
      <c r="N27">
        <f t="shared" si="5"/>
        <v>4675</v>
      </c>
      <c r="O27">
        <f t="shared" si="6"/>
        <v>7225</v>
      </c>
      <c r="Q27" s="11">
        <f t="shared" si="7"/>
        <v>6.3681411261360195</v>
      </c>
      <c r="R27" s="12">
        <f t="shared" si="8"/>
        <v>6.1356854356003243E-2</v>
      </c>
      <c r="S27" s="11"/>
      <c r="T27" s="12"/>
    </row>
    <row r="30" spans="1:20" x14ac:dyDescent="0.25">
      <c r="A30" t="s">
        <v>27</v>
      </c>
      <c r="G30" s="4" t="s">
        <v>1</v>
      </c>
      <c r="H30" s="4" t="s">
        <v>2</v>
      </c>
      <c r="I30" s="4" t="s">
        <v>3</v>
      </c>
      <c r="J30" s="4" t="s">
        <v>4</v>
      </c>
      <c r="K30" s="4" t="s">
        <v>5</v>
      </c>
      <c r="L30" s="4" t="s">
        <v>6</v>
      </c>
      <c r="M30" s="4" t="s">
        <v>7</v>
      </c>
      <c r="N30" s="4" t="s">
        <v>8</v>
      </c>
      <c r="O30" s="4" t="s">
        <v>9</v>
      </c>
      <c r="P30" s="4" t="s">
        <v>10</v>
      </c>
    </row>
    <row r="31" spans="1:20" x14ac:dyDescent="0.25">
      <c r="A31" s="1"/>
      <c r="C31" s="1"/>
      <c r="D31" s="1"/>
      <c r="E31" s="1"/>
      <c r="F31" s="1"/>
      <c r="G31" s="4">
        <f t="array" ref="G31:P31">LINEST(E33:E56,G33:O56)</f>
        <v>1.9556047541650052E-4</v>
      </c>
      <c r="H31" s="4">
        <v>1.0603346829457534E-3</v>
      </c>
      <c r="I31" s="4">
        <v>1.3721809781103965E-3</v>
      </c>
      <c r="J31" s="4">
        <v>1.128519143141535E-4</v>
      </c>
      <c r="K31" s="4">
        <v>8.3136528795122009E-4</v>
      </c>
      <c r="L31" s="4">
        <v>-2.108399831558745E-3</v>
      </c>
      <c r="M31" s="4">
        <v>-3.5680494620985319E-2</v>
      </c>
      <c r="N31" s="4">
        <v>-0.14707668245411101</v>
      </c>
      <c r="O31" s="4">
        <v>-3.7386973744724869E-2</v>
      </c>
      <c r="P31" s="4">
        <v>4.3983061776007313</v>
      </c>
    </row>
    <row r="32" spans="1:20" ht="45" x14ac:dyDescent="0.25">
      <c r="A32" s="5" t="s">
        <v>11</v>
      </c>
      <c r="B32" s="5" t="s">
        <v>12</v>
      </c>
      <c r="C32" s="5" t="s">
        <v>13</v>
      </c>
      <c r="D32" s="6"/>
      <c r="E32" s="7" t="s">
        <v>14</v>
      </c>
      <c r="F32" s="3"/>
      <c r="G32" s="8" t="s">
        <v>17</v>
      </c>
      <c r="H32" s="8" t="s">
        <v>18</v>
      </c>
      <c r="I32" s="8" t="s">
        <v>0</v>
      </c>
      <c r="J32" s="8" t="s">
        <v>19</v>
      </c>
      <c r="K32" s="8" t="s">
        <v>20</v>
      </c>
      <c r="L32" s="8" t="s">
        <v>21</v>
      </c>
      <c r="M32" s="8" t="s">
        <v>22</v>
      </c>
      <c r="N32" s="8" t="s">
        <v>23</v>
      </c>
      <c r="O32" s="8" t="s">
        <v>24</v>
      </c>
      <c r="P32" s="3"/>
      <c r="Q32" s="9" t="s">
        <v>14</v>
      </c>
      <c r="R32" s="9" t="s">
        <v>15</v>
      </c>
    </row>
    <row r="33" spans="1:18" x14ac:dyDescent="0.25">
      <c r="A33">
        <v>7</v>
      </c>
      <c r="B33">
        <v>35</v>
      </c>
      <c r="C33">
        <f t="shared" ref="C33:C54" si="9">C4</f>
        <v>30</v>
      </c>
      <c r="E33">
        <v>1</v>
      </c>
      <c r="F33" s="2"/>
      <c r="G33">
        <f t="shared" ref="G33:I56" si="10">A33</f>
        <v>7</v>
      </c>
      <c r="H33" s="10">
        <f t="shared" si="10"/>
        <v>35</v>
      </c>
      <c r="I33">
        <f t="shared" si="10"/>
        <v>30</v>
      </c>
      <c r="J33">
        <f t="shared" ref="J33:J56" si="11">G33^2</f>
        <v>49</v>
      </c>
      <c r="K33">
        <f t="shared" ref="K33:K56" si="12">G33*H33</f>
        <v>245</v>
      </c>
      <c r="L33">
        <f t="shared" ref="L33:L56" si="13">G33*I33</f>
        <v>210</v>
      </c>
      <c r="M33">
        <f t="shared" ref="M33:M56" si="14">H33^2</f>
        <v>1225</v>
      </c>
      <c r="N33">
        <f t="shared" ref="N33:N56" si="15">H33*I33</f>
        <v>1050</v>
      </c>
      <c r="O33">
        <f t="shared" ref="O33:O56" si="16">I33^2</f>
        <v>900</v>
      </c>
      <c r="Q33" s="11">
        <f t="shared" ref="Q33:Q56" si="17">$P$31+$O$31*G33+$N$31*H33+$M$31*I33+$L$31*J33+$K$31*K33+$J$31*L33+$I$31*M33+$H$31*N33+$G$31*O33</f>
        <v>1.0128479858249826</v>
      </c>
      <c r="R33" s="12">
        <f t="shared" ref="R33:R56" si="18">(Q33-E33)/E33</f>
        <v>1.2847985824982588E-2</v>
      </c>
    </row>
    <row r="34" spans="1:18" x14ac:dyDescent="0.25">
      <c r="A34">
        <v>7</v>
      </c>
      <c r="B34">
        <v>35</v>
      </c>
      <c r="C34">
        <f t="shared" si="9"/>
        <v>55</v>
      </c>
      <c r="E34">
        <v>1.7</v>
      </c>
      <c r="F34" s="2"/>
      <c r="G34">
        <f t="shared" si="10"/>
        <v>7</v>
      </c>
      <c r="H34" s="10">
        <f t="shared" si="10"/>
        <v>35</v>
      </c>
      <c r="I34">
        <f t="shared" si="10"/>
        <v>55</v>
      </c>
      <c r="J34">
        <f t="shared" si="11"/>
        <v>49</v>
      </c>
      <c r="K34">
        <f t="shared" si="12"/>
        <v>245</v>
      </c>
      <c r="L34">
        <f t="shared" si="13"/>
        <v>385</v>
      </c>
      <c r="M34">
        <f t="shared" si="14"/>
        <v>1225</v>
      </c>
      <c r="N34">
        <f t="shared" si="15"/>
        <v>1925</v>
      </c>
      <c r="O34">
        <f t="shared" si="16"/>
        <v>3025</v>
      </c>
      <c r="Q34" s="11">
        <f t="shared" si="17"/>
        <v>1.4839435631429241</v>
      </c>
      <c r="R34" s="12">
        <f t="shared" si="18"/>
        <v>-0.12709202168063288</v>
      </c>
    </row>
    <row r="35" spans="1:18" x14ac:dyDescent="0.25">
      <c r="A35">
        <v>7</v>
      </c>
      <c r="B35">
        <v>35</v>
      </c>
      <c r="C35">
        <f t="shared" si="9"/>
        <v>95</v>
      </c>
      <c r="E35">
        <v>2.8</v>
      </c>
      <c r="F35" s="2"/>
      <c r="G35">
        <f t="shared" si="10"/>
        <v>7</v>
      </c>
      <c r="H35" s="10">
        <f t="shared" si="10"/>
        <v>35</v>
      </c>
      <c r="I35">
        <f t="shared" si="10"/>
        <v>95</v>
      </c>
      <c r="J35">
        <f t="shared" si="11"/>
        <v>49</v>
      </c>
      <c r="K35">
        <f t="shared" si="12"/>
        <v>245</v>
      </c>
      <c r="L35">
        <f t="shared" si="13"/>
        <v>665</v>
      </c>
      <c r="M35">
        <f t="shared" si="14"/>
        <v>1225</v>
      </c>
      <c r="N35">
        <f t="shared" si="15"/>
        <v>3325</v>
      </c>
      <c r="O35">
        <f t="shared" si="16"/>
        <v>9025</v>
      </c>
      <c r="Q35" s="11">
        <f t="shared" si="17"/>
        <v>2.7461537229345323</v>
      </c>
      <c r="R35" s="12">
        <f t="shared" si="18"/>
        <v>-1.9230813237666972E-2</v>
      </c>
    </row>
    <row r="36" spans="1:18" x14ac:dyDescent="0.25">
      <c r="A36">
        <v>2</v>
      </c>
      <c r="B36">
        <v>35</v>
      </c>
      <c r="C36">
        <f t="shared" si="9"/>
        <v>30</v>
      </c>
      <c r="E36">
        <v>1</v>
      </c>
      <c r="F36" s="2"/>
      <c r="G36">
        <f t="shared" si="10"/>
        <v>2</v>
      </c>
      <c r="H36" s="10">
        <f t="shared" si="10"/>
        <v>35</v>
      </c>
      <c r="I36">
        <f t="shared" si="10"/>
        <v>30</v>
      </c>
      <c r="J36">
        <f t="shared" si="11"/>
        <v>4</v>
      </c>
      <c r="K36">
        <f t="shared" si="12"/>
        <v>70</v>
      </c>
      <c r="L36">
        <f t="shared" si="13"/>
        <v>60</v>
      </c>
      <c r="M36">
        <f t="shared" si="14"/>
        <v>1225</v>
      </c>
      <c r="N36">
        <f t="shared" si="15"/>
        <v>1050</v>
      </c>
      <c r="O36">
        <f t="shared" si="16"/>
        <v>900</v>
      </c>
      <c r="Q36" s="11">
        <f t="shared" si="17"/>
        <v>1.1322441344301635</v>
      </c>
      <c r="R36" s="12">
        <f t="shared" si="18"/>
        <v>0.13224413443016347</v>
      </c>
    </row>
    <row r="37" spans="1:18" x14ac:dyDescent="0.25">
      <c r="A37">
        <v>2</v>
      </c>
      <c r="B37">
        <v>35</v>
      </c>
      <c r="C37">
        <f t="shared" si="9"/>
        <v>55</v>
      </c>
      <c r="E37">
        <v>1.7</v>
      </c>
      <c r="F37" s="2"/>
      <c r="G37">
        <f t="shared" si="10"/>
        <v>2</v>
      </c>
      <c r="H37" s="10">
        <f t="shared" si="10"/>
        <v>35</v>
      </c>
      <c r="I37">
        <f t="shared" si="10"/>
        <v>55</v>
      </c>
      <c r="J37">
        <f t="shared" si="11"/>
        <v>4</v>
      </c>
      <c r="K37">
        <f t="shared" si="12"/>
        <v>70</v>
      </c>
      <c r="L37">
        <f t="shared" si="13"/>
        <v>110</v>
      </c>
      <c r="M37">
        <f t="shared" si="14"/>
        <v>1225</v>
      </c>
      <c r="N37">
        <f t="shared" si="15"/>
        <v>1925</v>
      </c>
      <c r="O37">
        <f t="shared" si="16"/>
        <v>3025</v>
      </c>
      <c r="Q37" s="11">
        <f t="shared" si="17"/>
        <v>1.5892332224588361</v>
      </c>
      <c r="R37" s="12">
        <f t="shared" si="18"/>
        <v>-6.5156927965390479E-2</v>
      </c>
    </row>
    <row r="38" spans="1:18" x14ac:dyDescent="0.25">
      <c r="A38">
        <v>2</v>
      </c>
      <c r="B38">
        <v>35</v>
      </c>
      <c r="C38">
        <f t="shared" si="9"/>
        <v>95</v>
      </c>
      <c r="E38">
        <v>2.7</v>
      </c>
      <c r="F38" s="2"/>
      <c r="G38">
        <f t="shared" si="10"/>
        <v>2</v>
      </c>
      <c r="H38" s="10">
        <f t="shared" si="10"/>
        <v>35</v>
      </c>
      <c r="I38">
        <f t="shared" si="10"/>
        <v>95</v>
      </c>
      <c r="J38">
        <f t="shared" si="11"/>
        <v>4</v>
      </c>
      <c r="K38">
        <f t="shared" si="12"/>
        <v>70</v>
      </c>
      <c r="L38">
        <f t="shared" si="13"/>
        <v>190</v>
      </c>
      <c r="M38">
        <f t="shared" si="14"/>
        <v>1225</v>
      </c>
      <c r="N38">
        <f t="shared" si="15"/>
        <v>3325</v>
      </c>
      <c r="O38">
        <f t="shared" si="16"/>
        <v>9025</v>
      </c>
      <c r="Q38" s="11">
        <f t="shared" si="17"/>
        <v>2.8288729993876132</v>
      </c>
      <c r="R38" s="12">
        <f t="shared" si="18"/>
        <v>4.7730740513930732E-2</v>
      </c>
    </row>
    <row r="39" spans="1:18" x14ac:dyDescent="0.25">
      <c r="A39">
        <v>-7</v>
      </c>
      <c r="B39">
        <v>35</v>
      </c>
      <c r="C39">
        <f t="shared" si="9"/>
        <v>30</v>
      </c>
      <c r="E39">
        <v>1</v>
      </c>
      <c r="F39" s="2"/>
      <c r="G39">
        <f t="shared" si="10"/>
        <v>-7</v>
      </c>
      <c r="H39" s="10">
        <f t="shared" si="10"/>
        <v>35</v>
      </c>
      <c r="I39">
        <f t="shared" si="10"/>
        <v>30</v>
      </c>
      <c r="J39">
        <f t="shared" si="11"/>
        <v>49</v>
      </c>
      <c r="K39">
        <f t="shared" si="12"/>
        <v>-245</v>
      </c>
      <c r="L39">
        <f t="shared" si="13"/>
        <v>-210</v>
      </c>
      <c r="M39">
        <f t="shared" si="14"/>
        <v>1225</v>
      </c>
      <c r="N39">
        <f t="shared" si="15"/>
        <v>1050</v>
      </c>
      <c r="O39">
        <f t="shared" si="16"/>
        <v>900</v>
      </c>
      <c r="Q39" s="11">
        <f t="shared" si="17"/>
        <v>1.0814988231430878</v>
      </c>
      <c r="R39" s="12">
        <f t="shared" si="18"/>
        <v>8.1498823143087762E-2</v>
      </c>
    </row>
    <row r="40" spans="1:18" x14ac:dyDescent="0.25">
      <c r="A40">
        <v>-7</v>
      </c>
      <c r="B40">
        <v>35</v>
      </c>
      <c r="C40">
        <f t="shared" si="9"/>
        <v>55</v>
      </c>
      <c r="E40">
        <v>1.6</v>
      </c>
      <c r="F40" s="2"/>
      <c r="G40">
        <f t="shared" si="10"/>
        <v>-7</v>
      </c>
      <c r="H40" s="10">
        <f t="shared" si="10"/>
        <v>35</v>
      </c>
      <c r="I40">
        <f t="shared" si="10"/>
        <v>55</v>
      </c>
      <c r="J40">
        <f t="shared" si="11"/>
        <v>49</v>
      </c>
      <c r="K40">
        <f t="shared" si="12"/>
        <v>-245</v>
      </c>
      <c r="L40">
        <f t="shared" si="13"/>
        <v>-385</v>
      </c>
      <c r="M40">
        <f t="shared" si="14"/>
        <v>1225</v>
      </c>
      <c r="N40">
        <f t="shared" si="15"/>
        <v>1925</v>
      </c>
      <c r="O40">
        <f t="shared" si="16"/>
        <v>3025</v>
      </c>
      <c r="Q40" s="11">
        <f t="shared" si="17"/>
        <v>1.5130962304510758</v>
      </c>
      <c r="R40" s="12">
        <f t="shared" si="18"/>
        <v>-5.4314855968077697E-2</v>
      </c>
    </row>
    <row r="41" spans="1:18" x14ac:dyDescent="0.25">
      <c r="A41">
        <v>-7</v>
      </c>
      <c r="B41">
        <v>35</v>
      </c>
      <c r="C41">
        <f t="shared" si="9"/>
        <v>95</v>
      </c>
      <c r="E41">
        <v>2.6</v>
      </c>
      <c r="F41" s="2"/>
      <c r="G41">
        <f t="shared" si="10"/>
        <v>-7</v>
      </c>
      <c r="H41" s="10">
        <f t="shared" si="10"/>
        <v>35</v>
      </c>
      <c r="I41">
        <f t="shared" si="10"/>
        <v>95</v>
      </c>
      <c r="J41">
        <f t="shared" si="11"/>
        <v>49</v>
      </c>
      <c r="K41">
        <f t="shared" si="12"/>
        <v>-245</v>
      </c>
      <c r="L41">
        <f t="shared" si="13"/>
        <v>-665</v>
      </c>
      <c r="M41">
        <f t="shared" si="14"/>
        <v>1225</v>
      </c>
      <c r="N41">
        <f t="shared" si="15"/>
        <v>3325</v>
      </c>
      <c r="O41">
        <f t="shared" si="16"/>
        <v>9025</v>
      </c>
      <c r="Q41" s="11">
        <f t="shared" si="17"/>
        <v>2.7121093182267577</v>
      </c>
      <c r="R41" s="12">
        <f t="shared" si="18"/>
        <v>4.3118968548752933E-2</v>
      </c>
    </row>
    <row r="42" spans="1:18" x14ac:dyDescent="0.25">
      <c r="A42">
        <v>7</v>
      </c>
      <c r="B42">
        <v>45</v>
      </c>
      <c r="C42">
        <f t="shared" si="9"/>
        <v>36</v>
      </c>
      <c r="E42">
        <v>1.3</v>
      </c>
      <c r="F42" s="2"/>
      <c r="G42">
        <f t="shared" si="10"/>
        <v>7</v>
      </c>
      <c r="H42" s="10">
        <f t="shared" si="10"/>
        <v>45</v>
      </c>
      <c r="I42">
        <f t="shared" si="10"/>
        <v>36</v>
      </c>
      <c r="J42">
        <f t="shared" si="11"/>
        <v>49</v>
      </c>
      <c r="K42">
        <f t="shared" si="12"/>
        <v>315</v>
      </c>
      <c r="L42">
        <f t="shared" si="13"/>
        <v>252</v>
      </c>
      <c r="M42">
        <f t="shared" si="14"/>
        <v>2025</v>
      </c>
      <c r="N42">
        <f t="shared" si="15"/>
        <v>1620</v>
      </c>
      <c r="O42">
        <f t="shared" si="16"/>
        <v>1296</v>
      </c>
      <c r="Q42" s="11">
        <f t="shared" si="17"/>
        <v>1.1705110441480713</v>
      </c>
      <c r="R42" s="12">
        <f t="shared" si="18"/>
        <v>-9.9606889116868283E-2</v>
      </c>
    </row>
    <row r="43" spans="1:18" x14ac:dyDescent="0.25">
      <c r="A43">
        <v>7</v>
      </c>
      <c r="B43">
        <v>45</v>
      </c>
      <c r="C43">
        <f t="shared" si="9"/>
        <v>61</v>
      </c>
      <c r="E43">
        <v>1.3</v>
      </c>
      <c r="F43" s="2"/>
      <c r="G43">
        <f t="shared" si="10"/>
        <v>7</v>
      </c>
      <c r="H43" s="10">
        <f t="shared" si="10"/>
        <v>45</v>
      </c>
      <c r="I43">
        <f t="shared" si="10"/>
        <v>61</v>
      </c>
      <c r="J43">
        <f t="shared" si="11"/>
        <v>49</v>
      </c>
      <c r="K43">
        <f t="shared" si="12"/>
        <v>315</v>
      </c>
      <c r="L43">
        <f t="shared" si="13"/>
        <v>427</v>
      </c>
      <c r="M43">
        <f t="shared" si="14"/>
        <v>2025</v>
      </c>
      <c r="N43">
        <f t="shared" si="15"/>
        <v>2745</v>
      </c>
      <c r="O43">
        <f t="shared" si="16"/>
        <v>3721</v>
      </c>
      <c r="Q43" s="11">
        <f t="shared" si="17"/>
        <v>1.9653584348274009</v>
      </c>
      <c r="R43" s="12">
        <f t="shared" si="18"/>
        <v>0.51181418063646222</v>
      </c>
    </row>
    <row r="44" spans="1:18" x14ac:dyDescent="0.25">
      <c r="A44">
        <v>7</v>
      </c>
      <c r="B44">
        <v>45</v>
      </c>
      <c r="C44">
        <f t="shared" si="9"/>
        <v>91</v>
      </c>
      <c r="E44">
        <v>3.3</v>
      </c>
      <c r="F44" s="2"/>
      <c r="G44">
        <f t="shared" si="10"/>
        <v>7</v>
      </c>
      <c r="H44" s="10">
        <f t="shared" si="10"/>
        <v>45</v>
      </c>
      <c r="I44">
        <f t="shared" si="10"/>
        <v>91</v>
      </c>
      <c r="J44">
        <f t="shared" si="11"/>
        <v>49</v>
      </c>
      <c r="K44">
        <f t="shared" si="12"/>
        <v>315</v>
      </c>
      <c r="L44">
        <f t="shared" si="13"/>
        <v>637</v>
      </c>
      <c r="M44">
        <f t="shared" si="14"/>
        <v>2025</v>
      </c>
      <c r="N44">
        <f t="shared" si="15"/>
        <v>4095</v>
      </c>
      <c r="O44">
        <f t="shared" si="16"/>
        <v>8281</v>
      </c>
      <c r="Q44" s="11">
        <f t="shared" si="17"/>
        <v>3.2418500880798233</v>
      </c>
      <c r="R44" s="12">
        <f t="shared" si="18"/>
        <v>-1.7621185430356512E-2</v>
      </c>
    </row>
    <row r="45" spans="1:18" x14ac:dyDescent="0.25">
      <c r="A45">
        <v>2</v>
      </c>
      <c r="B45">
        <v>45</v>
      </c>
      <c r="C45">
        <f t="shared" si="9"/>
        <v>36</v>
      </c>
      <c r="E45">
        <v>1.3</v>
      </c>
      <c r="F45" s="2"/>
      <c r="G45">
        <f t="shared" si="10"/>
        <v>2</v>
      </c>
      <c r="H45" s="10">
        <f t="shared" si="10"/>
        <v>45</v>
      </c>
      <c r="I45">
        <f t="shared" si="10"/>
        <v>36</v>
      </c>
      <c r="J45">
        <f t="shared" si="11"/>
        <v>4</v>
      </c>
      <c r="K45">
        <f t="shared" si="12"/>
        <v>90</v>
      </c>
      <c r="L45">
        <f t="shared" si="13"/>
        <v>72</v>
      </c>
      <c r="M45">
        <f t="shared" si="14"/>
        <v>2025</v>
      </c>
      <c r="N45">
        <f t="shared" si="15"/>
        <v>1620</v>
      </c>
      <c r="O45">
        <f t="shared" si="16"/>
        <v>1296</v>
      </c>
      <c r="Q45" s="11">
        <f t="shared" si="17"/>
        <v>1.2449533709262668</v>
      </c>
      <c r="R45" s="12">
        <f t="shared" si="18"/>
        <v>-4.2343560825948659E-2</v>
      </c>
    </row>
    <row r="46" spans="1:18" x14ac:dyDescent="0.25">
      <c r="A46">
        <v>2</v>
      </c>
      <c r="B46">
        <v>45</v>
      </c>
      <c r="C46">
        <f t="shared" si="9"/>
        <v>61</v>
      </c>
      <c r="E46">
        <v>2.1</v>
      </c>
      <c r="F46" s="2"/>
      <c r="G46">
        <f t="shared" si="10"/>
        <v>2</v>
      </c>
      <c r="H46" s="10">
        <f t="shared" si="10"/>
        <v>45</v>
      </c>
      <c r="I46">
        <f t="shared" si="10"/>
        <v>61</v>
      </c>
      <c r="J46">
        <f t="shared" si="11"/>
        <v>4</v>
      </c>
      <c r="K46">
        <f t="shared" si="12"/>
        <v>90</v>
      </c>
      <c r="L46">
        <f t="shared" si="13"/>
        <v>122</v>
      </c>
      <c r="M46">
        <f t="shared" si="14"/>
        <v>2025</v>
      </c>
      <c r="N46">
        <f t="shared" si="15"/>
        <v>2745</v>
      </c>
      <c r="O46">
        <f t="shared" si="16"/>
        <v>3721</v>
      </c>
      <c r="Q46" s="11">
        <f t="shared" si="17"/>
        <v>2.0256942723163274</v>
      </c>
      <c r="R46" s="12">
        <f t="shared" si="18"/>
        <v>-3.5383679849367959E-2</v>
      </c>
    </row>
    <row r="47" spans="1:18" x14ac:dyDescent="0.25">
      <c r="A47">
        <v>2</v>
      </c>
      <c r="B47">
        <v>45</v>
      </c>
      <c r="C47">
        <f t="shared" si="9"/>
        <v>91</v>
      </c>
      <c r="E47">
        <v>3.4</v>
      </c>
      <c r="F47" s="2"/>
      <c r="G47">
        <f t="shared" si="10"/>
        <v>2</v>
      </c>
      <c r="H47" s="10">
        <f t="shared" si="10"/>
        <v>45</v>
      </c>
      <c r="I47">
        <f t="shared" si="10"/>
        <v>91</v>
      </c>
      <c r="J47">
        <f t="shared" si="11"/>
        <v>4</v>
      </c>
      <c r="K47">
        <f t="shared" si="12"/>
        <v>90</v>
      </c>
      <c r="L47">
        <f t="shared" si="13"/>
        <v>182</v>
      </c>
      <c r="M47">
        <f t="shared" si="14"/>
        <v>2025</v>
      </c>
      <c r="N47">
        <f t="shared" si="15"/>
        <v>4095</v>
      </c>
      <c r="O47">
        <f t="shared" si="16"/>
        <v>8281</v>
      </c>
      <c r="Q47" s="11">
        <f t="shared" si="17"/>
        <v>3.2852581384216264</v>
      </c>
      <c r="R47" s="12">
        <f t="shared" si="18"/>
        <v>-3.3747606346580444E-2</v>
      </c>
    </row>
    <row r="48" spans="1:18" x14ac:dyDescent="0.25">
      <c r="A48">
        <v>-7</v>
      </c>
      <c r="B48">
        <v>45</v>
      </c>
      <c r="C48">
        <f t="shared" si="9"/>
        <v>61</v>
      </c>
      <c r="E48">
        <v>2</v>
      </c>
      <c r="F48" s="2"/>
      <c r="G48">
        <f t="shared" si="10"/>
        <v>-7</v>
      </c>
      <c r="H48" s="10">
        <f t="shared" si="10"/>
        <v>45</v>
      </c>
      <c r="I48">
        <f t="shared" si="10"/>
        <v>61</v>
      </c>
      <c r="J48">
        <f t="shared" si="11"/>
        <v>49</v>
      </c>
      <c r="K48">
        <f t="shared" si="12"/>
        <v>-315</v>
      </c>
      <c r="L48">
        <f t="shared" si="13"/>
        <v>-427</v>
      </c>
      <c r="M48">
        <f t="shared" si="14"/>
        <v>2025</v>
      </c>
      <c r="N48">
        <f t="shared" si="15"/>
        <v>2745</v>
      </c>
      <c r="O48">
        <f t="shared" si="16"/>
        <v>3721</v>
      </c>
      <c r="Q48" s="11">
        <f t="shared" si="17"/>
        <v>1.8686404010199933</v>
      </c>
      <c r="R48" s="12">
        <f t="shared" si="18"/>
        <v>-6.5679799490003354E-2</v>
      </c>
    </row>
    <row r="49" spans="1:18" x14ac:dyDescent="0.25">
      <c r="A49">
        <v>-7</v>
      </c>
      <c r="B49">
        <v>45</v>
      </c>
      <c r="C49">
        <f t="shared" si="9"/>
        <v>91</v>
      </c>
      <c r="E49">
        <v>3.2</v>
      </c>
      <c r="F49" s="2"/>
      <c r="G49">
        <f t="shared" si="10"/>
        <v>-7</v>
      </c>
      <c r="H49" s="10">
        <f t="shared" si="10"/>
        <v>45</v>
      </c>
      <c r="I49">
        <f t="shared" si="10"/>
        <v>91</v>
      </c>
      <c r="J49">
        <f t="shared" si="11"/>
        <v>49</v>
      </c>
      <c r="K49">
        <f t="shared" si="12"/>
        <v>-315</v>
      </c>
      <c r="L49">
        <f t="shared" si="13"/>
        <v>-637</v>
      </c>
      <c r="M49">
        <f t="shared" si="14"/>
        <v>2025</v>
      </c>
      <c r="N49">
        <f t="shared" si="15"/>
        <v>4095</v>
      </c>
      <c r="O49">
        <f t="shared" si="16"/>
        <v>8281</v>
      </c>
      <c r="Q49" s="11">
        <f t="shared" si="17"/>
        <v>3.0977342502604706</v>
      </c>
      <c r="R49" s="12">
        <f t="shared" si="18"/>
        <v>-3.1958046793603007E-2</v>
      </c>
    </row>
    <row r="50" spans="1:18" x14ac:dyDescent="0.25">
      <c r="A50">
        <v>7</v>
      </c>
      <c r="B50">
        <v>55</v>
      </c>
      <c r="C50">
        <f t="shared" si="9"/>
        <v>36</v>
      </c>
      <c r="E50">
        <v>1.6</v>
      </c>
      <c r="G50">
        <f t="shared" si="10"/>
        <v>7</v>
      </c>
      <c r="H50" s="10">
        <f t="shared" si="10"/>
        <v>55</v>
      </c>
      <c r="I50">
        <f t="shared" si="10"/>
        <v>36</v>
      </c>
      <c r="J50">
        <f t="shared" si="11"/>
        <v>49</v>
      </c>
      <c r="K50">
        <f t="shared" si="12"/>
        <v>385</v>
      </c>
      <c r="L50">
        <f t="shared" si="13"/>
        <v>252</v>
      </c>
      <c r="M50">
        <f t="shared" si="14"/>
        <v>3025</v>
      </c>
      <c r="N50">
        <f t="shared" si="15"/>
        <v>1980</v>
      </c>
      <c r="O50">
        <f t="shared" si="16"/>
        <v>1296</v>
      </c>
      <c r="Q50" s="11">
        <f t="shared" si="17"/>
        <v>1.5118412537344141</v>
      </c>
      <c r="R50" s="12">
        <f t="shared" si="18"/>
        <v>-5.509921641599122E-2</v>
      </c>
    </row>
    <row r="51" spans="1:18" x14ac:dyDescent="0.25">
      <c r="A51">
        <v>7</v>
      </c>
      <c r="B51">
        <v>55</v>
      </c>
      <c r="C51">
        <f t="shared" si="9"/>
        <v>61</v>
      </c>
      <c r="E51">
        <v>2.6</v>
      </c>
      <c r="G51">
        <f t="shared" si="10"/>
        <v>7</v>
      </c>
      <c r="H51" s="10">
        <f t="shared" si="10"/>
        <v>55</v>
      </c>
      <c r="I51">
        <f t="shared" si="10"/>
        <v>61</v>
      </c>
      <c r="J51">
        <f t="shared" si="11"/>
        <v>49</v>
      </c>
      <c r="K51">
        <f t="shared" si="12"/>
        <v>385</v>
      </c>
      <c r="L51">
        <f t="shared" si="13"/>
        <v>427</v>
      </c>
      <c r="M51">
        <f t="shared" si="14"/>
        <v>3025</v>
      </c>
      <c r="N51">
        <f t="shared" si="15"/>
        <v>3355</v>
      </c>
      <c r="O51">
        <f t="shared" si="16"/>
        <v>3721</v>
      </c>
      <c r="Q51" s="11">
        <f t="shared" si="17"/>
        <v>2.5717723151501821</v>
      </c>
      <c r="R51" s="12">
        <f t="shared" si="18"/>
        <v>-1.0856801865314602E-2</v>
      </c>
    </row>
    <row r="52" spans="1:18" x14ac:dyDescent="0.25">
      <c r="A52">
        <v>7</v>
      </c>
      <c r="B52">
        <v>55</v>
      </c>
      <c r="C52">
        <f t="shared" si="9"/>
        <v>81</v>
      </c>
      <c r="E52">
        <v>3.7</v>
      </c>
      <c r="G52">
        <f t="shared" si="10"/>
        <v>7</v>
      </c>
      <c r="H52" s="10">
        <f t="shared" si="10"/>
        <v>55</v>
      </c>
      <c r="I52">
        <f t="shared" si="10"/>
        <v>81</v>
      </c>
      <c r="J52">
        <f t="shared" si="11"/>
        <v>49</v>
      </c>
      <c r="K52">
        <f t="shared" si="12"/>
        <v>385</v>
      </c>
      <c r="L52">
        <f t="shared" si="13"/>
        <v>567</v>
      </c>
      <c r="M52">
        <f t="shared" si="14"/>
        <v>3025</v>
      </c>
      <c r="N52">
        <f t="shared" si="15"/>
        <v>4455</v>
      </c>
      <c r="O52">
        <f t="shared" si="16"/>
        <v>6561</v>
      </c>
      <c r="Q52" s="11">
        <f t="shared" si="17"/>
        <v>3.5957215921576471</v>
      </c>
      <c r="R52" s="12">
        <f t="shared" si="18"/>
        <v>-2.8183353470906239E-2</v>
      </c>
    </row>
    <row r="53" spans="1:18" x14ac:dyDescent="0.25">
      <c r="A53">
        <v>2</v>
      </c>
      <c r="B53">
        <v>55</v>
      </c>
      <c r="C53">
        <f t="shared" si="9"/>
        <v>61</v>
      </c>
      <c r="E53">
        <v>2.5</v>
      </c>
      <c r="G53">
        <f t="shared" si="10"/>
        <v>2</v>
      </c>
      <c r="H53" s="10">
        <f t="shared" si="10"/>
        <v>55</v>
      </c>
      <c r="I53">
        <f t="shared" si="10"/>
        <v>61</v>
      </c>
      <c r="J53">
        <f t="shared" si="11"/>
        <v>4</v>
      </c>
      <c r="K53">
        <f t="shared" si="12"/>
        <v>110</v>
      </c>
      <c r="L53">
        <f t="shared" si="13"/>
        <v>122</v>
      </c>
      <c r="M53">
        <f t="shared" si="14"/>
        <v>3025</v>
      </c>
      <c r="N53">
        <f t="shared" si="15"/>
        <v>3355</v>
      </c>
      <c r="O53">
        <f t="shared" si="16"/>
        <v>3721</v>
      </c>
      <c r="Q53" s="11">
        <f t="shared" si="17"/>
        <v>2.590539888241548</v>
      </c>
      <c r="R53" s="12">
        <f t="shared" si="18"/>
        <v>3.6215955296619209E-2</v>
      </c>
    </row>
    <row r="54" spans="1:18" x14ac:dyDescent="0.25">
      <c r="A54">
        <v>2</v>
      </c>
      <c r="B54">
        <v>55</v>
      </c>
      <c r="C54">
        <f t="shared" si="9"/>
        <v>81</v>
      </c>
      <c r="E54">
        <v>3.6</v>
      </c>
      <c r="G54">
        <f t="shared" si="10"/>
        <v>2</v>
      </c>
      <c r="H54" s="10">
        <f t="shared" si="10"/>
        <v>55</v>
      </c>
      <c r="I54">
        <f t="shared" si="10"/>
        <v>81</v>
      </c>
      <c r="J54">
        <f t="shared" si="11"/>
        <v>4</v>
      </c>
      <c r="K54">
        <f t="shared" si="12"/>
        <v>110</v>
      </c>
      <c r="L54">
        <f t="shared" si="13"/>
        <v>162</v>
      </c>
      <c r="M54">
        <f t="shared" si="14"/>
        <v>3025</v>
      </c>
      <c r="N54">
        <f t="shared" si="15"/>
        <v>4455</v>
      </c>
      <c r="O54">
        <f t="shared" si="16"/>
        <v>6561</v>
      </c>
      <c r="Q54" s="11">
        <f t="shared" si="17"/>
        <v>3.6032039738175965</v>
      </c>
      <c r="R54" s="12">
        <f t="shared" si="18"/>
        <v>8.8999272711011283E-4</v>
      </c>
    </row>
    <row r="55" spans="1:18" x14ac:dyDescent="0.25">
      <c r="A55">
        <v>-7</v>
      </c>
      <c r="B55">
        <v>55</v>
      </c>
      <c r="C55">
        <f t="shared" ref="C55:C56" si="19">C26</f>
        <v>61</v>
      </c>
      <c r="E55">
        <v>2.2999999999999998</v>
      </c>
      <c r="G55">
        <f t="shared" si="10"/>
        <v>-7</v>
      </c>
      <c r="H55" s="10">
        <f t="shared" si="10"/>
        <v>55</v>
      </c>
      <c r="I55">
        <f t="shared" si="10"/>
        <v>61</v>
      </c>
      <c r="J55">
        <f t="shared" si="11"/>
        <v>49</v>
      </c>
      <c r="K55">
        <f t="shared" si="12"/>
        <v>-385</v>
      </c>
      <c r="L55">
        <f t="shared" si="13"/>
        <v>-427</v>
      </c>
      <c r="M55">
        <f t="shared" si="14"/>
        <v>3025</v>
      </c>
      <c r="N55">
        <f t="shared" si="15"/>
        <v>3355</v>
      </c>
      <c r="O55">
        <f t="shared" si="16"/>
        <v>3721</v>
      </c>
      <c r="Q55" s="11">
        <f t="shared" si="17"/>
        <v>2.3586631410296035</v>
      </c>
      <c r="R55" s="12">
        <f t="shared" si="18"/>
        <v>2.5505713491132037E-2</v>
      </c>
    </row>
    <row r="56" spans="1:18" x14ac:dyDescent="0.25">
      <c r="A56">
        <v>-7</v>
      </c>
      <c r="B56">
        <v>55</v>
      </c>
      <c r="C56">
        <f t="shared" si="19"/>
        <v>85</v>
      </c>
      <c r="E56">
        <v>3.5</v>
      </c>
      <c r="G56">
        <f t="shared" si="10"/>
        <v>-7</v>
      </c>
      <c r="H56" s="10">
        <f t="shared" si="10"/>
        <v>55</v>
      </c>
      <c r="I56">
        <f t="shared" si="10"/>
        <v>85</v>
      </c>
      <c r="J56">
        <f t="shared" si="11"/>
        <v>49</v>
      </c>
      <c r="K56">
        <f t="shared" si="12"/>
        <v>-385</v>
      </c>
      <c r="L56">
        <f t="shared" si="13"/>
        <v>-595</v>
      </c>
      <c r="M56">
        <f t="shared" si="14"/>
        <v>3025</v>
      </c>
      <c r="N56">
        <f t="shared" si="15"/>
        <v>4675</v>
      </c>
      <c r="O56">
        <f t="shared" si="16"/>
        <v>7225</v>
      </c>
      <c r="Q56" s="11">
        <f t="shared" si="17"/>
        <v>3.5682578358689891</v>
      </c>
      <c r="R56" s="12">
        <f t="shared" si="18"/>
        <v>1.9502238819711186E-2</v>
      </c>
    </row>
    <row r="59" spans="1:18" x14ac:dyDescent="0.25">
      <c r="A59" t="s">
        <v>28</v>
      </c>
      <c r="G59" s="4" t="s">
        <v>1</v>
      </c>
      <c r="H59" s="4" t="s">
        <v>2</v>
      </c>
      <c r="I59" s="4" t="s">
        <v>3</v>
      </c>
      <c r="J59" s="4" t="s">
        <v>4</v>
      </c>
      <c r="K59" s="4" t="s">
        <v>5</v>
      </c>
      <c r="L59" s="4" t="s">
        <v>6</v>
      </c>
      <c r="M59" s="4" t="s">
        <v>7</v>
      </c>
      <c r="N59" s="4" t="s">
        <v>8</v>
      </c>
      <c r="O59" s="4" t="s">
        <v>9</v>
      </c>
      <c r="P59" s="4" t="s">
        <v>10</v>
      </c>
    </row>
    <row r="60" spans="1:18" x14ac:dyDescent="0.25">
      <c r="A60" s="1"/>
      <c r="C60" s="1"/>
      <c r="D60" s="1"/>
      <c r="E60" s="1"/>
      <c r="F60" s="1"/>
      <c r="G60" s="4">
        <f t="array" ref="G60:P60">LINEST(E62:E85,G62:O85)</f>
        <v>0.46531543104840023</v>
      </c>
      <c r="H60" s="4">
        <v>-1.2837244578236651E-2</v>
      </c>
      <c r="I60" s="4">
        <v>-2.6460556925284887E-2</v>
      </c>
      <c r="J60" s="4">
        <v>-0.44502161002496565</v>
      </c>
      <c r="K60" s="4">
        <v>1.2262626034428235E-2</v>
      </c>
      <c r="L60" s="4">
        <v>9.8998899326312798E-2</v>
      </c>
      <c r="M60" s="4">
        <v>3.8900027920429729</v>
      </c>
      <c r="N60" s="4">
        <v>3.0849662163767611</v>
      </c>
      <c r="O60" s="4">
        <v>3.7717219925243003E-2</v>
      </c>
      <c r="P60" s="4">
        <v>-60.41636047768101</v>
      </c>
    </row>
    <row r="61" spans="1:18" ht="45" x14ac:dyDescent="0.25">
      <c r="A61" s="5" t="s">
        <v>11</v>
      </c>
      <c r="B61" s="5" t="s">
        <v>12</v>
      </c>
      <c r="C61" s="5" t="s">
        <v>63</v>
      </c>
      <c r="E61" s="7" t="s">
        <v>13</v>
      </c>
      <c r="F61" s="3"/>
      <c r="G61" s="8" t="s">
        <v>17</v>
      </c>
      <c r="H61" s="8" t="s">
        <v>18</v>
      </c>
      <c r="I61" s="8" t="s">
        <v>0</v>
      </c>
      <c r="J61" s="8" t="s">
        <v>19</v>
      </c>
      <c r="K61" s="8" t="s">
        <v>20</v>
      </c>
      <c r="L61" s="8" t="s">
        <v>21</v>
      </c>
      <c r="M61" s="8" t="s">
        <v>22</v>
      </c>
      <c r="N61" s="8" t="s">
        <v>23</v>
      </c>
      <c r="O61" s="8" t="s">
        <v>24</v>
      </c>
      <c r="P61" s="3"/>
      <c r="Q61" s="9" t="s">
        <v>16</v>
      </c>
      <c r="R61" s="9" t="s">
        <v>15</v>
      </c>
    </row>
    <row r="62" spans="1:18" x14ac:dyDescent="0.25">
      <c r="A62">
        <v>7</v>
      </c>
      <c r="B62">
        <v>35</v>
      </c>
      <c r="C62">
        <f t="shared" ref="C62:C85" si="20">E4</f>
        <v>4.0999999999999996</v>
      </c>
      <c r="E62">
        <f t="shared" ref="E62:E83" si="21">C4</f>
        <v>30</v>
      </c>
      <c r="F62" s="2"/>
      <c r="G62">
        <f t="shared" ref="G62:I85" si="22">A62</f>
        <v>7</v>
      </c>
      <c r="H62" s="10">
        <f t="shared" si="22"/>
        <v>35</v>
      </c>
      <c r="I62">
        <f t="shared" si="22"/>
        <v>4.0999999999999996</v>
      </c>
      <c r="J62">
        <f t="shared" ref="J62:J85" si="23">G62^2</f>
        <v>49</v>
      </c>
      <c r="K62">
        <f t="shared" ref="K62:K85" si="24">G62*H62</f>
        <v>245</v>
      </c>
      <c r="L62">
        <f t="shared" ref="L62:L85" si="25">G62*I62</f>
        <v>28.699999999999996</v>
      </c>
      <c r="M62">
        <f t="shared" ref="M62:M85" si="26">H62^2</f>
        <v>1225</v>
      </c>
      <c r="N62">
        <f t="shared" ref="N62:N85" si="27">H62*I62</f>
        <v>143.5</v>
      </c>
      <c r="O62">
        <f t="shared" ref="O62:O85" si="28">I62^2</f>
        <v>16.809999999999999</v>
      </c>
      <c r="Q62" s="11">
        <f t="shared" ref="Q62:Q85" si="29">$P$60+$O$60*G62+$N$60*H62+$M$60*I62+$L$60*J62+$K$60*K62+$J$60*L62+$I$60*M62+$H$60*N62+$G$60*O62</f>
        <v>32.41928388553891</v>
      </c>
      <c r="R62" s="12">
        <f t="shared" ref="R62:R85" si="30">(Q62-E62)/E62</f>
        <v>8.0642796184630328E-2</v>
      </c>
    </row>
    <row r="63" spans="1:18" x14ac:dyDescent="0.25">
      <c r="A63">
        <v>7</v>
      </c>
      <c r="B63">
        <v>35</v>
      </c>
      <c r="C63">
        <f t="shared" si="20"/>
        <v>8.3000000000000007</v>
      </c>
      <c r="E63">
        <f t="shared" si="21"/>
        <v>55</v>
      </c>
      <c r="F63" s="2"/>
      <c r="G63">
        <f t="shared" si="22"/>
        <v>7</v>
      </c>
      <c r="H63" s="10">
        <f t="shared" si="22"/>
        <v>35</v>
      </c>
      <c r="I63">
        <f t="shared" si="22"/>
        <v>8.3000000000000007</v>
      </c>
      <c r="J63">
        <f t="shared" si="23"/>
        <v>49</v>
      </c>
      <c r="K63">
        <f t="shared" si="24"/>
        <v>245</v>
      </c>
      <c r="L63">
        <f t="shared" si="25"/>
        <v>58.100000000000009</v>
      </c>
      <c r="M63">
        <f t="shared" si="26"/>
        <v>1225</v>
      </c>
      <c r="N63">
        <f t="shared" si="27"/>
        <v>290.5</v>
      </c>
      <c r="O63">
        <f t="shared" si="28"/>
        <v>68.890000000000015</v>
      </c>
      <c r="Q63" s="11">
        <f t="shared" si="29"/>
        <v>58.020212973385284</v>
      </c>
      <c r="R63" s="12">
        <f t="shared" si="30"/>
        <v>5.4912963152459714E-2</v>
      </c>
    </row>
    <row r="64" spans="1:18" x14ac:dyDescent="0.25">
      <c r="A64">
        <v>7</v>
      </c>
      <c r="B64">
        <v>35</v>
      </c>
      <c r="C64">
        <f t="shared" si="20"/>
        <v>12.2</v>
      </c>
      <c r="E64">
        <f t="shared" si="21"/>
        <v>95</v>
      </c>
      <c r="F64" s="2"/>
      <c r="G64">
        <f t="shared" si="22"/>
        <v>7</v>
      </c>
      <c r="H64" s="10">
        <f t="shared" si="22"/>
        <v>35</v>
      </c>
      <c r="I64">
        <f t="shared" si="22"/>
        <v>12.2</v>
      </c>
      <c r="J64">
        <f t="shared" si="23"/>
        <v>49</v>
      </c>
      <c r="K64">
        <f t="shared" si="24"/>
        <v>245</v>
      </c>
      <c r="L64">
        <f t="shared" si="25"/>
        <v>85.399999999999991</v>
      </c>
      <c r="M64">
        <f t="shared" si="26"/>
        <v>1225</v>
      </c>
      <c r="N64">
        <f t="shared" si="27"/>
        <v>427</v>
      </c>
      <c r="O64">
        <f t="shared" si="28"/>
        <v>148.83999999999997</v>
      </c>
      <c r="Q64" s="11">
        <f t="shared" si="29"/>
        <v>96.491818736061617</v>
      </c>
      <c r="R64" s="12">
        <f t="shared" si="30"/>
        <v>1.5703355116438077E-2</v>
      </c>
    </row>
    <row r="65" spans="1:18" x14ac:dyDescent="0.25">
      <c r="A65">
        <v>2</v>
      </c>
      <c r="B65">
        <v>35</v>
      </c>
      <c r="C65">
        <f t="shared" si="20"/>
        <v>3.5</v>
      </c>
      <c r="E65">
        <f t="shared" si="21"/>
        <v>30</v>
      </c>
      <c r="F65" s="2"/>
      <c r="G65">
        <f t="shared" si="22"/>
        <v>2</v>
      </c>
      <c r="H65" s="10">
        <f t="shared" si="22"/>
        <v>35</v>
      </c>
      <c r="I65">
        <f t="shared" si="22"/>
        <v>3.5</v>
      </c>
      <c r="J65">
        <f t="shared" si="23"/>
        <v>4</v>
      </c>
      <c r="K65">
        <f t="shared" si="24"/>
        <v>70</v>
      </c>
      <c r="L65">
        <f t="shared" si="25"/>
        <v>7</v>
      </c>
      <c r="M65">
        <f t="shared" si="26"/>
        <v>1225</v>
      </c>
      <c r="N65">
        <f t="shared" si="27"/>
        <v>122.5</v>
      </c>
      <c r="O65">
        <f t="shared" si="28"/>
        <v>12.25</v>
      </c>
      <c r="Q65" s="11">
        <f t="shared" si="29"/>
        <v>31.100498793081908</v>
      </c>
      <c r="R65" s="12">
        <f t="shared" si="30"/>
        <v>3.6683293102730254E-2</v>
      </c>
    </row>
    <row r="66" spans="1:18" x14ac:dyDescent="0.25">
      <c r="A66">
        <v>2</v>
      </c>
      <c r="B66">
        <v>35</v>
      </c>
      <c r="C66">
        <f t="shared" si="20"/>
        <v>7.2</v>
      </c>
      <c r="E66">
        <f t="shared" si="21"/>
        <v>55</v>
      </c>
      <c r="F66" s="2"/>
      <c r="G66">
        <f t="shared" si="22"/>
        <v>2</v>
      </c>
      <c r="H66" s="10">
        <f t="shared" si="22"/>
        <v>35</v>
      </c>
      <c r="I66">
        <f t="shared" si="22"/>
        <v>7.2</v>
      </c>
      <c r="J66">
        <f t="shared" si="23"/>
        <v>4</v>
      </c>
      <c r="K66">
        <f t="shared" si="24"/>
        <v>70</v>
      </c>
      <c r="L66">
        <f t="shared" si="25"/>
        <v>14.4</v>
      </c>
      <c r="M66">
        <f t="shared" si="26"/>
        <v>1225</v>
      </c>
      <c r="N66">
        <f t="shared" si="27"/>
        <v>252</v>
      </c>
      <c r="O66">
        <f t="shared" si="28"/>
        <v>51.84</v>
      </c>
      <c r="Q66" s="11">
        <f t="shared" si="29"/>
        <v>58.95976395178068</v>
      </c>
      <c r="R66" s="12">
        <f t="shared" si="30"/>
        <v>7.1995708214194182E-2</v>
      </c>
    </row>
    <row r="67" spans="1:18" x14ac:dyDescent="0.25">
      <c r="A67">
        <v>2</v>
      </c>
      <c r="B67">
        <v>35</v>
      </c>
      <c r="C67">
        <f t="shared" si="20"/>
        <v>9.9</v>
      </c>
      <c r="E67">
        <f t="shared" si="21"/>
        <v>95</v>
      </c>
      <c r="F67" s="2"/>
      <c r="G67">
        <f t="shared" si="22"/>
        <v>2</v>
      </c>
      <c r="H67" s="10">
        <f t="shared" si="22"/>
        <v>35</v>
      </c>
      <c r="I67">
        <f t="shared" si="22"/>
        <v>9.9</v>
      </c>
      <c r="J67">
        <f t="shared" si="23"/>
        <v>4</v>
      </c>
      <c r="K67">
        <f t="shared" si="24"/>
        <v>70</v>
      </c>
      <c r="L67">
        <f t="shared" si="25"/>
        <v>19.8</v>
      </c>
      <c r="M67">
        <f t="shared" si="26"/>
        <v>1225</v>
      </c>
      <c r="N67">
        <f t="shared" si="27"/>
        <v>346.5</v>
      </c>
      <c r="O67">
        <f t="shared" si="28"/>
        <v>98.01</v>
      </c>
      <c r="Q67" s="11">
        <f t="shared" si="29"/>
        <v>87.330148635023164</v>
      </c>
      <c r="R67" s="12">
        <f t="shared" si="30"/>
        <v>-8.0735277526071958E-2</v>
      </c>
    </row>
    <row r="68" spans="1:18" x14ac:dyDescent="0.25">
      <c r="A68">
        <v>-7</v>
      </c>
      <c r="B68">
        <v>35</v>
      </c>
      <c r="C68">
        <f t="shared" si="20"/>
        <v>1.5</v>
      </c>
      <c r="E68">
        <f t="shared" si="21"/>
        <v>30</v>
      </c>
      <c r="F68" s="2"/>
      <c r="G68">
        <f t="shared" si="22"/>
        <v>-7</v>
      </c>
      <c r="H68" s="10">
        <f t="shared" si="22"/>
        <v>35</v>
      </c>
      <c r="I68">
        <f t="shared" si="22"/>
        <v>1.5</v>
      </c>
      <c r="J68">
        <f t="shared" si="23"/>
        <v>49</v>
      </c>
      <c r="K68">
        <f t="shared" si="24"/>
        <v>-245</v>
      </c>
      <c r="L68">
        <f t="shared" si="25"/>
        <v>-10.5</v>
      </c>
      <c r="M68">
        <f t="shared" si="26"/>
        <v>1225</v>
      </c>
      <c r="N68">
        <f t="shared" si="27"/>
        <v>52.5</v>
      </c>
      <c r="O68">
        <f t="shared" si="28"/>
        <v>2.25</v>
      </c>
      <c r="Q68" s="11">
        <f t="shared" si="29"/>
        <v>27.606592483937423</v>
      </c>
      <c r="R68" s="12">
        <f t="shared" si="30"/>
        <v>-7.9780250535419248E-2</v>
      </c>
    </row>
    <row r="69" spans="1:18" x14ac:dyDescent="0.25">
      <c r="A69">
        <v>-7</v>
      </c>
      <c r="B69">
        <v>35</v>
      </c>
      <c r="C69">
        <f t="shared" si="20"/>
        <v>4.9000000000000004</v>
      </c>
      <c r="E69">
        <f t="shared" si="21"/>
        <v>55</v>
      </c>
      <c r="F69" s="2"/>
      <c r="G69">
        <f t="shared" si="22"/>
        <v>-7</v>
      </c>
      <c r="H69" s="10">
        <f t="shared" si="22"/>
        <v>35</v>
      </c>
      <c r="I69">
        <f t="shared" si="22"/>
        <v>4.9000000000000004</v>
      </c>
      <c r="J69">
        <f t="shared" si="23"/>
        <v>49</v>
      </c>
      <c r="K69">
        <f t="shared" si="24"/>
        <v>-245</v>
      </c>
      <c r="L69">
        <f t="shared" si="25"/>
        <v>-34.300000000000004</v>
      </c>
      <c r="M69">
        <f t="shared" si="26"/>
        <v>1225</v>
      </c>
      <c r="N69">
        <f t="shared" si="27"/>
        <v>171.5</v>
      </c>
      <c r="O69">
        <f t="shared" si="28"/>
        <v>24.010000000000005</v>
      </c>
      <c r="Q69" s="11">
        <f t="shared" si="29"/>
        <v>60.021747970280735</v>
      </c>
      <c r="R69" s="12">
        <f t="shared" si="30"/>
        <v>9.1304508550558827E-2</v>
      </c>
    </row>
    <row r="70" spans="1:18" x14ac:dyDescent="0.25">
      <c r="A70">
        <v>-7</v>
      </c>
      <c r="B70">
        <v>35</v>
      </c>
      <c r="C70">
        <f t="shared" si="20"/>
        <v>7.2</v>
      </c>
      <c r="E70">
        <f t="shared" si="21"/>
        <v>95</v>
      </c>
      <c r="F70" s="2"/>
      <c r="G70">
        <f t="shared" si="22"/>
        <v>-7</v>
      </c>
      <c r="H70" s="10">
        <f t="shared" si="22"/>
        <v>35</v>
      </c>
      <c r="I70">
        <f t="shared" si="22"/>
        <v>7.2</v>
      </c>
      <c r="J70">
        <f t="shared" si="23"/>
        <v>49</v>
      </c>
      <c r="K70">
        <f t="shared" si="24"/>
        <v>-245</v>
      </c>
      <c r="L70">
        <f t="shared" si="25"/>
        <v>-50.4</v>
      </c>
      <c r="M70">
        <f t="shared" si="26"/>
        <v>1225</v>
      </c>
      <c r="N70">
        <f t="shared" si="27"/>
        <v>252</v>
      </c>
      <c r="O70">
        <f t="shared" si="28"/>
        <v>51.84</v>
      </c>
      <c r="Q70" s="11">
        <f t="shared" si="29"/>
        <v>88.049932570910457</v>
      </c>
      <c r="R70" s="12">
        <f t="shared" si="30"/>
        <v>-7.3158604516732034E-2</v>
      </c>
    </row>
    <row r="71" spans="1:18" x14ac:dyDescent="0.25">
      <c r="A71">
        <v>7</v>
      </c>
      <c r="B71">
        <v>45</v>
      </c>
      <c r="C71">
        <f t="shared" si="20"/>
        <v>3.6</v>
      </c>
      <c r="E71">
        <f t="shared" si="21"/>
        <v>36</v>
      </c>
      <c r="F71" s="2"/>
      <c r="G71">
        <f t="shared" si="22"/>
        <v>7</v>
      </c>
      <c r="H71" s="10">
        <f t="shared" si="22"/>
        <v>45</v>
      </c>
      <c r="I71">
        <f t="shared" si="22"/>
        <v>3.6</v>
      </c>
      <c r="J71">
        <f t="shared" si="23"/>
        <v>49</v>
      </c>
      <c r="K71">
        <f t="shared" si="24"/>
        <v>315</v>
      </c>
      <c r="L71">
        <f t="shared" si="25"/>
        <v>25.2</v>
      </c>
      <c r="M71">
        <f t="shared" si="26"/>
        <v>2025</v>
      </c>
      <c r="N71">
        <f t="shared" si="27"/>
        <v>162</v>
      </c>
      <c r="O71">
        <f t="shared" si="28"/>
        <v>12.96</v>
      </c>
      <c r="Q71" s="11">
        <f t="shared" si="29"/>
        <v>40.54250513632077</v>
      </c>
      <c r="R71" s="12">
        <f t="shared" si="30"/>
        <v>0.12618069823113251</v>
      </c>
    </row>
    <row r="72" spans="1:18" x14ac:dyDescent="0.25">
      <c r="A72">
        <v>7</v>
      </c>
      <c r="B72">
        <v>45</v>
      </c>
      <c r="C72">
        <f t="shared" si="20"/>
        <v>4.2</v>
      </c>
      <c r="E72">
        <f t="shared" si="21"/>
        <v>61</v>
      </c>
      <c r="F72" s="2"/>
      <c r="G72">
        <f t="shared" si="22"/>
        <v>7</v>
      </c>
      <c r="H72" s="10">
        <f t="shared" si="22"/>
        <v>45</v>
      </c>
      <c r="I72">
        <f t="shared" si="22"/>
        <v>4.2</v>
      </c>
      <c r="J72">
        <f t="shared" si="23"/>
        <v>49</v>
      </c>
      <c r="K72">
        <f t="shared" si="24"/>
        <v>315</v>
      </c>
      <c r="L72">
        <f t="shared" si="25"/>
        <v>29.400000000000002</v>
      </c>
      <c r="M72">
        <f t="shared" si="26"/>
        <v>2025</v>
      </c>
      <c r="N72">
        <f t="shared" si="27"/>
        <v>189</v>
      </c>
      <c r="O72">
        <f t="shared" si="28"/>
        <v>17.64</v>
      </c>
      <c r="Q72" s="11">
        <f t="shared" si="29"/>
        <v>42.838486663135811</v>
      </c>
      <c r="R72" s="12">
        <f t="shared" si="30"/>
        <v>-0.29772972683383919</v>
      </c>
    </row>
    <row r="73" spans="1:18" x14ac:dyDescent="0.25">
      <c r="A73">
        <v>7</v>
      </c>
      <c r="B73">
        <v>45</v>
      </c>
      <c r="C73">
        <f t="shared" si="20"/>
        <v>10.9</v>
      </c>
      <c r="E73">
        <f t="shared" si="21"/>
        <v>91</v>
      </c>
      <c r="F73" s="2"/>
      <c r="G73">
        <f t="shared" si="22"/>
        <v>7</v>
      </c>
      <c r="H73" s="10">
        <f t="shared" si="22"/>
        <v>45</v>
      </c>
      <c r="I73">
        <f t="shared" si="22"/>
        <v>10.9</v>
      </c>
      <c r="J73">
        <f t="shared" si="23"/>
        <v>49</v>
      </c>
      <c r="K73">
        <f t="shared" si="24"/>
        <v>315</v>
      </c>
      <c r="L73">
        <f t="shared" si="25"/>
        <v>76.3</v>
      </c>
      <c r="M73">
        <f t="shared" si="26"/>
        <v>2025</v>
      </c>
      <c r="N73">
        <f t="shared" si="27"/>
        <v>490.5</v>
      </c>
      <c r="O73">
        <f t="shared" si="28"/>
        <v>118.81</v>
      </c>
      <c r="Q73" s="11">
        <f t="shared" si="29"/>
        <v>91.235524778481164</v>
      </c>
      <c r="R73" s="12">
        <f t="shared" si="30"/>
        <v>2.588184378913888E-3</v>
      </c>
    </row>
    <row r="74" spans="1:18" x14ac:dyDescent="0.25">
      <c r="A74">
        <v>2</v>
      </c>
      <c r="B74">
        <v>45</v>
      </c>
      <c r="C74">
        <f t="shared" si="20"/>
        <v>2.6</v>
      </c>
      <c r="E74">
        <f t="shared" si="21"/>
        <v>36</v>
      </c>
      <c r="F74" s="2"/>
      <c r="G74">
        <f t="shared" si="22"/>
        <v>2</v>
      </c>
      <c r="H74" s="10">
        <f t="shared" si="22"/>
        <v>45</v>
      </c>
      <c r="I74">
        <f t="shared" si="22"/>
        <v>2.6</v>
      </c>
      <c r="J74">
        <f t="shared" si="23"/>
        <v>4</v>
      </c>
      <c r="K74">
        <f t="shared" si="24"/>
        <v>90</v>
      </c>
      <c r="L74">
        <f t="shared" si="25"/>
        <v>5.2</v>
      </c>
      <c r="M74">
        <f t="shared" si="26"/>
        <v>2025</v>
      </c>
      <c r="N74">
        <f t="shared" si="27"/>
        <v>117</v>
      </c>
      <c r="O74">
        <f t="shared" si="28"/>
        <v>6.7600000000000007</v>
      </c>
      <c r="Q74" s="11">
        <f t="shared" si="29"/>
        <v>35.843027451241028</v>
      </c>
      <c r="R74" s="12">
        <f t="shared" si="30"/>
        <v>-4.3603485766381157E-3</v>
      </c>
    </row>
    <row r="75" spans="1:18" x14ac:dyDescent="0.25">
      <c r="A75">
        <v>2</v>
      </c>
      <c r="B75">
        <v>45</v>
      </c>
      <c r="C75">
        <f t="shared" si="20"/>
        <v>6.5</v>
      </c>
      <c r="E75">
        <f t="shared" si="21"/>
        <v>61</v>
      </c>
      <c r="F75" s="2"/>
      <c r="G75">
        <f t="shared" si="22"/>
        <v>2</v>
      </c>
      <c r="H75" s="10">
        <f t="shared" si="22"/>
        <v>45</v>
      </c>
      <c r="I75">
        <f t="shared" si="22"/>
        <v>6.5</v>
      </c>
      <c r="J75">
        <f t="shared" si="23"/>
        <v>4</v>
      </c>
      <c r="K75">
        <f t="shared" si="24"/>
        <v>90</v>
      </c>
      <c r="L75">
        <f t="shared" si="25"/>
        <v>13</v>
      </c>
      <c r="M75">
        <f t="shared" si="26"/>
        <v>2025</v>
      </c>
      <c r="N75">
        <f t="shared" si="27"/>
        <v>292.5</v>
      </c>
      <c r="O75">
        <f t="shared" si="28"/>
        <v>42.25</v>
      </c>
      <c r="Q75" s="11">
        <f t="shared" si="29"/>
        <v>61.803978006441085</v>
      </c>
      <c r="R75" s="12">
        <f t="shared" si="30"/>
        <v>1.3179967318706309E-2</v>
      </c>
    </row>
    <row r="76" spans="1:18" x14ac:dyDescent="0.25">
      <c r="A76">
        <v>2</v>
      </c>
      <c r="B76">
        <v>45</v>
      </c>
      <c r="C76">
        <f t="shared" si="20"/>
        <v>9.8000000000000007</v>
      </c>
      <c r="E76">
        <f t="shared" si="21"/>
        <v>91</v>
      </c>
      <c r="F76" s="2"/>
      <c r="G76">
        <f t="shared" si="22"/>
        <v>2</v>
      </c>
      <c r="H76" s="10">
        <f t="shared" si="22"/>
        <v>45</v>
      </c>
      <c r="I76">
        <f t="shared" si="22"/>
        <v>9.8000000000000007</v>
      </c>
      <c r="J76">
        <f t="shared" si="23"/>
        <v>4</v>
      </c>
      <c r="K76">
        <f t="shared" si="24"/>
        <v>90</v>
      </c>
      <c r="L76">
        <f t="shared" si="25"/>
        <v>19.600000000000001</v>
      </c>
      <c r="M76">
        <f t="shared" si="26"/>
        <v>2025</v>
      </c>
      <c r="N76">
        <f t="shared" si="27"/>
        <v>441.00000000000006</v>
      </c>
      <c r="O76">
        <f t="shared" si="28"/>
        <v>96.04000000000002</v>
      </c>
      <c r="Q76" s="11">
        <f t="shared" si="29"/>
        <v>94.826830810243422</v>
      </c>
      <c r="R76" s="12">
        <f t="shared" si="30"/>
        <v>4.2053085826850793E-2</v>
      </c>
    </row>
    <row r="77" spans="1:18" x14ac:dyDescent="0.25">
      <c r="A77">
        <v>-7</v>
      </c>
      <c r="B77">
        <v>45</v>
      </c>
      <c r="C77">
        <f t="shared" si="20"/>
        <v>4.5999999999999996</v>
      </c>
      <c r="E77">
        <f t="shared" si="21"/>
        <v>61</v>
      </c>
      <c r="F77" s="2"/>
      <c r="G77">
        <f t="shared" si="22"/>
        <v>-7</v>
      </c>
      <c r="H77" s="10">
        <f t="shared" si="22"/>
        <v>45</v>
      </c>
      <c r="I77">
        <f t="shared" si="22"/>
        <v>4.5999999999999996</v>
      </c>
      <c r="J77">
        <f t="shared" si="23"/>
        <v>49</v>
      </c>
      <c r="K77">
        <f t="shared" si="24"/>
        <v>-315</v>
      </c>
      <c r="L77">
        <f t="shared" si="25"/>
        <v>-32.199999999999996</v>
      </c>
      <c r="M77">
        <f t="shared" si="26"/>
        <v>2025</v>
      </c>
      <c r="N77">
        <f t="shared" si="27"/>
        <v>206.99999999999997</v>
      </c>
      <c r="O77">
        <f t="shared" si="28"/>
        <v>21.159999999999997</v>
      </c>
      <c r="Q77" s="11">
        <f t="shared" si="29"/>
        <v>64.961163391729812</v>
      </c>
      <c r="R77" s="12">
        <f t="shared" si="30"/>
        <v>6.4937104782455943E-2</v>
      </c>
    </row>
    <row r="78" spans="1:18" x14ac:dyDescent="0.25">
      <c r="A78">
        <v>-7</v>
      </c>
      <c r="B78">
        <v>45</v>
      </c>
      <c r="C78">
        <f t="shared" si="20"/>
        <v>7.2</v>
      </c>
      <c r="E78">
        <f t="shared" si="21"/>
        <v>91</v>
      </c>
      <c r="G78">
        <f t="shared" si="22"/>
        <v>-7</v>
      </c>
      <c r="H78" s="10">
        <f t="shared" si="22"/>
        <v>45</v>
      </c>
      <c r="I78">
        <f t="shared" si="22"/>
        <v>7.2</v>
      </c>
      <c r="J78">
        <f t="shared" si="23"/>
        <v>49</v>
      </c>
      <c r="K78">
        <f t="shared" si="24"/>
        <v>-315</v>
      </c>
      <c r="L78">
        <f t="shared" si="25"/>
        <v>-50.4</v>
      </c>
      <c r="M78">
        <f t="shared" si="26"/>
        <v>2025</v>
      </c>
      <c r="N78">
        <f t="shared" si="27"/>
        <v>324</v>
      </c>
      <c r="O78">
        <f t="shared" si="28"/>
        <v>51.84</v>
      </c>
      <c r="Q78" s="11">
        <f t="shared" si="29"/>
        <v>95.948483762407164</v>
      </c>
      <c r="R78" s="12">
        <f t="shared" si="30"/>
        <v>5.4378942444034774E-2</v>
      </c>
    </row>
    <row r="79" spans="1:18" x14ac:dyDescent="0.25">
      <c r="A79">
        <v>7</v>
      </c>
      <c r="B79">
        <v>55</v>
      </c>
      <c r="C79">
        <f t="shared" si="20"/>
        <v>2.4</v>
      </c>
      <c r="E79">
        <f t="shared" si="21"/>
        <v>36</v>
      </c>
      <c r="G79">
        <f t="shared" si="22"/>
        <v>7</v>
      </c>
      <c r="H79" s="10">
        <f t="shared" si="22"/>
        <v>55</v>
      </c>
      <c r="I79">
        <f t="shared" si="22"/>
        <v>2.4</v>
      </c>
      <c r="J79">
        <f t="shared" si="23"/>
        <v>49</v>
      </c>
      <c r="K79">
        <f t="shared" si="24"/>
        <v>385</v>
      </c>
      <c r="L79">
        <f t="shared" si="25"/>
        <v>16.8</v>
      </c>
      <c r="M79">
        <f t="shared" si="26"/>
        <v>3025</v>
      </c>
      <c r="N79">
        <f t="shared" si="27"/>
        <v>132</v>
      </c>
      <c r="O79">
        <f t="shared" si="28"/>
        <v>5.76</v>
      </c>
      <c r="Q79" s="11">
        <f t="shared" si="29"/>
        <v>41.895018604770208</v>
      </c>
      <c r="R79" s="12">
        <f t="shared" si="30"/>
        <v>0.16375051679917244</v>
      </c>
    </row>
    <row r="80" spans="1:18" x14ac:dyDescent="0.25">
      <c r="A80">
        <v>7</v>
      </c>
      <c r="B80">
        <v>55</v>
      </c>
      <c r="C80">
        <f t="shared" si="20"/>
        <v>7.3</v>
      </c>
      <c r="E80">
        <f t="shared" si="21"/>
        <v>61</v>
      </c>
      <c r="G80">
        <f t="shared" si="22"/>
        <v>7</v>
      </c>
      <c r="H80" s="10">
        <f t="shared" si="22"/>
        <v>55</v>
      </c>
      <c r="I80">
        <f t="shared" si="22"/>
        <v>7.3</v>
      </c>
      <c r="J80">
        <f t="shared" si="23"/>
        <v>49</v>
      </c>
      <c r="K80">
        <f t="shared" si="24"/>
        <v>385</v>
      </c>
      <c r="L80">
        <f t="shared" si="25"/>
        <v>51.1</v>
      </c>
      <c r="M80">
        <f t="shared" si="26"/>
        <v>3025</v>
      </c>
      <c r="N80">
        <f t="shared" si="27"/>
        <v>401.5</v>
      </c>
      <c r="O80">
        <f t="shared" si="28"/>
        <v>53.29</v>
      </c>
      <c r="Q80" s="11">
        <f t="shared" si="29"/>
        <v>64.348596085820162</v>
      </c>
      <c r="R80" s="12">
        <f t="shared" si="30"/>
        <v>5.4895017800330528E-2</v>
      </c>
    </row>
    <row r="81" spans="1:18" x14ac:dyDescent="0.25">
      <c r="A81">
        <v>7</v>
      </c>
      <c r="B81">
        <v>55</v>
      </c>
      <c r="C81">
        <f t="shared" si="20"/>
        <v>9.1</v>
      </c>
      <c r="E81">
        <f t="shared" si="21"/>
        <v>81</v>
      </c>
      <c r="G81">
        <f t="shared" si="22"/>
        <v>7</v>
      </c>
      <c r="H81" s="10">
        <f t="shared" si="22"/>
        <v>55</v>
      </c>
      <c r="I81">
        <f t="shared" si="22"/>
        <v>9.1</v>
      </c>
      <c r="J81">
        <f t="shared" si="23"/>
        <v>49</v>
      </c>
      <c r="K81">
        <f t="shared" si="24"/>
        <v>385</v>
      </c>
      <c r="L81">
        <f t="shared" si="25"/>
        <v>63.699999999999996</v>
      </c>
      <c r="M81">
        <f t="shared" si="26"/>
        <v>3025</v>
      </c>
      <c r="N81">
        <f t="shared" si="27"/>
        <v>500.5</v>
      </c>
      <c r="O81">
        <f t="shared" si="28"/>
        <v>82.809999999999988</v>
      </c>
      <c r="Q81" s="11">
        <f t="shared" si="29"/>
        <v>78.208553136486273</v>
      </c>
      <c r="R81" s="12">
        <f t="shared" si="30"/>
        <v>-3.4462306956959593E-2</v>
      </c>
    </row>
    <row r="82" spans="1:18" x14ac:dyDescent="0.25">
      <c r="A82">
        <v>2</v>
      </c>
      <c r="B82">
        <v>55</v>
      </c>
      <c r="C82">
        <f t="shared" si="20"/>
        <v>5.8</v>
      </c>
      <c r="E82">
        <f t="shared" si="21"/>
        <v>61</v>
      </c>
      <c r="G82">
        <f t="shared" si="22"/>
        <v>2</v>
      </c>
      <c r="H82" s="10">
        <f t="shared" si="22"/>
        <v>55</v>
      </c>
      <c r="I82">
        <f t="shared" si="22"/>
        <v>5.8</v>
      </c>
      <c r="J82">
        <f t="shared" si="23"/>
        <v>4</v>
      </c>
      <c r="K82">
        <f t="shared" si="24"/>
        <v>110</v>
      </c>
      <c r="L82">
        <f t="shared" si="25"/>
        <v>11.6</v>
      </c>
      <c r="M82">
        <f t="shared" si="26"/>
        <v>3025</v>
      </c>
      <c r="N82">
        <f t="shared" si="27"/>
        <v>319</v>
      </c>
      <c r="O82">
        <f t="shared" si="28"/>
        <v>33.64</v>
      </c>
      <c r="Q82" s="11">
        <f t="shared" si="29"/>
        <v>59.9918112225672</v>
      </c>
      <c r="R82" s="12">
        <f t="shared" si="30"/>
        <v>-1.6527684875947534E-2</v>
      </c>
    </row>
    <row r="83" spans="1:18" x14ac:dyDescent="0.25">
      <c r="A83">
        <v>2</v>
      </c>
      <c r="B83">
        <v>55</v>
      </c>
      <c r="C83">
        <f t="shared" si="20"/>
        <v>8.1</v>
      </c>
      <c r="E83">
        <f t="shared" si="21"/>
        <v>81</v>
      </c>
      <c r="G83">
        <f t="shared" si="22"/>
        <v>2</v>
      </c>
      <c r="H83" s="10">
        <f t="shared" si="22"/>
        <v>55</v>
      </c>
      <c r="I83">
        <f t="shared" si="22"/>
        <v>8.1</v>
      </c>
      <c r="J83">
        <f t="shared" si="23"/>
        <v>4</v>
      </c>
      <c r="K83">
        <f t="shared" si="24"/>
        <v>110</v>
      </c>
      <c r="L83">
        <f t="shared" si="25"/>
        <v>16.2</v>
      </c>
      <c r="M83">
        <f t="shared" si="26"/>
        <v>3025</v>
      </c>
      <c r="N83">
        <f t="shared" si="27"/>
        <v>445.5</v>
      </c>
      <c r="O83">
        <f t="shared" si="28"/>
        <v>65.61</v>
      </c>
      <c r="Q83" s="11">
        <f t="shared" si="29"/>
        <v>80.143941129621624</v>
      </c>
      <c r="R83" s="12">
        <f t="shared" si="30"/>
        <v>-1.0568628029362672E-2</v>
      </c>
    </row>
    <row r="84" spans="1:18" x14ac:dyDescent="0.25">
      <c r="A84">
        <v>-7</v>
      </c>
      <c r="B84">
        <v>55</v>
      </c>
      <c r="C84">
        <f t="shared" si="20"/>
        <v>3.6</v>
      </c>
      <c r="E84">
        <f t="shared" ref="E84:E85" si="31">C26</f>
        <v>61</v>
      </c>
      <c r="G84">
        <f t="shared" si="22"/>
        <v>-7</v>
      </c>
      <c r="H84" s="10">
        <f t="shared" si="22"/>
        <v>55</v>
      </c>
      <c r="I84">
        <f t="shared" si="22"/>
        <v>3.6</v>
      </c>
      <c r="J84">
        <f t="shared" si="23"/>
        <v>49</v>
      </c>
      <c r="K84">
        <f t="shared" si="24"/>
        <v>-385</v>
      </c>
      <c r="L84">
        <f t="shared" si="25"/>
        <v>-25.2</v>
      </c>
      <c r="M84">
        <f t="shared" si="26"/>
        <v>3025</v>
      </c>
      <c r="N84">
        <f t="shared" si="27"/>
        <v>198</v>
      </c>
      <c r="O84">
        <f t="shared" si="28"/>
        <v>12.96</v>
      </c>
      <c r="Q84" s="11">
        <f t="shared" si="29"/>
        <v>57.786679412192058</v>
      </c>
      <c r="R84" s="12">
        <f t="shared" si="30"/>
        <v>-5.2677386685376103E-2</v>
      </c>
    </row>
    <row r="85" spans="1:18" x14ac:dyDescent="0.25">
      <c r="A85">
        <v>-7</v>
      </c>
      <c r="B85">
        <v>55</v>
      </c>
      <c r="C85">
        <f t="shared" si="20"/>
        <v>6</v>
      </c>
      <c r="E85">
        <f t="shared" si="31"/>
        <v>85</v>
      </c>
      <c r="G85">
        <f t="shared" si="22"/>
        <v>-7</v>
      </c>
      <c r="H85" s="10">
        <f t="shared" si="22"/>
        <v>55</v>
      </c>
      <c r="I85">
        <f t="shared" si="22"/>
        <v>6</v>
      </c>
      <c r="J85">
        <f t="shared" si="23"/>
        <v>49</v>
      </c>
      <c r="K85">
        <f t="shared" si="24"/>
        <v>-385</v>
      </c>
      <c r="L85">
        <f t="shared" si="25"/>
        <v>-42</v>
      </c>
      <c r="M85">
        <f t="shared" si="26"/>
        <v>3025</v>
      </c>
      <c r="N85">
        <f t="shared" si="27"/>
        <v>330</v>
      </c>
      <c r="O85">
        <f t="shared" si="28"/>
        <v>36</v>
      </c>
      <c r="Q85" s="11">
        <f t="shared" si="29"/>
        <v>83.625400408542518</v>
      </c>
      <c r="R85" s="12">
        <f t="shared" si="30"/>
        <v>-1.6171759899499788E-2</v>
      </c>
    </row>
    <row r="86" spans="1:18" x14ac:dyDescent="0.25">
      <c r="H86" s="10"/>
      <c r="Q86" s="11"/>
      <c r="R86" s="12"/>
    </row>
    <row r="87" spans="1:18" x14ac:dyDescent="0.25">
      <c r="H87" s="10"/>
      <c r="Q87" s="11"/>
      <c r="R87" s="12"/>
    </row>
    <row r="88" spans="1:18" x14ac:dyDescent="0.25">
      <c r="H88" s="10"/>
      <c r="Q88" s="11"/>
      <c r="R88" s="12"/>
    </row>
    <row r="89" spans="1:18" x14ac:dyDescent="0.25">
      <c r="H89" s="10"/>
      <c r="Q89" s="11"/>
      <c r="R89" s="12"/>
    </row>
    <row r="90" spans="1:18" x14ac:dyDescent="0.25">
      <c r="H90" s="10"/>
      <c r="Q90" s="11"/>
      <c r="R90" s="12"/>
    </row>
    <row r="91" spans="1:18" x14ac:dyDescent="0.25">
      <c r="H91" s="10"/>
      <c r="Q91" s="11"/>
      <c r="R91" s="12"/>
    </row>
    <row r="92" spans="1:18" x14ac:dyDescent="0.25">
      <c r="H92" s="10"/>
      <c r="Q92" s="11"/>
      <c r="R92" s="12"/>
    </row>
    <row r="93" spans="1:18" x14ac:dyDescent="0.25">
      <c r="H93" s="10"/>
      <c r="Q93" s="11"/>
      <c r="R93" s="12"/>
    </row>
    <row r="94" spans="1:18" x14ac:dyDescent="0.25">
      <c r="H94" s="10"/>
      <c r="Q94" s="11"/>
      <c r="R94" s="12"/>
    </row>
    <row r="95" spans="1:18" x14ac:dyDescent="0.25">
      <c r="H95" s="10"/>
      <c r="Q95" s="11"/>
      <c r="R95" s="12"/>
    </row>
    <row r="96" spans="1:18" x14ac:dyDescent="0.25">
      <c r="H96" s="10"/>
      <c r="Q96" s="11"/>
      <c r="R96" s="12"/>
    </row>
    <row r="97" spans="8:18" x14ac:dyDescent="0.25">
      <c r="H97" s="10"/>
      <c r="Q97" s="11"/>
      <c r="R97" s="12"/>
    </row>
    <row r="98" spans="8:18" x14ac:dyDescent="0.25">
      <c r="H98" s="10"/>
      <c r="Q98" s="11"/>
      <c r="R98" s="12"/>
    </row>
    <row r="99" spans="8:18" x14ac:dyDescent="0.25">
      <c r="H99" s="10"/>
      <c r="Q99" s="11"/>
      <c r="R99" s="12"/>
    </row>
    <row r="100" spans="8:18" x14ac:dyDescent="0.25">
      <c r="H100" s="10"/>
      <c r="Q100" s="11"/>
      <c r="R100" s="12"/>
    </row>
    <row r="101" spans="8:18" x14ac:dyDescent="0.25">
      <c r="H101" s="10"/>
      <c r="Q101" s="11"/>
      <c r="R101" s="12"/>
    </row>
    <row r="102" spans="8:18" x14ac:dyDescent="0.25">
      <c r="H102" s="10"/>
      <c r="Q102" s="11"/>
      <c r="R102" s="12"/>
    </row>
    <row r="103" spans="8:18" x14ac:dyDescent="0.25">
      <c r="H103" s="10"/>
      <c r="Q103" s="11"/>
      <c r="R103" s="12"/>
    </row>
    <row r="104" spans="8:18" x14ac:dyDescent="0.25">
      <c r="H104" s="10"/>
      <c r="Q104" s="11"/>
      <c r="R104" s="12"/>
    </row>
    <row r="105" spans="8:18" x14ac:dyDescent="0.25">
      <c r="H105" s="10"/>
      <c r="Q105" s="11"/>
      <c r="R105" s="12"/>
    </row>
    <row r="106" spans="8:18" x14ac:dyDescent="0.25">
      <c r="H106" s="10"/>
      <c r="Q106" s="11"/>
      <c r="R106" s="12"/>
    </row>
    <row r="107" spans="8:18" x14ac:dyDescent="0.25">
      <c r="H107" s="10"/>
      <c r="Q107" s="11"/>
      <c r="R107" s="12"/>
    </row>
    <row r="108" spans="8:18" x14ac:dyDescent="0.25">
      <c r="H108" s="10"/>
      <c r="Q108" s="11"/>
      <c r="R108" s="12"/>
    </row>
    <row r="109" spans="8:18" x14ac:dyDescent="0.25">
      <c r="H109" s="10"/>
      <c r="Q109" s="11"/>
      <c r="R109" s="12"/>
    </row>
    <row r="110" spans="8:18" x14ac:dyDescent="0.25">
      <c r="H110" s="10"/>
      <c r="Q110" s="11"/>
      <c r="R110" s="12"/>
    </row>
    <row r="111" spans="8:18" x14ac:dyDescent="0.25">
      <c r="H111" s="10"/>
      <c r="Q111" s="11"/>
      <c r="R111" s="12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58369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58369" r:id="rId4"/>
      </mc:Fallback>
    </mc:AlternateContent>
    <mc:AlternateContent xmlns:mc="http://schemas.openxmlformats.org/markup-compatibility/2006">
      <mc:Choice Requires="x14">
        <oleObject progId="Equation.3" shapeId="58370" r:id="rId6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58370" r:id="rId6"/>
      </mc:Fallback>
    </mc:AlternateContent>
    <mc:AlternateContent xmlns:mc="http://schemas.openxmlformats.org/markup-compatibility/2006">
      <mc:Choice Requires="x14">
        <oleObject progId="Equation.3" shapeId="58371" r:id="rId7">
          <objectPr defaultSize="0" autoPict="0" r:id="rId5">
            <anchor moveWithCells="1" sizeWithCells="1">
              <from>
                <xdr:col>6</xdr:col>
                <xdr:colOff>171450</xdr:colOff>
                <xdr:row>31</xdr:row>
                <xdr:rowOff>38100</xdr:rowOff>
              </from>
              <to>
                <xdr:col>14</xdr:col>
                <xdr:colOff>1466850</xdr:colOff>
                <xdr:row>31</xdr:row>
                <xdr:rowOff>647700</xdr:rowOff>
              </to>
            </anchor>
          </objectPr>
        </oleObject>
      </mc:Choice>
      <mc:Fallback>
        <oleObject progId="Equation.3" shapeId="58371" r:id="rId7"/>
      </mc:Fallback>
    </mc:AlternateContent>
    <mc:AlternateContent xmlns:mc="http://schemas.openxmlformats.org/markup-compatibility/2006">
      <mc:Choice Requires="x14">
        <oleObject progId="Equation.3" shapeId="58372" r:id="rId8">
          <objectPr defaultSize="0" autoPict="0" r:id="rId5">
            <anchor moveWithCells="1" sizeWithCells="1">
              <from>
                <xdr:col>6</xdr:col>
                <xdr:colOff>171450</xdr:colOff>
                <xdr:row>60</xdr:row>
                <xdr:rowOff>38100</xdr:rowOff>
              </from>
              <to>
                <xdr:col>14</xdr:col>
                <xdr:colOff>1466850</xdr:colOff>
                <xdr:row>60</xdr:row>
                <xdr:rowOff>647700</xdr:rowOff>
              </to>
            </anchor>
          </objectPr>
        </oleObject>
      </mc:Choice>
      <mc:Fallback>
        <oleObject progId="Equation.3" shapeId="58372" r:id="rId8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List20"/>
  <dimension ref="A1:T267"/>
  <sheetViews>
    <sheetView topLeftCell="A28" zoomScale="70" zoomScaleNormal="70" workbookViewId="0"/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LINEST(E4:E79,G4:O79)</f>
        <v>-2.0743295761793177E-4</v>
      </c>
      <c r="H2" s="4">
        <v>-4.5091444608177033E-4</v>
      </c>
      <c r="I2" s="4">
        <v>1.7934166007804871E-3</v>
      </c>
      <c r="J2" s="4">
        <v>4.7128048593441498E-3</v>
      </c>
      <c r="K2" s="4">
        <v>-1.7622775808552008E-3</v>
      </c>
      <c r="L2" s="4">
        <v>1.0162700992157648E-3</v>
      </c>
      <c r="M2" s="4">
        <v>0.25019837620123675</v>
      </c>
      <c r="N2" s="4">
        <v>-0.22272736338749927</v>
      </c>
      <c r="O2" s="4">
        <v>0.13966734834277394</v>
      </c>
      <c r="P2" s="4">
        <v>5.1236357069513412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12</v>
      </c>
      <c r="B4">
        <v>35</v>
      </c>
      <c r="C4">
        <v>36</v>
      </c>
      <c r="E4">
        <v>10.10092</v>
      </c>
      <c r="F4" s="2"/>
      <c r="G4">
        <f t="shared" ref="G4:I79" si="0">A4</f>
        <v>12</v>
      </c>
      <c r="H4" s="10">
        <f t="shared" si="0"/>
        <v>35</v>
      </c>
      <c r="I4">
        <f t="shared" si="0"/>
        <v>36</v>
      </c>
      <c r="J4">
        <f t="shared" ref="J4:J79" si="1">G4^2</f>
        <v>144</v>
      </c>
      <c r="K4">
        <f t="shared" ref="K4:K79" si="2">G4*H4</f>
        <v>420</v>
      </c>
      <c r="L4">
        <f t="shared" ref="L4:L79" si="3">G4*I4</f>
        <v>432</v>
      </c>
      <c r="M4">
        <f t="shared" ref="M4:M79" si="4">H4^2</f>
        <v>1225</v>
      </c>
      <c r="N4">
        <f t="shared" ref="N4:N79" si="5">H4*I4</f>
        <v>1260</v>
      </c>
      <c r="O4">
        <f t="shared" ref="O4:O79" si="6">I4^2</f>
        <v>1296</v>
      </c>
      <c r="Q4" s="11">
        <f>$P$2+$O$2*G4+$N$2*H4+$M$2*I4+$L$2*J4+$K$2*K4+$J$2*L4+$I$2*M4+$H$2*N4+$G$2*O4</f>
        <v>10.813395742131464</v>
      </c>
      <c r="R4" s="12">
        <f t="shared" ref="R4:R79" si="7">(Q4-E4)/E4</f>
        <v>7.0535727649705504E-2</v>
      </c>
      <c r="S4" s="11"/>
      <c r="T4" s="12"/>
    </row>
    <row r="5" spans="1:20" x14ac:dyDescent="0.25">
      <c r="A5">
        <v>12</v>
      </c>
      <c r="B5">
        <v>35</v>
      </c>
      <c r="C5">
        <v>49</v>
      </c>
      <c r="E5">
        <v>13.825989999999999</v>
      </c>
      <c r="F5" s="2"/>
      <c r="G5">
        <f t="shared" si="0"/>
        <v>12</v>
      </c>
      <c r="H5" s="10">
        <f t="shared" si="0"/>
        <v>35</v>
      </c>
      <c r="I5">
        <f t="shared" si="0"/>
        <v>49</v>
      </c>
      <c r="J5">
        <f t="shared" si="1"/>
        <v>144</v>
      </c>
      <c r="K5">
        <f t="shared" si="2"/>
        <v>420</v>
      </c>
      <c r="L5">
        <f t="shared" si="3"/>
        <v>588</v>
      </c>
      <c r="M5">
        <f t="shared" si="4"/>
        <v>1225</v>
      </c>
      <c r="N5">
        <f t="shared" si="5"/>
        <v>1715</v>
      </c>
      <c r="O5">
        <f t="shared" si="6"/>
        <v>2401</v>
      </c>
      <c r="Q5" s="11">
        <f t="shared" ref="Q5:Q79" si="8">$P$2+$O$2*G5+$N$2*H5+$M$2*I5+$L$2*J5+$K$2*K5+$J$2*L5+$I$2*M5+$H$2*N5+$G$2*O5</f>
        <v>14.366792699670208</v>
      </c>
      <c r="R5" s="12">
        <f t="shared" si="7"/>
        <v>3.9114934964527615E-2</v>
      </c>
      <c r="S5" s="11"/>
      <c r="T5" s="12"/>
    </row>
    <row r="6" spans="1:20" x14ac:dyDescent="0.25">
      <c r="A6">
        <v>12</v>
      </c>
      <c r="B6">
        <v>35</v>
      </c>
      <c r="C6">
        <v>55</v>
      </c>
      <c r="E6">
        <v>15.51432</v>
      </c>
      <c r="F6" s="2"/>
      <c r="G6">
        <f t="shared" si="0"/>
        <v>12</v>
      </c>
      <c r="H6" s="10">
        <f t="shared" si="0"/>
        <v>35</v>
      </c>
      <c r="I6">
        <f t="shared" si="0"/>
        <v>55</v>
      </c>
      <c r="J6">
        <f t="shared" si="1"/>
        <v>144</v>
      </c>
      <c r="K6">
        <f t="shared" si="2"/>
        <v>420</v>
      </c>
      <c r="L6">
        <f t="shared" si="3"/>
        <v>660</v>
      </c>
      <c r="M6">
        <f t="shared" si="4"/>
        <v>1225</v>
      </c>
      <c r="N6">
        <f t="shared" si="5"/>
        <v>1925</v>
      </c>
      <c r="O6">
        <f t="shared" si="6"/>
        <v>3025</v>
      </c>
      <c r="Q6" s="11">
        <f t="shared" si="8"/>
        <v>15.983174707519645</v>
      </c>
      <c r="R6" s="12">
        <f t="shared" si="7"/>
        <v>3.0220770715032628E-2</v>
      </c>
      <c r="S6" s="11"/>
      <c r="T6" s="12"/>
    </row>
    <row r="7" spans="1:20" x14ac:dyDescent="0.25">
      <c r="A7">
        <v>12</v>
      </c>
      <c r="B7">
        <v>35</v>
      </c>
      <c r="C7">
        <v>66</v>
      </c>
      <c r="E7">
        <v>18.404169999999997</v>
      </c>
      <c r="F7" s="2"/>
      <c r="G7">
        <f t="shared" si="0"/>
        <v>12</v>
      </c>
      <c r="H7" s="10">
        <f t="shared" si="0"/>
        <v>35</v>
      </c>
      <c r="I7">
        <f t="shared" si="0"/>
        <v>66</v>
      </c>
      <c r="J7">
        <f t="shared" si="1"/>
        <v>144</v>
      </c>
      <c r="K7">
        <f t="shared" si="2"/>
        <v>420</v>
      </c>
      <c r="L7">
        <f t="shared" si="3"/>
        <v>792</v>
      </c>
      <c r="M7">
        <f t="shared" si="4"/>
        <v>1225</v>
      </c>
      <c r="N7">
        <f t="shared" si="5"/>
        <v>2310</v>
      </c>
      <c r="O7">
        <f t="shared" si="6"/>
        <v>4356</v>
      </c>
      <c r="Q7" s="11">
        <f t="shared" si="8"/>
        <v>18.90775175883573</v>
      </c>
      <c r="R7" s="12">
        <f t="shared" si="7"/>
        <v>2.7362372703345635E-2</v>
      </c>
      <c r="S7" s="11"/>
      <c r="T7" s="12"/>
    </row>
    <row r="8" spans="1:20" x14ac:dyDescent="0.25">
      <c r="A8">
        <v>7</v>
      </c>
      <c r="B8">
        <v>35</v>
      </c>
      <c r="C8">
        <v>36</v>
      </c>
      <c r="E8">
        <v>9.1932999999999989</v>
      </c>
      <c r="F8" s="2"/>
      <c r="G8">
        <f t="shared" si="0"/>
        <v>7</v>
      </c>
      <c r="H8" s="10">
        <f t="shared" si="0"/>
        <v>35</v>
      </c>
      <c r="I8">
        <f t="shared" si="0"/>
        <v>36</v>
      </c>
      <c r="J8">
        <f t="shared" si="1"/>
        <v>49</v>
      </c>
      <c r="K8">
        <f t="shared" si="2"/>
        <v>245</v>
      </c>
      <c r="L8">
        <f t="shared" si="3"/>
        <v>252</v>
      </c>
      <c r="M8">
        <f t="shared" si="4"/>
        <v>1225</v>
      </c>
      <c r="N8">
        <f t="shared" si="5"/>
        <v>1260</v>
      </c>
      <c r="O8">
        <f t="shared" si="6"/>
        <v>1296</v>
      </c>
      <c r="Q8" s="11">
        <f t="shared" si="8"/>
        <v>9.4786070429598084</v>
      </c>
      <c r="R8" s="12">
        <f t="shared" si="7"/>
        <v>3.1034236124113157E-2</v>
      </c>
      <c r="S8" s="11"/>
      <c r="T8" s="12"/>
    </row>
    <row r="9" spans="1:20" x14ac:dyDescent="0.25">
      <c r="A9">
        <v>7</v>
      </c>
      <c r="B9">
        <v>35</v>
      </c>
      <c r="C9">
        <v>49</v>
      </c>
      <c r="E9">
        <v>12.481450000000001</v>
      </c>
      <c r="F9" s="2"/>
      <c r="G9">
        <f t="shared" ref="G9:G29" si="9">A9</f>
        <v>7</v>
      </c>
      <c r="H9" s="10">
        <f t="shared" ref="H9:H29" si="10">B9</f>
        <v>35</v>
      </c>
      <c r="I9">
        <f t="shared" ref="I9:I29" si="11">C9</f>
        <v>49</v>
      </c>
      <c r="J9">
        <f t="shared" ref="J9:J29" si="12">G9^2</f>
        <v>49</v>
      </c>
      <c r="K9">
        <f t="shared" ref="K9:K29" si="13">G9*H9</f>
        <v>245</v>
      </c>
      <c r="L9">
        <f t="shared" ref="L9:L29" si="14">G9*I9</f>
        <v>343</v>
      </c>
      <c r="M9">
        <f t="shared" ref="M9:M29" si="15">H9^2</f>
        <v>1225</v>
      </c>
      <c r="N9">
        <f t="shared" ref="N9:N29" si="16">H9*I9</f>
        <v>1715</v>
      </c>
      <c r="O9">
        <f t="shared" ref="O9:O29" si="17">I9^2</f>
        <v>2401</v>
      </c>
      <c r="Q9" s="11">
        <f t="shared" ref="Q9:Q29" si="18">$P$2+$O$2*G9+$N$2*H9+$M$2*I9+$L$2*J9+$K$2*K9+$J$2*L9+$I$2*M9+$H$2*N9+$G$2*O9</f>
        <v>12.725671684641183</v>
      </c>
      <c r="R9" s="12">
        <f t="shared" ref="R9:R29" si="19">(Q9-E9)/E9</f>
        <v>1.9566771860735927E-2</v>
      </c>
      <c r="S9" s="11"/>
      <c r="T9" s="12"/>
    </row>
    <row r="10" spans="1:20" x14ac:dyDescent="0.25">
      <c r="A10">
        <v>7</v>
      </c>
      <c r="B10">
        <v>35</v>
      </c>
      <c r="C10">
        <v>55</v>
      </c>
      <c r="E10">
        <v>13.95247</v>
      </c>
      <c r="F10" s="2"/>
      <c r="G10">
        <f t="shared" si="9"/>
        <v>7</v>
      </c>
      <c r="H10" s="10">
        <f t="shared" si="10"/>
        <v>35</v>
      </c>
      <c r="I10">
        <f t="shared" si="11"/>
        <v>55</v>
      </c>
      <c r="J10">
        <f t="shared" si="12"/>
        <v>49</v>
      </c>
      <c r="K10">
        <f t="shared" si="13"/>
        <v>245</v>
      </c>
      <c r="L10">
        <f t="shared" si="14"/>
        <v>385</v>
      </c>
      <c r="M10">
        <f t="shared" si="15"/>
        <v>1225</v>
      </c>
      <c r="N10">
        <f t="shared" si="16"/>
        <v>1925</v>
      </c>
      <c r="O10">
        <f t="shared" si="17"/>
        <v>3025</v>
      </c>
      <c r="Q10" s="11">
        <f t="shared" si="18"/>
        <v>14.200669546710298</v>
      </c>
      <c r="R10" s="12">
        <f t="shared" si="19"/>
        <v>1.7788932476493265E-2</v>
      </c>
      <c r="S10" s="11"/>
      <c r="T10" s="12"/>
    </row>
    <row r="11" spans="1:20" x14ac:dyDescent="0.25">
      <c r="A11">
        <v>7</v>
      </c>
      <c r="B11">
        <v>35</v>
      </c>
      <c r="C11">
        <v>66</v>
      </c>
      <c r="E11">
        <v>16.484639999999999</v>
      </c>
      <c r="F11" s="2"/>
      <c r="G11">
        <f t="shared" si="9"/>
        <v>7</v>
      </c>
      <c r="H11" s="10">
        <f t="shared" si="10"/>
        <v>35</v>
      </c>
      <c r="I11">
        <f t="shared" si="11"/>
        <v>66</v>
      </c>
      <c r="J11">
        <f t="shared" si="12"/>
        <v>49</v>
      </c>
      <c r="K11">
        <f t="shared" si="13"/>
        <v>245</v>
      </c>
      <c r="L11">
        <f t="shared" si="14"/>
        <v>462</v>
      </c>
      <c r="M11">
        <f t="shared" si="15"/>
        <v>1225</v>
      </c>
      <c r="N11">
        <f t="shared" si="16"/>
        <v>2310</v>
      </c>
      <c r="O11">
        <f t="shared" si="17"/>
        <v>4356</v>
      </c>
      <c r="Q11" s="11">
        <f t="shared" si="18"/>
        <v>16.866042330762454</v>
      </c>
      <c r="R11" s="12">
        <f t="shared" si="19"/>
        <v>2.3136831059850579E-2</v>
      </c>
      <c r="S11" s="11"/>
      <c r="T11" s="12"/>
    </row>
    <row r="12" spans="1:20" x14ac:dyDescent="0.25">
      <c r="A12">
        <v>7</v>
      </c>
      <c r="B12">
        <v>35</v>
      </c>
      <c r="C12">
        <v>76</v>
      </c>
      <c r="E12">
        <v>18.52638</v>
      </c>
      <c r="F12" s="2"/>
      <c r="G12">
        <f t="shared" si="9"/>
        <v>7</v>
      </c>
      <c r="H12" s="10">
        <f t="shared" si="10"/>
        <v>35</v>
      </c>
      <c r="I12">
        <f t="shared" si="11"/>
        <v>76</v>
      </c>
      <c r="J12">
        <f t="shared" si="12"/>
        <v>49</v>
      </c>
      <c r="K12">
        <f t="shared" si="13"/>
        <v>245</v>
      </c>
      <c r="L12">
        <f t="shared" si="14"/>
        <v>532</v>
      </c>
      <c r="M12">
        <f t="shared" si="15"/>
        <v>1225</v>
      </c>
      <c r="N12">
        <f t="shared" si="16"/>
        <v>2660</v>
      </c>
      <c r="O12">
        <f t="shared" si="17"/>
        <v>5776</v>
      </c>
      <c r="Q12" s="11">
        <f t="shared" si="18"/>
        <v>19.24554757698283</v>
      </c>
      <c r="R12" s="12">
        <f t="shared" si="19"/>
        <v>3.881856989777982E-2</v>
      </c>
      <c r="S12" s="11"/>
      <c r="T12" s="12"/>
    </row>
    <row r="13" spans="1:20" x14ac:dyDescent="0.25">
      <c r="A13">
        <v>2</v>
      </c>
      <c r="B13">
        <v>35</v>
      </c>
      <c r="C13">
        <v>36</v>
      </c>
      <c r="E13">
        <v>9.1932999999999989</v>
      </c>
      <c r="F13" s="2"/>
      <c r="G13">
        <f t="shared" si="9"/>
        <v>2</v>
      </c>
      <c r="H13" s="10">
        <f t="shared" si="10"/>
        <v>35</v>
      </c>
      <c r="I13">
        <f t="shared" si="11"/>
        <v>36</v>
      </c>
      <c r="J13">
        <f t="shared" si="12"/>
        <v>4</v>
      </c>
      <c r="K13">
        <f t="shared" si="13"/>
        <v>70</v>
      </c>
      <c r="L13">
        <f t="shared" si="14"/>
        <v>72</v>
      </c>
      <c r="M13">
        <f t="shared" si="15"/>
        <v>1225</v>
      </c>
      <c r="N13">
        <f t="shared" si="16"/>
        <v>1260</v>
      </c>
      <c r="O13">
        <f t="shared" si="17"/>
        <v>1296</v>
      </c>
      <c r="Q13" s="11">
        <f t="shared" si="18"/>
        <v>8.1946318487489407</v>
      </c>
      <c r="R13" s="12">
        <f t="shared" si="19"/>
        <v>-0.10862999698161252</v>
      </c>
      <c r="S13" s="11"/>
      <c r="T13" s="12"/>
    </row>
    <row r="14" spans="1:20" x14ac:dyDescent="0.25">
      <c r="A14">
        <v>2</v>
      </c>
      <c r="B14">
        <v>35</v>
      </c>
      <c r="C14">
        <v>49</v>
      </c>
      <c r="E14">
        <v>12.481450000000001</v>
      </c>
      <c r="F14" s="2"/>
      <c r="G14">
        <f t="shared" si="9"/>
        <v>2</v>
      </c>
      <c r="H14" s="10">
        <f t="shared" si="10"/>
        <v>35</v>
      </c>
      <c r="I14">
        <f t="shared" si="11"/>
        <v>49</v>
      </c>
      <c r="J14">
        <f t="shared" si="12"/>
        <v>4</v>
      </c>
      <c r="K14">
        <f t="shared" si="13"/>
        <v>70</v>
      </c>
      <c r="L14">
        <f t="shared" si="14"/>
        <v>98</v>
      </c>
      <c r="M14">
        <f t="shared" si="15"/>
        <v>1225</v>
      </c>
      <c r="N14">
        <f t="shared" si="16"/>
        <v>1715</v>
      </c>
      <c r="O14">
        <f t="shared" si="17"/>
        <v>2401</v>
      </c>
      <c r="Q14" s="11">
        <f t="shared" si="18"/>
        <v>11.135364174572947</v>
      </c>
      <c r="R14" s="12">
        <f t="shared" si="19"/>
        <v>-0.10784691084986546</v>
      </c>
      <c r="S14" s="11"/>
      <c r="T14" s="12"/>
    </row>
    <row r="15" spans="1:20" x14ac:dyDescent="0.25">
      <c r="A15">
        <v>2</v>
      </c>
      <c r="B15">
        <v>35</v>
      </c>
      <c r="C15">
        <v>55</v>
      </c>
      <c r="E15">
        <v>13.95247</v>
      </c>
      <c r="F15" s="2"/>
      <c r="G15">
        <f t="shared" si="9"/>
        <v>2</v>
      </c>
      <c r="H15" s="10">
        <f t="shared" si="10"/>
        <v>35</v>
      </c>
      <c r="I15">
        <f t="shared" si="11"/>
        <v>55</v>
      </c>
      <c r="J15">
        <f t="shared" si="12"/>
        <v>4</v>
      </c>
      <c r="K15">
        <f t="shared" si="13"/>
        <v>70</v>
      </c>
      <c r="L15">
        <f t="shared" si="14"/>
        <v>110</v>
      </c>
      <c r="M15">
        <f t="shared" si="15"/>
        <v>1225</v>
      </c>
      <c r="N15">
        <f t="shared" si="16"/>
        <v>1925</v>
      </c>
      <c r="O15">
        <f t="shared" si="17"/>
        <v>3025</v>
      </c>
      <c r="Q15" s="11">
        <f t="shared" si="18"/>
        <v>12.468977890861737</v>
      </c>
      <c r="R15" s="12">
        <f t="shared" si="19"/>
        <v>-0.10632469441885652</v>
      </c>
      <c r="S15" s="11"/>
      <c r="T15" s="12"/>
    </row>
    <row r="16" spans="1:20" x14ac:dyDescent="0.25">
      <c r="A16">
        <v>2</v>
      </c>
      <c r="B16">
        <v>35</v>
      </c>
      <c r="C16">
        <v>66</v>
      </c>
      <c r="E16">
        <v>16.484639999999999</v>
      </c>
      <c r="F16" s="2"/>
      <c r="G16">
        <f t="shared" si="9"/>
        <v>2</v>
      </c>
      <c r="H16" s="10">
        <f t="shared" si="10"/>
        <v>35</v>
      </c>
      <c r="I16">
        <f t="shared" si="11"/>
        <v>66</v>
      </c>
      <c r="J16">
        <f t="shared" si="12"/>
        <v>4</v>
      </c>
      <c r="K16">
        <f t="shared" si="13"/>
        <v>70</v>
      </c>
      <c r="L16">
        <f t="shared" si="14"/>
        <v>132</v>
      </c>
      <c r="M16">
        <f t="shared" si="15"/>
        <v>1225</v>
      </c>
      <c r="N16">
        <f t="shared" si="16"/>
        <v>2310</v>
      </c>
      <c r="O16">
        <f t="shared" si="17"/>
        <v>4356</v>
      </c>
      <c r="Q16" s="11">
        <f t="shared" si="18"/>
        <v>14.875146407649963</v>
      </c>
      <c r="R16" s="12">
        <f t="shared" si="19"/>
        <v>-9.7635956402447141E-2</v>
      </c>
      <c r="S16" s="11"/>
      <c r="T16" s="12"/>
    </row>
    <row r="17" spans="1:20" x14ac:dyDescent="0.25">
      <c r="A17">
        <v>2</v>
      </c>
      <c r="B17">
        <v>35</v>
      </c>
      <c r="C17">
        <v>76</v>
      </c>
      <c r="E17">
        <v>18.52638</v>
      </c>
      <c r="F17" s="2"/>
      <c r="G17">
        <f t="shared" si="9"/>
        <v>2</v>
      </c>
      <c r="H17" s="10">
        <f t="shared" si="10"/>
        <v>35</v>
      </c>
      <c r="I17">
        <f t="shared" si="11"/>
        <v>76</v>
      </c>
      <c r="J17">
        <f t="shared" si="12"/>
        <v>4</v>
      </c>
      <c r="K17">
        <f t="shared" si="13"/>
        <v>70</v>
      </c>
      <c r="L17">
        <f t="shared" si="14"/>
        <v>152</v>
      </c>
      <c r="M17">
        <f t="shared" si="15"/>
        <v>1225</v>
      </c>
      <c r="N17">
        <f t="shared" si="16"/>
        <v>2660</v>
      </c>
      <c r="O17">
        <f t="shared" si="17"/>
        <v>5776</v>
      </c>
      <c r="Q17" s="11">
        <f t="shared" si="18"/>
        <v>17.019011410903133</v>
      </c>
      <c r="R17" s="12">
        <f t="shared" si="19"/>
        <v>-8.1363363436184888E-2</v>
      </c>
      <c r="S17" s="11"/>
      <c r="T17" s="12"/>
    </row>
    <row r="18" spans="1:20" x14ac:dyDescent="0.25">
      <c r="A18">
        <v>-7</v>
      </c>
      <c r="B18">
        <v>35</v>
      </c>
      <c r="C18">
        <v>36</v>
      </c>
      <c r="E18">
        <v>5.7585100000000002</v>
      </c>
      <c r="F18" s="2"/>
      <c r="G18">
        <f t="shared" si="9"/>
        <v>-7</v>
      </c>
      <c r="H18" s="10">
        <f t="shared" si="10"/>
        <v>35</v>
      </c>
      <c r="I18">
        <f t="shared" si="11"/>
        <v>36</v>
      </c>
      <c r="J18">
        <f t="shared" si="12"/>
        <v>49</v>
      </c>
      <c r="K18">
        <f t="shared" si="13"/>
        <v>-245</v>
      </c>
      <c r="L18">
        <f t="shared" si="14"/>
        <v>-252</v>
      </c>
      <c r="M18">
        <f t="shared" si="15"/>
        <v>1225</v>
      </c>
      <c r="N18">
        <f t="shared" si="16"/>
        <v>1260</v>
      </c>
      <c r="O18">
        <f t="shared" si="17"/>
        <v>1296</v>
      </c>
      <c r="Q18" s="11">
        <f t="shared" si="18"/>
        <v>6.0115265316705679</v>
      </c>
      <c r="R18" s="12">
        <f t="shared" si="19"/>
        <v>4.3937847059494155E-2</v>
      </c>
      <c r="S18" s="11"/>
      <c r="T18" s="12"/>
    </row>
    <row r="19" spans="1:20" x14ac:dyDescent="0.25">
      <c r="A19">
        <v>-7</v>
      </c>
      <c r="B19">
        <v>35</v>
      </c>
      <c r="C19">
        <v>49</v>
      </c>
      <c r="E19">
        <v>8.1280400000000004</v>
      </c>
      <c r="F19" s="2"/>
      <c r="G19">
        <f t="shared" si="9"/>
        <v>-7</v>
      </c>
      <c r="H19" s="10">
        <f t="shared" si="10"/>
        <v>35</v>
      </c>
      <c r="I19">
        <f t="shared" si="11"/>
        <v>49</v>
      </c>
      <c r="J19">
        <f t="shared" si="12"/>
        <v>49</v>
      </c>
      <c r="K19">
        <f t="shared" si="13"/>
        <v>-245</v>
      </c>
      <c r="L19">
        <f t="shared" si="14"/>
        <v>-343</v>
      </c>
      <c r="M19">
        <f t="shared" si="15"/>
        <v>1225</v>
      </c>
      <c r="N19">
        <f t="shared" si="16"/>
        <v>1715</v>
      </c>
      <c r="O19">
        <f t="shared" si="17"/>
        <v>2401</v>
      </c>
      <c r="Q19" s="11">
        <f t="shared" si="18"/>
        <v>8.4008606889513082</v>
      </c>
      <c r="R19" s="12">
        <f t="shared" si="19"/>
        <v>3.3565372334696662E-2</v>
      </c>
      <c r="S19" s="11"/>
      <c r="T19" s="12"/>
    </row>
    <row r="20" spans="1:20" x14ac:dyDescent="0.25">
      <c r="A20">
        <v>-7</v>
      </c>
      <c r="B20">
        <v>35</v>
      </c>
      <c r="C20">
        <v>55</v>
      </c>
      <c r="E20">
        <v>9.1119199999999996</v>
      </c>
      <c r="F20" s="2"/>
      <c r="G20">
        <f t="shared" si="9"/>
        <v>-7</v>
      </c>
      <c r="H20" s="10">
        <f t="shared" si="10"/>
        <v>35</v>
      </c>
      <c r="I20">
        <f t="shared" si="11"/>
        <v>55</v>
      </c>
      <c r="J20">
        <f t="shared" si="12"/>
        <v>49</v>
      </c>
      <c r="K20">
        <f t="shared" si="13"/>
        <v>-245</v>
      </c>
      <c r="L20">
        <f t="shared" si="14"/>
        <v>-385</v>
      </c>
      <c r="M20">
        <f t="shared" si="15"/>
        <v>1225</v>
      </c>
      <c r="N20">
        <f t="shared" si="16"/>
        <v>1925</v>
      </c>
      <c r="O20">
        <f t="shared" si="17"/>
        <v>3025</v>
      </c>
      <c r="Q20" s="11">
        <f t="shared" si="18"/>
        <v>9.4799829428355125</v>
      </c>
      <c r="R20" s="12">
        <f t="shared" si="19"/>
        <v>4.0393566101931636E-2</v>
      </c>
      <c r="S20" s="11"/>
      <c r="T20" s="12"/>
    </row>
    <row r="21" spans="1:20" x14ac:dyDescent="0.25">
      <c r="A21">
        <v>-7</v>
      </c>
      <c r="B21">
        <v>35</v>
      </c>
      <c r="C21">
        <v>66</v>
      </c>
      <c r="E21">
        <v>10.887169999999999</v>
      </c>
      <c r="F21" s="2"/>
      <c r="G21">
        <f t="shared" si="9"/>
        <v>-7</v>
      </c>
      <c r="H21" s="10">
        <f t="shared" si="10"/>
        <v>35</v>
      </c>
      <c r="I21">
        <f t="shared" si="11"/>
        <v>66</v>
      </c>
      <c r="J21">
        <f t="shared" si="12"/>
        <v>49</v>
      </c>
      <c r="K21">
        <f t="shared" si="13"/>
        <v>-245</v>
      </c>
      <c r="L21">
        <f t="shared" si="14"/>
        <v>-462</v>
      </c>
      <c r="M21">
        <f t="shared" si="15"/>
        <v>1225</v>
      </c>
      <c r="N21">
        <f t="shared" si="16"/>
        <v>2310</v>
      </c>
      <c r="O21">
        <f t="shared" si="17"/>
        <v>4356</v>
      </c>
      <c r="Q21" s="11">
        <f t="shared" si="18"/>
        <v>11.419583778548668</v>
      </c>
      <c r="R21" s="12">
        <f t="shared" si="19"/>
        <v>4.8902862594105645E-2</v>
      </c>
      <c r="S21" s="11"/>
      <c r="T21" s="12"/>
    </row>
    <row r="22" spans="1:20" x14ac:dyDescent="0.25">
      <c r="A22">
        <v>-7</v>
      </c>
      <c r="B22">
        <v>35</v>
      </c>
      <c r="C22">
        <v>76</v>
      </c>
      <c r="E22">
        <v>12.57179</v>
      </c>
      <c r="F22" s="2"/>
      <c r="G22">
        <f t="shared" si="9"/>
        <v>-7</v>
      </c>
      <c r="H22" s="10">
        <f t="shared" si="10"/>
        <v>35</v>
      </c>
      <c r="I22">
        <f t="shared" si="11"/>
        <v>76</v>
      </c>
      <c r="J22">
        <f t="shared" si="12"/>
        <v>49</v>
      </c>
      <c r="K22">
        <f t="shared" si="13"/>
        <v>-245</v>
      </c>
      <c r="L22">
        <f t="shared" si="14"/>
        <v>-532</v>
      </c>
      <c r="M22">
        <f t="shared" si="15"/>
        <v>1225</v>
      </c>
      <c r="N22">
        <f t="shared" si="16"/>
        <v>2660</v>
      </c>
      <c r="O22">
        <f t="shared" si="17"/>
        <v>5776</v>
      </c>
      <c r="Q22" s="11">
        <f t="shared" si="18"/>
        <v>13.139296344460863</v>
      </c>
      <c r="R22" s="12">
        <f t="shared" si="19"/>
        <v>4.5141252316564566E-2</v>
      </c>
      <c r="S22" s="11"/>
      <c r="T22" s="12"/>
    </row>
    <row r="23" spans="1:20" x14ac:dyDescent="0.25">
      <c r="A23">
        <v>-15</v>
      </c>
      <c r="B23">
        <v>35</v>
      </c>
      <c r="C23">
        <v>36</v>
      </c>
      <c r="E23">
        <v>4.0875199999999996</v>
      </c>
      <c r="F23" s="2"/>
      <c r="G23">
        <f t="shared" si="9"/>
        <v>-15</v>
      </c>
      <c r="H23" s="10">
        <f t="shared" si="10"/>
        <v>35</v>
      </c>
      <c r="I23">
        <f t="shared" si="11"/>
        <v>36</v>
      </c>
      <c r="J23">
        <f t="shared" si="12"/>
        <v>225</v>
      </c>
      <c r="K23">
        <f t="shared" si="13"/>
        <v>-525</v>
      </c>
      <c r="L23">
        <f t="shared" si="14"/>
        <v>-540</v>
      </c>
      <c r="M23">
        <f t="shared" si="15"/>
        <v>1225</v>
      </c>
      <c r="N23">
        <f t="shared" si="16"/>
        <v>1260</v>
      </c>
      <c r="O23">
        <f t="shared" si="17"/>
        <v>1296</v>
      </c>
      <c r="Q23" s="11">
        <f t="shared" si="18"/>
        <v>4.2092012055386911</v>
      </c>
      <c r="R23" s="12">
        <f t="shared" si="19"/>
        <v>2.9768956613959459E-2</v>
      </c>
      <c r="S23" s="11"/>
      <c r="T23" s="12"/>
    </row>
    <row r="24" spans="1:20" x14ac:dyDescent="0.25">
      <c r="A24">
        <v>-15</v>
      </c>
      <c r="B24">
        <v>35</v>
      </c>
      <c r="C24">
        <v>49</v>
      </c>
      <c r="E24">
        <v>5.9197899999999999</v>
      </c>
      <c r="F24" s="2"/>
      <c r="G24">
        <f t="shared" si="9"/>
        <v>-15</v>
      </c>
      <c r="H24" s="10">
        <f t="shared" si="10"/>
        <v>35</v>
      </c>
      <c r="I24">
        <f t="shared" si="11"/>
        <v>49</v>
      </c>
      <c r="J24">
        <f t="shared" si="12"/>
        <v>225</v>
      </c>
      <c r="K24">
        <f t="shared" si="13"/>
        <v>-525</v>
      </c>
      <c r="L24">
        <f t="shared" si="14"/>
        <v>-735</v>
      </c>
      <c r="M24">
        <f t="shared" si="15"/>
        <v>1225</v>
      </c>
      <c r="N24">
        <f t="shared" si="16"/>
        <v>1715</v>
      </c>
      <c r="O24">
        <f t="shared" si="17"/>
        <v>2401</v>
      </c>
      <c r="Q24" s="11">
        <f t="shared" si="18"/>
        <v>6.1084036574476395</v>
      </c>
      <c r="R24" s="12">
        <f t="shared" si="19"/>
        <v>3.1861545333135059E-2</v>
      </c>
      <c r="S24" s="11"/>
      <c r="T24" s="12"/>
    </row>
    <row r="25" spans="1:20" x14ac:dyDescent="0.25">
      <c r="A25">
        <v>-15</v>
      </c>
      <c r="B25">
        <v>35</v>
      </c>
      <c r="C25">
        <v>55</v>
      </c>
      <c r="E25">
        <v>6.7240200000000003</v>
      </c>
      <c r="F25" s="2"/>
      <c r="G25">
        <f t="shared" si="9"/>
        <v>-15</v>
      </c>
      <c r="H25" s="10">
        <f t="shared" si="10"/>
        <v>35</v>
      </c>
      <c r="I25">
        <f t="shared" si="11"/>
        <v>55</v>
      </c>
      <c r="J25">
        <f t="shared" si="12"/>
        <v>225</v>
      </c>
      <c r="K25">
        <f t="shared" si="13"/>
        <v>-525</v>
      </c>
      <c r="L25">
        <f t="shared" si="14"/>
        <v>-825</v>
      </c>
      <c r="M25">
        <f t="shared" si="15"/>
        <v>1225</v>
      </c>
      <c r="N25">
        <f t="shared" si="16"/>
        <v>1925</v>
      </c>
      <c r="O25">
        <f t="shared" si="17"/>
        <v>3025</v>
      </c>
      <c r="Q25" s="11">
        <f t="shared" si="18"/>
        <v>6.9613112780833264</v>
      </c>
      <c r="R25" s="12">
        <f t="shared" si="19"/>
        <v>3.5290091059117325E-2</v>
      </c>
      <c r="S25" s="11"/>
      <c r="T25" s="12"/>
    </row>
    <row r="26" spans="1:20" x14ac:dyDescent="0.25">
      <c r="A26">
        <v>-15</v>
      </c>
      <c r="B26">
        <v>35</v>
      </c>
      <c r="C26">
        <v>66</v>
      </c>
      <c r="E26">
        <v>8.2857800000000008</v>
      </c>
      <c r="F26" s="2"/>
      <c r="G26">
        <f t="shared" si="9"/>
        <v>-15</v>
      </c>
      <c r="H26" s="10">
        <f t="shared" si="10"/>
        <v>35</v>
      </c>
      <c r="I26">
        <f t="shared" si="11"/>
        <v>66</v>
      </c>
      <c r="J26">
        <f t="shared" si="12"/>
        <v>225</v>
      </c>
      <c r="K26">
        <f t="shared" si="13"/>
        <v>-525</v>
      </c>
      <c r="L26">
        <f t="shared" si="14"/>
        <v>-990</v>
      </c>
      <c r="M26">
        <f t="shared" si="15"/>
        <v>1225</v>
      </c>
      <c r="N26">
        <f t="shared" si="16"/>
        <v>2310</v>
      </c>
      <c r="O26">
        <f t="shared" si="17"/>
        <v>4356</v>
      </c>
      <c r="Q26" s="11">
        <f t="shared" si="18"/>
        <v>8.4861852861741962</v>
      </c>
      <c r="R26" s="12">
        <f t="shared" si="19"/>
        <v>2.4186653057913121E-2</v>
      </c>
      <c r="S26" s="11"/>
      <c r="T26" s="12"/>
    </row>
    <row r="27" spans="1:20" x14ac:dyDescent="0.25">
      <c r="A27">
        <v>-15</v>
      </c>
      <c r="B27">
        <v>35</v>
      </c>
      <c r="C27">
        <v>76</v>
      </c>
      <c r="E27">
        <v>9.72959</v>
      </c>
      <c r="F27" s="2"/>
      <c r="G27">
        <f t="shared" si="9"/>
        <v>-15</v>
      </c>
      <c r="H27" s="10">
        <f t="shared" si="10"/>
        <v>35</v>
      </c>
      <c r="I27">
        <f t="shared" si="11"/>
        <v>76</v>
      </c>
      <c r="J27">
        <f t="shared" si="12"/>
        <v>225</v>
      </c>
      <c r="K27">
        <f t="shared" si="13"/>
        <v>-525</v>
      </c>
      <c r="L27">
        <f t="shared" si="14"/>
        <v>-1140</v>
      </c>
      <c r="M27">
        <f t="shared" si="15"/>
        <v>1225</v>
      </c>
      <c r="N27">
        <f t="shared" si="16"/>
        <v>2660</v>
      </c>
      <c r="O27">
        <f t="shared" si="17"/>
        <v>5776</v>
      </c>
      <c r="Q27" s="11">
        <f t="shared" si="18"/>
        <v>9.8288734633388604</v>
      </c>
      <c r="R27" s="12">
        <f t="shared" si="19"/>
        <v>1.0204280276852405E-2</v>
      </c>
      <c r="S27" s="11"/>
      <c r="T27" s="12"/>
    </row>
    <row r="28" spans="1:20" x14ac:dyDescent="0.25">
      <c r="A28">
        <v>12</v>
      </c>
      <c r="B28">
        <v>45</v>
      </c>
      <c r="C28">
        <v>36</v>
      </c>
      <c r="E28">
        <v>9.428799999999999</v>
      </c>
      <c r="F28" s="2"/>
      <c r="G28">
        <f t="shared" si="9"/>
        <v>12</v>
      </c>
      <c r="H28" s="10">
        <f t="shared" si="10"/>
        <v>45</v>
      </c>
      <c r="I28">
        <f t="shared" si="11"/>
        <v>36</v>
      </c>
      <c r="J28">
        <f t="shared" si="12"/>
        <v>144</v>
      </c>
      <c r="K28">
        <f t="shared" si="13"/>
        <v>540</v>
      </c>
      <c r="L28">
        <f t="shared" si="14"/>
        <v>432</v>
      </c>
      <c r="M28">
        <f t="shared" si="15"/>
        <v>2025</v>
      </c>
      <c r="N28">
        <f t="shared" si="16"/>
        <v>1620</v>
      </c>
      <c r="O28">
        <f t="shared" si="17"/>
        <v>1296</v>
      </c>
      <c r="Q28" s="11">
        <f t="shared" si="18"/>
        <v>9.6470528785887968</v>
      </c>
      <c r="R28" s="12">
        <f t="shared" si="19"/>
        <v>2.3147471426777304E-2</v>
      </c>
      <c r="S28" s="11"/>
      <c r="T28" s="12"/>
    </row>
    <row r="29" spans="1:20" x14ac:dyDescent="0.25">
      <c r="A29">
        <v>12</v>
      </c>
      <c r="B29">
        <v>45</v>
      </c>
      <c r="C29">
        <v>49</v>
      </c>
      <c r="E29">
        <v>13.179709999999998</v>
      </c>
      <c r="F29" s="2"/>
      <c r="G29">
        <f t="shared" si="9"/>
        <v>12</v>
      </c>
      <c r="H29" s="10">
        <f t="shared" si="10"/>
        <v>45</v>
      </c>
      <c r="I29">
        <f t="shared" si="11"/>
        <v>49</v>
      </c>
      <c r="J29">
        <f t="shared" si="12"/>
        <v>144</v>
      </c>
      <c r="K29">
        <f t="shared" si="13"/>
        <v>540</v>
      </c>
      <c r="L29">
        <f t="shared" si="14"/>
        <v>588</v>
      </c>
      <c r="M29">
        <f t="shared" si="15"/>
        <v>2025</v>
      </c>
      <c r="N29">
        <f t="shared" si="16"/>
        <v>2205</v>
      </c>
      <c r="O29">
        <f t="shared" si="17"/>
        <v>2401</v>
      </c>
      <c r="Q29" s="11">
        <f t="shared" si="18"/>
        <v>13.141830958136914</v>
      </c>
      <c r="R29" s="12">
        <f t="shared" si="19"/>
        <v>-2.8740421346967336E-3</v>
      </c>
      <c r="S29" s="11"/>
      <c r="T29" s="12"/>
    </row>
    <row r="30" spans="1:20" x14ac:dyDescent="0.25">
      <c r="A30">
        <v>12</v>
      </c>
      <c r="B30">
        <v>45</v>
      </c>
      <c r="C30">
        <v>55</v>
      </c>
      <c r="E30">
        <v>14.79819</v>
      </c>
      <c r="F30" s="2"/>
      <c r="G30">
        <f t="shared" si="0"/>
        <v>12</v>
      </c>
      <c r="H30" s="10">
        <f t="shared" si="0"/>
        <v>45</v>
      </c>
      <c r="I30">
        <f t="shared" si="0"/>
        <v>55</v>
      </c>
      <c r="J30">
        <f t="shared" si="1"/>
        <v>144</v>
      </c>
      <c r="K30">
        <f t="shared" si="2"/>
        <v>540</v>
      </c>
      <c r="L30">
        <f t="shared" si="3"/>
        <v>660</v>
      </c>
      <c r="M30">
        <f t="shared" si="4"/>
        <v>2025</v>
      </c>
      <c r="N30">
        <f t="shared" si="5"/>
        <v>2475</v>
      </c>
      <c r="O30">
        <f t="shared" si="6"/>
        <v>3025</v>
      </c>
      <c r="Q30" s="11">
        <f t="shared" si="8"/>
        <v>14.731158099221449</v>
      </c>
      <c r="R30" s="12">
        <f t="shared" si="7"/>
        <v>-4.5297364595636679E-3</v>
      </c>
      <c r="S30" s="11"/>
      <c r="T30" s="12"/>
    </row>
    <row r="31" spans="1:20" x14ac:dyDescent="0.25">
      <c r="A31">
        <v>12</v>
      </c>
      <c r="B31">
        <v>45</v>
      </c>
      <c r="C31">
        <v>66</v>
      </c>
      <c r="E31">
        <v>17.412740000000003</v>
      </c>
      <c r="F31" s="2"/>
      <c r="G31">
        <f t="shared" si="0"/>
        <v>12</v>
      </c>
      <c r="H31" s="10">
        <f t="shared" si="0"/>
        <v>45</v>
      </c>
      <c r="I31">
        <f t="shared" si="0"/>
        <v>66</v>
      </c>
      <c r="J31">
        <f t="shared" si="1"/>
        <v>144</v>
      </c>
      <c r="K31">
        <f t="shared" si="2"/>
        <v>540</v>
      </c>
      <c r="L31">
        <f t="shared" si="3"/>
        <v>792</v>
      </c>
      <c r="M31">
        <f t="shared" si="4"/>
        <v>2025</v>
      </c>
      <c r="N31">
        <f t="shared" si="5"/>
        <v>2970</v>
      </c>
      <c r="O31">
        <f t="shared" si="6"/>
        <v>4356</v>
      </c>
      <c r="Q31" s="11">
        <f t="shared" si="8"/>
        <v>17.606134561468533</v>
      </c>
      <c r="R31" s="12">
        <f t="shared" si="7"/>
        <v>1.1106497970367094E-2</v>
      </c>
      <c r="S31" s="11"/>
      <c r="T31" s="12"/>
    </row>
    <row r="32" spans="1:20" x14ac:dyDescent="0.25">
      <c r="A32">
        <v>7</v>
      </c>
      <c r="B32">
        <v>45</v>
      </c>
      <c r="C32">
        <v>36</v>
      </c>
      <c r="E32">
        <v>8.5142399999999991</v>
      </c>
      <c r="F32" s="2"/>
      <c r="G32">
        <f t="shared" si="0"/>
        <v>7</v>
      </c>
      <c r="H32" s="10">
        <f t="shared" si="0"/>
        <v>45</v>
      </c>
      <c r="I32">
        <f t="shared" si="0"/>
        <v>36</v>
      </c>
      <c r="J32">
        <f t="shared" si="1"/>
        <v>49</v>
      </c>
      <c r="K32">
        <f t="shared" si="2"/>
        <v>315</v>
      </c>
      <c r="L32">
        <f t="shared" si="3"/>
        <v>252</v>
      </c>
      <c r="M32">
        <f t="shared" si="4"/>
        <v>2025</v>
      </c>
      <c r="N32">
        <f t="shared" si="5"/>
        <v>1620</v>
      </c>
      <c r="O32">
        <f t="shared" si="6"/>
        <v>1296</v>
      </c>
      <c r="Q32" s="11">
        <f t="shared" si="8"/>
        <v>8.4003780584599053</v>
      </c>
      <c r="R32" s="12">
        <f t="shared" si="7"/>
        <v>-1.337311862715802E-2</v>
      </c>
      <c r="S32" s="11"/>
      <c r="T32" s="12"/>
    </row>
    <row r="33" spans="1:20" x14ac:dyDescent="0.25">
      <c r="A33">
        <v>7</v>
      </c>
      <c r="B33">
        <v>45</v>
      </c>
      <c r="C33">
        <v>49</v>
      </c>
      <c r="E33">
        <v>11.85694</v>
      </c>
      <c r="F33" s="2"/>
      <c r="G33">
        <f t="shared" si="0"/>
        <v>7</v>
      </c>
      <c r="H33" s="10">
        <f t="shared" si="0"/>
        <v>45</v>
      </c>
      <c r="I33">
        <f t="shared" si="0"/>
        <v>49</v>
      </c>
      <c r="J33">
        <f t="shared" si="1"/>
        <v>49</v>
      </c>
      <c r="K33">
        <f t="shared" si="2"/>
        <v>315</v>
      </c>
      <c r="L33">
        <f t="shared" si="3"/>
        <v>343</v>
      </c>
      <c r="M33">
        <f t="shared" si="4"/>
        <v>2025</v>
      </c>
      <c r="N33">
        <f t="shared" si="5"/>
        <v>2205</v>
      </c>
      <c r="O33">
        <f t="shared" si="6"/>
        <v>2401</v>
      </c>
      <c r="Q33" s="11">
        <f t="shared" si="8"/>
        <v>11.588823822150651</v>
      </c>
      <c r="R33" s="12">
        <f t="shared" si="7"/>
        <v>-2.2612594636503905E-2</v>
      </c>
      <c r="S33" s="11"/>
      <c r="T33" s="12"/>
    </row>
    <row r="34" spans="1:20" x14ac:dyDescent="0.25">
      <c r="A34">
        <v>7</v>
      </c>
      <c r="B34">
        <v>45</v>
      </c>
      <c r="C34">
        <v>55</v>
      </c>
      <c r="E34">
        <v>13.156499999999999</v>
      </c>
      <c r="F34" s="2"/>
      <c r="G34">
        <f t="shared" si="0"/>
        <v>7</v>
      </c>
      <c r="H34" s="10">
        <f t="shared" si="0"/>
        <v>45</v>
      </c>
      <c r="I34">
        <f t="shared" si="0"/>
        <v>55</v>
      </c>
      <c r="J34">
        <f t="shared" si="1"/>
        <v>49</v>
      </c>
      <c r="K34">
        <f t="shared" si="2"/>
        <v>315</v>
      </c>
      <c r="L34">
        <f t="shared" si="3"/>
        <v>385</v>
      </c>
      <c r="M34">
        <f t="shared" si="4"/>
        <v>2025</v>
      </c>
      <c r="N34">
        <f t="shared" si="5"/>
        <v>2475</v>
      </c>
      <c r="O34">
        <f t="shared" si="6"/>
        <v>3025</v>
      </c>
      <c r="Q34" s="11">
        <f t="shared" si="8"/>
        <v>13.036766817454858</v>
      </c>
      <c r="R34" s="12">
        <f t="shared" si="7"/>
        <v>-9.100686546204672E-3</v>
      </c>
      <c r="S34" s="11"/>
      <c r="T34" s="12"/>
    </row>
    <row r="35" spans="1:20" x14ac:dyDescent="0.25">
      <c r="A35">
        <v>7</v>
      </c>
      <c r="B35">
        <v>45</v>
      </c>
      <c r="C35">
        <v>66</v>
      </c>
      <c r="E35">
        <v>15.733079999999999</v>
      </c>
      <c r="F35" s="2"/>
      <c r="G35">
        <f t="shared" si="0"/>
        <v>7</v>
      </c>
      <c r="H35" s="10">
        <f t="shared" si="0"/>
        <v>45</v>
      </c>
      <c r="I35">
        <f t="shared" si="0"/>
        <v>66</v>
      </c>
      <c r="J35">
        <f t="shared" si="1"/>
        <v>49</v>
      </c>
      <c r="K35">
        <f t="shared" si="2"/>
        <v>315</v>
      </c>
      <c r="L35">
        <f t="shared" si="3"/>
        <v>462</v>
      </c>
      <c r="M35">
        <f t="shared" si="4"/>
        <v>2025</v>
      </c>
      <c r="N35">
        <f t="shared" si="5"/>
        <v>2970</v>
      </c>
      <c r="O35">
        <f t="shared" si="6"/>
        <v>4356</v>
      </c>
      <c r="Q35" s="11">
        <f t="shared" si="8"/>
        <v>15.652539012438016</v>
      </c>
      <c r="R35" s="12">
        <f t="shared" si="7"/>
        <v>-5.1192129933861239E-3</v>
      </c>
      <c r="S35" s="11"/>
      <c r="T35" s="12"/>
    </row>
    <row r="36" spans="1:20" x14ac:dyDescent="0.25">
      <c r="A36">
        <v>7</v>
      </c>
      <c r="B36">
        <v>45</v>
      </c>
      <c r="C36">
        <v>76</v>
      </c>
      <c r="E36">
        <v>18.221540000000001</v>
      </c>
      <c r="F36" s="2"/>
      <c r="G36">
        <f t="shared" si="0"/>
        <v>7</v>
      </c>
      <c r="H36" s="10">
        <f t="shared" si="0"/>
        <v>45</v>
      </c>
      <c r="I36">
        <f t="shared" si="0"/>
        <v>76</v>
      </c>
      <c r="J36">
        <f t="shared" si="1"/>
        <v>49</v>
      </c>
      <c r="K36">
        <f t="shared" si="2"/>
        <v>315</v>
      </c>
      <c r="L36">
        <f t="shared" si="3"/>
        <v>532</v>
      </c>
      <c r="M36">
        <f t="shared" si="4"/>
        <v>2025</v>
      </c>
      <c r="N36">
        <f t="shared" si="5"/>
        <v>3420</v>
      </c>
      <c r="O36">
        <f t="shared" si="6"/>
        <v>5776</v>
      </c>
      <c r="Q36" s="11">
        <f t="shared" si="8"/>
        <v>17.98695281405022</v>
      </c>
      <c r="R36" s="12">
        <f t="shared" si="7"/>
        <v>-1.2874169030157782E-2</v>
      </c>
      <c r="S36" s="11"/>
      <c r="T36" s="12"/>
    </row>
    <row r="37" spans="1:20" x14ac:dyDescent="0.25">
      <c r="A37">
        <v>2</v>
      </c>
      <c r="B37">
        <v>45</v>
      </c>
      <c r="C37">
        <v>36</v>
      </c>
      <c r="E37">
        <v>7.1808000000000005</v>
      </c>
      <c r="F37" s="2"/>
      <c r="G37">
        <f t="shared" si="0"/>
        <v>2</v>
      </c>
      <c r="H37" s="10">
        <f t="shared" si="0"/>
        <v>45</v>
      </c>
      <c r="I37">
        <f t="shared" si="0"/>
        <v>36</v>
      </c>
      <c r="J37">
        <f t="shared" si="1"/>
        <v>4</v>
      </c>
      <c r="K37">
        <f t="shared" si="2"/>
        <v>90</v>
      </c>
      <c r="L37">
        <f t="shared" si="3"/>
        <v>72</v>
      </c>
      <c r="M37">
        <f t="shared" si="4"/>
        <v>2025</v>
      </c>
      <c r="N37">
        <f t="shared" si="5"/>
        <v>1620</v>
      </c>
      <c r="O37">
        <f t="shared" si="6"/>
        <v>1296</v>
      </c>
      <c r="Q37" s="11">
        <f t="shared" si="8"/>
        <v>7.2045167432917978</v>
      </c>
      <c r="R37" s="12">
        <f t="shared" si="7"/>
        <v>3.3027995894325552E-3</v>
      </c>
      <c r="S37" s="11"/>
      <c r="T37" s="12"/>
    </row>
    <row r="38" spans="1:20" x14ac:dyDescent="0.25">
      <c r="A38">
        <v>2</v>
      </c>
      <c r="B38">
        <v>45</v>
      </c>
      <c r="C38">
        <v>49</v>
      </c>
      <c r="E38">
        <v>9.9838899999999988</v>
      </c>
      <c r="F38" s="2"/>
      <c r="G38">
        <f t="shared" si="0"/>
        <v>2</v>
      </c>
      <c r="H38" s="10">
        <f t="shared" si="0"/>
        <v>45</v>
      </c>
      <c r="I38">
        <f t="shared" si="0"/>
        <v>49</v>
      </c>
      <c r="J38">
        <f t="shared" si="1"/>
        <v>4</v>
      </c>
      <c r="K38">
        <f t="shared" si="2"/>
        <v>90</v>
      </c>
      <c r="L38">
        <f t="shared" si="3"/>
        <v>98</v>
      </c>
      <c r="M38">
        <f t="shared" si="4"/>
        <v>2025</v>
      </c>
      <c r="N38">
        <f t="shared" si="5"/>
        <v>2205</v>
      </c>
      <c r="O38">
        <f t="shared" si="6"/>
        <v>2401</v>
      </c>
      <c r="Q38" s="11">
        <f t="shared" si="8"/>
        <v>10.086630191125174</v>
      </c>
      <c r="R38" s="12">
        <f t="shared" si="7"/>
        <v>1.0290597264710958E-2</v>
      </c>
      <c r="S38" s="11"/>
      <c r="T38" s="12"/>
    </row>
    <row r="39" spans="1:20" x14ac:dyDescent="0.25">
      <c r="A39">
        <v>2</v>
      </c>
      <c r="B39">
        <v>45</v>
      </c>
      <c r="C39">
        <v>55</v>
      </c>
      <c r="E39">
        <v>11.43529</v>
      </c>
      <c r="F39" s="2"/>
      <c r="G39">
        <f t="shared" si="0"/>
        <v>2</v>
      </c>
      <c r="H39" s="10">
        <f t="shared" si="0"/>
        <v>45</v>
      </c>
      <c r="I39">
        <f t="shared" si="0"/>
        <v>55</v>
      </c>
      <c r="J39">
        <f t="shared" si="1"/>
        <v>4</v>
      </c>
      <c r="K39">
        <f t="shared" si="2"/>
        <v>90</v>
      </c>
      <c r="L39">
        <f t="shared" si="3"/>
        <v>110</v>
      </c>
      <c r="M39">
        <f t="shared" si="4"/>
        <v>2025</v>
      </c>
      <c r="N39">
        <f t="shared" si="5"/>
        <v>2475</v>
      </c>
      <c r="O39">
        <f t="shared" si="6"/>
        <v>3025</v>
      </c>
      <c r="Q39" s="11">
        <f t="shared" si="8"/>
        <v>11.393189040649059</v>
      </c>
      <c r="R39" s="12">
        <f t="shared" si="7"/>
        <v>-3.6816695817020275E-3</v>
      </c>
      <c r="S39" s="11"/>
      <c r="T39" s="12"/>
    </row>
    <row r="40" spans="1:20" x14ac:dyDescent="0.25">
      <c r="A40">
        <v>2</v>
      </c>
      <c r="B40">
        <v>45</v>
      </c>
      <c r="C40">
        <v>66</v>
      </c>
      <c r="E40">
        <v>13.587639999999999</v>
      </c>
      <c r="F40" s="2"/>
      <c r="G40">
        <f t="shared" si="0"/>
        <v>2</v>
      </c>
      <c r="H40" s="10">
        <f t="shared" si="0"/>
        <v>45</v>
      </c>
      <c r="I40">
        <f t="shared" si="0"/>
        <v>66</v>
      </c>
      <c r="J40">
        <f t="shared" si="1"/>
        <v>4</v>
      </c>
      <c r="K40">
        <f t="shared" si="2"/>
        <v>90</v>
      </c>
      <c r="L40">
        <f t="shared" si="3"/>
        <v>132</v>
      </c>
      <c r="M40">
        <f t="shared" si="4"/>
        <v>2025</v>
      </c>
      <c r="N40">
        <f t="shared" si="5"/>
        <v>2970</v>
      </c>
      <c r="O40">
        <f t="shared" si="6"/>
        <v>4356</v>
      </c>
      <c r="Q40" s="11">
        <f t="shared" si="8"/>
        <v>13.749756968368288</v>
      </c>
      <c r="R40" s="12">
        <f t="shared" si="7"/>
        <v>1.1931208684384464E-2</v>
      </c>
      <c r="S40" s="11"/>
      <c r="T40" s="12"/>
    </row>
    <row r="41" spans="1:20" x14ac:dyDescent="0.25">
      <c r="A41">
        <v>2</v>
      </c>
      <c r="B41">
        <v>45</v>
      </c>
      <c r="C41">
        <v>76</v>
      </c>
      <c r="E41">
        <v>15.70218</v>
      </c>
      <c r="F41" s="2"/>
      <c r="G41">
        <f t="shared" si="0"/>
        <v>2</v>
      </c>
      <c r="H41" s="10">
        <f t="shared" si="0"/>
        <v>45</v>
      </c>
      <c r="I41">
        <f t="shared" si="0"/>
        <v>76</v>
      </c>
      <c r="J41">
        <f t="shared" si="1"/>
        <v>4</v>
      </c>
      <c r="K41">
        <f t="shared" si="2"/>
        <v>90</v>
      </c>
      <c r="L41">
        <f t="shared" si="3"/>
        <v>152</v>
      </c>
      <c r="M41">
        <f t="shared" si="4"/>
        <v>2025</v>
      </c>
      <c r="N41">
        <f t="shared" si="5"/>
        <v>3420</v>
      </c>
      <c r="O41">
        <f t="shared" si="6"/>
        <v>5776</v>
      </c>
      <c r="Q41" s="11">
        <f t="shared" si="8"/>
        <v>15.848530527013279</v>
      </c>
      <c r="R41" s="12">
        <f t="shared" si="7"/>
        <v>9.3203954491210272E-3</v>
      </c>
      <c r="S41" s="11"/>
      <c r="T41" s="12"/>
    </row>
    <row r="42" spans="1:20" x14ac:dyDescent="0.25">
      <c r="A42">
        <v>-7</v>
      </c>
      <c r="B42">
        <v>45</v>
      </c>
      <c r="C42">
        <v>36</v>
      </c>
      <c r="E42">
        <v>5.3676400000000006</v>
      </c>
      <c r="F42" s="2"/>
      <c r="G42">
        <f t="shared" si="0"/>
        <v>-7</v>
      </c>
      <c r="H42" s="10">
        <f t="shared" si="0"/>
        <v>45</v>
      </c>
      <c r="I42">
        <f t="shared" si="0"/>
        <v>36</v>
      </c>
      <c r="J42">
        <f t="shared" si="1"/>
        <v>49</v>
      </c>
      <c r="K42">
        <f t="shared" si="2"/>
        <v>-315</v>
      </c>
      <c r="L42">
        <f t="shared" si="3"/>
        <v>-252</v>
      </c>
      <c r="M42">
        <f t="shared" si="4"/>
        <v>2025</v>
      </c>
      <c r="N42">
        <f t="shared" si="5"/>
        <v>1620</v>
      </c>
      <c r="O42">
        <f t="shared" si="6"/>
        <v>1296</v>
      </c>
      <c r="Q42" s="11">
        <f t="shared" si="8"/>
        <v>5.1800164084903928</v>
      </c>
      <c r="R42" s="12">
        <f t="shared" si="7"/>
        <v>-3.4954578084522771E-2</v>
      </c>
      <c r="S42" s="11"/>
      <c r="T42" s="12"/>
    </row>
    <row r="43" spans="1:20" x14ac:dyDescent="0.25">
      <c r="A43">
        <v>-7</v>
      </c>
      <c r="B43">
        <v>45</v>
      </c>
      <c r="C43">
        <v>49</v>
      </c>
      <c r="E43">
        <v>7.5449200000000003</v>
      </c>
      <c r="F43" s="2"/>
      <c r="G43">
        <f t="shared" si="0"/>
        <v>-7</v>
      </c>
      <c r="H43" s="10">
        <f t="shared" si="0"/>
        <v>45</v>
      </c>
      <c r="I43">
        <f t="shared" si="0"/>
        <v>49</v>
      </c>
      <c r="J43">
        <f t="shared" si="1"/>
        <v>49</v>
      </c>
      <c r="K43">
        <f t="shared" si="2"/>
        <v>-315</v>
      </c>
      <c r="L43">
        <f t="shared" si="3"/>
        <v>-343</v>
      </c>
      <c r="M43">
        <f t="shared" si="4"/>
        <v>2025</v>
      </c>
      <c r="N43">
        <f t="shared" si="5"/>
        <v>2205</v>
      </c>
      <c r="O43">
        <f t="shared" si="6"/>
        <v>2401</v>
      </c>
      <c r="Q43" s="11">
        <f t="shared" si="8"/>
        <v>7.5107316877805035</v>
      </c>
      <c r="R43" s="12">
        <f t="shared" si="7"/>
        <v>-4.5313021502543177E-3</v>
      </c>
      <c r="S43" s="11"/>
      <c r="T43" s="12"/>
    </row>
    <row r="44" spans="1:20" x14ac:dyDescent="0.25">
      <c r="A44">
        <v>-7</v>
      </c>
      <c r="B44">
        <v>45</v>
      </c>
      <c r="C44">
        <v>55</v>
      </c>
      <c r="E44">
        <v>8.4348500000000008</v>
      </c>
      <c r="F44" s="2"/>
      <c r="G44">
        <f t="shared" si="0"/>
        <v>-7</v>
      </c>
      <c r="H44" s="10">
        <f t="shared" si="0"/>
        <v>45</v>
      </c>
      <c r="I44">
        <f t="shared" si="0"/>
        <v>55</v>
      </c>
      <c r="J44">
        <f t="shared" si="1"/>
        <v>49</v>
      </c>
      <c r="K44">
        <f t="shared" si="2"/>
        <v>-315</v>
      </c>
      <c r="L44">
        <f t="shared" si="3"/>
        <v>-385</v>
      </c>
      <c r="M44">
        <f t="shared" si="4"/>
        <v>2025</v>
      </c>
      <c r="N44">
        <f t="shared" si="5"/>
        <v>2475</v>
      </c>
      <c r="O44">
        <f t="shared" si="6"/>
        <v>3025</v>
      </c>
      <c r="Q44" s="11">
        <f t="shared" si="8"/>
        <v>8.5627990748998037</v>
      </c>
      <c r="R44" s="12">
        <f t="shared" si="7"/>
        <v>1.5169099023669998E-2</v>
      </c>
      <c r="S44" s="11"/>
      <c r="T44" s="12"/>
    </row>
    <row r="45" spans="1:20" x14ac:dyDescent="0.25">
      <c r="A45">
        <v>-7</v>
      </c>
      <c r="B45">
        <v>45</v>
      </c>
      <c r="C45">
        <v>66</v>
      </c>
      <c r="E45">
        <v>10.26024</v>
      </c>
      <c r="F45" s="2"/>
      <c r="G45">
        <f t="shared" si="0"/>
        <v>-7</v>
      </c>
      <c r="H45" s="10">
        <f t="shared" si="0"/>
        <v>45</v>
      </c>
      <c r="I45">
        <f t="shared" si="0"/>
        <v>66</v>
      </c>
      <c r="J45">
        <f t="shared" si="1"/>
        <v>49</v>
      </c>
      <c r="K45">
        <f t="shared" si="2"/>
        <v>-315</v>
      </c>
      <c r="L45">
        <f t="shared" si="3"/>
        <v>-462</v>
      </c>
      <c r="M45">
        <f t="shared" si="4"/>
        <v>2025</v>
      </c>
      <c r="N45">
        <f t="shared" si="5"/>
        <v>2970</v>
      </c>
      <c r="O45">
        <f t="shared" si="6"/>
        <v>4356</v>
      </c>
      <c r="Q45" s="11">
        <f t="shared" si="8"/>
        <v>10.452799321543964</v>
      </c>
      <c r="R45" s="12">
        <f t="shared" si="7"/>
        <v>1.876752605630707E-2</v>
      </c>
      <c r="S45" s="11"/>
      <c r="T45" s="12"/>
    </row>
    <row r="46" spans="1:20" x14ac:dyDescent="0.25">
      <c r="A46">
        <v>-7</v>
      </c>
      <c r="B46">
        <v>45</v>
      </c>
      <c r="C46">
        <v>76</v>
      </c>
      <c r="E46">
        <v>11.674940000000001</v>
      </c>
      <c r="F46" s="2"/>
      <c r="G46">
        <f t="shared" si="0"/>
        <v>-7</v>
      </c>
      <c r="H46" s="10">
        <f t="shared" si="0"/>
        <v>45</v>
      </c>
      <c r="I46">
        <f t="shared" si="0"/>
        <v>76</v>
      </c>
      <c r="J46">
        <f t="shared" si="1"/>
        <v>49</v>
      </c>
      <c r="K46">
        <f t="shared" si="2"/>
        <v>-315</v>
      </c>
      <c r="L46">
        <f t="shared" si="3"/>
        <v>-532</v>
      </c>
      <c r="M46">
        <f t="shared" si="4"/>
        <v>2025</v>
      </c>
      <c r="N46">
        <f t="shared" si="5"/>
        <v>3420</v>
      </c>
      <c r="O46">
        <f t="shared" si="6"/>
        <v>5776</v>
      </c>
      <c r="Q46" s="11">
        <f t="shared" si="8"/>
        <v>12.127420442847979</v>
      </c>
      <c r="R46" s="12">
        <f t="shared" si="7"/>
        <v>3.8756554024943872E-2</v>
      </c>
      <c r="S46" s="11"/>
      <c r="T46" s="12"/>
    </row>
    <row r="47" spans="1:20" x14ac:dyDescent="0.25">
      <c r="A47">
        <v>-15</v>
      </c>
      <c r="B47">
        <v>45</v>
      </c>
      <c r="C47">
        <v>36</v>
      </c>
      <c r="E47">
        <v>3.7031700000000001</v>
      </c>
      <c r="F47" s="2"/>
      <c r="G47">
        <f t="shared" si="0"/>
        <v>-15</v>
      </c>
      <c r="H47" s="10">
        <f t="shared" si="0"/>
        <v>45</v>
      </c>
      <c r="I47">
        <f t="shared" si="0"/>
        <v>36</v>
      </c>
      <c r="J47">
        <f t="shared" si="1"/>
        <v>225</v>
      </c>
      <c r="K47">
        <f t="shared" si="2"/>
        <v>-675</v>
      </c>
      <c r="L47">
        <f t="shared" si="3"/>
        <v>-540</v>
      </c>
      <c r="M47">
        <f t="shared" si="4"/>
        <v>2025</v>
      </c>
      <c r="N47">
        <f t="shared" si="5"/>
        <v>1620</v>
      </c>
      <c r="O47">
        <f t="shared" si="6"/>
        <v>1296</v>
      </c>
      <c r="Q47" s="11">
        <f t="shared" si="8"/>
        <v>3.5186732888269341</v>
      </c>
      <c r="R47" s="12">
        <f t="shared" si="7"/>
        <v>-4.9821291264799075E-2</v>
      </c>
      <c r="S47" s="11"/>
      <c r="T47" s="12"/>
    </row>
    <row r="48" spans="1:20" x14ac:dyDescent="0.25">
      <c r="A48">
        <v>-15</v>
      </c>
      <c r="B48">
        <v>45</v>
      </c>
      <c r="C48">
        <v>49</v>
      </c>
      <c r="E48">
        <v>5.4766000000000004</v>
      </c>
      <c r="F48" s="2"/>
      <c r="G48">
        <f t="shared" si="0"/>
        <v>-15</v>
      </c>
      <c r="H48" s="10">
        <f t="shared" si="0"/>
        <v>45</v>
      </c>
      <c r="I48">
        <f t="shared" si="0"/>
        <v>49</v>
      </c>
      <c r="J48">
        <f t="shared" si="1"/>
        <v>225</v>
      </c>
      <c r="K48">
        <f t="shared" si="2"/>
        <v>-675</v>
      </c>
      <c r="L48">
        <f t="shared" si="3"/>
        <v>-735</v>
      </c>
      <c r="M48">
        <f t="shared" si="4"/>
        <v>2025</v>
      </c>
      <c r="N48">
        <f t="shared" si="5"/>
        <v>2205</v>
      </c>
      <c r="O48">
        <f t="shared" si="6"/>
        <v>2401</v>
      </c>
      <c r="Q48" s="11">
        <f t="shared" si="8"/>
        <v>5.3592568627452524</v>
      </c>
      <c r="R48" s="12">
        <f t="shared" si="7"/>
        <v>-2.1426274925090017E-2</v>
      </c>
      <c r="S48" s="11"/>
      <c r="T48" s="12"/>
    </row>
    <row r="49" spans="1:20" x14ac:dyDescent="0.25">
      <c r="A49">
        <v>-15</v>
      </c>
      <c r="B49">
        <v>45</v>
      </c>
      <c r="C49">
        <v>55</v>
      </c>
      <c r="E49">
        <v>6.2428400000000002</v>
      </c>
      <c r="F49" s="2"/>
      <c r="G49">
        <f t="shared" si="0"/>
        <v>-15</v>
      </c>
      <c r="H49" s="10">
        <f t="shared" si="0"/>
        <v>45</v>
      </c>
      <c r="I49">
        <f t="shared" si="0"/>
        <v>55</v>
      </c>
      <c r="J49">
        <f t="shared" si="1"/>
        <v>225</v>
      </c>
      <c r="K49">
        <f t="shared" si="2"/>
        <v>-675</v>
      </c>
      <c r="L49">
        <f t="shared" si="3"/>
        <v>-825</v>
      </c>
      <c r="M49">
        <f t="shared" si="4"/>
        <v>2025</v>
      </c>
      <c r="N49">
        <f t="shared" si="5"/>
        <v>2475</v>
      </c>
      <c r="O49">
        <f t="shared" si="6"/>
        <v>3025</v>
      </c>
      <c r="Q49" s="11">
        <f t="shared" si="8"/>
        <v>6.1851096166160318</v>
      </c>
      <c r="R49" s="12">
        <f t="shared" si="7"/>
        <v>-9.247455226142013E-3</v>
      </c>
      <c r="S49" s="11"/>
      <c r="T49" s="12"/>
    </row>
    <row r="50" spans="1:20" x14ac:dyDescent="0.25">
      <c r="A50">
        <v>-15</v>
      </c>
      <c r="B50">
        <v>45</v>
      </c>
      <c r="C50">
        <v>66</v>
      </c>
      <c r="E50">
        <v>7.6533599999999993</v>
      </c>
      <c r="F50" s="2"/>
      <c r="G50">
        <f t="shared" si="0"/>
        <v>-15</v>
      </c>
      <c r="H50" s="10">
        <f t="shared" si="0"/>
        <v>45</v>
      </c>
      <c r="I50">
        <f t="shared" si="0"/>
        <v>66</v>
      </c>
      <c r="J50">
        <f t="shared" si="1"/>
        <v>225</v>
      </c>
      <c r="K50">
        <f t="shared" si="2"/>
        <v>-675</v>
      </c>
      <c r="L50">
        <f t="shared" si="3"/>
        <v>-990</v>
      </c>
      <c r="M50">
        <f t="shared" si="4"/>
        <v>2025</v>
      </c>
      <c r="N50">
        <f t="shared" si="5"/>
        <v>2970</v>
      </c>
      <c r="O50">
        <f t="shared" si="6"/>
        <v>4356</v>
      </c>
      <c r="Q50" s="11">
        <f t="shared" si="8"/>
        <v>7.6603830356379063</v>
      </c>
      <c r="R50" s="12">
        <f t="shared" si="7"/>
        <v>9.1764083198844326E-4</v>
      </c>
      <c r="S50" s="11"/>
      <c r="T50" s="12"/>
    </row>
    <row r="51" spans="1:20" x14ac:dyDescent="0.25">
      <c r="A51">
        <v>-15</v>
      </c>
      <c r="B51">
        <v>45</v>
      </c>
      <c r="C51">
        <v>76</v>
      </c>
      <c r="E51">
        <v>9.0393299999999996</v>
      </c>
      <c r="F51" s="2"/>
      <c r="G51">
        <f t="shared" si="0"/>
        <v>-15</v>
      </c>
      <c r="H51" s="10">
        <f t="shared" si="0"/>
        <v>45</v>
      </c>
      <c r="I51">
        <f t="shared" si="0"/>
        <v>76</v>
      </c>
      <c r="J51">
        <f t="shared" si="1"/>
        <v>225</v>
      </c>
      <c r="K51">
        <f t="shared" si="2"/>
        <v>-675</v>
      </c>
      <c r="L51">
        <f t="shared" si="3"/>
        <v>-1140</v>
      </c>
      <c r="M51">
        <f t="shared" si="4"/>
        <v>2025</v>
      </c>
      <c r="N51">
        <f t="shared" si="5"/>
        <v>3420</v>
      </c>
      <c r="O51">
        <f t="shared" si="6"/>
        <v>5776</v>
      </c>
      <c r="Q51" s="11">
        <f t="shared" si="8"/>
        <v>8.9579797681943933</v>
      </c>
      <c r="R51" s="12">
        <f t="shared" si="7"/>
        <v>-8.9995864522709433E-3</v>
      </c>
      <c r="S51" s="11"/>
      <c r="T51" s="12"/>
    </row>
    <row r="52" spans="1:20" x14ac:dyDescent="0.25">
      <c r="A52">
        <v>12</v>
      </c>
      <c r="B52">
        <v>55</v>
      </c>
      <c r="C52">
        <v>36</v>
      </c>
      <c r="E52">
        <v>8.8869599999999984</v>
      </c>
      <c r="F52" s="2"/>
      <c r="G52">
        <f t="shared" si="0"/>
        <v>12</v>
      </c>
      <c r="H52" s="10">
        <f t="shared" si="0"/>
        <v>55</v>
      </c>
      <c r="I52">
        <f t="shared" si="0"/>
        <v>36</v>
      </c>
      <c r="J52">
        <f t="shared" si="1"/>
        <v>144</v>
      </c>
      <c r="K52">
        <f t="shared" si="2"/>
        <v>660</v>
      </c>
      <c r="L52">
        <f t="shared" si="3"/>
        <v>432</v>
      </c>
      <c r="M52">
        <f t="shared" si="4"/>
        <v>3025</v>
      </c>
      <c r="N52">
        <f t="shared" si="5"/>
        <v>1980</v>
      </c>
      <c r="O52">
        <f t="shared" si="6"/>
        <v>1296</v>
      </c>
      <c r="Q52" s="11">
        <f t="shared" si="8"/>
        <v>8.8393933352022298</v>
      </c>
      <c r="R52" s="12">
        <f t="shared" si="7"/>
        <v>-5.3524112629930393E-3</v>
      </c>
      <c r="S52" s="11"/>
      <c r="T52" s="12"/>
    </row>
    <row r="53" spans="1:20" x14ac:dyDescent="0.25">
      <c r="A53">
        <v>12</v>
      </c>
      <c r="B53">
        <v>55</v>
      </c>
      <c r="C53">
        <v>49</v>
      </c>
      <c r="E53">
        <v>12.349639999999999</v>
      </c>
      <c r="F53" s="2"/>
      <c r="G53">
        <f t="shared" si="0"/>
        <v>12</v>
      </c>
      <c r="H53" s="10">
        <f t="shared" si="0"/>
        <v>55</v>
      </c>
      <c r="I53">
        <f t="shared" si="0"/>
        <v>49</v>
      </c>
      <c r="J53">
        <f t="shared" si="1"/>
        <v>144</v>
      </c>
      <c r="K53">
        <f t="shared" si="2"/>
        <v>660</v>
      </c>
      <c r="L53">
        <f t="shared" si="3"/>
        <v>588</v>
      </c>
      <c r="M53">
        <f t="shared" si="4"/>
        <v>3025</v>
      </c>
      <c r="N53">
        <f t="shared" si="5"/>
        <v>2695</v>
      </c>
      <c r="O53">
        <f t="shared" si="6"/>
        <v>2401</v>
      </c>
      <c r="Q53" s="11">
        <f t="shared" si="8"/>
        <v>12.275552536759715</v>
      </c>
      <c r="R53" s="12">
        <f t="shared" si="7"/>
        <v>-5.9991597520481508E-3</v>
      </c>
      <c r="S53" s="11"/>
      <c r="T53" s="12"/>
    </row>
    <row r="54" spans="1:20" x14ac:dyDescent="0.25">
      <c r="A54">
        <v>12</v>
      </c>
      <c r="B54">
        <v>55</v>
      </c>
      <c r="C54">
        <v>55</v>
      </c>
      <c r="E54">
        <v>13.68018</v>
      </c>
      <c r="F54" s="2"/>
      <c r="G54">
        <f t="shared" si="0"/>
        <v>12</v>
      </c>
      <c r="H54" s="10">
        <f t="shared" si="0"/>
        <v>55</v>
      </c>
      <c r="I54">
        <f t="shared" si="0"/>
        <v>55</v>
      </c>
      <c r="J54">
        <f t="shared" si="1"/>
        <v>144</v>
      </c>
      <c r="K54">
        <f t="shared" si="2"/>
        <v>660</v>
      </c>
      <c r="L54">
        <f t="shared" si="3"/>
        <v>660</v>
      </c>
      <c r="M54">
        <f t="shared" si="4"/>
        <v>3025</v>
      </c>
      <c r="N54">
        <f t="shared" si="5"/>
        <v>3025</v>
      </c>
      <c r="O54">
        <f t="shared" si="6"/>
        <v>3025</v>
      </c>
      <c r="Q54" s="11">
        <f t="shared" si="8"/>
        <v>13.83782481107934</v>
      </c>
      <c r="R54" s="12">
        <f t="shared" si="7"/>
        <v>1.1523591873742892E-2</v>
      </c>
      <c r="S54" s="11"/>
      <c r="T54" s="12"/>
    </row>
    <row r="55" spans="1:20" x14ac:dyDescent="0.25">
      <c r="A55">
        <v>12</v>
      </c>
      <c r="B55">
        <v>55</v>
      </c>
      <c r="C55">
        <v>66</v>
      </c>
      <c r="E55">
        <v>16.5017</v>
      </c>
      <c r="G55">
        <f t="shared" si="0"/>
        <v>12</v>
      </c>
      <c r="H55" s="10">
        <f t="shared" si="0"/>
        <v>55</v>
      </c>
      <c r="I55">
        <f t="shared" si="0"/>
        <v>66</v>
      </c>
      <c r="J55">
        <f t="shared" si="1"/>
        <v>144</v>
      </c>
      <c r="K55">
        <f t="shared" si="2"/>
        <v>660</v>
      </c>
      <c r="L55">
        <f t="shared" si="3"/>
        <v>792</v>
      </c>
      <c r="M55">
        <f t="shared" si="4"/>
        <v>3025</v>
      </c>
      <c r="N55">
        <f t="shared" si="5"/>
        <v>3630</v>
      </c>
      <c r="O55">
        <f t="shared" si="6"/>
        <v>4356</v>
      </c>
      <c r="Q55" s="11">
        <f t="shared" si="8"/>
        <v>16.663200684257433</v>
      </c>
      <c r="R55" s="12">
        <f t="shared" si="7"/>
        <v>9.7869119095264807E-3</v>
      </c>
      <c r="S55" s="11"/>
      <c r="T55" s="12"/>
    </row>
    <row r="56" spans="1:20" x14ac:dyDescent="0.25">
      <c r="A56">
        <v>7</v>
      </c>
      <c r="B56">
        <v>55</v>
      </c>
      <c r="C56">
        <v>36</v>
      </c>
      <c r="E56">
        <v>7.6009099999999998</v>
      </c>
      <c r="G56">
        <f t="shared" si="0"/>
        <v>7</v>
      </c>
      <c r="H56" s="10">
        <f t="shared" si="0"/>
        <v>55</v>
      </c>
      <c r="I56">
        <f t="shared" si="0"/>
        <v>36</v>
      </c>
      <c r="J56">
        <f t="shared" si="1"/>
        <v>49</v>
      </c>
      <c r="K56">
        <f t="shared" si="2"/>
        <v>385</v>
      </c>
      <c r="L56">
        <f t="shared" si="3"/>
        <v>252</v>
      </c>
      <c r="M56">
        <f t="shared" si="4"/>
        <v>3025</v>
      </c>
      <c r="N56">
        <f t="shared" si="5"/>
        <v>1980</v>
      </c>
      <c r="O56">
        <f t="shared" si="6"/>
        <v>1296</v>
      </c>
      <c r="Q56" s="11">
        <f t="shared" si="8"/>
        <v>7.6808323941160959</v>
      </c>
      <c r="R56" s="12">
        <f t="shared" si="7"/>
        <v>1.0514845474567654E-2</v>
      </c>
      <c r="S56" s="11"/>
      <c r="T56" s="12"/>
    </row>
    <row r="57" spans="1:20" x14ac:dyDescent="0.25">
      <c r="A57">
        <v>7</v>
      </c>
      <c r="B57">
        <v>55</v>
      </c>
      <c r="C57">
        <v>49</v>
      </c>
      <c r="E57">
        <v>11.260110000000001</v>
      </c>
      <c r="G57">
        <f t="shared" si="0"/>
        <v>7</v>
      </c>
      <c r="H57" s="10">
        <f t="shared" si="0"/>
        <v>55</v>
      </c>
      <c r="I57">
        <f t="shared" si="0"/>
        <v>49</v>
      </c>
      <c r="J57">
        <f t="shared" si="1"/>
        <v>49</v>
      </c>
      <c r="K57">
        <f t="shared" si="2"/>
        <v>385</v>
      </c>
      <c r="L57">
        <f t="shared" si="3"/>
        <v>343</v>
      </c>
      <c r="M57">
        <f t="shared" si="4"/>
        <v>3025</v>
      </c>
      <c r="N57">
        <f t="shared" si="5"/>
        <v>2695</v>
      </c>
      <c r="O57">
        <f t="shared" si="6"/>
        <v>2401</v>
      </c>
      <c r="Q57" s="11">
        <f t="shared" si="8"/>
        <v>10.810659279816214</v>
      </c>
      <c r="R57" s="12">
        <f t="shared" si="7"/>
        <v>-3.9915304573737459E-2</v>
      </c>
      <c r="S57" s="11"/>
      <c r="T57" s="12"/>
    </row>
    <row r="58" spans="1:20" x14ac:dyDescent="0.25">
      <c r="A58">
        <v>7</v>
      </c>
      <c r="B58">
        <v>55</v>
      </c>
      <c r="C58">
        <v>55</v>
      </c>
      <c r="E58">
        <v>12.407920000000001</v>
      </c>
      <c r="G58">
        <f t="shared" si="0"/>
        <v>7</v>
      </c>
      <c r="H58" s="10">
        <f t="shared" si="0"/>
        <v>55</v>
      </c>
      <c r="I58">
        <f t="shared" si="0"/>
        <v>55</v>
      </c>
      <c r="J58">
        <f t="shared" si="1"/>
        <v>49</v>
      </c>
      <c r="K58">
        <f t="shared" si="2"/>
        <v>385</v>
      </c>
      <c r="L58">
        <f t="shared" si="3"/>
        <v>385</v>
      </c>
      <c r="M58">
        <f t="shared" si="4"/>
        <v>3025</v>
      </c>
      <c r="N58">
        <f t="shared" si="5"/>
        <v>3025</v>
      </c>
      <c r="O58">
        <f t="shared" si="6"/>
        <v>3025</v>
      </c>
      <c r="Q58" s="11">
        <f t="shared" si="8"/>
        <v>12.231547408355514</v>
      </c>
      <c r="R58" s="12">
        <f t="shared" si="7"/>
        <v>-1.4214517150697855E-2</v>
      </c>
      <c r="S58" s="11"/>
      <c r="T58" s="12"/>
    </row>
    <row r="59" spans="1:20" x14ac:dyDescent="0.25">
      <c r="A59">
        <v>7</v>
      </c>
      <c r="B59">
        <v>55</v>
      </c>
      <c r="C59">
        <v>66</v>
      </c>
      <c r="E59">
        <v>14.91309</v>
      </c>
      <c r="G59">
        <f t="shared" si="0"/>
        <v>7</v>
      </c>
      <c r="H59" s="10">
        <f t="shared" si="0"/>
        <v>55</v>
      </c>
      <c r="I59">
        <f t="shared" si="0"/>
        <v>66</v>
      </c>
      <c r="J59">
        <f t="shared" si="1"/>
        <v>49</v>
      </c>
      <c r="K59">
        <f t="shared" si="2"/>
        <v>385</v>
      </c>
      <c r="L59">
        <f t="shared" si="3"/>
        <v>462</v>
      </c>
      <c r="M59">
        <f t="shared" si="4"/>
        <v>3025</v>
      </c>
      <c r="N59">
        <f t="shared" si="5"/>
        <v>3630</v>
      </c>
      <c r="O59">
        <f t="shared" si="6"/>
        <v>4356</v>
      </c>
      <c r="Q59" s="11">
        <f t="shared" si="8"/>
        <v>14.79771901426968</v>
      </c>
      <c r="R59" s="12">
        <f t="shared" si="7"/>
        <v>-7.7362227231459677E-3</v>
      </c>
      <c r="S59" s="11"/>
      <c r="T59" s="12"/>
    </row>
    <row r="60" spans="1:20" x14ac:dyDescent="0.25">
      <c r="A60">
        <v>7</v>
      </c>
      <c r="B60">
        <v>55</v>
      </c>
      <c r="C60">
        <v>76</v>
      </c>
      <c r="E60">
        <v>17.676860000000001</v>
      </c>
      <c r="G60">
        <f t="shared" si="0"/>
        <v>7</v>
      </c>
      <c r="H60" s="10">
        <f t="shared" si="0"/>
        <v>55</v>
      </c>
      <c r="I60">
        <f t="shared" si="0"/>
        <v>76</v>
      </c>
      <c r="J60">
        <f t="shared" si="1"/>
        <v>49</v>
      </c>
      <c r="K60">
        <f t="shared" si="2"/>
        <v>385</v>
      </c>
      <c r="L60">
        <f t="shared" si="3"/>
        <v>532</v>
      </c>
      <c r="M60">
        <f t="shared" si="4"/>
        <v>3025</v>
      </c>
      <c r="N60">
        <f t="shared" si="5"/>
        <v>4180</v>
      </c>
      <c r="O60">
        <f t="shared" si="6"/>
        <v>5776</v>
      </c>
      <c r="Q60" s="11">
        <f t="shared" si="8"/>
        <v>17.087041371273703</v>
      </c>
      <c r="R60" s="12">
        <f t="shared" si="7"/>
        <v>-3.336670815553773E-2</v>
      </c>
      <c r="S60" s="11"/>
      <c r="T60" s="12"/>
    </row>
    <row r="61" spans="1:20" x14ac:dyDescent="0.25">
      <c r="A61">
        <v>2</v>
      </c>
      <c r="B61">
        <v>55</v>
      </c>
      <c r="C61">
        <v>36</v>
      </c>
      <c r="E61">
        <v>6.7943899999999999</v>
      </c>
      <c r="G61">
        <f t="shared" si="0"/>
        <v>2</v>
      </c>
      <c r="H61" s="10">
        <f t="shared" si="0"/>
        <v>55</v>
      </c>
      <c r="I61">
        <f t="shared" si="0"/>
        <v>36</v>
      </c>
      <c r="J61">
        <f t="shared" si="1"/>
        <v>4</v>
      </c>
      <c r="K61">
        <f t="shared" si="2"/>
        <v>110</v>
      </c>
      <c r="L61">
        <f t="shared" si="3"/>
        <v>72</v>
      </c>
      <c r="M61">
        <f t="shared" si="4"/>
        <v>3025</v>
      </c>
      <c r="N61">
        <f t="shared" si="5"/>
        <v>1980</v>
      </c>
      <c r="O61">
        <f t="shared" si="6"/>
        <v>1296</v>
      </c>
      <c r="Q61" s="11">
        <f t="shared" si="8"/>
        <v>6.5730849579907504</v>
      </c>
      <c r="R61" s="12">
        <f t="shared" si="7"/>
        <v>-3.2571730796914736E-2</v>
      </c>
      <c r="S61" s="11"/>
      <c r="T61" s="12"/>
    </row>
    <row r="62" spans="1:20" x14ac:dyDescent="0.25">
      <c r="A62">
        <v>2</v>
      </c>
      <c r="B62">
        <v>55</v>
      </c>
      <c r="C62">
        <v>49</v>
      </c>
      <c r="E62">
        <v>9.5189000000000004</v>
      </c>
      <c r="G62">
        <f t="shared" si="0"/>
        <v>2</v>
      </c>
      <c r="H62" s="10">
        <f t="shared" si="0"/>
        <v>55</v>
      </c>
      <c r="I62">
        <f t="shared" si="0"/>
        <v>49</v>
      </c>
      <c r="J62">
        <f t="shared" si="1"/>
        <v>4</v>
      </c>
      <c r="K62">
        <f t="shared" si="2"/>
        <v>110</v>
      </c>
      <c r="L62">
        <f t="shared" si="3"/>
        <v>98</v>
      </c>
      <c r="M62">
        <f t="shared" si="4"/>
        <v>3025</v>
      </c>
      <c r="N62">
        <f t="shared" si="5"/>
        <v>2695</v>
      </c>
      <c r="O62">
        <f t="shared" si="6"/>
        <v>2401</v>
      </c>
      <c r="Q62" s="11">
        <f t="shared" si="8"/>
        <v>9.3965795278334951</v>
      </c>
      <c r="R62" s="12">
        <f t="shared" si="7"/>
        <v>-1.2850273893675237E-2</v>
      </c>
      <c r="S62" s="11"/>
      <c r="T62" s="12"/>
    </row>
    <row r="63" spans="1:20" x14ac:dyDescent="0.25">
      <c r="A63">
        <v>2</v>
      </c>
      <c r="B63">
        <v>55</v>
      </c>
      <c r="C63">
        <v>55</v>
      </c>
      <c r="E63">
        <v>10.968680000000001</v>
      </c>
      <c r="G63">
        <f t="shared" si="0"/>
        <v>2</v>
      </c>
      <c r="H63" s="10">
        <f t="shared" si="0"/>
        <v>55</v>
      </c>
      <c r="I63">
        <f t="shared" si="0"/>
        <v>55</v>
      </c>
      <c r="J63">
        <f t="shared" si="1"/>
        <v>4</v>
      </c>
      <c r="K63">
        <f t="shared" si="2"/>
        <v>110</v>
      </c>
      <c r="L63">
        <f t="shared" si="3"/>
        <v>110</v>
      </c>
      <c r="M63">
        <f t="shared" si="4"/>
        <v>3025</v>
      </c>
      <c r="N63">
        <f t="shared" si="5"/>
        <v>3025</v>
      </c>
      <c r="O63">
        <f t="shared" si="6"/>
        <v>3025</v>
      </c>
      <c r="Q63" s="11">
        <f t="shared" si="8"/>
        <v>10.676083510592473</v>
      </c>
      <c r="R63" s="12">
        <f t="shared" si="7"/>
        <v>-2.6675633659430983E-2</v>
      </c>
      <c r="S63" s="11"/>
      <c r="T63" s="12"/>
    </row>
    <row r="64" spans="1:20" x14ac:dyDescent="0.25">
      <c r="A64">
        <v>2</v>
      </c>
      <c r="B64">
        <v>55</v>
      </c>
      <c r="C64">
        <v>66</v>
      </c>
      <c r="E64">
        <v>13.040989999999999</v>
      </c>
      <c r="G64">
        <f t="shared" si="0"/>
        <v>2</v>
      </c>
      <c r="H64" s="10">
        <f t="shared" si="0"/>
        <v>55</v>
      </c>
      <c r="I64">
        <f t="shared" si="0"/>
        <v>66</v>
      </c>
      <c r="J64">
        <f t="shared" si="1"/>
        <v>4</v>
      </c>
      <c r="K64">
        <f t="shared" si="2"/>
        <v>110</v>
      </c>
      <c r="L64">
        <f t="shared" si="3"/>
        <v>132</v>
      </c>
      <c r="M64">
        <f t="shared" si="4"/>
        <v>3025</v>
      </c>
      <c r="N64">
        <f t="shared" si="5"/>
        <v>3630</v>
      </c>
      <c r="O64">
        <f t="shared" si="6"/>
        <v>4356</v>
      </c>
      <c r="Q64" s="11">
        <f t="shared" si="8"/>
        <v>12.98305084924271</v>
      </c>
      <c r="R64" s="12">
        <f t="shared" si="7"/>
        <v>-4.442849105573167E-3</v>
      </c>
      <c r="S64" s="11"/>
      <c r="T64" s="12"/>
    </row>
    <row r="65" spans="1:20" x14ac:dyDescent="0.25">
      <c r="A65">
        <v>-7</v>
      </c>
      <c r="B65">
        <v>55</v>
      </c>
      <c r="C65">
        <v>36</v>
      </c>
      <c r="E65">
        <v>4.4909099999999995</v>
      </c>
      <c r="G65">
        <f t="shared" si="0"/>
        <v>-7</v>
      </c>
      <c r="H65" s="10">
        <f t="shared" si="0"/>
        <v>55</v>
      </c>
      <c r="I65">
        <f t="shared" si="0"/>
        <v>36</v>
      </c>
      <c r="J65">
        <f t="shared" si="1"/>
        <v>49</v>
      </c>
      <c r="K65">
        <f t="shared" si="2"/>
        <v>-385</v>
      </c>
      <c r="L65">
        <f t="shared" si="3"/>
        <v>-252</v>
      </c>
      <c r="M65">
        <f t="shared" si="4"/>
        <v>3025</v>
      </c>
      <c r="N65">
        <f t="shared" si="5"/>
        <v>1980</v>
      </c>
      <c r="O65">
        <f t="shared" si="6"/>
        <v>1296</v>
      </c>
      <c r="Q65" s="11">
        <f t="shared" si="8"/>
        <v>4.7071896054663132</v>
      </c>
      <c r="R65" s="12">
        <f t="shared" si="7"/>
        <v>4.8159416569540175E-2</v>
      </c>
      <c r="S65" s="11"/>
      <c r="T65" s="12"/>
    </row>
    <row r="66" spans="1:20" x14ac:dyDescent="0.25">
      <c r="A66">
        <v>-7</v>
      </c>
      <c r="B66">
        <v>55</v>
      </c>
      <c r="C66">
        <v>49</v>
      </c>
      <c r="E66">
        <v>6.6410600000000004</v>
      </c>
      <c r="G66">
        <f t="shared" si="0"/>
        <v>-7</v>
      </c>
      <c r="H66" s="10">
        <f t="shared" si="0"/>
        <v>55</v>
      </c>
      <c r="I66">
        <f t="shared" si="0"/>
        <v>49</v>
      </c>
      <c r="J66">
        <f t="shared" si="1"/>
        <v>49</v>
      </c>
      <c r="K66">
        <f t="shared" si="2"/>
        <v>-385</v>
      </c>
      <c r="L66">
        <f t="shared" si="3"/>
        <v>-343</v>
      </c>
      <c r="M66">
        <f t="shared" si="4"/>
        <v>3025</v>
      </c>
      <c r="N66">
        <f t="shared" si="5"/>
        <v>2695</v>
      </c>
      <c r="O66">
        <f t="shared" si="6"/>
        <v>2401</v>
      </c>
      <c r="Q66" s="11">
        <f t="shared" si="8"/>
        <v>6.9792860067657934</v>
      </c>
      <c r="R66" s="12">
        <f t="shared" si="7"/>
        <v>5.092952130620608E-2</v>
      </c>
      <c r="S66" s="11"/>
      <c r="T66" s="12"/>
    </row>
    <row r="67" spans="1:20" x14ac:dyDescent="0.25">
      <c r="A67">
        <v>-7</v>
      </c>
      <c r="B67">
        <v>55</v>
      </c>
      <c r="C67">
        <v>55</v>
      </c>
      <c r="E67">
        <v>7.4760499999999999</v>
      </c>
      <c r="G67">
        <f t="shared" si="0"/>
        <v>-7</v>
      </c>
      <c r="H67" s="10">
        <f t="shared" si="0"/>
        <v>55</v>
      </c>
      <c r="I67">
        <f t="shared" si="0"/>
        <v>55</v>
      </c>
      <c r="J67">
        <f t="shared" si="1"/>
        <v>49</v>
      </c>
      <c r="K67">
        <f t="shared" si="2"/>
        <v>-385</v>
      </c>
      <c r="L67">
        <f t="shared" si="3"/>
        <v>-385</v>
      </c>
      <c r="M67">
        <f t="shared" si="4"/>
        <v>3025</v>
      </c>
      <c r="N67">
        <f t="shared" si="5"/>
        <v>3025</v>
      </c>
      <c r="O67">
        <f t="shared" si="6"/>
        <v>3025</v>
      </c>
      <c r="Q67" s="11">
        <f t="shared" si="8"/>
        <v>8.0042985271201879</v>
      </c>
      <c r="R67" s="12">
        <f t="shared" si="7"/>
        <v>7.0658773967561483E-2</v>
      </c>
      <c r="S67" s="11"/>
      <c r="T67" s="12"/>
    </row>
    <row r="68" spans="1:20" x14ac:dyDescent="0.25">
      <c r="A68">
        <v>-7</v>
      </c>
      <c r="B68">
        <v>55</v>
      </c>
      <c r="C68">
        <v>66</v>
      </c>
      <c r="E68">
        <v>9.1772999999999989</v>
      </c>
      <c r="G68">
        <f t="shared" si="0"/>
        <v>-7</v>
      </c>
      <c r="H68" s="10">
        <f t="shared" si="0"/>
        <v>55</v>
      </c>
      <c r="I68">
        <f t="shared" si="0"/>
        <v>66</v>
      </c>
      <c r="J68">
        <f t="shared" si="1"/>
        <v>49</v>
      </c>
      <c r="K68">
        <f t="shared" si="2"/>
        <v>-385</v>
      </c>
      <c r="L68">
        <f t="shared" si="3"/>
        <v>-462</v>
      </c>
      <c r="M68">
        <f t="shared" si="4"/>
        <v>3025</v>
      </c>
      <c r="N68">
        <f t="shared" si="5"/>
        <v>3630</v>
      </c>
      <c r="O68">
        <f t="shared" si="6"/>
        <v>4356</v>
      </c>
      <c r="Q68" s="11">
        <f t="shared" si="8"/>
        <v>9.8446981846953516</v>
      </c>
      <c r="R68" s="12">
        <f t="shared" si="7"/>
        <v>7.2722716343080515E-2</v>
      </c>
      <c r="S68" s="11"/>
      <c r="T68" s="12"/>
    </row>
    <row r="69" spans="1:20" x14ac:dyDescent="0.25">
      <c r="A69">
        <v>-7</v>
      </c>
      <c r="B69">
        <v>55</v>
      </c>
      <c r="C69">
        <v>76</v>
      </c>
      <c r="E69">
        <v>10.683219999999999</v>
      </c>
      <c r="G69">
        <f t="shared" si="0"/>
        <v>-7</v>
      </c>
      <c r="H69" s="10">
        <f t="shared" si="0"/>
        <v>55</v>
      </c>
      <c r="I69">
        <f t="shared" si="0"/>
        <v>76</v>
      </c>
      <c r="J69">
        <f t="shared" si="1"/>
        <v>49</v>
      </c>
      <c r="K69">
        <f t="shared" si="2"/>
        <v>-385</v>
      </c>
      <c r="L69">
        <f t="shared" si="3"/>
        <v>-532</v>
      </c>
      <c r="M69">
        <f t="shared" si="4"/>
        <v>3025</v>
      </c>
      <c r="N69">
        <f t="shared" si="5"/>
        <v>4180</v>
      </c>
      <c r="O69">
        <f t="shared" si="6"/>
        <v>5776</v>
      </c>
      <c r="Q69" s="11">
        <f t="shared" si="8"/>
        <v>11.474227861391194</v>
      </c>
      <c r="R69" s="12">
        <f t="shared" si="7"/>
        <v>7.4042082947949714E-2</v>
      </c>
      <c r="S69" s="11"/>
      <c r="T69" s="12"/>
    </row>
    <row r="70" spans="1:20" x14ac:dyDescent="0.25">
      <c r="A70">
        <v>-15</v>
      </c>
      <c r="B70">
        <v>55</v>
      </c>
      <c r="C70">
        <v>36</v>
      </c>
      <c r="E70">
        <v>3.0988500000000001</v>
      </c>
      <c r="G70">
        <f t="shared" si="0"/>
        <v>-15</v>
      </c>
      <c r="H70" s="10">
        <f t="shared" si="0"/>
        <v>55</v>
      </c>
      <c r="I70">
        <f t="shared" si="0"/>
        <v>36</v>
      </c>
      <c r="J70">
        <f t="shared" si="1"/>
        <v>225</v>
      </c>
      <c r="K70">
        <f t="shared" si="2"/>
        <v>-825</v>
      </c>
      <c r="L70">
        <f t="shared" si="3"/>
        <v>-540</v>
      </c>
      <c r="M70">
        <f t="shared" si="4"/>
        <v>3025</v>
      </c>
      <c r="N70">
        <f t="shared" si="5"/>
        <v>1980</v>
      </c>
      <c r="O70">
        <f t="shared" si="6"/>
        <v>1296</v>
      </c>
      <c r="Q70" s="11">
        <f t="shared" si="8"/>
        <v>3.1868286922712703</v>
      </c>
      <c r="R70" s="12">
        <f t="shared" si="7"/>
        <v>2.8390755367723574E-2</v>
      </c>
      <c r="S70" s="11"/>
      <c r="T70" s="12"/>
    </row>
    <row r="71" spans="1:20" x14ac:dyDescent="0.25">
      <c r="A71">
        <v>-15</v>
      </c>
      <c r="B71">
        <v>55</v>
      </c>
      <c r="C71">
        <v>49</v>
      </c>
      <c r="E71">
        <v>4.8898999999999999</v>
      </c>
      <c r="G71">
        <f t="shared" si="0"/>
        <v>-15</v>
      </c>
      <c r="H71" s="10">
        <f t="shared" si="0"/>
        <v>55</v>
      </c>
      <c r="I71">
        <f t="shared" si="0"/>
        <v>49</v>
      </c>
      <c r="J71">
        <f t="shared" si="1"/>
        <v>225</v>
      </c>
      <c r="K71">
        <f t="shared" si="2"/>
        <v>-825</v>
      </c>
      <c r="L71">
        <f t="shared" si="3"/>
        <v>-735</v>
      </c>
      <c r="M71">
        <f t="shared" si="4"/>
        <v>3025</v>
      </c>
      <c r="N71">
        <f t="shared" si="5"/>
        <v>2695</v>
      </c>
      <c r="O71">
        <f t="shared" si="6"/>
        <v>2401</v>
      </c>
      <c r="Q71" s="11">
        <f t="shared" si="8"/>
        <v>4.9687933881989572</v>
      </c>
      <c r="R71" s="12">
        <f t="shared" si="7"/>
        <v>1.6133947156170333E-2</v>
      </c>
      <c r="S71" s="11"/>
      <c r="T71" s="12"/>
    </row>
    <row r="72" spans="1:20" x14ac:dyDescent="0.25">
      <c r="A72">
        <v>-15</v>
      </c>
      <c r="B72">
        <v>55</v>
      </c>
      <c r="C72">
        <v>55</v>
      </c>
      <c r="E72">
        <v>5.5168100000000004</v>
      </c>
      <c r="G72">
        <f t="shared" si="0"/>
        <v>-15</v>
      </c>
      <c r="H72" s="10">
        <f t="shared" si="0"/>
        <v>55</v>
      </c>
      <c r="I72">
        <f t="shared" si="0"/>
        <v>55</v>
      </c>
      <c r="J72">
        <f t="shared" si="1"/>
        <v>225</v>
      </c>
      <c r="K72">
        <f t="shared" si="2"/>
        <v>-825</v>
      </c>
      <c r="L72">
        <f t="shared" si="3"/>
        <v>-825</v>
      </c>
      <c r="M72">
        <f t="shared" si="4"/>
        <v>3025</v>
      </c>
      <c r="N72">
        <f t="shared" si="5"/>
        <v>3025</v>
      </c>
      <c r="O72">
        <f t="shared" si="6"/>
        <v>3025</v>
      </c>
      <c r="Q72" s="11">
        <f t="shared" si="8"/>
        <v>5.7675912753048317</v>
      </c>
      <c r="R72" s="12">
        <f t="shared" si="7"/>
        <v>4.5457660369820838E-2</v>
      </c>
      <c r="S72" s="11"/>
      <c r="T72" s="12"/>
    </row>
    <row r="73" spans="1:20" x14ac:dyDescent="0.25">
      <c r="A73">
        <v>-15</v>
      </c>
      <c r="B73">
        <v>55</v>
      </c>
      <c r="C73">
        <v>66</v>
      </c>
      <c r="E73">
        <v>7.0490300000000001</v>
      </c>
      <c r="G73">
        <f t="shared" si="0"/>
        <v>-15</v>
      </c>
      <c r="H73" s="10">
        <f t="shared" si="0"/>
        <v>55</v>
      </c>
      <c r="I73">
        <f t="shared" si="0"/>
        <v>66</v>
      </c>
      <c r="J73">
        <f t="shared" si="1"/>
        <v>225</v>
      </c>
      <c r="K73">
        <f t="shared" si="2"/>
        <v>-825</v>
      </c>
      <c r="L73">
        <f t="shared" si="3"/>
        <v>-990</v>
      </c>
      <c r="M73">
        <f t="shared" si="4"/>
        <v>3025</v>
      </c>
      <c r="N73">
        <f t="shared" si="5"/>
        <v>3630</v>
      </c>
      <c r="O73">
        <f t="shared" si="6"/>
        <v>4356</v>
      </c>
      <c r="Q73" s="11">
        <f t="shared" si="8"/>
        <v>7.1932641052577129</v>
      </c>
      <c r="R73" s="12">
        <f t="shared" si="7"/>
        <v>2.0461553612016511E-2</v>
      </c>
      <c r="S73" s="11"/>
      <c r="T73" s="12"/>
    </row>
    <row r="74" spans="1:20" x14ac:dyDescent="0.25">
      <c r="A74">
        <v>-15</v>
      </c>
      <c r="B74">
        <v>55</v>
      </c>
      <c r="C74">
        <v>76</v>
      </c>
      <c r="E74">
        <v>8.5046800000000005</v>
      </c>
      <c r="G74">
        <f t="shared" si="0"/>
        <v>-15</v>
      </c>
      <c r="H74" s="10">
        <f t="shared" si="0"/>
        <v>55</v>
      </c>
      <c r="I74">
        <f t="shared" si="0"/>
        <v>76</v>
      </c>
      <c r="J74">
        <f t="shared" si="1"/>
        <v>225</v>
      </c>
      <c r="K74">
        <f t="shared" si="2"/>
        <v>-825</v>
      </c>
      <c r="L74">
        <f t="shared" si="3"/>
        <v>-1140</v>
      </c>
      <c r="M74">
        <f t="shared" si="4"/>
        <v>3025</v>
      </c>
      <c r="N74">
        <f t="shared" si="5"/>
        <v>4180</v>
      </c>
      <c r="O74">
        <f t="shared" si="6"/>
        <v>5776</v>
      </c>
      <c r="Q74" s="11">
        <f t="shared" si="8"/>
        <v>8.4457693932060227</v>
      </c>
      <c r="R74" s="12">
        <f t="shared" si="7"/>
        <v>-6.9268457830250806E-3</v>
      </c>
      <c r="S74" s="11"/>
      <c r="T74" s="12"/>
    </row>
    <row r="75" spans="1:20" x14ac:dyDescent="0.25">
      <c r="A75">
        <v>-25</v>
      </c>
      <c r="B75">
        <v>55</v>
      </c>
      <c r="C75">
        <v>36</v>
      </c>
      <c r="E75">
        <v>1.4009800000000001</v>
      </c>
      <c r="G75">
        <f t="shared" si="0"/>
        <v>-25</v>
      </c>
      <c r="H75" s="10">
        <f t="shared" si="0"/>
        <v>55</v>
      </c>
      <c r="I75">
        <f t="shared" si="0"/>
        <v>36</v>
      </c>
      <c r="J75">
        <f t="shared" si="1"/>
        <v>625</v>
      </c>
      <c r="K75">
        <f t="shared" si="2"/>
        <v>-1375</v>
      </c>
      <c r="L75">
        <f t="shared" si="3"/>
        <v>-900</v>
      </c>
      <c r="M75">
        <f t="shared" si="4"/>
        <v>3025</v>
      </c>
      <c r="N75">
        <f t="shared" si="5"/>
        <v>1980</v>
      </c>
      <c r="O75">
        <f t="shared" si="6"/>
        <v>1296</v>
      </c>
      <c r="Q75" s="11">
        <f t="shared" si="8"/>
        <v>1.4693061686363029</v>
      </c>
      <c r="R75" s="12">
        <f t="shared" si="7"/>
        <v>4.8770266981900387E-2</v>
      </c>
      <c r="S75" s="11"/>
      <c r="T75" s="12"/>
    </row>
    <row r="76" spans="1:20" x14ac:dyDescent="0.25">
      <c r="A76">
        <v>-25</v>
      </c>
      <c r="B76">
        <v>55</v>
      </c>
      <c r="C76">
        <v>49</v>
      </c>
      <c r="E76">
        <v>2.7531399999999997</v>
      </c>
      <c r="G76">
        <f t="shared" si="0"/>
        <v>-25</v>
      </c>
      <c r="H76" s="10">
        <f t="shared" si="0"/>
        <v>55</v>
      </c>
      <c r="I76">
        <f t="shared" si="0"/>
        <v>49</v>
      </c>
      <c r="J76">
        <f t="shared" si="1"/>
        <v>625</v>
      </c>
      <c r="K76">
        <f t="shared" si="2"/>
        <v>-1375</v>
      </c>
      <c r="L76">
        <f t="shared" si="3"/>
        <v>-1225</v>
      </c>
      <c r="M76">
        <f t="shared" si="4"/>
        <v>3025</v>
      </c>
      <c r="N76">
        <f t="shared" si="5"/>
        <v>2695</v>
      </c>
      <c r="O76">
        <f t="shared" si="6"/>
        <v>2401</v>
      </c>
      <c r="Q76" s="11">
        <f t="shared" si="8"/>
        <v>2.6386062328492526</v>
      </c>
      <c r="R76" s="12">
        <f t="shared" si="7"/>
        <v>-4.1601141660339527E-2</v>
      </c>
      <c r="S76" s="11"/>
      <c r="T76" s="12"/>
    </row>
    <row r="77" spans="1:20" x14ac:dyDescent="0.25">
      <c r="A77">
        <v>-25</v>
      </c>
      <c r="B77">
        <v>55</v>
      </c>
      <c r="C77">
        <v>55</v>
      </c>
      <c r="E77">
        <v>3.3458299999999999</v>
      </c>
      <c r="G77">
        <f t="shared" si="0"/>
        <v>-25</v>
      </c>
      <c r="H77" s="10">
        <f t="shared" si="0"/>
        <v>55</v>
      </c>
      <c r="I77">
        <f t="shared" si="0"/>
        <v>55</v>
      </c>
      <c r="J77">
        <f t="shared" si="1"/>
        <v>625</v>
      </c>
      <c r="K77">
        <f t="shared" si="2"/>
        <v>-1375</v>
      </c>
      <c r="L77">
        <f t="shared" si="3"/>
        <v>-1375</v>
      </c>
      <c r="M77">
        <f t="shared" si="4"/>
        <v>3025</v>
      </c>
      <c r="N77">
        <f t="shared" si="5"/>
        <v>3025</v>
      </c>
      <c r="O77">
        <f t="shared" si="6"/>
        <v>3025</v>
      </c>
      <c r="Q77" s="11">
        <f t="shared" si="8"/>
        <v>3.1546358283944782</v>
      </c>
      <c r="R77" s="12">
        <f t="shared" si="7"/>
        <v>-5.7144018556089721E-2</v>
      </c>
      <c r="S77" s="11"/>
      <c r="T77" s="12"/>
    </row>
    <row r="78" spans="1:20" x14ac:dyDescent="0.25">
      <c r="A78">
        <v>-25</v>
      </c>
      <c r="B78">
        <v>55</v>
      </c>
      <c r="C78">
        <v>66</v>
      </c>
      <c r="E78">
        <v>4.3538100000000002</v>
      </c>
      <c r="G78">
        <f t="shared" si="0"/>
        <v>-25</v>
      </c>
      <c r="H78" s="10">
        <f t="shared" si="0"/>
        <v>55</v>
      </c>
      <c r="I78">
        <f t="shared" si="0"/>
        <v>66</v>
      </c>
      <c r="J78">
        <f t="shared" si="1"/>
        <v>625</v>
      </c>
      <c r="K78">
        <f t="shared" si="2"/>
        <v>-1375</v>
      </c>
      <c r="L78">
        <f t="shared" si="3"/>
        <v>-1650</v>
      </c>
      <c r="M78">
        <f t="shared" si="4"/>
        <v>3025</v>
      </c>
      <c r="N78">
        <f t="shared" si="5"/>
        <v>3630</v>
      </c>
      <c r="O78">
        <f t="shared" si="6"/>
        <v>4356</v>
      </c>
      <c r="Q78" s="11">
        <f t="shared" si="8"/>
        <v>4.0619001238195009</v>
      </c>
      <c r="R78" s="12">
        <f t="shared" si="7"/>
        <v>-6.7046994742650509E-2</v>
      </c>
      <c r="S78" s="11"/>
      <c r="T78" s="12"/>
    </row>
    <row r="79" spans="1:20" x14ac:dyDescent="0.25">
      <c r="A79">
        <v>-25</v>
      </c>
      <c r="B79">
        <v>55</v>
      </c>
      <c r="C79">
        <v>76</v>
      </c>
      <c r="E79">
        <v>5.6101899999999993</v>
      </c>
      <c r="G79">
        <f t="shared" si="0"/>
        <v>-25</v>
      </c>
      <c r="H79" s="10">
        <f t="shared" si="0"/>
        <v>55</v>
      </c>
      <c r="I79">
        <f t="shared" si="0"/>
        <v>76</v>
      </c>
      <c r="J79">
        <f t="shared" si="1"/>
        <v>625</v>
      </c>
      <c r="K79">
        <f t="shared" si="2"/>
        <v>-1375</v>
      </c>
      <c r="L79">
        <f t="shared" si="3"/>
        <v>-1900</v>
      </c>
      <c r="M79">
        <f t="shared" si="4"/>
        <v>3025</v>
      </c>
      <c r="N79">
        <f t="shared" si="5"/>
        <v>4180</v>
      </c>
      <c r="O79">
        <f t="shared" si="6"/>
        <v>5776</v>
      </c>
      <c r="Q79" s="11">
        <f t="shared" si="8"/>
        <v>4.8431249258333953</v>
      </c>
      <c r="R79" s="12">
        <f t="shared" si="7"/>
        <v>-0.13672711158919826</v>
      </c>
      <c r="S79" s="11"/>
      <c r="T79" s="12"/>
    </row>
    <row r="82" spans="1:18" x14ac:dyDescent="0.25">
      <c r="A82" t="s">
        <v>27</v>
      </c>
      <c r="G82" s="4" t="s">
        <v>1</v>
      </c>
      <c r="H82" s="4" t="s">
        <v>2</v>
      </c>
      <c r="I82" s="4" t="s">
        <v>3</v>
      </c>
      <c r="J82" s="4" t="s">
        <v>4</v>
      </c>
      <c r="K82" s="4" t="s">
        <v>5</v>
      </c>
      <c r="L82" s="4" t="s">
        <v>6</v>
      </c>
      <c r="M82" s="4" t="s">
        <v>7</v>
      </c>
      <c r="N82" s="4" t="s">
        <v>8</v>
      </c>
      <c r="O82" s="4" t="s">
        <v>9</v>
      </c>
      <c r="P82" s="4" t="s">
        <v>10</v>
      </c>
    </row>
    <row r="83" spans="1:18" x14ac:dyDescent="0.25">
      <c r="A83" s="1"/>
      <c r="C83" s="1"/>
      <c r="D83" s="1"/>
      <c r="E83" s="1"/>
      <c r="F83" s="1"/>
      <c r="G83" s="4">
        <f t="array" ref="G83:P83">LINEST(E85:E160,G85:O160)</f>
        <v>8.7870971294098073E-5</v>
      </c>
      <c r="H83" s="4">
        <v>9.8281728903208514E-4</v>
      </c>
      <c r="I83" s="4">
        <v>6.8782236608743992E-4</v>
      </c>
      <c r="J83" s="4">
        <v>3.8388527654729363E-4</v>
      </c>
      <c r="K83" s="4">
        <v>6.840877087507934E-4</v>
      </c>
      <c r="L83" s="4">
        <v>-4.0337956722530876E-4</v>
      </c>
      <c r="M83" s="4">
        <v>1.0949211923753432E-2</v>
      </c>
      <c r="N83" s="4">
        <v>-5.3243946475330109E-2</v>
      </c>
      <c r="O83" s="4">
        <v>-3.836095533612012E-2</v>
      </c>
      <c r="P83" s="4">
        <v>1.2072946964032416</v>
      </c>
    </row>
    <row r="84" spans="1:18" ht="45" x14ac:dyDescent="0.25">
      <c r="A84" s="5" t="s">
        <v>11</v>
      </c>
      <c r="B84" s="5" t="s">
        <v>12</v>
      </c>
      <c r="C84" s="5" t="s">
        <v>13</v>
      </c>
      <c r="D84" s="6"/>
      <c r="E84" s="7" t="s">
        <v>14</v>
      </c>
      <c r="F84" s="3"/>
      <c r="G84" s="8" t="s">
        <v>17</v>
      </c>
      <c r="H84" s="8" t="s">
        <v>18</v>
      </c>
      <c r="I84" s="8" t="s">
        <v>0</v>
      </c>
      <c r="J84" s="8" t="s">
        <v>19</v>
      </c>
      <c r="K84" s="8" t="s">
        <v>20</v>
      </c>
      <c r="L84" s="8" t="s">
        <v>21</v>
      </c>
      <c r="M84" s="8" t="s">
        <v>22</v>
      </c>
      <c r="N84" s="8" t="s">
        <v>23</v>
      </c>
      <c r="O84" s="8" t="s">
        <v>24</v>
      </c>
      <c r="P84" s="3"/>
      <c r="Q84" s="9" t="s">
        <v>14</v>
      </c>
      <c r="R84" s="9" t="s">
        <v>15</v>
      </c>
    </row>
    <row r="85" spans="1:18" x14ac:dyDescent="0.25">
      <c r="A85">
        <v>12</v>
      </c>
      <c r="B85">
        <v>35</v>
      </c>
      <c r="C85">
        <v>36</v>
      </c>
      <c r="E85">
        <v>1.8350799999999998</v>
      </c>
      <c r="F85" s="2"/>
      <c r="G85">
        <f t="shared" ref="G85:I160" si="20">A85</f>
        <v>12</v>
      </c>
      <c r="H85" s="10">
        <f t="shared" si="20"/>
        <v>35</v>
      </c>
      <c r="I85">
        <f t="shared" si="20"/>
        <v>36</v>
      </c>
      <c r="J85">
        <f t="shared" ref="J85:J160" si="21">G85^2</f>
        <v>144</v>
      </c>
      <c r="K85">
        <f t="shared" ref="K85:K160" si="22">G85*H85</f>
        <v>420</v>
      </c>
      <c r="L85">
        <f t="shared" ref="L85:L160" si="23">G85*I85</f>
        <v>432</v>
      </c>
      <c r="M85">
        <f t="shared" ref="M85:M160" si="24">H85^2</f>
        <v>1225</v>
      </c>
      <c r="N85">
        <f t="shared" ref="N85:N160" si="25">H85*I85</f>
        <v>1260</v>
      </c>
      <c r="O85">
        <f t="shared" ref="O85:O160" si="26">I85^2</f>
        <v>1296</v>
      </c>
      <c r="Q85" s="11">
        <f>$P$83+$O$83*G85+$N$83*H85+$M$83*I85+$L$83*J85+$K$83*K85+$J$83*L85+$I$83*M85+$H$83*N85+$G$83*O85</f>
        <v>1.8674783158863819</v>
      </c>
      <c r="R85" s="12">
        <f t="shared" ref="R85:R160" si="27">(Q85-E85)/E85</f>
        <v>1.765498827646865E-2</v>
      </c>
    </row>
    <row r="86" spans="1:18" x14ac:dyDescent="0.25">
      <c r="A86">
        <v>12</v>
      </c>
      <c r="B86">
        <v>35</v>
      </c>
      <c r="C86">
        <v>49</v>
      </c>
      <c r="E86">
        <v>2.5653899999999998</v>
      </c>
      <c r="F86" s="2"/>
      <c r="G86">
        <f t="shared" si="20"/>
        <v>12</v>
      </c>
      <c r="H86" s="10">
        <f t="shared" si="20"/>
        <v>35</v>
      </c>
      <c r="I86">
        <f t="shared" si="20"/>
        <v>49</v>
      </c>
      <c r="J86">
        <f t="shared" si="21"/>
        <v>144</v>
      </c>
      <c r="K86">
        <f t="shared" si="22"/>
        <v>420</v>
      </c>
      <c r="L86">
        <f t="shared" si="23"/>
        <v>588</v>
      </c>
      <c r="M86">
        <f t="shared" si="24"/>
        <v>1225</v>
      </c>
      <c r="N86">
        <f t="shared" si="25"/>
        <v>1715</v>
      </c>
      <c r="O86">
        <f t="shared" si="26"/>
        <v>2401</v>
      </c>
      <c r="Q86" s="11">
        <f t="shared" ref="Q86:Q160" si="28">$P$83+$O$83*G86+$N$83*H86+$M$83*I86+$L$83*J86+$K$83*K86+$J$83*L86+$I$83*M86+$H$83*N86+$G$83*O86</f>
        <v>2.6139834638261314</v>
      </c>
      <c r="R86" s="12">
        <f t="shared" si="27"/>
        <v>1.8941940144045006E-2</v>
      </c>
    </row>
    <row r="87" spans="1:18" x14ac:dyDescent="0.25">
      <c r="A87">
        <v>12</v>
      </c>
      <c r="B87">
        <v>35</v>
      </c>
      <c r="C87">
        <v>55</v>
      </c>
      <c r="E87">
        <v>2.9159999999999999</v>
      </c>
      <c r="F87" s="2"/>
      <c r="G87">
        <f t="shared" si="20"/>
        <v>12</v>
      </c>
      <c r="H87" s="10">
        <f t="shared" si="20"/>
        <v>35</v>
      </c>
      <c r="I87">
        <f t="shared" si="20"/>
        <v>55</v>
      </c>
      <c r="J87">
        <f t="shared" si="21"/>
        <v>144</v>
      </c>
      <c r="K87">
        <f t="shared" si="22"/>
        <v>420</v>
      </c>
      <c r="L87">
        <f t="shared" si="23"/>
        <v>660</v>
      </c>
      <c r="M87">
        <f t="shared" si="24"/>
        <v>1225</v>
      </c>
      <c r="N87">
        <f t="shared" si="25"/>
        <v>1925</v>
      </c>
      <c r="O87">
        <f t="shared" si="26"/>
        <v>3025</v>
      </c>
      <c r="Q87" s="11">
        <f t="shared" si="28"/>
        <v>2.9685415920643119</v>
      </c>
      <c r="R87" s="12">
        <f t="shared" si="27"/>
        <v>1.8018378622877904E-2</v>
      </c>
    </row>
    <row r="88" spans="1:18" x14ac:dyDescent="0.25">
      <c r="A88">
        <v>12</v>
      </c>
      <c r="B88">
        <v>35</v>
      </c>
      <c r="C88">
        <v>66</v>
      </c>
      <c r="E88">
        <v>3.55646</v>
      </c>
      <c r="F88" s="2"/>
      <c r="G88">
        <f t="shared" si="20"/>
        <v>12</v>
      </c>
      <c r="H88" s="10">
        <f t="shared" si="20"/>
        <v>35</v>
      </c>
      <c r="I88">
        <f t="shared" si="20"/>
        <v>66</v>
      </c>
      <c r="J88">
        <f t="shared" si="21"/>
        <v>144</v>
      </c>
      <c r="K88">
        <f t="shared" si="22"/>
        <v>420</v>
      </c>
      <c r="L88">
        <f t="shared" si="23"/>
        <v>792</v>
      </c>
      <c r="M88">
        <f t="shared" si="24"/>
        <v>1225</v>
      </c>
      <c r="N88">
        <f t="shared" si="25"/>
        <v>2310</v>
      </c>
      <c r="O88">
        <f t="shared" si="26"/>
        <v>4356</v>
      </c>
      <c r="Q88" s="11">
        <f t="shared" si="28"/>
        <v>3.63499669879964</v>
      </c>
      <c r="R88" s="12">
        <f t="shared" si="27"/>
        <v>2.208282921771652E-2</v>
      </c>
    </row>
    <row r="89" spans="1:18" x14ac:dyDescent="0.25">
      <c r="A89">
        <v>7</v>
      </c>
      <c r="B89">
        <v>35</v>
      </c>
      <c r="C89">
        <v>36</v>
      </c>
      <c r="E89">
        <v>1.9193699999999998</v>
      </c>
      <c r="F89" s="2"/>
      <c r="G89">
        <f t="shared" si="20"/>
        <v>7</v>
      </c>
      <c r="H89" s="10">
        <f t="shared" si="20"/>
        <v>35</v>
      </c>
      <c r="I89">
        <f t="shared" si="20"/>
        <v>36</v>
      </c>
      <c r="J89">
        <f t="shared" si="21"/>
        <v>49</v>
      </c>
      <c r="K89">
        <f t="shared" si="22"/>
        <v>245</v>
      </c>
      <c r="L89">
        <f t="shared" si="23"/>
        <v>252</v>
      </c>
      <c r="M89">
        <f t="shared" si="24"/>
        <v>1225</v>
      </c>
      <c r="N89">
        <f t="shared" si="25"/>
        <v>1260</v>
      </c>
      <c r="O89">
        <f t="shared" si="26"/>
        <v>1296</v>
      </c>
      <c r="Q89" s="11">
        <f t="shared" si="28"/>
        <v>1.908789452643485</v>
      </c>
      <c r="R89" s="12">
        <f t="shared" si="27"/>
        <v>-5.5125105407059687E-3</v>
      </c>
    </row>
    <row r="90" spans="1:18" x14ac:dyDescent="0.25">
      <c r="A90">
        <v>7</v>
      </c>
      <c r="B90">
        <v>35</v>
      </c>
      <c r="C90">
        <v>49</v>
      </c>
      <c r="E90">
        <v>2.6800999999999999</v>
      </c>
      <c r="F90" s="2"/>
      <c r="G90">
        <f t="shared" si="20"/>
        <v>7</v>
      </c>
      <c r="H90" s="10">
        <f t="shared" si="20"/>
        <v>35</v>
      </c>
      <c r="I90">
        <f t="shared" si="20"/>
        <v>49</v>
      </c>
      <c r="J90">
        <f t="shared" si="21"/>
        <v>49</v>
      </c>
      <c r="K90">
        <f t="shared" si="22"/>
        <v>245</v>
      </c>
      <c r="L90">
        <f t="shared" si="23"/>
        <v>343</v>
      </c>
      <c r="M90">
        <f t="shared" si="24"/>
        <v>1225</v>
      </c>
      <c r="N90">
        <f t="shared" si="25"/>
        <v>1715</v>
      </c>
      <c r="O90">
        <f t="shared" si="26"/>
        <v>2401</v>
      </c>
      <c r="Q90" s="11">
        <f t="shared" si="28"/>
        <v>2.6303420576076606</v>
      </c>
      <c r="R90" s="12">
        <f t="shared" si="27"/>
        <v>-1.8565703664915237E-2</v>
      </c>
    </row>
    <row r="91" spans="1:18" x14ac:dyDescent="0.25">
      <c r="A91">
        <v>7</v>
      </c>
      <c r="B91">
        <v>35</v>
      </c>
      <c r="C91">
        <v>55</v>
      </c>
      <c r="E91">
        <v>3.0352399999999999</v>
      </c>
      <c r="F91" s="2"/>
      <c r="G91">
        <f t="shared" si="20"/>
        <v>7</v>
      </c>
      <c r="H91" s="10">
        <f t="shared" si="20"/>
        <v>35</v>
      </c>
      <c r="I91">
        <f t="shared" si="20"/>
        <v>55</v>
      </c>
      <c r="J91">
        <f t="shared" si="21"/>
        <v>49</v>
      </c>
      <c r="K91">
        <f t="shared" si="22"/>
        <v>245</v>
      </c>
      <c r="L91">
        <f t="shared" si="23"/>
        <v>385</v>
      </c>
      <c r="M91">
        <f t="shared" si="24"/>
        <v>1225</v>
      </c>
      <c r="N91">
        <f t="shared" si="25"/>
        <v>1925</v>
      </c>
      <c r="O91">
        <f t="shared" si="26"/>
        <v>3025</v>
      </c>
      <c r="Q91" s="11">
        <f t="shared" si="28"/>
        <v>2.9733836275494223</v>
      </c>
      <c r="R91" s="12">
        <f t="shared" si="27"/>
        <v>-2.0379400788925299E-2</v>
      </c>
    </row>
    <row r="92" spans="1:18" x14ac:dyDescent="0.25">
      <c r="A92">
        <v>7</v>
      </c>
      <c r="B92">
        <v>35</v>
      </c>
      <c r="C92">
        <v>66</v>
      </c>
      <c r="E92">
        <v>3.6267399999999999</v>
      </c>
      <c r="F92" s="2"/>
      <c r="G92">
        <f t="shared" si="20"/>
        <v>7</v>
      </c>
      <c r="H92" s="10">
        <f t="shared" si="20"/>
        <v>35</v>
      </c>
      <c r="I92">
        <f t="shared" si="20"/>
        <v>66</v>
      </c>
      <c r="J92">
        <f t="shared" si="21"/>
        <v>49</v>
      </c>
      <c r="K92">
        <f t="shared" si="22"/>
        <v>245</v>
      </c>
      <c r="L92">
        <f t="shared" si="23"/>
        <v>462</v>
      </c>
      <c r="M92">
        <f t="shared" si="24"/>
        <v>1225</v>
      </c>
      <c r="N92">
        <f t="shared" si="25"/>
        <v>2310</v>
      </c>
      <c r="O92">
        <f t="shared" si="26"/>
        <v>4356</v>
      </c>
      <c r="Q92" s="11">
        <f t="shared" si="28"/>
        <v>3.6187250440746492</v>
      </c>
      <c r="R92" s="12">
        <f t="shared" si="27"/>
        <v>-2.2099615426941607E-3</v>
      </c>
    </row>
    <row r="93" spans="1:18" x14ac:dyDescent="0.25">
      <c r="A93">
        <v>7</v>
      </c>
      <c r="B93">
        <v>35</v>
      </c>
      <c r="C93">
        <v>76</v>
      </c>
      <c r="E93">
        <v>4.2269100000000002</v>
      </c>
      <c r="F93" s="2"/>
      <c r="G93">
        <f t="shared" si="20"/>
        <v>7</v>
      </c>
      <c r="H93" s="10">
        <f t="shared" si="20"/>
        <v>35</v>
      </c>
      <c r="I93">
        <f t="shared" si="20"/>
        <v>76</v>
      </c>
      <c r="J93">
        <f t="shared" si="21"/>
        <v>49</v>
      </c>
      <c r="K93">
        <f t="shared" si="22"/>
        <v>245</v>
      </c>
      <c r="L93">
        <f t="shared" si="23"/>
        <v>532</v>
      </c>
      <c r="M93">
        <f t="shared" si="24"/>
        <v>1225</v>
      </c>
      <c r="N93">
        <f t="shared" si="25"/>
        <v>2660</v>
      </c>
      <c r="O93">
        <f t="shared" si="26"/>
        <v>5776</v>
      </c>
      <c r="Q93" s="11">
        <f t="shared" si="28"/>
        <v>4.2238519630693432</v>
      </c>
      <c r="R93" s="12">
        <f t="shared" si="27"/>
        <v>-7.2346866402572612E-4</v>
      </c>
    </row>
    <row r="94" spans="1:18" x14ac:dyDescent="0.25">
      <c r="A94">
        <v>2</v>
      </c>
      <c r="B94">
        <v>35</v>
      </c>
      <c r="C94">
        <v>36</v>
      </c>
      <c r="E94">
        <v>1.9193699999999998</v>
      </c>
      <c r="F94" s="2"/>
      <c r="G94">
        <f t="shared" si="20"/>
        <v>2</v>
      </c>
      <c r="H94" s="10">
        <f t="shared" si="20"/>
        <v>35</v>
      </c>
      <c r="I94">
        <f t="shared" si="20"/>
        <v>36</v>
      </c>
      <c r="J94">
        <f t="shared" si="21"/>
        <v>4</v>
      </c>
      <c r="K94">
        <f t="shared" si="22"/>
        <v>70</v>
      </c>
      <c r="L94">
        <f t="shared" si="23"/>
        <v>72</v>
      </c>
      <c r="M94">
        <f t="shared" si="24"/>
        <v>1225</v>
      </c>
      <c r="N94">
        <f t="shared" si="25"/>
        <v>1260</v>
      </c>
      <c r="O94">
        <f t="shared" si="26"/>
        <v>1296</v>
      </c>
      <c r="Q94" s="11">
        <f t="shared" si="28"/>
        <v>1.9299316110393228</v>
      </c>
      <c r="R94" s="12">
        <f t="shared" si="27"/>
        <v>5.5026446382526358E-3</v>
      </c>
    </row>
    <row r="95" spans="1:18" x14ac:dyDescent="0.25">
      <c r="A95">
        <v>2</v>
      </c>
      <c r="B95">
        <v>35</v>
      </c>
      <c r="C95">
        <v>49</v>
      </c>
      <c r="E95">
        <v>2.6800999999999999</v>
      </c>
      <c r="F95" s="2"/>
      <c r="G95">
        <f t="shared" si="20"/>
        <v>2</v>
      </c>
      <c r="H95" s="10">
        <f t="shared" si="20"/>
        <v>35</v>
      </c>
      <c r="I95">
        <f t="shared" si="20"/>
        <v>49</v>
      </c>
      <c r="J95">
        <f t="shared" si="21"/>
        <v>4</v>
      </c>
      <c r="K95">
        <f t="shared" si="22"/>
        <v>70</v>
      </c>
      <c r="L95">
        <f t="shared" si="23"/>
        <v>98</v>
      </c>
      <c r="M95">
        <f t="shared" si="24"/>
        <v>1225</v>
      </c>
      <c r="N95">
        <f t="shared" si="25"/>
        <v>1715</v>
      </c>
      <c r="O95">
        <f t="shared" si="26"/>
        <v>2401</v>
      </c>
      <c r="Q95" s="11">
        <f t="shared" si="28"/>
        <v>2.6265316730279245</v>
      </c>
      <c r="R95" s="12">
        <f t="shared" si="27"/>
        <v>-1.9987435906151069E-2</v>
      </c>
    </row>
    <row r="96" spans="1:18" x14ac:dyDescent="0.25">
      <c r="A96">
        <v>2</v>
      </c>
      <c r="B96">
        <v>35</v>
      </c>
      <c r="C96">
        <v>55</v>
      </c>
      <c r="E96">
        <v>3.0352399999999999</v>
      </c>
      <c r="F96" s="2"/>
      <c r="G96">
        <f t="shared" si="20"/>
        <v>2</v>
      </c>
      <c r="H96" s="10">
        <f t="shared" si="20"/>
        <v>35</v>
      </c>
      <c r="I96">
        <f t="shared" si="20"/>
        <v>55</v>
      </c>
      <c r="J96">
        <f t="shared" si="21"/>
        <v>4</v>
      </c>
      <c r="K96">
        <f t="shared" si="22"/>
        <v>70</v>
      </c>
      <c r="L96">
        <f t="shared" si="23"/>
        <v>110</v>
      </c>
      <c r="M96">
        <f t="shared" si="24"/>
        <v>1225</v>
      </c>
      <c r="N96">
        <f t="shared" si="25"/>
        <v>1925</v>
      </c>
      <c r="O96">
        <f t="shared" si="26"/>
        <v>3025</v>
      </c>
      <c r="Q96" s="11">
        <f t="shared" si="28"/>
        <v>2.958056684673267</v>
      </c>
      <c r="R96" s="12">
        <f t="shared" si="27"/>
        <v>-2.5429065025083009E-2</v>
      </c>
    </row>
    <row r="97" spans="1:18" x14ac:dyDescent="0.25">
      <c r="A97">
        <v>2</v>
      </c>
      <c r="B97">
        <v>35</v>
      </c>
      <c r="C97">
        <v>66</v>
      </c>
      <c r="E97">
        <v>3.6267399999999999</v>
      </c>
      <c r="F97" s="2"/>
      <c r="G97">
        <f t="shared" si="20"/>
        <v>2</v>
      </c>
      <c r="H97" s="10">
        <f t="shared" si="20"/>
        <v>35</v>
      </c>
      <c r="I97">
        <f t="shared" si="20"/>
        <v>66</v>
      </c>
      <c r="J97">
        <f t="shared" si="21"/>
        <v>4</v>
      </c>
      <c r="K97">
        <f t="shared" si="22"/>
        <v>70</v>
      </c>
      <c r="L97">
        <f t="shared" si="23"/>
        <v>132</v>
      </c>
      <c r="M97">
        <f t="shared" si="24"/>
        <v>1225</v>
      </c>
      <c r="N97">
        <f t="shared" si="25"/>
        <v>2310</v>
      </c>
      <c r="O97">
        <f t="shared" si="26"/>
        <v>4356</v>
      </c>
      <c r="Q97" s="11">
        <f t="shared" si="28"/>
        <v>3.5822844109883931</v>
      </c>
      <c r="R97" s="12">
        <f t="shared" si="27"/>
        <v>-1.2257727052837186E-2</v>
      </c>
    </row>
    <row r="98" spans="1:18" x14ac:dyDescent="0.25">
      <c r="A98">
        <v>2</v>
      </c>
      <c r="B98">
        <v>35</v>
      </c>
      <c r="C98">
        <v>76</v>
      </c>
      <c r="E98">
        <v>4.2269100000000002</v>
      </c>
      <c r="F98" s="2"/>
      <c r="G98">
        <f t="shared" si="20"/>
        <v>2</v>
      </c>
      <c r="H98" s="10">
        <f t="shared" si="20"/>
        <v>35</v>
      </c>
      <c r="I98">
        <f t="shared" si="20"/>
        <v>76</v>
      </c>
      <c r="J98">
        <f t="shared" si="21"/>
        <v>4</v>
      </c>
      <c r="K98">
        <f t="shared" si="22"/>
        <v>70</v>
      </c>
      <c r="L98">
        <f t="shared" si="23"/>
        <v>152</v>
      </c>
      <c r="M98">
        <f t="shared" si="24"/>
        <v>1225</v>
      </c>
      <c r="N98">
        <f t="shared" si="25"/>
        <v>2660</v>
      </c>
      <c r="O98">
        <f t="shared" si="26"/>
        <v>5776</v>
      </c>
      <c r="Q98" s="11">
        <f t="shared" si="28"/>
        <v>4.1682170661557221</v>
      </c>
      <c r="R98" s="12">
        <f t="shared" si="27"/>
        <v>-1.3885541410694358E-2</v>
      </c>
    </row>
    <row r="99" spans="1:18" x14ac:dyDescent="0.25">
      <c r="A99">
        <v>-7</v>
      </c>
      <c r="B99">
        <v>35</v>
      </c>
      <c r="C99">
        <v>36</v>
      </c>
      <c r="E99">
        <v>1.8845000000000001</v>
      </c>
      <c r="F99" s="2"/>
      <c r="G99">
        <f t="shared" si="20"/>
        <v>-7</v>
      </c>
      <c r="H99" s="10">
        <f t="shared" si="20"/>
        <v>35</v>
      </c>
      <c r="I99">
        <f t="shared" si="20"/>
        <v>36</v>
      </c>
      <c r="J99">
        <f t="shared" si="21"/>
        <v>49</v>
      </c>
      <c r="K99">
        <f t="shared" si="22"/>
        <v>-245</v>
      </c>
      <c r="L99">
        <f t="shared" si="23"/>
        <v>-252</v>
      </c>
      <c r="M99">
        <f t="shared" si="24"/>
        <v>1225</v>
      </c>
      <c r="N99">
        <f t="shared" si="25"/>
        <v>1260</v>
      </c>
      <c r="O99">
        <f t="shared" si="26"/>
        <v>1296</v>
      </c>
      <c r="Q99" s="11">
        <f t="shared" si="28"/>
        <v>1.9171616706814421</v>
      </c>
      <c r="R99" s="12">
        <f t="shared" si="27"/>
        <v>1.7331743529552662E-2</v>
      </c>
    </row>
    <row r="100" spans="1:18" x14ac:dyDescent="0.25">
      <c r="A100">
        <v>-7</v>
      </c>
      <c r="B100">
        <v>35</v>
      </c>
      <c r="C100">
        <v>49</v>
      </c>
      <c r="E100">
        <v>2.5761599999999998</v>
      </c>
      <c r="F100" s="2"/>
      <c r="G100">
        <f t="shared" si="20"/>
        <v>-7</v>
      </c>
      <c r="H100" s="10">
        <f t="shared" si="20"/>
        <v>35</v>
      </c>
      <c r="I100">
        <f t="shared" si="20"/>
        <v>49</v>
      </c>
      <c r="J100">
        <f t="shared" si="21"/>
        <v>49</v>
      </c>
      <c r="K100">
        <f t="shared" si="22"/>
        <v>-245</v>
      </c>
      <c r="L100">
        <f t="shared" si="23"/>
        <v>-343</v>
      </c>
      <c r="M100">
        <f t="shared" si="24"/>
        <v>1225</v>
      </c>
      <c r="N100">
        <f t="shared" si="25"/>
        <v>1715</v>
      </c>
      <c r="O100">
        <f t="shared" si="26"/>
        <v>2401</v>
      </c>
      <c r="Q100" s="11">
        <f t="shared" si="28"/>
        <v>2.56884715531401</v>
      </c>
      <c r="R100" s="12">
        <f t="shared" si="27"/>
        <v>-2.8386609084799881E-3</v>
      </c>
    </row>
    <row r="101" spans="1:18" x14ac:dyDescent="0.25">
      <c r="A101">
        <v>-7</v>
      </c>
      <c r="B101">
        <v>35</v>
      </c>
      <c r="C101">
        <v>55</v>
      </c>
      <c r="E101">
        <v>2.8853499999999999</v>
      </c>
      <c r="F101" s="2"/>
      <c r="G101">
        <f t="shared" si="20"/>
        <v>-7</v>
      </c>
      <c r="H101" s="10">
        <f t="shared" si="20"/>
        <v>35</v>
      </c>
      <c r="I101">
        <f t="shared" si="20"/>
        <v>55</v>
      </c>
      <c r="J101">
        <f t="shared" si="21"/>
        <v>49</v>
      </c>
      <c r="K101">
        <f t="shared" si="22"/>
        <v>-245</v>
      </c>
      <c r="L101">
        <f t="shared" si="23"/>
        <v>-385</v>
      </c>
      <c r="M101">
        <f t="shared" si="24"/>
        <v>1225</v>
      </c>
      <c r="N101">
        <f t="shared" si="25"/>
        <v>1925</v>
      </c>
      <c r="O101">
        <f t="shared" si="26"/>
        <v>3025</v>
      </c>
      <c r="Q101" s="11">
        <f t="shared" si="28"/>
        <v>2.8796423620257992</v>
      </c>
      <c r="R101" s="12">
        <f t="shared" si="27"/>
        <v>-1.9781440637013561E-3</v>
      </c>
    </row>
    <row r="102" spans="1:18" x14ac:dyDescent="0.25">
      <c r="A102">
        <v>-7</v>
      </c>
      <c r="B102">
        <v>35</v>
      </c>
      <c r="C102">
        <v>66</v>
      </c>
      <c r="E102">
        <v>3.4478499999999999</v>
      </c>
      <c r="F102" s="2"/>
      <c r="G102">
        <f t="shared" si="20"/>
        <v>-7</v>
      </c>
      <c r="H102" s="10">
        <f t="shared" si="20"/>
        <v>35</v>
      </c>
      <c r="I102">
        <f t="shared" si="20"/>
        <v>66</v>
      </c>
      <c r="J102">
        <f t="shared" si="21"/>
        <v>49</v>
      </c>
      <c r="K102">
        <f t="shared" si="22"/>
        <v>-245</v>
      </c>
      <c r="L102">
        <f t="shared" si="23"/>
        <v>-462</v>
      </c>
      <c r="M102">
        <f t="shared" si="24"/>
        <v>1225</v>
      </c>
      <c r="N102">
        <f t="shared" si="25"/>
        <v>2310</v>
      </c>
      <c r="O102">
        <f t="shared" si="26"/>
        <v>4356</v>
      </c>
      <c r="Q102" s="11">
        <f t="shared" si="28"/>
        <v>3.4658654459627432</v>
      </c>
      <c r="R102" s="12">
        <f t="shared" si="27"/>
        <v>5.2251246320876178E-3</v>
      </c>
    </row>
    <row r="103" spans="1:18" x14ac:dyDescent="0.25">
      <c r="A103">
        <v>-7</v>
      </c>
      <c r="B103">
        <v>35</v>
      </c>
      <c r="C103">
        <v>76</v>
      </c>
      <c r="E103">
        <v>4.0319899999999995</v>
      </c>
      <c r="F103" s="2"/>
      <c r="G103">
        <f t="shared" si="20"/>
        <v>-7</v>
      </c>
      <c r="H103" s="10">
        <f t="shared" si="20"/>
        <v>35</v>
      </c>
      <c r="I103">
        <f t="shared" si="20"/>
        <v>76</v>
      </c>
      <c r="J103">
        <f t="shared" si="21"/>
        <v>49</v>
      </c>
      <c r="K103">
        <f t="shared" si="22"/>
        <v>-245</v>
      </c>
      <c r="L103">
        <f t="shared" si="23"/>
        <v>-532</v>
      </c>
      <c r="M103">
        <f t="shared" si="24"/>
        <v>1225</v>
      </c>
      <c r="N103">
        <f t="shared" si="25"/>
        <v>2660</v>
      </c>
      <c r="O103">
        <f t="shared" si="26"/>
        <v>5776</v>
      </c>
      <c r="Q103" s="11">
        <f t="shared" si="28"/>
        <v>4.0172484262408155</v>
      </c>
      <c r="R103" s="12">
        <f t="shared" si="27"/>
        <v>-3.6561533533525773E-3</v>
      </c>
    </row>
    <row r="104" spans="1:18" x14ac:dyDescent="0.25">
      <c r="A104">
        <v>-15</v>
      </c>
      <c r="B104">
        <v>35</v>
      </c>
      <c r="C104">
        <v>36</v>
      </c>
      <c r="E104">
        <v>1.81799</v>
      </c>
      <c r="F104" s="2"/>
      <c r="G104">
        <f t="shared" ref="G104:G129" si="29">A104</f>
        <v>-15</v>
      </c>
      <c r="H104" s="10">
        <f t="shared" ref="H104:H129" si="30">B104</f>
        <v>35</v>
      </c>
      <c r="I104">
        <f t="shared" ref="I104:I129" si="31">C104</f>
        <v>36</v>
      </c>
      <c r="J104">
        <f t="shared" ref="J104:J129" si="32">G104^2</f>
        <v>225</v>
      </c>
      <c r="K104">
        <f t="shared" ref="K104:K129" si="33">G104*H104</f>
        <v>-525</v>
      </c>
      <c r="L104">
        <f t="shared" ref="L104:L129" si="34">G104*I104</f>
        <v>-540</v>
      </c>
      <c r="M104">
        <f t="shared" ref="M104:M129" si="35">H104^2</f>
        <v>1225</v>
      </c>
      <c r="N104">
        <f t="shared" ref="N104:N129" si="36">H104*I104</f>
        <v>1260</v>
      </c>
      <c r="O104">
        <f t="shared" ref="O104:O129" si="37">I104^2</f>
        <v>1296</v>
      </c>
      <c r="Q104" s="11">
        <f t="shared" ref="Q104:Q129" si="38">$P$83+$O$83*G104+$N$83*H104+$M$83*I104+$L$83*J104+$K$83*K104+$J$83*L104+$I$83*M104+$H$83*N104+$G$83*O104</f>
        <v>1.8509509914429059</v>
      </c>
      <c r="R104" s="12">
        <f t="shared" ref="R104:R129" si="39">(Q104-E104)/E104</f>
        <v>1.8130458056923236E-2</v>
      </c>
    </row>
    <row r="105" spans="1:18" x14ac:dyDescent="0.25">
      <c r="A105">
        <v>-15</v>
      </c>
      <c r="B105">
        <v>35</v>
      </c>
      <c r="C105">
        <v>49</v>
      </c>
      <c r="E105">
        <v>2.4532600000000002</v>
      </c>
      <c r="F105" s="2"/>
      <c r="G105">
        <f t="shared" si="29"/>
        <v>-15</v>
      </c>
      <c r="H105" s="10">
        <f t="shared" si="30"/>
        <v>35</v>
      </c>
      <c r="I105">
        <f t="shared" si="31"/>
        <v>49</v>
      </c>
      <c r="J105">
        <f t="shared" si="32"/>
        <v>225</v>
      </c>
      <c r="K105">
        <f t="shared" si="33"/>
        <v>-525</v>
      </c>
      <c r="L105">
        <f t="shared" si="34"/>
        <v>-735</v>
      </c>
      <c r="M105">
        <f t="shared" si="35"/>
        <v>1225</v>
      </c>
      <c r="N105">
        <f t="shared" si="36"/>
        <v>1715</v>
      </c>
      <c r="O105">
        <f t="shared" si="37"/>
        <v>2401</v>
      </c>
      <c r="Q105" s="11">
        <f t="shared" si="38"/>
        <v>2.4627124073145557</v>
      </c>
      <c r="R105" s="12">
        <f t="shared" si="39"/>
        <v>3.8529985874124358E-3</v>
      </c>
    </row>
    <row r="106" spans="1:18" x14ac:dyDescent="0.25">
      <c r="A106">
        <v>-15</v>
      </c>
      <c r="B106">
        <v>35</v>
      </c>
      <c r="C106">
        <v>55</v>
      </c>
      <c r="E106">
        <v>2.7571699999999999</v>
      </c>
      <c r="F106" s="2"/>
      <c r="G106">
        <f t="shared" si="29"/>
        <v>-15</v>
      </c>
      <c r="H106" s="10">
        <f t="shared" si="30"/>
        <v>35</v>
      </c>
      <c r="I106">
        <f t="shared" si="31"/>
        <v>55</v>
      </c>
      <c r="J106">
        <f t="shared" si="32"/>
        <v>225</v>
      </c>
      <c r="K106">
        <f t="shared" si="33"/>
        <v>-525</v>
      </c>
      <c r="L106">
        <f t="shared" si="34"/>
        <v>-825</v>
      </c>
      <c r="M106">
        <f t="shared" si="35"/>
        <v>1225</v>
      </c>
      <c r="N106">
        <f t="shared" si="36"/>
        <v>1925</v>
      </c>
      <c r="O106">
        <f t="shared" si="37"/>
        <v>3025</v>
      </c>
      <c r="Q106" s="11">
        <f t="shared" si="38"/>
        <v>2.7550811207520742</v>
      </c>
      <c r="R106" s="12">
        <f t="shared" si="39"/>
        <v>-7.5761713928617681E-4</v>
      </c>
    </row>
    <row r="107" spans="1:18" x14ac:dyDescent="0.25">
      <c r="A107">
        <v>-15</v>
      </c>
      <c r="B107">
        <v>35</v>
      </c>
      <c r="C107">
        <v>66</v>
      </c>
      <c r="E107">
        <v>3.2542</v>
      </c>
      <c r="F107" s="2"/>
      <c r="G107">
        <f t="shared" si="29"/>
        <v>-15</v>
      </c>
      <c r="H107" s="10">
        <f t="shared" si="30"/>
        <v>35</v>
      </c>
      <c r="I107">
        <f t="shared" si="31"/>
        <v>66</v>
      </c>
      <c r="J107">
        <f t="shared" si="32"/>
        <v>225</v>
      </c>
      <c r="K107">
        <f t="shared" si="33"/>
        <v>-525</v>
      </c>
      <c r="L107">
        <f t="shared" si="34"/>
        <v>-990</v>
      </c>
      <c r="M107">
        <f t="shared" si="35"/>
        <v>1225</v>
      </c>
      <c r="N107">
        <f t="shared" si="36"/>
        <v>2310</v>
      </c>
      <c r="O107">
        <f t="shared" si="37"/>
        <v>4356</v>
      </c>
      <c r="Q107" s="11">
        <f t="shared" si="38"/>
        <v>3.3075223003528564</v>
      </c>
      <c r="R107" s="12">
        <f t="shared" si="39"/>
        <v>1.6385686298585354E-2</v>
      </c>
    </row>
    <row r="108" spans="1:18" x14ac:dyDescent="0.25">
      <c r="A108">
        <v>-15</v>
      </c>
      <c r="B108">
        <v>35</v>
      </c>
      <c r="C108">
        <v>76</v>
      </c>
      <c r="E108">
        <v>3.8002199999999999</v>
      </c>
      <c r="F108" s="2"/>
      <c r="G108">
        <f t="shared" si="29"/>
        <v>-15</v>
      </c>
      <c r="H108" s="10">
        <f t="shared" si="30"/>
        <v>35</v>
      </c>
      <c r="I108">
        <f t="shared" si="31"/>
        <v>76</v>
      </c>
      <c r="J108">
        <f t="shared" si="32"/>
        <v>225</v>
      </c>
      <c r="K108">
        <f t="shared" si="33"/>
        <v>-525</v>
      </c>
      <c r="L108">
        <f t="shared" si="34"/>
        <v>-1140</v>
      </c>
      <c r="M108">
        <f t="shared" si="35"/>
        <v>1225</v>
      </c>
      <c r="N108">
        <f t="shared" si="36"/>
        <v>2660</v>
      </c>
      <c r="O108">
        <f t="shared" si="37"/>
        <v>5776</v>
      </c>
      <c r="Q108" s="11">
        <f t="shared" si="38"/>
        <v>3.8281944585071455</v>
      </c>
      <c r="R108" s="12">
        <f t="shared" si="39"/>
        <v>7.361273428155614E-3</v>
      </c>
    </row>
    <row r="109" spans="1:18" x14ac:dyDescent="0.25">
      <c r="A109">
        <v>12</v>
      </c>
      <c r="B109">
        <v>45</v>
      </c>
      <c r="C109">
        <v>36</v>
      </c>
      <c r="E109">
        <v>2.3569</v>
      </c>
      <c r="F109" s="2"/>
      <c r="G109">
        <f t="shared" si="29"/>
        <v>12</v>
      </c>
      <c r="H109" s="10">
        <f t="shared" si="30"/>
        <v>45</v>
      </c>
      <c r="I109">
        <f t="shared" si="31"/>
        <v>36</v>
      </c>
      <c r="J109">
        <f t="shared" si="32"/>
        <v>144</v>
      </c>
      <c r="K109">
        <f t="shared" si="33"/>
        <v>540</v>
      </c>
      <c r="L109">
        <f t="shared" si="34"/>
        <v>432</v>
      </c>
      <c r="M109">
        <f t="shared" si="35"/>
        <v>2025</v>
      </c>
      <c r="N109">
        <f t="shared" si="36"/>
        <v>1620</v>
      </c>
      <c r="O109">
        <f t="shared" si="37"/>
        <v>1296</v>
      </c>
      <c r="Q109" s="11">
        <f t="shared" si="38"/>
        <v>2.3212014931046783</v>
      </c>
      <c r="R109" s="12">
        <f t="shared" si="39"/>
        <v>-1.5146381643396718E-2</v>
      </c>
    </row>
    <row r="110" spans="1:18" x14ac:dyDescent="0.25">
      <c r="A110">
        <v>12</v>
      </c>
      <c r="B110">
        <v>45</v>
      </c>
      <c r="C110">
        <v>49</v>
      </c>
      <c r="E110">
        <v>3.1801699999999999</v>
      </c>
      <c r="F110" s="2"/>
      <c r="G110">
        <f t="shared" si="29"/>
        <v>12</v>
      </c>
      <c r="H110" s="10">
        <f t="shared" si="30"/>
        <v>45</v>
      </c>
      <c r="I110">
        <f t="shared" si="31"/>
        <v>49</v>
      </c>
      <c r="J110">
        <f t="shared" si="32"/>
        <v>144</v>
      </c>
      <c r="K110">
        <f t="shared" si="33"/>
        <v>540</v>
      </c>
      <c r="L110">
        <f t="shared" si="34"/>
        <v>588</v>
      </c>
      <c r="M110">
        <f t="shared" si="35"/>
        <v>2025</v>
      </c>
      <c r="N110">
        <f t="shared" si="36"/>
        <v>2205</v>
      </c>
      <c r="O110">
        <f t="shared" si="37"/>
        <v>2401</v>
      </c>
      <c r="Q110" s="11">
        <f t="shared" si="38"/>
        <v>3.1954728886185992</v>
      </c>
      <c r="R110" s="12">
        <f t="shared" si="39"/>
        <v>4.8119718815658593E-3</v>
      </c>
    </row>
    <row r="111" spans="1:18" x14ac:dyDescent="0.25">
      <c r="A111">
        <v>12</v>
      </c>
      <c r="B111">
        <v>45</v>
      </c>
      <c r="C111">
        <v>55</v>
      </c>
      <c r="E111">
        <v>3.5644699999999996</v>
      </c>
      <c r="F111" s="2"/>
      <c r="G111">
        <f t="shared" si="29"/>
        <v>12</v>
      </c>
      <c r="H111" s="10">
        <f t="shared" si="30"/>
        <v>45</v>
      </c>
      <c r="I111">
        <f t="shared" si="31"/>
        <v>55</v>
      </c>
      <c r="J111">
        <f t="shared" si="32"/>
        <v>144</v>
      </c>
      <c r="K111">
        <f t="shared" si="33"/>
        <v>540</v>
      </c>
      <c r="L111">
        <f t="shared" si="34"/>
        <v>660</v>
      </c>
      <c r="M111">
        <f t="shared" si="35"/>
        <v>2025</v>
      </c>
      <c r="N111">
        <f t="shared" si="36"/>
        <v>2475</v>
      </c>
      <c r="O111">
        <f t="shared" si="37"/>
        <v>3025</v>
      </c>
      <c r="Q111" s="11">
        <f t="shared" si="38"/>
        <v>3.6090000541987046</v>
      </c>
      <c r="R111" s="12">
        <f t="shared" si="39"/>
        <v>1.2492756061547731E-2</v>
      </c>
    </row>
    <row r="112" spans="1:18" x14ac:dyDescent="0.25">
      <c r="A112">
        <v>12</v>
      </c>
      <c r="B112">
        <v>45</v>
      </c>
      <c r="C112">
        <v>66</v>
      </c>
      <c r="E112">
        <v>4.3221999999999996</v>
      </c>
      <c r="F112" s="2"/>
      <c r="G112">
        <f t="shared" si="29"/>
        <v>12</v>
      </c>
      <c r="H112" s="10">
        <f t="shared" si="30"/>
        <v>45</v>
      </c>
      <c r="I112">
        <f t="shared" si="31"/>
        <v>66</v>
      </c>
      <c r="J112">
        <f t="shared" si="32"/>
        <v>144</v>
      </c>
      <c r="K112">
        <f t="shared" si="33"/>
        <v>540</v>
      </c>
      <c r="L112">
        <f t="shared" si="34"/>
        <v>792</v>
      </c>
      <c r="M112">
        <f t="shared" si="35"/>
        <v>2025</v>
      </c>
      <c r="N112">
        <f t="shared" si="36"/>
        <v>2970</v>
      </c>
      <c r="O112">
        <f t="shared" si="37"/>
        <v>4356</v>
      </c>
      <c r="Q112" s="11">
        <f t="shared" si="38"/>
        <v>4.3835650627275617</v>
      </c>
      <c r="R112" s="12">
        <f t="shared" si="39"/>
        <v>1.4197645349026457E-2</v>
      </c>
    </row>
    <row r="113" spans="1:18" x14ac:dyDescent="0.25">
      <c r="A113">
        <v>7</v>
      </c>
      <c r="B113">
        <v>45</v>
      </c>
      <c r="C113">
        <v>36</v>
      </c>
      <c r="E113">
        <v>2.3327800000000001</v>
      </c>
      <c r="F113" s="2"/>
      <c r="G113">
        <f t="shared" si="29"/>
        <v>7</v>
      </c>
      <c r="H113" s="10">
        <f t="shared" si="30"/>
        <v>45</v>
      </c>
      <c r="I113">
        <f t="shared" si="31"/>
        <v>36</v>
      </c>
      <c r="J113">
        <f t="shared" si="32"/>
        <v>49</v>
      </c>
      <c r="K113">
        <f t="shared" si="33"/>
        <v>315</v>
      </c>
      <c r="L113">
        <f t="shared" si="34"/>
        <v>252</v>
      </c>
      <c r="M113">
        <f t="shared" si="35"/>
        <v>2025</v>
      </c>
      <c r="N113">
        <f t="shared" si="36"/>
        <v>1620</v>
      </c>
      <c r="O113">
        <f t="shared" si="37"/>
        <v>1296</v>
      </c>
      <c r="Q113" s="11">
        <f t="shared" si="38"/>
        <v>2.328308244424242</v>
      </c>
      <c r="R113" s="12">
        <f t="shared" si="39"/>
        <v>-1.9169212595092867E-3</v>
      </c>
    </row>
    <row r="114" spans="1:18" x14ac:dyDescent="0.25">
      <c r="A114">
        <v>7</v>
      </c>
      <c r="B114">
        <v>45</v>
      </c>
      <c r="C114">
        <v>49</v>
      </c>
      <c r="E114">
        <v>3.1901999999999999</v>
      </c>
      <c r="F114" s="2"/>
      <c r="G114">
        <f t="shared" si="29"/>
        <v>7</v>
      </c>
      <c r="H114" s="10">
        <f t="shared" si="30"/>
        <v>45</v>
      </c>
      <c r="I114">
        <f t="shared" si="31"/>
        <v>49</v>
      </c>
      <c r="J114">
        <f t="shared" si="32"/>
        <v>49</v>
      </c>
      <c r="K114">
        <f t="shared" si="33"/>
        <v>315</v>
      </c>
      <c r="L114">
        <f t="shared" si="34"/>
        <v>343</v>
      </c>
      <c r="M114">
        <f t="shared" si="35"/>
        <v>2025</v>
      </c>
      <c r="N114">
        <f t="shared" si="36"/>
        <v>2205</v>
      </c>
      <c r="O114">
        <f t="shared" si="37"/>
        <v>2401</v>
      </c>
      <c r="Q114" s="11">
        <f t="shared" si="38"/>
        <v>3.1776270969625884</v>
      </c>
      <c r="R114" s="12">
        <f t="shared" si="39"/>
        <v>-3.9411018235256546E-3</v>
      </c>
    </row>
    <row r="115" spans="1:18" x14ac:dyDescent="0.25">
      <c r="A115">
        <v>7</v>
      </c>
      <c r="B115">
        <v>45</v>
      </c>
      <c r="C115">
        <v>55</v>
      </c>
      <c r="E115">
        <v>3.5998699999999997</v>
      </c>
      <c r="F115" s="2"/>
      <c r="G115">
        <f t="shared" si="29"/>
        <v>7</v>
      </c>
      <c r="H115" s="10">
        <f t="shared" si="30"/>
        <v>45</v>
      </c>
      <c r="I115">
        <f t="shared" si="31"/>
        <v>55</v>
      </c>
      <c r="J115">
        <f t="shared" si="32"/>
        <v>49</v>
      </c>
      <c r="K115">
        <f t="shared" si="33"/>
        <v>315</v>
      </c>
      <c r="L115">
        <f t="shared" si="34"/>
        <v>385</v>
      </c>
      <c r="M115">
        <f t="shared" si="35"/>
        <v>2025</v>
      </c>
      <c r="N115">
        <f t="shared" si="36"/>
        <v>2475</v>
      </c>
      <c r="O115">
        <f t="shared" si="37"/>
        <v>3025</v>
      </c>
      <c r="Q115" s="11">
        <f t="shared" si="38"/>
        <v>3.579637704246275</v>
      </c>
      <c r="R115" s="12">
        <f t="shared" si="39"/>
        <v>-5.6202851085524344E-3</v>
      </c>
    </row>
    <row r="116" spans="1:18" x14ac:dyDescent="0.25">
      <c r="A116">
        <v>7</v>
      </c>
      <c r="B116">
        <v>45</v>
      </c>
      <c r="C116">
        <v>66</v>
      </c>
      <c r="E116">
        <v>4.3207700000000004</v>
      </c>
      <c r="F116" s="2"/>
      <c r="G116">
        <f t="shared" si="29"/>
        <v>7</v>
      </c>
      <c r="H116" s="10">
        <f t="shared" si="30"/>
        <v>45</v>
      </c>
      <c r="I116">
        <f t="shared" si="31"/>
        <v>66</v>
      </c>
      <c r="J116">
        <f t="shared" si="32"/>
        <v>49</v>
      </c>
      <c r="K116">
        <f t="shared" si="33"/>
        <v>315</v>
      </c>
      <c r="L116">
        <f t="shared" si="34"/>
        <v>462</v>
      </c>
      <c r="M116">
        <f t="shared" si="35"/>
        <v>2025</v>
      </c>
      <c r="N116">
        <f t="shared" si="36"/>
        <v>2970</v>
      </c>
      <c r="O116">
        <f t="shared" si="37"/>
        <v>4356</v>
      </c>
      <c r="Q116" s="11">
        <f t="shared" si="38"/>
        <v>4.3330890225650309</v>
      </c>
      <c r="R116" s="12">
        <f t="shared" si="39"/>
        <v>2.8511174084782293E-3</v>
      </c>
    </row>
    <row r="117" spans="1:18" x14ac:dyDescent="0.25">
      <c r="A117">
        <v>7</v>
      </c>
      <c r="B117">
        <v>45</v>
      </c>
      <c r="C117">
        <v>76</v>
      </c>
      <c r="E117">
        <v>5.0833199999999996</v>
      </c>
      <c r="F117" s="2"/>
      <c r="G117">
        <f t="shared" si="29"/>
        <v>7</v>
      </c>
      <c r="H117" s="10">
        <f t="shared" si="30"/>
        <v>45</v>
      </c>
      <c r="I117">
        <f t="shared" si="31"/>
        <v>76</v>
      </c>
      <c r="J117">
        <f t="shared" si="32"/>
        <v>49</v>
      </c>
      <c r="K117">
        <f t="shared" si="33"/>
        <v>315</v>
      </c>
      <c r="L117">
        <f t="shared" si="34"/>
        <v>532</v>
      </c>
      <c r="M117">
        <f t="shared" si="35"/>
        <v>2025</v>
      </c>
      <c r="N117">
        <f t="shared" si="36"/>
        <v>3420</v>
      </c>
      <c r="O117">
        <f t="shared" si="37"/>
        <v>5776</v>
      </c>
      <c r="Q117" s="11">
        <f t="shared" si="38"/>
        <v>5.0364976704629338</v>
      </c>
      <c r="R117" s="12">
        <f t="shared" si="39"/>
        <v>-9.2109742327978125E-3</v>
      </c>
    </row>
    <row r="118" spans="1:18" x14ac:dyDescent="0.25">
      <c r="A118">
        <v>2</v>
      </c>
      <c r="B118">
        <v>45</v>
      </c>
      <c r="C118">
        <v>36</v>
      </c>
      <c r="E118">
        <v>2.3107600000000001</v>
      </c>
      <c r="F118" s="2"/>
      <c r="G118">
        <f t="shared" si="29"/>
        <v>2</v>
      </c>
      <c r="H118" s="10">
        <f t="shared" si="30"/>
        <v>45</v>
      </c>
      <c r="I118">
        <f t="shared" si="31"/>
        <v>36</v>
      </c>
      <c r="J118">
        <f t="shared" si="32"/>
        <v>4</v>
      </c>
      <c r="K118">
        <f t="shared" si="33"/>
        <v>90</v>
      </c>
      <c r="L118">
        <f t="shared" si="34"/>
        <v>72</v>
      </c>
      <c r="M118">
        <f t="shared" si="35"/>
        <v>2025</v>
      </c>
      <c r="N118">
        <f t="shared" si="36"/>
        <v>1620</v>
      </c>
      <c r="O118">
        <f t="shared" si="37"/>
        <v>1296</v>
      </c>
      <c r="Q118" s="11">
        <f t="shared" si="38"/>
        <v>2.31524601738254</v>
      </c>
      <c r="R118" s="12">
        <f t="shared" si="39"/>
        <v>1.9413601510065268E-3</v>
      </c>
    </row>
    <row r="119" spans="1:18" x14ac:dyDescent="0.25">
      <c r="A119">
        <v>2</v>
      </c>
      <c r="B119">
        <v>45</v>
      </c>
      <c r="C119">
        <v>49</v>
      </c>
      <c r="E119">
        <v>3.1738499999999998</v>
      </c>
      <c r="F119" s="2"/>
      <c r="G119">
        <f t="shared" si="29"/>
        <v>2</v>
      </c>
      <c r="H119" s="10">
        <f t="shared" si="30"/>
        <v>45</v>
      </c>
      <c r="I119">
        <f t="shared" si="31"/>
        <v>49</v>
      </c>
      <c r="J119">
        <f t="shared" si="32"/>
        <v>4</v>
      </c>
      <c r="K119">
        <f t="shared" si="33"/>
        <v>90</v>
      </c>
      <c r="L119">
        <f t="shared" si="34"/>
        <v>98</v>
      </c>
      <c r="M119">
        <f t="shared" si="35"/>
        <v>2025</v>
      </c>
      <c r="N119">
        <f t="shared" si="36"/>
        <v>2205</v>
      </c>
      <c r="O119">
        <f t="shared" si="37"/>
        <v>2401</v>
      </c>
      <c r="Q119" s="11">
        <f t="shared" si="38"/>
        <v>3.1396123269453127</v>
      </c>
      <c r="R119" s="12">
        <f t="shared" si="39"/>
        <v>-1.0787426329123042E-2</v>
      </c>
    </row>
    <row r="120" spans="1:18" x14ac:dyDescent="0.25">
      <c r="A120">
        <v>2</v>
      </c>
      <c r="B120">
        <v>45</v>
      </c>
      <c r="C120">
        <v>55</v>
      </c>
      <c r="E120">
        <v>3.5265500000000003</v>
      </c>
      <c r="F120" s="2"/>
      <c r="G120">
        <f t="shared" si="29"/>
        <v>2</v>
      </c>
      <c r="H120" s="10">
        <f t="shared" si="30"/>
        <v>45</v>
      </c>
      <c r="I120">
        <f t="shared" si="31"/>
        <v>55</v>
      </c>
      <c r="J120">
        <f t="shared" si="32"/>
        <v>4</v>
      </c>
      <c r="K120">
        <f t="shared" si="33"/>
        <v>90</v>
      </c>
      <c r="L120">
        <f t="shared" si="34"/>
        <v>110</v>
      </c>
      <c r="M120">
        <f t="shared" si="35"/>
        <v>2025</v>
      </c>
      <c r="N120">
        <f t="shared" si="36"/>
        <v>2475</v>
      </c>
      <c r="O120">
        <f t="shared" si="37"/>
        <v>3025</v>
      </c>
      <c r="Q120" s="11">
        <f t="shared" si="38"/>
        <v>3.5301063759325806</v>
      </c>
      <c r="R120" s="12">
        <f t="shared" si="39"/>
        <v>1.008457538551925E-3</v>
      </c>
    </row>
    <row r="121" spans="1:18" x14ac:dyDescent="0.25">
      <c r="A121">
        <v>2</v>
      </c>
      <c r="B121">
        <v>45</v>
      </c>
      <c r="C121">
        <v>66</v>
      </c>
      <c r="E121">
        <v>4.2448800000000002</v>
      </c>
      <c r="F121" s="2"/>
      <c r="G121">
        <f t="shared" si="29"/>
        <v>2</v>
      </c>
      <c r="H121" s="10">
        <f t="shared" si="30"/>
        <v>45</v>
      </c>
      <c r="I121">
        <f t="shared" si="31"/>
        <v>66</v>
      </c>
      <c r="J121">
        <f t="shared" si="32"/>
        <v>4</v>
      </c>
      <c r="K121">
        <f t="shared" si="33"/>
        <v>90</v>
      </c>
      <c r="L121">
        <f t="shared" si="34"/>
        <v>132</v>
      </c>
      <c r="M121">
        <f t="shared" si="35"/>
        <v>2025</v>
      </c>
      <c r="N121">
        <f t="shared" si="36"/>
        <v>2970</v>
      </c>
      <c r="O121">
        <f t="shared" si="37"/>
        <v>4356</v>
      </c>
      <c r="Q121" s="11">
        <f t="shared" si="38"/>
        <v>4.2624440040412352</v>
      </c>
      <c r="R121" s="12">
        <f t="shared" si="39"/>
        <v>4.1376915345628235E-3</v>
      </c>
    </row>
    <row r="122" spans="1:18" x14ac:dyDescent="0.25">
      <c r="A122">
        <v>2</v>
      </c>
      <c r="B122">
        <v>45</v>
      </c>
      <c r="C122">
        <v>76</v>
      </c>
      <c r="E122">
        <v>4.93492</v>
      </c>
      <c r="F122" s="2"/>
      <c r="G122">
        <f t="shared" si="29"/>
        <v>2</v>
      </c>
      <c r="H122" s="10">
        <f t="shared" si="30"/>
        <v>45</v>
      </c>
      <c r="I122">
        <f t="shared" si="31"/>
        <v>76</v>
      </c>
      <c r="J122">
        <f t="shared" si="32"/>
        <v>4</v>
      </c>
      <c r="K122">
        <f t="shared" si="33"/>
        <v>90</v>
      </c>
      <c r="L122">
        <f t="shared" si="34"/>
        <v>152</v>
      </c>
      <c r="M122">
        <f t="shared" si="35"/>
        <v>2025</v>
      </c>
      <c r="N122">
        <f t="shared" si="36"/>
        <v>3420</v>
      </c>
      <c r="O122">
        <f t="shared" si="37"/>
        <v>5776</v>
      </c>
      <c r="Q122" s="11">
        <f t="shared" si="38"/>
        <v>4.9466583881117732</v>
      </c>
      <c r="R122" s="12">
        <f t="shared" si="39"/>
        <v>2.3786379742271792E-3</v>
      </c>
    </row>
    <row r="123" spans="1:18" x14ac:dyDescent="0.25">
      <c r="A123">
        <v>-7</v>
      </c>
      <c r="B123">
        <v>45</v>
      </c>
      <c r="C123">
        <v>36</v>
      </c>
      <c r="E123">
        <v>2.2300800000000001</v>
      </c>
      <c r="F123" s="2"/>
      <c r="G123">
        <f t="shared" si="29"/>
        <v>-7</v>
      </c>
      <c r="H123" s="10">
        <f t="shared" si="30"/>
        <v>45</v>
      </c>
      <c r="I123">
        <f t="shared" si="31"/>
        <v>36</v>
      </c>
      <c r="J123">
        <f t="shared" si="32"/>
        <v>49</v>
      </c>
      <c r="K123">
        <f t="shared" si="33"/>
        <v>-315</v>
      </c>
      <c r="L123">
        <f t="shared" si="34"/>
        <v>-252</v>
      </c>
      <c r="M123">
        <f t="shared" si="35"/>
        <v>2025</v>
      </c>
      <c r="N123">
        <f t="shared" si="36"/>
        <v>1620</v>
      </c>
      <c r="O123">
        <f t="shared" si="37"/>
        <v>1296</v>
      </c>
      <c r="Q123" s="11">
        <f t="shared" si="38"/>
        <v>2.2409081832370878</v>
      </c>
      <c r="R123" s="12">
        <f t="shared" si="39"/>
        <v>4.8555133614434391E-3</v>
      </c>
    </row>
    <row r="124" spans="1:18" x14ac:dyDescent="0.25">
      <c r="A124">
        <v>-7</v>
      </c>
      <c r="B124">
        <v>45</v>
      </c>
      <c r="C124">
        <v>49</v>
      </c>
      <c r="E124">
        <v>3.0427</v>
      </c>
      <c r="F124" s="2"/>
      <c r="G124">
        <f t="shared" si="29"/>
        <v>-7</v>
      </c>
      <c r="H124" s="10">
        <f t="shared" si="30"/>
        <v>45</v>
      </c>
      <c r="I124">
        <f t="shared" si="31"/>
        <v>49</v>
      </c>
      <c r="J124">
        <f t="shared" si="32"/>
        <v>49</v>
      </c>
      <c r="K124">
        <f t="shared" si="33"/>
        <v>-315</v>
      </c>
      <c r="L124">
        <f t="shared" si="34"/>
        <v>-343</v>
      </c>
      <c r="M124">
        <f t="shared" si="35"/>
        <v>2025</v>
      </c>
      <c r="N124">
        <f t="shared" si="36"/>
        <v>2205</v>
      </c>
      <c r="O124">
        <f t="shared" si="37"/>
        <v>2401</v>
      </c>
      <c r="Q124" s="11">
        <f t="shared" si="38"/>
        <v>3.020359915443827</v>
      </c>
      <c r="R124" s="12">
        <f t="shared" si="39"/>
        <v>-7.3421910001554474E-3</v>
      </c>
    </row>
    <row r="125" spans="1:18" x14ac:dyDescent="0.25">
      <c r="A125">
        <v>-7</v>
      </c>
      <c r="B125">
        <v>45</v>
      </c>
      <c r="C125">
        <v>55</v>
      </c>
      <c r="E125">
        <v>3.3651500000000003</v>
      </c>
      <c r="F125" s="2"/>
      <c r="G125">
        <f t="shared" si="29"/>
        <v>-7</v>
      </c>
      <c r="H125" s="10">
        <f t="shared" si="30"/>
        <v>45</v>
      </c>
      <c r="I125">
        <f t="shared" si="31"/>
        <v>55</v>
      </c>
      <c r="J125">
        <f t="shared" si="32"/>
        <v>49</v>
      </c>
      <c r="K125">
        <f t="shared" si="33"/>
        <v>-315</v>
      </c>
      <c r="L125">
        <f t="shared" si="34"/>
        <v>-385</v>
      </c>
      <c r="M125">
        <f t="shared" si="35"/>
        <v>2025</v>
      </c>
      <c r="N125">
        <f t="shared" si="36"/>
        <v>2475</v>
      </c>
      <c r="O125">
        <f t="shared" si="37"/>
        <v>3025</v>
      </c>
      <c r="Q125" s="11">
        <f t="shared" si="38"/>
        <v>3.3901241594975411</v>
      </c>
      <c r="R125" s="12">
        <f t="shared" si="39"/>
        <v>7.4214104861717251E-3</v>
      </c>
    </row>
    <row r="126" spans="1:18" x14ac:dyDescent="0.25">
      <c r="A126">
        <v>-7</v>
      </c>
      <c r="B126">
        <v>45</v>
      </c>
      <c r="C126">
        <v>66</v>
      </c>
      <c r="E126">
        <v>4.0301200000000001</v>
      </c>
      <c r="F126" s="2"/>
      <c r="G126">
        <f t="shared" si="29"/>
        <v>-7</v>
      </c>
      <c r="H126" s="10">
        <f t="shared" si="30"/>
        <v>45</v>
      </c>
      <c r="I126">
        <f t="shared" si="31"/>
        <v>66</v>
      </c>
      <c r="J126">
        <f t="shared" si="32"/>
        <v>49</v>
      </c>
      <c r="K126">
        <f t="shared" si="33"/>
        <v>-315</v>
      </c>
      <c r="L126">
        <f t="shared" si="34"/>
        <v>-462</v>
      </c>
      <c r="M126">
        <f t="shared" si="35"/>
        <v>2025</v>
      </c>
      <c r="N126">
        <f t="shared" si="36"/>
        <v>2970</v>
      </c>
      <c r="O126">
        <f t="shared" si="37"/>
        <v>4356</v>
      </c>
      <c r="Q126" s="11">
        <f t="shared" si="38"/>
        <v>4.0844571452280141</v>
      </c>
      <c r="R126" s="12">
        <f t="shared" si="39"/>
        <v>1.3482761115801493E-2</v>
      </c>
    </row>
    <row r="127" spans="1:18" x14ac:dyDescent="0.25">
      <c r="A127">
        <v>-7</v>
      </c>
      <c r="B127">
        <v>45</v>
      </c>
      <c r="C127">
        <v>76</v>
      </c>
      <c r="E127">
        <v>4.6948299999999996</v>
      </c>
      <c r="F127" s="2"/>
      <c r="G127">
        <f t="shared" si="29"/>
        <v>-7</v>
      </c>
      <c r="H127" s="10">
        <f t="shared" si="30"/>
        <v>45</v>
      </c>
      <c r="I127">
        <f t="shared" si="31"/>
        <v>76</v>
      </c>
      <c r="J127">
        <f t="shared" si="32"/>
        <v>49</v>
      </c>
      <c r="K127">
        <f t="shared" si="33"/>
        <v>-315</v>
      </c>
      <c r="L127">
        <f t="shared" si="34"/>
        <v>-532</v>
      </c>
      <c r="M127">
        <f t="shared" si="35"/>
        <v>2025</v>
      </c>
      <c r="N127">
        <f t="shared" si="36"/>
        <v>3420</v>
      </c>
      <c r="O127">
        <f t="shared" si="37"/>
        <v>5776</v>
      </c>
      <c r="Q127" s="11">
        <f t="shared" si="38"/>
        <v>4.7341218544092953</v>
      </c>
      <c r="R127" s="12">
        <f t="shared" si="39"/>
        <v>8.36917511588188E-3</v>
      </c>
    </row>
    <row r="128" spans="1:18" x14ac:dyDescent="0.25">
      <c r="A128">
        <v>-15</v>
      </c>
      <c r="B128">
        <v>45</v>
      </c>
      <c r="C128">
        <v>36</v>
      </c>
      <c r="E128">
        <v>2.15991</v>
      </c>
      <c r="F128" s="2"/>
      <c r="G128">
        <f t="shared" si="29"/>
        <v>-15</v>
      </c>
      <c r="H128" s="10">
        <f t="shared" si="30"/>
        <v>45</v>
      </c>
      <c r="I128">
        <f t="shared" si="31"/>
        <v>36</v>
      </c>
      <c r="J128">
        <f t="shared" si="32"/>
        <v>225</v>
      </c>
      <c r="K128">
        <f t="shared" si="33"/>
        <v>-675</v>
      </c>
      <c r="L128">
        <f t="shared" si="34"/>
        <v>-540</v>
      </c>
      <c r="M128">
        <f t="shared" si="35"/>
        <v>2025</v>
      </c>
      <c r="N128">
        <f t="shared" si="36"/>
        <v>1620</v>
      </c>
      <c r="O128">
        <f t="shared" si="37"/>
        <v>1296</v>
      </c>
      <c r="Q128" s="11">
        <f t="shared" si="38"/>
        <v>2.1199704872984881</v>
      </c>
      <c r="R128" s="12">
        <f t="shared" si="39"/>
        <v>-1.8491285609822567E-2</v>
      </c>
    </row>
    <row r="129" spans="1:18" x14ac:dyDescent="0.25">
      <c r="A129">
        <v>-15</v>
      </c>
      <c r="B129">
        <v>45</v>
      </c>
      <c r="C129">
        <v>49</v>
      </c>
      <c r="E129">
        <v>2.9037600000000001</v>
      </c>
      <c r="F129" s="2"/>
      <c r="G129">
        <f t="shared" si="29"/>
        <v>-15</v>
      </c>
      <c r="H129" s="10">
        <f t="shared" si="30"/>
        <v>45</v>
      </c>
      <c r="I129">
        <f t="shared" si="31"/>
        <v>49</v>
      </c>
      <c r="J129">
        <f t="shared" si="32"/>
        <v>225</v>
      </c>
      <c r="K129">
        <f t="shared" si="33"/>
        <v>-675</v>
      </c>
      <c r="L129">
        <f t="shared" si="34"/>
        <v>-735</v>
      </c>
      <c r="M129">
        <f t="shared" si="35"/>
        <v>2025</v>
      </c>
      <c r="N129">
        <f t="shared" si="36"/>
        <v>2205</v>
      </c>
      <c r="O129">
        <f t="shared" si="37"/>
        <v>2401</v>
      </c>
      <c r="Q129" s="11">
        <f t="shared" si="38"/>
        <v>2.8594981507443089</v>
      </c>
      <c r="R129" s="12">
        <f t="shared" si="39"/>
        <v>-1.5242943375379235E-2</v>
      </c>
    </row>
    <row r="130" spans="1:18" x14ac:dyDescent="0.25">
      <c r="A130">
        <v>-15</v>
      </c>
      <c r="B130">
        <v>45</v>
      </c>
      <c r="C130">
        <v>55</v>
      </c>
      <c r="E130">
        <v>3.2222199999999996</v>
      </c>
      <c r="F130" s="2"/>
      <c r="G130">
        <f t="shared" si="20"/>
        <v>-15</v>
      </c>
      <c r="H130" s="10">
        <f t="shared" si="20"/>
        <v>45</v>
      </c>
      <c r="I130">
        <f t="shared" si="20"/>
        <v>55</v>
      </c>
      <c r="J130">
        <f t="shared" si="21"/>
        <v>225</v>
      </c>
      <c r="K130">
        <f t="shared" si="22"/>
        <v>-675</v>
      </c>
      <c r="L130">
        <f t="shared" si="23"/>
        <v>-825</v>
      </c>
      <c r="M130">
        <f t="shared" si="24"/>
        <v>2025</v>
      </c>
      <c r="N130">
        <f t="shared" si="25"/>
        <v>2475</v>
      </c>
      <c r="O130">
        <f t="shared" si="26"/>
        <v>3025</v>
      </c>
      <c r="Q130" s="11">
        <f t="shared" si="28"/>
        <v>3.2108359015237524</v>
      </c>
      <c r="R130" s="12">
        <f t="shared" si="27"/>
        <v>-3.532998515386044E-3</v>
      </c>
    </row>
    <row r="131" spans="1:18" x14ac:dyDescent="0.25">
      <c r="A131">
        <v>-15</v>
      </c>
      <c r="B131">
        <v>45</v>
      </c>
      <c r="C131">
        <v>66</v>
      </c>
      <c r="E131">
        <v>3.8787099999999999</v>
      </c>
      <c r="F131" s="2"/>
      <c r="G131">
        <f t="shared" si="20"/>
        <v>-15</v>
      </c>
      <c r="H131" s="10">
        <f t="shared" si="20"/>
        <v>45</v>
      </c>
      <c r="I131">
        <f t="shared" si="20"/>
        <v>66</v>
      </c>
      <c r="J131">
        <f t="shared" si="21"/>
        <v>225</v>
      </c>
      <c r="K131">
        <f t="shared" si="22"/>
        <v>-675</v>
      </c>
      <c r="L131">
        <f t="shared" si="23"/>
        <v>-990</v>
      </c>
      <c r="M131">
        <f t="shared" si="24"/>
        <v>2025</v>
      </c>
      <c r="N131">
        <f t="shared" si="25"/>
        <v>2970</v>
      </c>
      <c r="O131">
        <f t="shared" si="26"/>
        <v>4356</v>
      </c>
      <c r="Q131" s="11">
        <f t="shared" si="28"/>
        <v>3.871386982918064</v>
      </c>
      <c r="R131" s="12">
        <f t="shared" si="27"/>
        <v>-1.8880032490018162E-3</v>
      </c>
    </row>
    <row r="132" spans="1:18" x14ac:dyDescent="0.25">
      <c r="A132">
        <v>-15</v>
      </c>
      <c r="B132">
        <v>45</v>
      </c>
      <c r="C132">
        <v>76</v>
      </c>
      <c r="E132">
        <v>4.5113500000000002</v>
      </c>
      <c r="F132" s="2"/>
      <c r="G132">
        <f t="shared" si="20"/>
        <v>-15</v>
      </c>
      <c r="H132" s="10">
        <f t="shared" si="20"/>
        <v>45</v>
      </c>
      <c r="I132">
        <f t="shared" si="20"/>
        <v>76</v>
      </c>
      <c r="J132">
        <f t="shared" si="21"/>
        <v>225</v>
      </c>
      <c r="K132">
        <f t="shared" si="22"/>
        <v>-675</v>
      </c>
      <c r="L132">
        <f t="shared" si="23"/>
        <v>-1140</v>
      </c>
      <c r="M132">
        <f t="shared" si="24"/>
        <v>2025</v>
      </c>
      <c r="N132">
        <f t="shared" si="25"/>
        <v>3420</v>
      </c>
      <c r="O132">
        <f t="shared" si="26"/>
        <v>5776</v>
      </c>
      <c r="Q132" s="11">
        <f t="shared" si="28"/>
        <v>4.4903408699755616</v>
      </c>
      <c r="R132" s="12">
        <f t="shared" si="27"/>
        <v>-4.6569496989678485E-3</v>
      </c>
    </row>
    <row r="133" spans="1:18" x14ac:dyDescent="0.25">
      <c r="A133">
        <v>12</v>
      </c>
      <c r="B133">
        <v>55</v>
      </c>
      <c r="C133">
        <v>36</v>
      </c>
      <c r="E133">
        <v>2.89391</v>
      </c>
      <c r="F133" s="2"/>
      <c r="G133">
        <f t="shared" si="20"/>
        <v>12</v>
      </c>
      <c r="H133" s="10">
        <f t="shared" si="20"/>
        <v>55</v>
      </c>
      <c r="I133">
        <f t="shared" si="20"/>
        <v>36</v>
      </c>
      <c r="J133">
        <f t="shared" si="21"/>
        <v>144</v>
      </c>
      <c r="K133">
        <f t="shared" si="22"/>
        <v>660</v>
      </c>
      <c r="L133">
        <f t="shared" si="23"/>
        <v>432</v>
      </c>
      <c r="M133">
        <f t="shared" si="24"/>
        <v>3025</v>
      </c>
      <c r="N133">
        <f t="shared" si="25"/>
        <v>1980</v>
      </c>
      <c r="O133">
        <f t="shared" si="26"/>
        <v>1296</v>
      </c>
      <c r="Q133" s="11">
        <f t="shared" si="28"/>
        <v>2.9124891435404638</v>
      </c>
      <c r="R133" s="12">
        <f t="shared" si="27"/>
        <v>6.4200833959811672E-3</v>
      </c>
    </row>
    <row r="134" spans="1:18" x14ac:dyDescent="0.25">
      <c r="A134">
        <v>12</v>
      </c>
      <c r="B134">
        <v>55</v>
      </c>
      <c r="C134">
        <v>49</v>
      </c>
      <c r="E134">
        <v>3.8972099999999998</v>
      </c>
      <c r="F134" s="2"/>
      <c r="G134">
        <f t="shared" si="20"/>
        <v>12</v>
      </c>
      <c r="H134" s="10">
        <f t="shared" si="20"/>
        <v>55</v>
      </c>
      <c r="I134">
        <f t="shared" si="20"/>
        <v>49</v>
      </c>
      <c r="J134">
        <f t="shared" si="21"/>
        <v>144</v>
      </c>
      <c r="K134">
        <f t="shared" si="22"/>
        <v>660</v>
      </c>
      <c r="L134">
        <f t="shared" si="23"/>
        <v>588</v>
      </c>
      <c r="M134">
        <f t="shared" si="24"/>
        <v>3025</v>
      </c>
      <c r="N134">
        <f t="shared" si="25"/>
        <v>2695</v>
      </c>
      <c r="O134">
        <f t="shared" si="26"/>
        <v>2401</v>
      </c>
      <c r="Q134" s="11">
        <f t="shared" si="28"/>
        <v>3.9145267866285551</v>
      </c>
      <c r="R134" s="12">
        <f t="shared" si="27"/>
        <v>4.4433804256263565E-3</v>
      </c>
    </row>
    <row r="135" spans="1:18" x14ac:dyDescent="0.25">
      <c r="A135">
        <v>12</v>
      </c>
      <c r="B135">
        <v>55</v>
      </c>
      <c r="C135">
        <v>55</v>
      </c>
      <c r="E135">
        <v>4.3679300000000003</v>
      </c>
      <c r="G135">
        <f t="shared" si="20"/>
        <v>12</v>
      </c>
      <c r="H135" s="10">
        <f t="shared" si="20"/>
        <v>55</v>
      </c>
      <c r="I135">
        <f t="shared" si="20"/>
        <v>55</v>
      </c>
      <c r="J135">
        <f t="shared" si="21"/>
        <v>144</v>
      </c>
      <c r="K135">
        <f t="shared" si="22"/>
        <v>660</v>
      </c>
      <c r="L135">
        <f t="shared" si="23"/>
        <v>660</v>
      </c>
      <c r="M135">
        <f t="shared" si="24"/>
        <v>3025</v>
      </c>
      <c r="N135">
        <f t="shared" si="25"/>
        <v>3025</v>
      </c>
      <c r="O135">
        <f t="shared" si="26"/>
        <v>3025</v>
      </c>
      <c r="Q135" s="11">
        <f t="shared" si="28"/>
        <v>4.3870229895505863</v>
      </c>
      <c r="R135" s="12">
        <f t="shared" si="27"/>
        <v>4.371175717235859E-3</v>
      </c>
    </row>
    <row r="136" spans="1:18" x14ac:dyDescent="0.25">
      <c r="A136">
        <v>12</v>
      </c>
      <c r="B136">
        <v>55</v>
      </c>
      <c r="C136">
        <v>66</v>
      </c>
      <c r="E136">
        <v>5.2696999999999994</v>
      </c>
      <c r="G136">
        <f t="shared" si="20"/>
        <v>12</v>
      </c>
      <c r="H136" s="10">
        <f t="shared" si="20"/>
        <v>55</v>
      </c>
      <c r="I136">
        <f t="shared" si="20"/>
        <v>66</v>
      </c>
      <c r="J136">
        <f t="shared" si="21"/>
        <v>144</v>
      </c>
      <c r="K136">
        <f t="shared" si="22"/>
        <v>660</v>
      </c>
      <c r="L136">
        <f t="shared" si="23"/>
        <v>792</v>
      </c>
      <c r="M136">
        <f t="shared" si="24"/>
        <v>3025</v>
      </c>
      <c r="N136">
        <f t="shared" si="25"/>
        <v>3630</v>
      </c>
      <c r="O136">
        <f t="shared" si="26"/>
        <v>4356</v>
      </c>
      <c r="Q136" s="11">
        <f t="shared" si="28"/>
        <v>5.2696978998729724</v>
      </c>
      <c r="R136" s="12">
        <f t="shared" si="27"/>
        <v>-3.9852876386689843E-7</v>
      </c>
    </row>
    <row r="137" spans="1:18" x14ac:dyDescent="0.25">
      <c r="A137">
        <v>7</v>
      </c>
      <c r="B137">
        <v>55</v>
      </c>
      <c r="C137">
        <v>36</v>
      </c>
      <c r="E137">
        <v>2.86557</v>
      </c>
      <c r="G137">
        <f t="shared" si="20"/>
        <v>7</v>
      </c>
      <c r="H137" s="10">
        <f t="shared" si="20"/>
        <v>55</v>
      </c>
      <c r="I137">
        <f t="shared" si="20"/>
        <v>36</v>
      </c>
      <c r="J137">
        <f t="shared" si="21"/>
        <v>49</v>
      </c>
      <c r="K137">
        <f t="shared" si="22"/>
        <v>385</v>
      </c>
      <c r="L137">
        <f t="shared" si="23"/>
        <v>252</v>
      </c>
      <c r="M137">
        <f t="shared" si="24"/>
        <v>3025</v>
      </c>
      <c r="N137">
        <f t="shared" si="25"/>
        <v>1980</v>
      </c>
      <c r="O137">
        <f t="shared" si="26"/>
        <v>1296</v>
      </c>
      <c r="Q137" s="11">
        <f t="shared" si="28"/>
        <v>2.8853915094224876</v>
      </c>
      <c r="R137" s="12">
        <f t="shared" si="27"/>
        <v>6.917126234043355E-3</v>
      </c>
    </row>
    <row r="138" spans="1:18" x14ac:dyDescent="0.25">
      <c r="A138">
        <v>7</v>
      </c>
      <c r="B138">
        <v>55</v>
      </c>
      <c r="C138">
        <v>49</v>
      </c>
      <c r="E138">
        <v>3.9243000000000001</v>
      </c>
      <c r="G138">
        <f t="shared" si="20"/>
        <v>7</v>
      </c>
      <c r="H138" s="10">
        <f t="shared" si="20"/>
        <v>55</v>
      </c>
      <c r="I138">
        <f t="shared" si="20"/>
        <v>49</v>
      </c>
      <c r="J138">
        <f t="shared" si="21"/>
        <v>49</v>
      </c>
      <c r="K138">
        <f t="shared" si="22"/>
        <v>385</v>
      </c>
      <c r="L138">
        <f t="shared" si="23"/>
        <v>343</v>
      </c>
      <c r="M138">
        <f t="shared" si="24"/>
        <v>3025</v>
      </c>
      <c r="N138">
        <f t="shared" si="25"/>
        <v>2695</v>
      </c>
      <c r="O138">
        <f t="shared" si="26"/>
        <v>2401</v>
      </c>
      <c r="Q138" s="11">
        <f t="shared" si="28"/>
        <v>3.8624766095350047</v>
      </c>
      <c r="R138" s="12">
        <f t="shared" si="27"/>
        <v>-1.575399191320628E-2</v>
      </c>
    </row>
    <row r="139" spans="1:18" x14ac:dyDescent="0.25">
      <c r="A139">
        <v>7</v>
      </c>
      <c r="B139">
        <v>55</v>
      </c>
      <c r="C139">
        <v>55</v>
      </c>
      <c r="E139">
        <v>4.3693500000000007</v>
      </c>
      <c r="G139">
        <f t="shared" si="20"/>
        <v>7</v>
      </c>
      <c r="H139" s="10">
        <f t="shared" si="20"/>
        <v>55</v>
      </c>
      <c r="I139">
        <f t="shared" si="20"/>
        <v>55</v>
      </c>
      <c r="J139">
        <f t="shared" si="21"/>
        <v>49</v>
      </c>
      <c r="K139">
        <f t="shared" si="22"/>
        <v>385</v>
      </c>
      <c r="L139">
        <f t="shared" si="23"/>
        <v>385</v>
      </c>
      <c r="M139">
        <f t="shared" si="24"/>
        <v>3025</v>
      </c>
      <c r="N139">
        <f t="shared" si="25"/>
        <v>3025</v>
      </c>
      <c r="O139">
        <f t="shared" si="26"/>
        <v>3025</v>
      </c>
      <c r="Q139" s="11">
        <f t="shared" si="28"/>
        <v>4.3234562541606172</v>
      </c>
      <c r="R139" s="12">
        <f t="shared" si="27"/>
        <v>-1.0503563651202934E-2</v>
      </c>
    </row>
    <row r="140" spans="1:18" x14ac:dyDescent="0.25">
      <c r="A140">
        <v>7</v>
      </c>
      <c r="B140">
        <v>55</v>
      </c>
      <c r="C140">
        <v>66</v>
      </c>
      <c r="E140">
        <v>5.2042900000000003</v>
      </c>
      <c r="G140">
        <f t="shared" si="20"/>
        <v>7</v>
      </c>
      <c r="H140" s="10">
        <f t="shared" si="20"/>
        <v>55</v>
      </c>
      <c r="I140">
        <f t="shared" si="20"/>
        <v>66</v>
      </c>
      <c r="J140">
        <f t="shared" si="21"/>
        <v>49</v>
      </c>
      <c r="K140">
        <f t="shared" si="22"/>
        <v>385</v>
      </c>
      <c r="L140">
        <f t="shared" si="23"/>
        <v>462</v>
      </c>
      <c r="M140">
        <f t="shared" si="24"/>
        <v>3025</v>
      </c>
      <c r="N140">
        <f t="shared" si="25"/>
        <v>3630</v>
      </c>
      <c r="O140">
        <f t="shared" si="26"/>
        <v>4356</v>
      </c>
      <c r="Q140" s="11">
        <f t="shared" si="28"/>
        <v>5.185017474272902</v>
      </c>
      <c r="R140" s="12">
        <f t="shared" si="27"/>
        <v>-3.703199807677561E-3</v>
      </c>
    </row>
    <row r="141" spans="1:18" x14ac:dyDescent="0.25">
      <c r="A141">
        <v>7</v>
      </c>
      <c r="B141">
        <v>55</v>
      </c>
      <c r="C141">
        <v>76</v>
      </c>
      <c r="E141">
        <v>6.0408200000000001</v>
      </c>
      <c r="G141">
        <f t="shared" si="20"/>
        <v>7</v>
      </c>
      <c r="H141" s="10">
        <f t="shared" si="20"/>
        <v>55</v>
      </c>
      <c r="I141">
        <f t="shared" si="20"/>
        <v>76</v>
      </c>
      <c r="J141">
        <f t="shared" si="21"/>
        <v>49</v>
      </c>
      <c r="K141">
        <f t="shared" si="22"/>
        <v>385</v>
      </c>
      <c r="L141">
        <f t="shared" si="23"/>
        <v>532</v>
      </c>
      <c r="M141">
        <f t="shared" si="24"/>
        <v>3025</v>
      </c>
      <c r="N141">
        <f t="shared" si="25"/>
        <v>4180</v>
      </c>
      <c r="O141">
        <f t="shared" si="26"/>
        <v>5776</v>
      </c>
      <c r="Q141" s="11">
        <f t="shared" si="28"/>
        <v>5.9867078510740139</v>
      </c>
      <c r="R141" s="12">
        <f t="shared" si="27"/>
        <v>-8.9577489357382193E-3</v>
      </c>
    </row>
    <row r="142" spans="1:18" x14ac:dyDescent="0.25">
      <c r="A142">
        <v>2</v>
      </c>
      <c r="B142">
        <v>55</v>
      </c>
      <c r="C142">
        <v>36</v>
      </c>
      <c r="E142">
        <v>2.8382100000000001</v>
      </c>
      <c r="G142">
        <f t="shared" si="20"/>
        <v>2</v>
      </c>
      <c r="H142" s="10">
        <f t="shared" si="20"/>
        <v>55</v>
      </c>
      <c r="I142">
        <f t="shared" si="20"/>
        <v>36</v>
      </c>
      <c r="J142">
        <f t="shared" si="21"/>
        <v>4</v>
      </c>
      <c r="K142">
        <f t="shared" si="22"/>
        <v>110</v>
      </c>
      <c r="L142">
        <f t="shared" si="23"/>
        <v>72</v>
      </c>
      <c r="M142">
        <f t="shared" si="24"/>
        <v>3025</v>
      </c>
      <c r="N142">
        <f t="shared" si="25"/>
        <v>1980</v>
      </c>
      <c r="O142">
        <f t="shared" si="26"/>
        <v>1296</v>
      </c>
      <c r="Q142" s="11">
        <f t="shared" si="28"/>
        <v>2.8381248969432455</v>
      </c>
      <c r="R142" s="12">
        <f t="shared" si="27"/>
        <v>-2.9984763902098962E-5</v>
      </c>
    </row>
    <row r="143" spans="1:18" x14ac:dyDescent="0.25">
      <c r="A143">
        <v>2</v>
      </c>
      <c r="B143">
        <v>55</v>
      </c>
      <c r="C143">
        <v>49</v>
      </c>
      <c r="E143">
        <v>3.8538600000000001</v>
      </c>
      <c r="G143">
        <f t="shared" si="20"/>
        <v>2</v>
      </c>
      <c r="H143" s="10">
        <f t="shared" si="20"/>
        <v>55</v>
      </c>
      <c r="I143">
        <f t="shared" si="20"/>
        <v>49</v>
      </c>
      <c r="J143">
        <f t="shared" si="21"/>
        <v>4</v>
      </c>
      <c r="K143">
        <f t="shared" si="22"/>
        <v>110</v>
      </c>
      <c r="L143">
        <f t="shared" si="23"/>
        <v>98</v>
      </c>
      <c r="M143">
        <f t="shared" si="24"/>
        <v>3025</v>
      </c>
      <c r="N143">
        <f t="shared" si="25"/>
        <v>2695</v>
      </c>
      <c r="O143">
        <f t="shared" si="26"/>
        <v>2401</v>
      </c>
      <c r="Q143" s="11">
        <f t="shared" si="28"/>
        <v>3.790257454080189</v>
      </c>
      <c r="R143" s="12">
        <f t="shared" si="27"/>
        <v>-1.6503595335536598E-2</v>
      </c>
    </row>
    <row r="144" spans="1:18" x14ac:dyDescent="0.25">
      <c r="A144">
        <v>2</v>
      </c>
      <c r="B144">
        <v>55</v>
      </c>
      <c r="C144">
        <v>55</v>
      </c>
      <c r="E144">
        <v>4.2692100000000002</v>
      </c>
      <c r="G144">
        <f t="shared" si="20"/>
        <v>2</v>
      </c>
      <c r="H144" s="10">
        <f t="shared" si="20"/>
        <v>55</v>
      </c>
      <c r="I144">
        <f t="shared" si="20"/>
        <v>55</v>
      </c>
      <c r="J144">
        <f t="shared" si="21"/>
        <v>4</v>
      </c>
      <c r="K144">
        <f t="shared" si="22"/>
        <v>110</v>
      </c>
      <c r="L144">
        <f t="shared" si="23"/>
        <v>110</v>
      </c>
      <c r="M144">
        <f t="shared" si="24"/>
        <v>3025</v>
      </c>
      <c r="N144">
        <f t="shared" si="25"/>
        <v>3025</v>
      </c>
      <c r="O144">
        <f t="shared" si="26"/>
        <v>3025</v>
      </c>
      <c r="Q144" s="11">
        <f t="shared" si="28"/>
        <v>4.2397205404093823</v>
      </c>
      <c r="R144" s="12">
        <f t="shared" si="27"/>
        <v>-6.9074745891202077E-3</v>
      </c>
    </row>
    <row r="145" spans="1:18" x14ac:dyDescent="0.25">
      <c r="A145">
        <v>2</v>
      </c>
      <c r="B145">
        <v>55</v>
      </c>
      <c r="C145">
        <v>66</v>
      </c>
      <c r="E145">
        <v>5.0904699999999998</v>
      </c>
      <c r="G145">
        <f t="shared" si="20"/>
        <v>2</v>
      </c>
      <c r="H145" s="10">
        <f t="shared" si="20"/>
        <v>55</v>
      </c>
      <c r="I145">
        <f t="shared" si="20"/>
        <v>66</v>
      </c>
      <c r="J145">
        <f t="shared" si="21"/>
        <v>4</v>
      </c>
      <c r="K145">
        <f t="shared" si="22"/>
        <v>110</v>
      </c>
      <c r="L145">
        <f t="shared" si="23"/>
        <v>132</v>
      </c>
      <c r="M145">
        <f t="shared" si="24"/>
        <v>3025</v>
      </c>
      <c r="N145">
        <f t="shared" si="25"/>
        <v>3630</v>
      </c>
      <c r="O145">
        <f t="shared" si="26"/>
        <v>4356</v>
      </c>
      <c r="Q145" s="11">
        <f t="shared" si="28"/>
        <v>5.0801680703115659</v>
      </c>
      <c r="R145" s="12">
        <f t="shared" si="27"/>
        <v>-2.0237678816364519E-3</v>
      </c>
    </row>
    <row r="146" spans="1:18" x14ac:dyDescent="0.25">
      <c r="A146">
        <v>-7</v>
      </c>
      <c r="B146">
        <v>55</v>
      </c>
      <c r="C146">
        <v>36</v>
      </c>
      <c r="E146">
        <v>2.6619999999999999</v>
      </c>
      <c r="G146">
        <f t="shared" si="20"/>
        <v>-7</v>
      </c>
      <c r="H146" s="10">
        <f t="shared" si="20"/>
        <v>55</v>
      </c>
      <c r="I146">
        <f t="shared" si="20"/>
        <v>36</v>
      </c>
      <c r="J146">
        <f t="shared" si="21"/>
        <v>49</v>
      </c>
      <c r="K146">
        <f t="shared" si="22"/>
        <v>-385</v>
      </c>
      <c r="L146">
        <f t="shared" si="23"/>
        <v>-252</v>
      </c>
      <c r="M146">
        <f t="shared" si="24"/>
        <v>3025</v>
      </c>
      <c r="N146">
        <f t="shared" si="25"/>
        <v>1980</v>
      </c>
      <c r="O146">
        <f t="shared" si="26"/>
        <v>1296</v>
      </c>
      <c r="Q146" s="11">
        <f t="shared" si="28"/>
        <v>2.7022191690102222</v>
      </c>
      <c r="R146" s="12">
        <f t="shared" si="27"/>
        <v>1.5108628478671025E-2</v>
      </c>
    </row>
    <row r="147" spans="1:18" x14ac:dyDescent="0.25">
      <c r="A147">
        <v>-7</v>
      </c>
      <c r="B147">
        <v>55</v>
      </c>
      <c r="C147">
        <v>49</v>
      </c>
      <c r="E147">
        <v>3.5842899999999998</v>
      </c>
      <c r="G147">
        <f t="shared" si="20"/>
        <v>-7</v>
      </c>
      <c r="H147" s="10">
        <f t="shared" si="20"/>
        <v>55</v>
      </c>
      <c r="I147">
        <f t="shared" si="20"/>
        <v>49</v>
      </c>
      <c r="J147">
        <f t="shared" si="21"/>
        <v>49</v>
      </c>
      <c r="K147">
        <f t="shared" si="22"/>
        <v>-385</v>
      </c>
      <c r="L147">
        <f t="shared" si="23"/>
        <v>-343</v>
      </c>
      <c r="M147">
        <f t="shared" si="24"/>
        <v>3025</v>
      </c>
      <c r="N147">
        <f t="shared" si="25"/>
        <v>2695</v>
      </c>
      <c r="O147">
        <f t="shared" si="26"/>
        <v>2401</v>
      </c>
      <c r="Q147" s="11">
        <f t="shared" si="28"/>
        <v>3.6094371487911321</v>
      </c>
      <c r="R147" s="12">
        <f t="shared" si="27"/>
        <v>7.0159358732503055E-3</v>
      </c>
    </row>
    <row r="148" spans="1:18" x14ac:dyDescent="0.25">
      <c r="A148">
        <v>-7</v>
      </c>
      <c r="B148">
        <v>55</v>
      </c>
      <c r="C148">
        <v>55</v>
      </c>
      <c r="E148">
        <v>4.0008699999999999</v>
      </c>
      <c r="G148">
        <f t="shared" si="20"/>
        <v>-7</v>
      </c>
      <c r="H148" s="10">
        <f t="shared" si="20"/>
        <v>55</v>
      </c>
      <c r="I148">
        <f t="shared" si="20"/>
        <v>55</v>
      </c>
      <c r="J148">
        <f t="shared" si="21"/>
        <v>49</v>
      </c>
      <c r="K148">
        <f t="shared" si="22"/>
        <v>-385</v>
      </c>
      <c r="L148">
        <f t="shared" si="23"/>
        <v>-385</v>
      </c>
      <c r="M148">
        <f t="shared" si="24"/>
        <v>3025</v>
      </c>
      <c r="N148">
        <f t="shared" si="25"/>
        <v>3025</v>
      </c>
      <c r="O148">
        <f t="shared" si="26"/>
        <v>3025</v>
      </c>
      <c r="Q148" s="11">
        <f t="shared" si="28"/>
        <v>4.0381704301867716</v>
      </c>
      <c r="R148" s="12">
        <f t="shared" si="27"/>
        <v>9.3230797768414503E-3</v>
      </c>
    </row>
    <row r="149" spans="1:18" x14ac:dyDescent="0.25">
      <c r="A149">
        <v>-7</v>
      </c>
      <c r="B149">
        <v>55</v>
      </c>
      <c r="C149">
        <v>66</v>
      </c>
      <c r="E149">
        <v>4.7378400000000003</v>
      </c>
      <c r="G149">
        <f t="shared" si="20"/>
        <v>-7</v>
      </c>
      <c r="H149" s="10">
        <f t="shared" si="20"/>
        <v>55</v>
      </c>
      <c r="I149">
        <f t="shared" si="20"/>
        <v>66</v>
      </c>
      <c r="J149">
        <f t="shared" si="21"/>
        <v>49</v>
      </c>
      <c r="K149">
        <f t="shared" si="22"/>
        <v>-385</v>
      </c>
      <c r="L149">
        <f t="shared" si="23"/>
        <v>-462</v>
      </c>
      <c r="M149">
        <f t="shared" si="24"/>
        <v>3025</v>
      </c>
      <c r="N149">
        <f t="shared" si="25"/>
        <v>3630</v>
      </c>
      <c r="O149">
        <f t="shared" si="26"/>
        <v>4356</v>
      </c>
      <c r="Q149" s="11">
        <f t="shared" si="28"/>
        <v>4.8406133177107735</v>
      </c>
      <c r="R149" s="12">
        <f t="shared" si="27"/>
        <v>2.1692019509053334E-2</v>
      </c>
    </row>
    <row r="150" spans="1:18" x14ac:dyDescent="0.25">
      <c r="A150">
        <v>-7</v>
      </c>
      <c r="B150">
        <v>55</v>
      </c>
      <c r="C150">
        <v>76</v>
      </c>
      <c r="E150">
        <v>5.5471000000000004</v>
      </c>
      <c r="G150">
        <f t="shared" si="20"/>
        <v>-7</v>
      </c>
      <c r="H150" s="10">
        <f t="shared" si="20"/>
        <v>55</v>
      </c>
      <c r="I150">
        <f t="shared" si="20"/>
        <v>76</v>
      </c>
      <c r="J150">
        <f t="shared" si="21"/>
        <v>49</v>
      </c>
      <c r="K150">
        <f t="shared" si="22"/>
        <v>-385</v>
      </c>
      <c r="L150">
        <f t="shared" si="23"/>
        <v>-532</v>
      </c>
      <c r="M150">
        <f t="shared" si="24"/>
        <v>3025</v>
      </c>
      <c r="N150">
        <f t="shared" si="25"/>
        <v>4180</v>
      </c>
      <c r="O150">
        <f t="shared" si="26"/>
        <v>5776</v>
      </c>
      <c r="Q150" s="11">
        <f t="shared" si="28"/>
        <v>5.5885597557952646</v>
      </c>
      <c r="R150" s="12">
        <f t="shared" si="27"/>
        <v>7.474131671551673E-3</v>
      </c>
    </row>
    <row r="151" spans="1:18" x14ac:dyDescent="0.25">
      <c r="A151">
        <v>-15</v>
      </c>
      <c r="B151">
        <v>55</v>
      </c>
      <c r="C151">
        <v>36</v>
      </c>
      <c r="E151">
        <v>2.49254</v>
      </c>
      <c r="G151">
        <f t="shared" si="20"/>
        <v>-15</v>
      </c>
      <c r="H151" s="10">
        <f t="shared" si="20"/>
        <v>55</v>
      </c>
      <c r="I151">
        <f t="shared" si="20"/>
        <v>36</v>
      </c>
      <c r="J151">
        <f t="shared" si="21"/>
        <v>225</v>
      </c>
      <c r="K151">
        <f t="shared" si="22"/>
        <v>-825</v>
      </c>
      <c r="L151">
        <f t="shared" si="23"/>
        <v>-540</v>
      </c>
      <c r="M151">
        <f t="shared" si="24"/>
        <v>3025</v>
      </c>
      <c r="N151">
        <f t="shared" si="25"/>
        <v>1980</v>
      </c>
      <c r="O151">
        <f t="shared" si="26"/>
        <v>1296</v>
      </c>
      <c r="Q151" s="11">
        <f t="shared" si="28"/>
        <v>2.5265544563715592</v>
      </c>
      <c r="R151" s="12">
        <f t="shared" si="27"/>
        <v>1.3646503715711363E-2</v>
      </c>
    </row>
    <row r="152" spans="1:18" x14ac:dyDescent="0.25">
      <c r="A152">
        <v>-15</v>
      </c>
      <c r="B152">
        <v>55</v>
      </c>
      <c r="C152">
        <v>49</v>
      </c>
      <c r="E152">
        <v>3.42292</v>
      </c>
      <c r="G152">
        <f t="shared" si="20"/>
        <v>-15</v>
      </c>
      <c r="H152" s="10">
        <f t="shared" si="20"/>
        <v>55</v>
      </c>
      <c r="I152">
        <f t="shared" si="20"/>
        <v>49</v>
      </c>
      <c r="J152">
        <f t="shared" si="21"/>
        <v>225</v>
      </c>
      <c r="K152">
        <f t="shared" si="22"/>
        <v>-825</v>
      </c>
      <c r="L152">
        <f t="shared" si="23"/>
        <v>-735</v>
      </c>
      <c r="M152">
        <f t="shared" si="24"/>
        <v>3025</v>
      </c>
      <c r="N152">
        <f t="shared" si="25"/>
        <v>2695</v>
      </c>
      <c r="O152">
        <f t="shared" si="26"/>
        <v>2401</v>
      </c>
      <c r="Q152" s="11">
        <f t="shared" si="28"/>
        <v>3.3938483673915507</v>
      </c>
      <c r="R152" s="12">
        <f t="shared" si="27"/>
        <v>-8.4932258447317638E-3</v>
      </c>
    </row>
    <row r="153" spans="1:18" x14ac:dyDescent="0.25">
      <c r="A153">
        <v>-15</v>
      </c>
      <c r="B153">
        <v>55</v>
      </c>
      <c r="C153">
        <v>55</v>
      </c>
      <c r="E153">
        <v>3.8066199999999997</v>
      </c>
      <c r="G153">
        <f t="shared" si="20"/>
        <v>-15</v>
      </c>
      <c r="H153" s="10">
        <f t="shared" si="20"/>
        <v>55</v>
      </c>
      <c r="I153">
        <f t="shared" si="20"/>
        <v>55</v>
      </c>
      <c r="J153">
        <f t="shared" si="21"/>
        <v>225</v>
      </c>
      <c r="K153">
        <f t="shared" si="22"/>
        <v>-825</v>
      </c>
      <c r="L153">
        <f t="shared" si="23"/>
        <v>-825</v>
      </c>
      <c r="M153">
        <f t="shared" si="24"/>
        <v>3025</v>
      </c>
      <c r="N153">
        <f t="shared" si="25"/>
        <v>3025</v>
      </c>
      <c r="O153">
        <f t="shared" si="26"/>
        <v>3025</v>
      </c>
      <c r="Q153" s="11">
        <f t="shared" si="28"/>
        <v>3.8041551555129196</v>
      </c>
      <c r="R153" s="12">
        <f t="shared" si="27"/>
        <v>-6.4751524635505114E-4</v>
      </c>
    </row>
    <row r="154" spans="1:18" x14ac:dyDescent="0.25">
      <c r="A154">
        <v>-15</v>
      </c>
      <c r="B154">
        <v>55</v>
      </c>
      <c r="C154">
        <v>66</v>
      </c>
      <c r="E154">
        <v>4.54169</v>
      </c>
      <c r="G154">
        <f t="shared" si="20"/>
        <v>-15</v>
      </c>
      <c r="H154" s="10">
        <f t="shared" si="20"/>
        <v>55</v>
      </c>
      <c r="I154">
        <f t="shared" si="20"/>
        <v>66</v>
      </c>
      <c r="J154">
        <f t="shared" si="21"/>
        <v>225</v>
      </c>
      <c r="K154">
        <f t="shared" si="22"/>
        <v>-825</v>
      </c>
      <c r="L154">
        <f t="shared" si="23"/>
        <v>-990</v>
      </c>
      <c r="M154">
        <f t="shared" si="24"/>
        <v>3025</v>
      </c>
      <c r="N154">
        <f t="shared" si="25"/>
        <v>3630</v>
      </c>
      <c r="O154">
        <f t="shared" si="26"/>
        <v>4356</v>
      </c>
      <c r="Q154" s="11">
        <f t="shared" si="28"/>
        <v>4.5728161387007598</v>
      </c>
      <c r="R154" s="12">
        <f t="shared" si="27"/>
        <v>6.8534265220126763E-3</v>
      </c>
    </row>
    <row r="155" spans="1:18" x14ac:dyDescent="0.25">
      <c r="A155">
        <v>-15</v>
      </c>
      <c r="B155">
        <v>55</v>
      </c>
      <c r="C155">
        <v>76</v>
      </c>
      <c r="E155">
        <v>5.2579799999999999</v>
      </c>
      <c r="G155">
        <f t="shared" si="20"/>
        <v>-15</v>
      </c>
      <c r="H155" s="10">
        <f t="shared" si="20"/>
        <v>55</v>
      </c>
      <c r="I155">
        <f t="shared" si="20"/>
        <v>76</v>
      </c>
      <c r="J155">
        <f t="shared" si="21"/>
        <v>225</v>
      </c>
      <c r="K155">
        <f t="shared" si="22"/>
        <v>-825</v>
      </c>
      <c r="L155">
        <f t="shared" si="23"/>
        <v>-1140</v>
      </c>
      <c r="M155">
        <f t="shared" si="24"/>
        <v>3025</v>
      </c>
      <c r="N155">
        <f t="shared" si="25"/>
        <v>4180</v>
      </c>
      <c r="O155">
        <f t="shared" si="26"/>
        <v>5776</v>
      </c>
      <c r="Q155" s="11">
        <f t="shared" si="28"/>
        <v>5.2900517546614676</v>
      </c>
      <c r="R155" s="12">
        <f t="shared" si="27"/>
        <v>6.0996342058105436E-3</v>
      </c>
    </row>
    <row r="156" spans="1:18" x14ac:dyDescent="0.25">
      <c r="A156">
        <v>-25</v>
      </c>
      <c r="B156">
        <v>55</v>
      </c>
      <c r="C156">
        <v>36</v>
      </c>
      <c r="E156">
        <v>2.2596799999999999</v>
      </c>
      <c r="G156">
        <f t="shared" si="20"/>
        <v>-25</v>
      </c>
      <c r="H156" s="10">
        <f t="shared" si="20"/>
        <v>55</v>
      </c>
      <c r="I156">
        <f t="shared" si="20"/>
        <v>36</v>
      </c>
      <c r="J156">
        <f t="shared" si="21"/>
        <v>625</v>
      </c>
      <c r="K156">
        <f t="shared" si="22"/>
        <v>-1375</v>
      </c>
      <c r="L156">
        <f t="shared" si="23"/>
        <v>-900</v>
      </c>
      <c r="M156">
        <f t="shared" si="24"/>
        <v>3025</v>
      </c>
      <c r="N156">
        <f t="shared" si="25"/>
        <v>1980</v>
      </c>
      <c r="O156">
        <f t="shared" si="26"/>
        <v>1296</v>
      </c>
      <c r="Q156" s="11">
        <f t="shared" si="28"/>
        <v>2.2343652434726748</v>
      </c>
      <c r="R156" s="12">
        <f t="shared" si="27"/>
        <v>-1.120280594036548E-2</v>
      </c>
    </row>
    <row r="157" spans="1:18" x14ac:dyDescent="0.25">
      <c r="A157">
        <v>-25</v>
      </c>
      <c r="B157">
        <v>55</v>
      </c>
      <c r="C157">
        <v>49</v>
      </c>
      <c r="E157">
        <v>3.0750900000000003</v>
      </c>
      <c r="G157">
        <f t="shared" si="20"/>
        <v>-25</v>
      </c>
      <c r="H157" s="10">
        <f t="shared" si="20"/>
        <v>55</v>
      </c>
      <c r="I157">
        <f t="shared" si="20"/>
        <v>49</v>
      </c>
      <c r="J157">
        <f t="shared" si="21"/>
        <v>625</v>
      </c>
      <c r="K157">
        <f t="shared" si="22"/>
        <v>-1375</v>
      </c>
      <c r="L157">
        <f t="shared" si="23"/>
        <v>-1225</v>
      </c>
      <c r="M157">
        <f t="shared" si="24"/>
        <v>3025</v>
      </c>
      <c r="N157">
        <f t="shared" si="25"/>
        <v>2695</v>
      </c>
      <c r="O157">
        <f t="shared" si="26"/>
        <v>2401</v>
      </c>
      <c r="Q157" s="11">
        <f t="shared" si="28"/>
        <v>3.0517540685415181</v>
      </c>
      <c r="R157" s="12">
        <f t="shared" si="27"/>
        <v>-7.588698691252037E-3</v>
      </c>
    </row>
    <row r="158" spans="1:18" x14ac:dyDescent="0.25">
      <c r="A158">
        <v>-25</v>
      </c>
      <c r="B158">
        <v>55</v>
      </c>
      <c r="C158">
        <v>55</v>
      </c>
      <c r="E158">
        <v>3.4219599999999999</v>
      </c>
      <c r="G158">
        <f t="shared" si="20"/>
        <v>-25</v>
      </c>
      <c r="H158" s="10">
        <f t="shared" si="20"/>
        <v>55</v>
      </c>
      <c r="I158">
        <f t="shared" si="20"/>
        <v>55</v>
      </c>
      <c r="J158">
        <f t="shared" si="21"/>
        <v>625</v>
      </c>
      <c r="K158">
        <f t="shared" si="22"/>
        <v>-1375</v>
      </c>
      <c r="L158">
        <f t="shared" si="23"/>
        <v>-1375</v>
      </c>
      <c r="M158">
        <f t="shared" si="24"/>
        <v>3025</v>
      </c>
      <c r="N158">
        <f t="shared" si="25"/>
        <v>3025</v>
      </c>
      <c r="O158">
        <f t="shared" si="26"/>
        <v>3025</v>
      </c>
      <c r="Q158" s="11">
        <f t="shared" si="28"/>
        <v>3.43902774007005</v>
      </c>
      <c r="R158" s="12">
        <f t="shared" si="27"/>
        <v>4.9877088189371225E-3</v>
      </c>
    </row>
    <row r="159" spans="1:18" x14ac:dyDescent="0.25">
      <c r="A159">
        <v>-25</v>
      </c>
      <c r="B159">
        <v>55</v>
      </c>
      <c r="C159">
        <v>66</v>
      </c>
      <c r="E159">
        <v>4.0946199999999999</v>
      </c>
      <c r="G159">
        <f t="shared" si="20"/>
        <v>-25</v>
      </c>
      <c r="H159" s="10">
        <f t="shared" si="20"/>
        <v>55</v>
      </c>
      <c r="I159">
        <f t="shared" si="20"/>
        <v>66</v>
      </c>
      <c r="J159">
        <f t="shared" si="21"/>
        <v>625</v>
      </c>
      <c r="K159">
        <f t="shared" si="22"/>
        <v>-1375</v>
      </c>
      <c r="L159">
        <f t="shared" si="23"/>
        <v>-1650</v>
      </c>
      <c r="M159">
        <f t="shared" si="24"/>
        <v>3025</v>
      </c>
      <c r="N159">
        <f t="shared" si="25"/>
        <v>3630</v>
      </c>
      <c r="O159">
        <f t="shared" si="26"/>
        <v>4356</v>
      </c>
      <c r="Q159" s="11">
        <f t="shared" si="28"/>
        <v>4.1654613428376877</v>
      </c>
      <c r="R159" s="12">
        <f t="shared" si="27"/>
        <v>1.7301078692940425E-2</v>
      </c>
    </row>
    <row r="160" spans="1:18" x14ac:dyDescent="0.25">
      <c r="A160">
        <v>-25</v>
      </c>
      <c r="B160">
        <v>55</v>
      </c>
      <c r="C160">
        <v>76</v>
      </c>
      <c r="E160">
        <v>4.98637</v>
      </c>
      <c r="G160">
        <f t="shared" si="20"/>
        <v>-25</v>
      </c>
      <c r="H160" s="10">
        <f t="shared" si="20"/>
        <v>55</v>
      </c>
      <c r="I160">
        <f t="shared" si="20"/>
        <v>76</v>
      </c>
      <c r="J160">
        <f t="shared" si="21"/>
        <v>625</v>
      </c>
      <c r="K160">
        <f t="shared" si="22"/>
        <v>-1375</v>
      </c>
      <c r="L160">
        <f t="shared" si="23"/>
        <v>-1900</v>
      </c>
      <c r="M160">
        <f t="shared" si="24"/>
        <v>3025</v>
      </c>
      <c r="N160">
        <f t="shared" si="25"/>
        <v>4180</v>
      </c>
      <c r="O160">
        <f t="shared" si="26"/>
        <v>5776</v>
      </c>
      <c r="Q160" s="11">
        <f t="shared" si="28"/>
        <v>4.8443084311436646</v>
      </c>
      <c r="R160" s="12">
        <f t="shared" si="27"/>
        <v>-2.8489977449795215E-2</v>
      </c>
    </row>
    <row r="163" spans="1:18" x14ac:dyDescent="0.25">
      <c r="A163" t="s">
        <v>28</v>
      </c>
      <c r="G163" s="4" t="s">
        <v>1</v>
      </c>
      <c r="H163" s="4" t="s">
        <v>2</v>
      </c>
      <c r="I163" s="4" t="s">
        <v>3</v>
      </c>
      <c r="J163" s="4" t="s">
        <v>4</v>
      </c>
      <c r="K163" s="4" t="s">
        <v>5</v>
      </c>
      <c r="L163" s="4" t="s">
        <v>6</v>
      </c>
      <c r="M163" s="4" t="s">
        <v>7</v>
      </c>
      <c r="N163" s="4" t="s">
        <v>8</v>
      </c>
      <c r="O163" s="4" t="s">
        <v>9</v>
      </c>
      <c r="P163" s="4" t="s">
        <v>10</v>
      </c>
    </row>
    <row r="164" spans="1:18" x14ac:dyDescent="0.25">
      <c r="A164" s="1"/>
      <c r="C164" s="1"/>
      <c r="D164" s="1"/>
      <c r="E164" s="1"/>
      <c r="F164" s="1"/>
      <c r="G164" s="4">
        <f t="array" ref="G164:P164">LINEST(E166:E241,G166:O241)</f>
        <v>-4.5974905112857248E-2</v>
      </c>
      <c r="H164" s="4">
        <v>2.3261487257627105E-2</v>
      </c>
      <c r="I164" s="4">
        <v>-5.5582441046411503E-3</v>
      </c>
      <c r="J164" s="4">
        <v>-0.11302806819971642</v>
      </c>
      <c r="K164" s="4">
        <v>-7.0023070023556115E-3</v>
      </c>
      <c r="L164" s="4">
        <v>2.8361621150400092E-2</v>
      </c>
      <c r="M164" s="4">
        <v>4.9700494838356297</v>
      </c>
      <c r="N164" s="4">
        <v>0.66151469401107055</v>
      </c>
      <c r="O164" s="4">
        <v>-7.589135992384663E-2</v>
      </c>
      <c r="P164" s="4">
        <v>-21.813236198407829</v>
      </c>
    </row>
    <row r="165" spans="1:18" ht="45" x14ac:dyDescent="0.25">
      <c r="A165" s="5" t="s">
        <v>11</v>
      </c>
      <c r="B165" s="5" t="s">
        <v>12</v>
      </c>
      <c r="C165" s="5" t="s">
        <v>63</v>
      </c>
      <c r="E165" s="7" t="s">
        <v>13</v>
      </c>
      <c r="F165" s="3"/>
      <c r="G165" s="8" t="s">
        <v>17</v>
      </c>
      <c r="H165" s="8" t="s">
        <v>18</v>
      </c>
      <c r="I165" s="8" t="s">
        <v>0</v>
      </c>
      <c r="J165" s="8" t="s">
        <v>19</v>
      </c>
      <c r="K165" s="8" t="s">
        <v>20</v>
      </c>
      <c r="L165" s="8" t="s">
        <v>21</v>
      </c>
      <c r="M165" s="8" t="s">
        <v>22</v>
      </c>
      <c r="N165" s="8" t="s">
        <v>23</v>
      </c>
      <c r="O165" s="8" t="s">
        <v>24</v>
      </c>
      <c r="P165" s="3"/>
      <c r="Q165" s="9" t="s">
        <v>16</v>
      </c>
      <c r="R165" s="9" t="s">
        <v>15</v>
      </c>
    </row>
    <row r="166" spans="1:18" x14ac:dyDescent="0.25">
      <c r="A166">
        <v>12</v>
      </c>
      <c r="B166">
        <v>35</v>
      </c>
      <c r="C166">
        <f>E4</f>
        <v>10.10092</v>
      </c>
      <c r="E166">
        <v>36</v>
      </c>
      <c r="F166" s="2"/>
      <c r="G166">
        <f t="shared" ref="G166:I241" si="40">A166</f>
        <v>12</v>
      </c>
      <c r="H166" s="10">
        <f t="shared" si="40"/>
        <v>35</v>
      </c>
      <c r="I166">
        <f t="shared" si="40"/>
        <v>10.10092</v>
      </c>
      <c r="J166">
        <f t="shared" ref="J166:J241" si="41">G166^2</f>
        <v>144</v>
      </c>
      <c r="K166">
        <f t="shared" ref="K166:K241" si="42">G166*H166</f>
        <v>420</v>
      </c>
      <c r="L166">
        <f t="shared" ref="L166:L241" si="43">G166*I166</f>
        <v>121.21104</v>
      </c>
      <c r="M166">
        <f t="shared" ref="M166:M241" si="44">H166^2</f>
        <v>1225</v>
      </c>
      <c r="N166">
        <f t="shared" ref="N166:N241" si="45">H166*I166</f>
        <v>353.53219999999999</v>
      </c>
      <c r="O166">
        <f t="shared" ref="O166:O241" si="46">I166^2</f>
        <v>102.02858484640001</v>
      </c>
      <c r="Q166" s="11">
        <f>$P$164+$O$164*G166+$N$164*H166+$M$164*I166+$L$164*J166+$K$164*K166+$J$164*L166+$I$164*M166+$H$164*N166+$G$164*O166</f>
        <v>34.798090044311294</v>
      </c>
      <c r="R166" s="12">
        <f t="shared" ref="R166:R241" si="47">(Q166-E166)/E166</f>
        <v>-3.3386387658019601E-2</v>
      </c>
    </row>
    <row r="167" spans="1:18" x14ac:dyDescent="0.25">
      <c r="A167">
        <v>12</v>
      </c>
      <c r="B167">
        <v>35</v>
      </c>
      <c r="C167">
        <f t="shared" ref="C167:C184" si="48">E5</f>
        <v>13.825989999999999</v>
      </c>
      <c r="E167">
        <v>49</v>
      </c>
      <c r="F167" s="2"/>
      <c r="G167">
        <f t="shared" si="40"/>
        <v>12</v>
      </c>
      <c r="H167" s="10">
        <f t="shared" si="40"/>
        <v>35</v>
      </c>
      <c r="I167">
        <f t="shared" si="40"/>
        <v>13.825989999999999</v>
      </c>
      <c r="J167">
        <f t="shared" si="41"/>
        <v>144</v>
      </c>
      <c r="K167">
        <f t="shared" si="42"/>
        <v>420</v>
      </c>
      <c r="L167">
        <f t="shared" si="43"/>
        <v>165.91188</v>
      </c>
      <c r="M167">
        <f t="shared" si="44"/>
        <v>1225</v>
      </c>
      <c r="N167">
        <f t="shared" si="45"/>
        <v>483.90964999999994</v>
      </c>
      <c r="O167">
        <f t="shared" si="46"/>
        <v>191.15799948009999</v>
      </c>
      <c r="Q167" s="11">
        <f t="shared" ref="Q167:Q241" si="49">$P$164+$O$164*G167+$N$164*H167+$M$164*I167+$L$164*J167+$K$164*K167+$J$164*L167+$I$164*M167+$H$164*N167+$G$164*O167</f>
        <v>47.194479694266313</v>
      </c>
      <c r="R167" s="12">
        <f t="shared" si="47"/>
        <v>-3.6847353178238507E-2</v>
      </c>
    </row>
    <row r="168" spans="1:18" x14ac:dyDescent="0.25">
      <c r="A168">
        <v>12</v>
      </c>
      <c r="B168">
        <v>35</v>
      </c>
      <c r="C168">
        <f t="shared" si="48"/>
        <v>15.51432</v>
      </c>
      <c r="E168">
        <v>55</v>
      </c>
      <c r="F168" s="2"/>
      <c r="G168">
        <f t="shared" si="40"/>
        <v>12</v>
      </c>
      <c r="H168" s="10">
        <f t="shared" si="40"/>
        <v>35</v>
      </c>
      <c r="I168">
        <f t="shared" si="40"/>
        <v>15.51432</v>
      </c>
      <c r="J168">
        <f t="shared" si="41"/>
        <v>144</v>
      </c>
      <c r="K168">
        <f t="shared" si="42"/>
        <v>420</v>
      </c>
      <c r="L168">
        <f t="shared" si="43"/>
        <v>186.17184</v>
      </c>
      <c r="M168">
        <f t="shared" si="44"/>
        <v>1225</v>
      </c>
      <c r="N168">
        <f t="shared" si="45"/>
        <v>543.00120000000004</v>
      </c>
      <c r="O168">
        <f t="shared" si="46"/>
        <v>240.69412506239999</v>
      </c>
      <c r="Q168" s="11">
        <f t="shared" si="49"/>
        <v>52.392757862760618</v>
      </c>
      <c r="R168" s="12">
        <f t="shared" si="47"/>
        <v>-4.740440249526149E-2</v>
      </c>
    </row>
    <row r="169" spans="1:18" x14ac:dyDescent="0.25">
      <c r="A169">
        <v>12</v>
      </c>
      <c r="B169">
        <v>35</v>
      </c>
      <c r="C169">
        <f t="shared" si="48"/>
        <v>18.404169999999997</v>
      </c>
      <c r="E169">
        <v>66</v>
      </c>
      <c r="F169" s="2"/>
      <c r="G169">
        <f t="shared" si="40"/>
        <v>12</v>
      </c>
      <c r="H169" s="10">
        <f t="shared" si="40"/>
        <v>35</v>
      </c>
      <c r="I169">
        <f t="shared" si="40"/>
        <v>18.404169999999997</v>
      </c>
      <c r="J169">
        <f t="shared" si="41"/>
        <v>144</v>
      </c>
      <c r="K169">
        <f t="shared" si="42"/>
        <v>420</v>
      </c>
      <c r="L169">
        <f t="shared" si="43"/>
        <v>220.85003999999998</v>
      </c>
      <c r="M169">
        <f t="shared" si="44"/>
        <v>1225</v>
      </c>
      <c r="N169">
        <f t="shared" si="45"/>
        <v>644.14594999999986</v>
      </c>
      <c r="O169">
        <f t="shared" si="46"/>
        <v>338.7134733888999</v>
      </c>
      <c r="Q169" s="11">
        <f t="shared" si="49"/>
        <v>60.682192483745553</v>
      </c>
      <c r="R169" s="12">
        <f t="shared" si="47"/>
        <v>-8.0572841155370417E-2</v>
      </c>
    </row>
    <row r="170" spans="1:18" x14ac:dyDescent="0.25">
      <c r="A170">
        <v>7</v>
      </c>
      <c r="B170">
        <v>35</v>
      </c>
      <c r="C170">
        <f t="shared" si="48"/>
        <v>9.1932999999999989</v>
      </c>
      <c r="E170">
        <v>36</v>
      </c>
      <c r="F170" s="2"/>
      <c r="G170">
        <f t="shared" si="40"/>
        <v>7</v>
      </c>
      <c r="H170" s="10">
        <f t="shared" si="40"/>
        <v>35</v>
      </c>
      <c r="I170">
        <f t="shared" si="40"/>
        <v>9.1932999999999989</v>
      </c>
      <c r="J170">
        <f t="shared" si="41"/>
        <v>49</v>
      </c>
      <c r="K170">
        <f t="shared" si="42"/>
        <v>245</v>
      </c>
      <c r="L170">
        <f t="shared" si="43"/>
        <v>64.353099999999998</v>
      </c>
      <c r="M170">
        <f t="shared" si="44"/>
        <v>1225</v>
      </c>
      <c r="N170">
        <f t="shared" si="45"/>
        <v>321.76549999999997</v>
      </c>
      <c r="O170">
        <f t="shared" si="46"/>
        <v>84.516764889999976</v>
      </c>
      <c r="Q170" s="11">
        <f t="shared" si="49"/>
        <v>35.690386941133298</v>
      </c>
      <c r="R170" s="12">
        <f t="shared" si="47"/>
        <v>-8.6003627462972864E-3</v>
      </c>
    </row>
    <row r="171" spans="1:18" x14ac:dyDescent="0.25">
      <c r="A171">
        <v>7</v>
      </c>
      <c r="B171">
        <v>35</v>
      </c>
      <c r="C171">
        <f t="shared" si="48"/>
        <v>12.481450000000001</v>
      </c>
      <c r="E171">
        <v>49</v>
      </c>
      <c r="F171" s="2"/>
      <c r="G171">
        <f t="shared" si="40"/>
        <v>7</v>
      </c>
      <c r="H171" s="10">
        <f t="shared" si="40"/>
        <v>35</v>
      </c>
      <c r="I171">
        <f t="shared" si="40"/>
        <v>12.481450000000001</v>
      </c>
      <c r="J171">
        <f t="shared" si="41"/>
        <v>49</v>
      </c>
      <c r="K171">
        <f t="shared" si="42"/>
        <v>245</v>
      </c>
      <c r="L171">
        <f t="shared" si="43"/>
        <v>87.37015000000001</v>
      </c>
      <c r="M171">
        <f t="shared" si="44"/>
        <v>1225</v>
      </c>
      <c r="N171">
        <f t="shared" si="45"/>
        <v>436.85075000000001</v>
      </c>
      <c r="O171">
        <f t="shared" si="46"/>
        <v>155.7865941025</v>
      </c>
      <c r="Q171" s="11">
        <f t="shared" si="49"/>
        <v>48.831512895212761</v>
      </c>
      <c r="R171" s="12">
        <f t="shared" si="47"/>
        <v>-3.4385123425967174E-3</v>
      </c>
    </row>
    <row r="172" spans="1:18" x14ac:dyDescent="0.25">
      <c r="A172">
        <v>7</v>
      </c>
      <c r="B172">
        <v>35</v>
      </c>
      <c r="C172">
        <f t="shared" si="48"/>
        <v>13.95247</v>
      </c>
      <c r="E172">
        <v>55</v>
      </c>
      <c r="F172" s="2"/>
      <c r="G172">
        <f t="shared" si="40"/>
        <v>7</v>
      </c>
      <c r="H172" s="10">
        <f t="shared" si="40"/>
        <v>35</v>
      </c>
      <c r="I172">
        <f t="shared" si="40"/>
        <v>13.95247</v>
      </c>
      <c r="J172">
        <f t="shared" si="41"/>
        <v>49</v>
      </c>
      <c r="K172">
        <f t="shared" si="42"/>
        <v>245</v>
      </c>
      <c r="L172">
        <f t="shared" si="43"/>
        <v>97.667289999999994</v>
      </c>
      <c r="M172">
        <f t="shared" si="44"/>
        <v>1225</v>
      </c>
      <c r="N172">
        <f t="shared" si="45"/>
        <v>488.33645000000001</v>
      </c>
      <c r="O172">
        <f t="shared" si="46"/>
        <v>194.67141910090001</v>
      </c>
      <c r="Q172" s="11">
        <f t="shared" si="49"/>
        <v>54.388597059611129</v>
      </c>
      <c r="R172" s="12">
        <f t="shared" si="47"/>
        <v>-1.1116417097979468E-2</v>
      </c>
    </row>
    <row r="173" spans="1:18" x14ac:dyDescent="0.25">
      <c r="A173">
        <v>7</v>
      </c>
      <c r="B173">
        <v>35</v>
      </c>
      <c r="C173">
        <f t="shared" si="48"/>
        <v>16.484639999999999</v>
      </c>
      <c r="E173">
        <v>66</v>
      </c>
      <c r="F173" s="2"/>
      <c r="G173">
        <f t="shared" si="40"/>
        <v>7</v>
      </c>
      <c r="H173" s="10">
        <f t="shared" si="40"/>
        <v>35</v>
      </c>
      <c r="I173">
        <f t="shared" si="40"/>
        <v>16.484639999999999</v>
      </c>
      <c r="J173">
        <f t="shared" si="41"/>
        <v>49</v>
      </c>
      <c r="K173">
        <f t="shared" si="42"/>
        <v>245</v>
      </c>
      <c r="L173">
        <f t="shared" si="43"/>
        <v>115.39247999999999</v>
      </c>
      <c r="M173">
        <f t="shared" si="44"/>
        <v>1225</v>
      </c>
      <c r="N173">
        <f t="shared" si="45"/>
        <v>576.9624</v>
      </c>
      <c r="O173">
        <f t="shared" si="46"/>
        <v>271.74335592959994</v>
      </c>
      <c r="Q173" s="11">
        <f t="shared" si="49"/>
        <v>63.488359700978741</v>
      </c>
      <c r="R173" s="12">
        <f t="shared" si="47"/>
        <v>-3.8055156045776653E-2</v>
      </c>
    </row>
    <row r="174" spans="1:18" x14ac:dyDescent="0.25">
      <c r="A174">
        <v>7</v>
      </c>
      <c r="B174">
        <v>35</v>
      </c>
      <c r="C174">
        <f t="shared" si="48"/>
        <v>18.52638</v>
      </c>
      <c r="E174">
        <v>76</v>
      </c>
      <c r="F174" s="2"/>
      <c r="G174">
        <f t="shared" si="40"/>
        <v>7</v>
      </c>
      <c r="H174" s="10">
        <f t="shared" si="40"/>
        <v>35</v>
      </c>
      <c r="I174">
        <f t="shared" si="40"/>
        <v>18.52638</v>
      </c>
      <c r="J174">
        <f t="shared" si="41"/>
        <v>49</v>
      </c>
      <c r="K174">
        <f t="shared" si="42"/>
        <v>245</v>
      </c>
      <c r="L174">
        <f t="shared" si="43"/>
        <v>129.68466000000001</v>
      </c>
      <c r="M174">
        <f t="shared" si="44"/>
        <v>1225</v>
      </c>
      <c r="N174">
        <f t="shared" si="45"/>
        <v>648.42330000000004</v>
      </c>
      <c r="O174">
        <f t="shared" si="46"/>
        <v>343.22675590439997</v>
      </c>
      <c r="Q174" s="11">
        <f t="shared" si="49"/>
        <v>70.396335322125395</v>
      </c>
      <c r="R174" s="12">
        <f t="shared" si="47"/>
        <v>-7.3732429972034275E-2</v>
      </c>
    </row>
    <row r="175" spans="1:18" x14ac:dyDescent="0.25">
      <c r="A175">
        <v>2</v>
      </c>
      <c r="B175">
        <v>35</v>
      </c>
      <c r="C175">
        <f t="shared" si="48"/>
        <v>9.1932999999999989</v>
      </c>
      <c r="E175">
        <v>36</v>
      </c>
      <c r="F175" s="2"/>
      <c r="G175">
        <f t="shared" si="40"/>
        <v>2</v>
      </c>
      <c r="H175" s="10">
        <f t="shared" si="40"/>
        <v>35</v>
      </c>
      <c r="I175">
        <f t="shared" si="40"/>
        <v>9.1932999999999989</v>
      </c>
      <c r="J175">
        <f t="shared" si="41"/>
        <v>4</v>
      </c>
      <c r="K175">
        <f t="shared" si="42"/>
        <v>70</v>
      </c>
      <c r="L175">
        <f t="shared" si="43"/>
        <v>18.386599999999998</v>
      </c>
      <c r="M175">
        <f t="shared" si="44"/>
        <v>1225</v>
      </c>
      <c r="N175">
        <f t="shared" si="45"/>
        <v>321.76549999999997</v>
      </c>
      <c r="O175">
        <f t="shared" si="46"/>
        <v>84.516764889999976</v>
      </c>
      <c r="Q175" s="11">
        <f t="shared" si="49"/>
        <v>41.214479211299022</v>
      </c>
      <c r="R175" s="12">
        <f t="shared" si="47"/>
        <v>0.14484664475830616</v>
      </c>
    </row>
    <row r="176" spans="1:18" x14ac:dyDescent="0.25">
      <c r="A176">
        <v>2</v>
      </c>
      <c r="B176">
        <v>35</v>
      </c>
      <c r="C176">
        <f t="shared" si="48"/>
        <v>12.481450000000001</v>
      </c>
      <c r="E176">
        <v>49</v>
      </c>
      <c r="F176" s="2"/>
      <c r="G176">
        <f t="shared" si="40"/>
        <v>2</v>
      </c>
      <c r="H176" s="10">
        <f t="shared" si="40"/>
        <v>35</v>
      </c>
      <c r="I176">
        <f t="shared" si="40"/>
        <v>12.481450000000001</v>
      </c>
      <c r="J176">
        <f t="shared" si="41"/>
        <v>4</v>
      </c>
      <c r="K176">
        <f t="shared" si="42"/>
        <v>70</v>
      </c>
      <c r="L176">
        <f t="shared" si="43"/>
        <v>24.962900000000001</v>
      </c>
      <c r="M176">
        <f t="shared" si="44"/>
        <v>1225</v>
      </c>
      <c r="N176">
        <f t="shared" si="45"/>
        <v>436.85075000000001</v>
      </c>
      <c r="O176">
        <f t="shared" si="46"/>
        <v>155.7865941025</v>
      </c>
      <c r="Q176" s="11">
        <f t="shared" si="49"/>
        <v>56.213871377632977</v>
      </c>
      <c r="R176" s="12">
        <f t="shared" si="47"/>
        <v>0.14722186484965258</v>
      </c>
    </row>
    <row r="177" spans="1:18" x14ac:dyDescent="0.25">
      <c r="A177">
        <v>2</v>
      </c>
      <c r="B177">
        <v>35</v>
      </c>
      <c r="C177">
        <f t="shared" si="48"/>
        <v>13.95247</v>
      </c>
      <c r="E177">
        <v>55</v>
      </c>
      <c r="F177" s="2"/>
      <c r="G177">
        <f t="shared" si="40"/>
        <v>2</v>
      </c>
      <c r="H177" s="10">
        <f t="shared" si="40"/>
        <v>35</v>
      </c>
      <c r="I177">
        <f t="shared" si="40"/>
        <v>13.95247</v>
      </c>
      <c r="J177">
        <f t="shared" si="41"/>
        <v>4</v>
      </c>
      <c r="K177">
        <f t="shared" si="42"/>
        <v>70</v>
      </c>
      <c r="L177">
        <f t="shared" si="43"/>
        <v>27.90494</v>
      </c>
      <c r="M177">
        <f t="shared" si="44"/>
        <v>1225</v>
      </c>
      <c r="N177">
        <f t="shared" si="45"/>
        <v>488.33645000000001</v>
      </c>
      <c r="O177">
        <f t="shared" si="46"/>
        <v>194.67141910090001</v>
      </c>
      <c r="Q177" s="11">
        <f t="shared" si="49"/>
        <v>62.602288286447092</v>
      </c>
      <c r="R177" s="12">
        <f t="shared" si="47"/>
        <v>0.13822342338994711</v>
      </c>
    </row>
    <row r="178" spans="1:18" x14ac:dyDescent="0.25">
      <c r="A178">
        <v>2</v>
      </c>
      <c r="B178">
        <v>35</v>
      </c>
      <c r="C178">
        <f t="shared" si="48"/>
        <v>16.484639999999999</v>
      </c>
      <c r="E178">
        <v>66</v>
      </c>
      <c r="F178" s="2"/>
      <c r="G178">
        <f t="shared" si="40"/>
        <v>2</v>
      </c>
      <c r="H178" s="10">
        <f t="shared" si="40"/>
        <v>35</v>
      </c>
      <c r="I178">
        <f t="shared" si="40"/>
        <v>16.484639999999999</v>
      </c>
      <c r="J178">
        <f t="shared" si="41"/>
        <v>4</v>
      </c>
      <c r="K178">
        <f t="shared" si="42"/>
        <v>70</v>
      </c>
      <c r="L178">
        <f t="shared" si="43"/>
        <v>32.969279999999998</v>
      </c>
      <c r="M178">
        <f t="shared" si="44"/>
        <v>1225</v>
      </c>
      <c r="N178">
        <f t="shared" si="45"/>
        <v>576.9624</v>
      </c>
      <c r="O178">
        <f t="shared" si="46"/>
        <v>271.74335592959994</v>
      </c>
      <c r="Q178" s="11">
        <f t="shared" si="49"/>
        <v>73.133082345081064</v>
      </c>
      <c r="R178" s="12">
        <f t="shared" si="47"/>
        <v>0.10807700522850097</v>
      </c>
    </row>
    <row r="179" spans="1:18" x14ac:dyDescent="0.25">
      <c r="A179">
        <v>2</v>
      </c>
      <c r="B179">
        <v>35</v>
      </c>
      <c r="C179">
        <f t="shared" si="48"/>
        <v>18.52638</v>
      </c>
      <c r="E179">
        <v>76</v>
      </c>
      <c r="F179" s="2"/>
      <c r="G179">
        <f t="shared" si="40"/>
        <v>2</v>
      </c>
      <c r="H179" s="10">
        <f t="shared" si="40"/>
        <v>35</v>
      </c>
      <c r="I179">
        <f t="shared" si="40"/>
        <v>18.52638</v>
      </c>
      <c r="J179">
        <f t="shared" si="41"/>
        <v>4</v>
      </c>
      <c r="K179">
        <f t="shared" si="42"/>
        <v>70</v>
      </c>
      <c r="L179">
        <f t="shared" si="43"/>
        <v>37.052759999999999</v>
      </c>
      <c r="M179">
        <f t="shared" si="44"/>
        <v>1225</v>
      </c>
      <c r="N179">
        <f t="shared" si="45"/>
        <v>648.42330000000004</v>
      </c>
      <c r="O179">
        <f t="shared" si="46"/>
        <v>343.22675590439997</v>
      </c>
      <c r="Q179" s="11">
        <f t="shared" si="49"/>
        <v>81.194927606058172</v>
      </c>
      <c r="R179" s="12">
        <f t="shared" si="47"/>
        <v>6.835431060602859E-2</v>
      </c>
    </row>
    <row r="180" spans="1:18" x14ac:dyDescent="0.25">
      <c r="A180">
        <v>-7</v>
      </c>
      <c r="B180">
        <v>35</v>
      </c>
      <c r="C180">
        <f t="shared" si="48"/>
        <v>5.7585100000000002</v>
      </c>
      <c r="E180">
        <v>36</v>
      </c>
      <c r="F180" s="2"/>
      <c r="G180">
        <f t="shared" si="40"/>
        <v>-7</v>
      </c>
      <c r="H180" s="10">
        <f t="shared" si="40"/>
        <v>35</v>
      </c>
      <c r="I180">
        <f t="shared" si="40"/>
        <v>5.7585100000000002</v>
      </c>
      <c r="J180">
        <f t="shared" si="41"/>
        <v>49</v>
      </c>
      <c r="K180">
        <f t="shared" si="42"/>
        <v>-245</v>
      </c>
      <c r="L180">
        <f t="shared" si="43"/>
        <v>-40.309570000000001</v>
      </c>
      <c r="M180">
        <f t="shared" si="44"/>
        <v>1225</v>
      </c>
      <c r="N180">
        <f t="shared" si="45"/>
        <v>201.54785000000001</v>
      </c>
      <c r="O180">
        <f t="shared" si="46"/>
        <v>33.160437420100003</v>
      </c>
      <c r="Q180" s="11">
        <f t="shared" si="49"/>
        <v>34.507400496118642</v>
      </c>
      <c r="R180" s="12">
        <f t="shared" si="47"/>
        <v>-4.1461097330037729E-2</v>
      </c>
    </row>
    <row r="181" spans="1:18" x14ac:dyDescent="0.25">
      <c r="A181">
        <v>-7</v>
      </c>
      <c r="B181">
        <v>35</v>
      </c>
      <c r="C181">
        <f t="shared" si="48"/>
        <v>8.1280400000000004</v>
      </c>
      <c r="E181">
        <v>49</v>
      </c>
      <c r="F181" s="2"/>
      <c r="G181">
        <f t="shared" si="40"/>
        <v>-7</v>
      </c>
      <c r="H181" s="10">
        <f t="shared" si="40"/>
        <v>35</v>
      </c>
      <c r="I181">
        <f t="shared" si="40"/>
        <v>8.1280400000000004</v>
      </c>
      <c r="J181">
        <f t="shared" si="41"/>
        <v>49</v>
      </c>
      <c r="K181">
        <f t="shared" si="42"/>
        <v>-245</v>
      </c>
      <c r="L181">
        <f t="shared" si="43"/>
        <v>-56.896280000000004</v>
      </c>
      <c r="M181">
        <f t="shared" si="44"/>
        <v>1225</v>
      </c>
      <c r="N181">
        <f t="shared" si="45"/>
        <v>284.48140000000001</v>
      </c>
      <c r="O181">
        <f t="shared" si="46"/>
        <v>66.065034241600003</v>
      </c>
      <c r="Q181" s="11">
        <f t="shared" si="49"/>
        <v>48.575217638550093</v>
      </c>
      <c r="R181" s="12">
        <f t="shared" si="47"/>
        <v>-8.6690277846919774E-3</v>
      </c>
    </row>
    <row r="182" spans="1:18" x14ac:dyDescent="0.25">
      <c r="A182">
        <v>-7</v>
      </c>
      <c r="B182">
        <v>35</v>
      </c>
      <c r="C182">
        <f t="shared" si="48"/>
        <v>9.1119199999999996</v>
      </c>
      <c r="E182">
        <v>55</v>
      </c>
      <c r="F182" s="2"/>
      <c r="G182">
        <f t="shared" si="40"/>
        <v>-7</v>
      </c>
      <c r="H182" s="10">
        <f t="shared" si="40"/>
        <v>35</v>
      </c>
      <c r="I182">
        <f t="shared" si="40"/>
        <v>9.1119199999999996</v>
      </c>
      <c r="J182">
        <f t="shared" si="41"/>
        <v>49</v>
      </c>
      <c r="K182">
        <f t="shared" si="42"/>
        <v>-245</v>
      </c>
      <c r="L182">
        <f t="shared" si="43"/>
        <v>-63.783439999999999</v>
      </c>
      <c r="M182">
        <f t="shared" si="44"/>
        <v>1225</v>
      </c>
      <c r="N182">
        <f t="shared" si="45"/>
        <v>318.91719999999998</v>
      </c>
      <c r="O182">
        <f t="shared" si="46"/>
        <v>83.02708608639999</v>
      </c>
      <c r="Q182" s="11">
        <f t="shared" si="49"/>
        <v>54.264791513710797</v>
      </c>
      <c r="R182" s="12">
        <f t="shared" si="47"/>
        <v>-1.336742702344005E-2</v>
      </c>
    </row>
    <row r="183" spans="1:18" x14ac:dyDescent="0.25">
      <c r="A183">
        <v>-7</v>
      </c>
      <c r="B183">
        <v>35</v>
      </c>
      <c r="C183">
        <f t="shared" si="48"/>
        <v>10.887169999999999</v>
      </c>
      <c r="E183">
        <v>66</v>
      </c>
      <c r="F183" s="2"/>
      <c r="G183">
        <f t="shared" si="40"/>
        <v>-7</v>
      </c>
      <c r="H183" s="10">
        <f t="shared" si="40"/>
        <v>35</v>
      </c>
      <c r="I183">
        <f t="shared" si="40"/>
        <v>10.887169999999999</v>
      </c>
      <c r="J183">
        <f t="shared" si="41"/>
        <v>49</v>
      </c>
      <c r="K183">
        <f t="shared" si="42"/>
        <v>-245</v>
      </c>
      <c r="L183">
        <f t="shared" si="43"/>
        <v>-76.210189999999997</v>
      </c>
      <c r="M183">
        <f t="shared" si="44"/>
        <v>1225</v>
      </c>
      <c r="N183">
        <f t="shared" si="45"/>
        <v>381.05095</v>
      </c>
      <c r="O183">
        <f t="shared" si="46"/>
        <v>118.53047060889999</v>
      </c>
      <c r="Q183" s="11">
        <f t="shared" si="49"/>
        <v>64.305502105677192</v>
      </c>
      <c r="R183" s="12">
        <f t="shared" si="47"/>
        <v>-2.5674210520042543E-2</v>
      </c>
    </row>
    <row r="184" spans="1:18" x14ac:dyDescent="0.25">
      <c r="A184">
        <v>-7</v>
      </c>
      <c r="B184">
        <v>35</v>
      </c>
      <c r="C184">
        <f t="shared" si="48"/>
        <v>12.57179</v>
      </c>
      <c r="E184">
        <v>76</v>
      </c>
      <c r="F184" s="2"/>
      <c r="G184">
        <f t="shared" si="40"/>
        <v>-7</v>
      </c>
      <c r="H184" s="10">
        <f t="shared" si="40"/>
        <v>35</v>
      </c>
      <c r="I184">
        <f t="shared" si="40"/>
        <v>12.57179</v>
      </c>
      <c r="J184">
        <f t="shared" si="41"/>
        <v>49</v>
      </c>
      <c r="K184">
        <f t="shared" si="42"/>
        <v>-245</v>
      </c>
      <c r="L184">
        <f t="shared" si="43"/>
        <v>-88.002530000000007</v>
      </c>
      <c r="M184">
        <f t="shared" si="44"/>
        <v>1225</v>
      </c>
      <c r="N184">
        <f t="shared" si="45"/>
        <v>440.01265000000001</v>
      </c>
      <c r="O184">
        <f t="shared" si="46"/>
        <v>158.04990380410001</v>
      </c>
      <c r="Q184" s="11">
        <f t="shared" si="49"/>
        <v>73.565646918865426</v>
      </c>
      <c r="R184" s="12">
        <f t="shared" si="47"/>
        <v>-3.203096159387598E-2</v>
      </c>
    </row>
    <row r="185" spans="1:18" x14ac:dyDescent="0.25">
      <c r="A185">
        <v>12</v>
      </c>
      <c r="B185">
        <v>55</v>
      </c>
      <c r="C185">
        <f t="shared" ref="C185:C210" si="50">E54</f>
        <v>13.68018</v>
      </c>
      <c r="E185">
        <v>55</v>
      </c>
      <c r="F185" s="2"/>
      <c r="G185">
        <f t="shared" ref="G185:G210" si="51">A185</f>
        <v>12</v>
      </c>
      <c r="H185" s="10">
        <f t="shared" ref="H185:H210" si="52">B185</f>
        <v>55</v>
      </c>
      <c r="I185">
        <f t="shared" ref="I185:I210" si="53">C185</f>
        <v>13.68018</v>
      </c>
      <c r="J185">
        <f t="shared" ref="J185:J210" si="54">G185^2</f>
        <v>144</v>
      </c>
      <c r="K185">
        <f t="shared" ref="K185:K210" si="55">G185*H185</f>
        <v>660</v>
      </c>
      <c r="L185">
        <f t="shared" ref="L185:L210" si="56">G185*I185</f>
        <v>164.16216</v>
      </c>
      <c r="M185">
        <f t="shared" ref="M185:M210" si="57">H185^2</f>
        <v>3025</v>
      </c>
      <c r="N185">
        <f t="shared" ref="N185:N210" si="58">H185*I185</f>
        <v>752.40989999999999</v>
      </c>
      <c r="O185">
        <f t="shared" ref="O185:O210" si="59">I185^2</f>
        <v>187.14732483239999</v>
      </c>
      <c r="Q185" s="11">
        <f t="shared" ref="Q185:Q210" si="60">$P$164+$O$164*G185+$N$164*H185+$M$164*I185+$L$164*J185+$K$164*K185+$J$164*L185+$I$164*M185+$H$164*N185+$G$164*O185</f>
        <v>54.642570592231884</v>
      </c>
      <c r="R185" s="12">
        <f t="shared" ref="R185:R210" si="61">(Q185-E185)/E185</f>
        <v>-6.4987165048748354E-3</v>
      </c>
    </row>
    <row r="186" spans="1:18" x14ac:dyDescent="0.25">
      <c r="A186">
        <v>12</v>
      </c>
      <c r="B186">
        <v>55</v>
      </c>
      <c r="C186">
        <f t="shared" si="50"/>
        <v>16.5017</v>
      </c>
      <c r="E186">
        <v>66</v>
      </c>
      <c r="F186" s="2"/>
      <c r="G186">
        <f t="shared" si="51"/>
        <v>12</v>
      </c>
      <c r="H186" s="10">
        <f t="shared" si="52"/>
        <v>55</v>
      </c>
      <c r="I186">
        <f t="shared" si="53"/>
        <v>16.5017</v>
      </c>
      <c r="J186">
        <f t="shared" si="54"/>
        <v>144</v>
      </c>
      <c r="K186">
        <f t="shared" si="55"/>
        <v>660</v>
      </c>
      <c r="L186">
        <f t="shared" si="56"/>
        <v>198.0204</v>
      </c>
      <c r="M186">
        <f t="shared" si="57"/>
        <v>3025</v>
      </c>
      <c r="N186">
        <f t="shared" si="58"/>
        <v>907.59349999999995</v>
      </c>
      <c r="O186">
        <f t="shared" si="59"/>
        <v>272.30610288999998</v>
      </c>
      <c r="Q186" s="11">
        <f t="shared" si="60"/>
        <v>64.533367745289098</v>
      </c>
      <c r="R186" s="12">
        <f t="shared" si="61"/>
        <v>-2.2221700828953059E-2</v>
      </c>
    </row>
    <row r="187" spans="1:18" x14ac:dyDescent="0.25">
      <c r="A187">
        <v>7</v>
      </c>
      <c r="B187">
        <v>55</v>
      </c>
      <c r="C187">
        <f t="shared" si="50"/>
        <v>7.6009099999999998</v>
      </c>
      <c r="E187">
        <v>36</v>
      </c>
      <c r="F187" s="2"/>
      <c r="G187">
        <f t="shared" si="51"/>
        <v>7</v>
      </c>
      <c r="H187" s="10">
        <f t="shared" si="52"/>
        <v>55</v>
      </c>
      <c r="I187">
        <f t="shared" si="53"/>
        <v>7.6009099999999998</v>
      </c>
      <c r="J187">
        <f t="shared" si="54"/>
        <v>49</v>
      </c>
      <c r="K187">
        <f t="shared" si="55"/>
        <v>385</v>
      </c>
      <c r="L187">
        <f t="shared" si="56"/>
        <v>53.20637</v>
      </c>
      <c r="M187">
        <f t="shared" si="57"/>
        <v>3025</v>
      </c>
      <c r="N187">
        <f t="shared" si="58"/>
        <v>418.05005</v>
      </c>
      <c r="O187">
        <f t="shared" si="59"/>
        <v>57.773832828099998</v>
      </c>
      <c r="Q187" s="11">
        <f t="shared" si="60"/>
        <v>34.750380310666458</v>
      </c>
      <c r="R187" s="12">
        <f t="shared" si="61"/>
        <v>-3.471165803704284E-2</v>
      </c>
    </row>
    <row r="188" spans="1:18" x14ac:dyDescent="0.25">
      <c r="A188">
        <v>7</v>
      </c>
      <c r="B188">
        <v>55</v>
      </c>
      <c r="C188">
        <f t="shared" si="50"/>
        <v>11.260110000000001</v>
      </c>
      <c r="E188">
        <v>49</v>
      </c>
      <c r="F188" s="2"/>
      <c r="G188">
        <f t="shared" si="51"/>
        <v>7</v>
      </c>
      <c r="H188" s="10">
        <f t="shared" si="52"/>
        <v>55</v>
      </c>
      <c r="I188">
        <f t="shared" si="53"/>
        <v>11.260110000000001</v>
      </c>
      <c r="J188">
        <f t="shared" si="54"/>
        <v>49</v>
      </c>
      <c r="K188">
        <f t="shared" si="55"/>
        <v>385</v>
      </c>
      <c r="L188">
        <f t="shared" si="56"/>
        <v>78.82077000000001</v>
      </c>
      <c r="M188">
        <f t="shared" si="57"/>
        <v>3025</v>
      </c>
      <c r="N188">
        <f t="shared" si="58"/>
        <v>619.30605000000003</v>
      </c>
      <c r="O188">
        <f t="shared" si="59"/>
        <v>126.79007721210002</v>
      </c>
      <c r="Q188" s="11">
        <f t="shared" si="60"/>
        <v>51.550137824543818</v>
      </c>
      <c r="R188" s="12">
        <f t="shared" si="61"/>
        <v>5.2043629072322808E-2</v>
      </c>
    </row>
    <row r="189" spans="1:18" x14ac:dyDescent="0.25">
      <c r="A189">
        <v>7</v>
      </c>
      <c r="B189">
        <v>55</v>
      </c>
      <c r="C189">
        <f t="shared" si="50"/>
        <v>12.407920000000001</v>
      </c>
      <c r="E189">
        <v>55</v>
      </c>
      <c r="F189" s="2"/>
      <c r="G189">
        <f t="shared" si="51"/>
        <v>7</v>
      </c>
      <c r="H189" s="10">
        <f t="shared" si="52"/>
        <v>55</v>
      </c>
      <c r="I189">
        <f t="shared" si="53"/>
        <v>12.407920000000001</v>
      </c>
      <c r="J189">
        <f t="shared" si="54"/>
        <v>49</v>
      </c>
      <c r="K189">
        <f t="shared" si="55"/>
        <v>385</v>
      </c>
      <c r="L189">
        <f t="shared" si="56"/>
        <v>86.855440000000002</v>
      </c>
      <c r="M189">
        <f t="shared" si="57"/>
        <v>3025</v>
      </c>
      <c r="N189">
        <f t="shared" si="58"/>
        <v>682.43560000000002</v>
      </c>
      <c r="O189">
        <f t="shared" si="59"/>
        <v>153.95647872640001</v>
      </c>
      <c r="Q189" s="11">
        <f t="shared" si="60"/>
        <v>56.566181584890003</v>
      </c>
      <c r="R189" s="12">
        <f t="shared" si="61"/>
        <v>2.8476028816181879E-2</v>
      </c>
    </row>
    <row r="190" spans="1:18" x14ac:dyDescent="0.25">
      <c r="A190">
        <v>7</v>
      </c>
      <c r="B190">
        <v>55</v>
      </c>
      <c r="C190">
        <f t="shared" si="50"/>
        <v>14.91309</v>
      </c>
      <c r="E190">
        <v>66</v>
      </c>
      <c r="F190" s="2"/>
      <c r="G190">
        <f t="shared" si="51"/>
        <v>7</v>
      </c>
      <c r="H190" s="10">
        <f t="shared" si="52"/>
        <v>55</v>
      </c>
      <c r="I190">
        <f t="shared" si="53"/>
        <v>14.91309</v>
      </c>
      <c r="J190">
        <f t="shared" si="54"/>
        <v>49</v>
      </c>
      <c r="K190">
        <f t="shared" si="55"/>
        <v>385</v>
      </c>
      <c r="L190">
        <f t="shared" si="56"/>
        <v>104.39163000000001</v>
      </c>
      <c r="M190">
        <f t="shared" si="57"/>
        <v>3025</v>
      </c>
      <c r="N190">
        <f t="shared" si="58"/>
        <v>820.21995000000004</v>
      </c>
      <c r="O190">
        <f t="shared" si="59"/>
        <v>222.40025334810002</v>
      </c>
      <c r="Q190" s="11">
        <f t="shared" si="60"/>
        <v>67.093291629054306</v>
      </c>
      <c r="R190" s="12">
        <f t="shared" si="61"/>
        <v>1.6565024682641004E-2</v>
      </c>
    </row>
    <row r="191" spans="1:18" x14ac:dyDescent="0.25">
      <c r="A191">
        <v>7</v>
      </c>
      <c r="B191">
        <v>55</v>
      </c>
      <c r="C191">
        <f t="shared" si="50"/>
        <v>17.676860000000001</v>
      </c>
      <c r="E191">
        <v>76</v>
      </c>
      <c r="F191" s="2"/>
      <c r="G191">
        <f t="shared" si="51"/>
        <v>7</v>
      </c>
      <c r="H191" s="10">
        <f t="shared" si="52"/>
        <v>55</v>
      </c>
      <c r="I191">
        <f t="shared" si="53"/>
        <v>17.676860000000001</v>
      </c>
      <c r="J191">
        <f t="shared" si="54"/>
        <v>49</v>
      </c>
      <c r="K191">
        <f t="shared" si="55"/>
        <v>385</v>
      </c>
      <c r="L191">
        <f t="shared" si="56"/>
        <v>123.73802000000001</v>
      </c>
      <c r="M191">
        <f t="shared" si="57"/>
        <v>3025</v>
      </c>
      <c r="N191">
        <f t="shared" si="58"/>
        <v>972.22730000000013</v>
      </c>
      <c r="O191">
        <f t="shared" si="59"/>
        <v>312.47137945960003</v>
      </c>
      <c r="Q191" s="11">
        <f t="shared" si="60"/>
        <v>78.037585761362635</v>
      </c>
      <c r="R191" s="12">
        <f t="shared" si="61"/>
        <v>2.6810338965297831E-2</v>
      </c>
    </row>
    <row r="192" spans="1:18" x14ac:dyDescent="0.25">
      <c r="A192">
        <v>2</v>
      </c>
      <c r="B192">
        <v>55</v>
      </c>
      <c r="C192">
        <f t="shared" si="50"/>
        <v>6.7943899999999999</v>
      </c>
      <c r="E192">
        <v>36</v>
      </c>
      <c r="F192" s="2"/>
      <c r="G192">
        <f t="shared" si="51"/>
        <v>2</v>
      </c>
      <c r="H192" s="10">
        <f t="shared" si="52"/>
        <v>55</v>
      </c>
      <c r="I192">
        <f t="shared" si="53"/>
        <v>6.7943899999999999</v>
      </c>
      <c r="J192">
        <f t="shared" si="54"/>
        <v>4</v>
      </c>
      <c r="K192">
        <f t="shared" si="55"/>
        <v>110</v>
      </c>
      <c r="L192">
        <f t="shared" si="56"/>
        <v>13.58878</v>
      </c>
      <c r="M192">
        <f t="shared" si="57"/>
        <v>3025</v>
      </c>
      <c r="N192">
        <f t="shared" si="58"/>
        <v>373.69144999999997</v>
      </c>
      <c r="O192">
        <f t="shared" si="59"/>
        <v>46.163735472100001</v>
      </c>
      <c r="Q192" s="11">
        <f t="shared" si="60"/>
        <v>35.750580054517741</v>
      </c>
      <c r="R192" s="12">
        <f t="shared" si="61"/>
        <v>-6.9283318189516446E-3</v>
      </c>
    </row>
    <row r="193" spans="1:18" x14ac:dyDescent="0.25">
      <c r="A193">
        <v>2</v>
      </c>
      <c r="B193">
        <v>55</v>
      </c>
      <c r="C193">
        <f t="shared" si="50"/>
        <v>9.5189000000000004</v>
      </c>
      <c r="E193">
        <v>49</v>
      </c>
      <c r="F193" s="2"/>
      <c r="G193">
        <f t="shared" si="51"/>
        <v>2</v>
      </c>
      <c r="H193" s="10">
        <f t="shared" si="52"/>
        <v>55</v>
      </c>
      <c r="I193">
        <f t="shared" si="53"/>
        <v>9.5189000000000004</v>
      </c>
      <c r="J193">
        <f t="shared" si="54"/>
        <v>4</v>
      </c>
      <c r="K193">
        <f t="shared" si="55"/>
        <v>110</v>
      </c>
      <c r="L193">
        <f t="shared" si="56"/>
        <v>19.037800000000001</v>
      </c>
      <c r="M193">
        <f t="shared" si="57"/>
        <v>3025</v>
      </c>
      <c r="N193">
        <f t="shared" si="58"/>
        <v>523.53949999999998</v>
      </c>
      <c r="O193">
        <f t="shared" si="59"/>
        <v>90.609457210000002</v>
      </c>
      <c r="Q193" s="11">
        <f t="shared" si="60"/>
        <v>50.117938035623986</v>
      </c>
      <c r="R193" s="12">
        <f t="shared" si="61"/>
        <v>2.2815061951509921E-2</v>
      </c>
    </row>
    <row r="194" spans="1:18" x14ac:dyDescent="0.25">
      <c r="A194">
        <v>2</v>
      </c>
      <c r="B194">
        <v>55</v>
      </c>
      <c r="C194">
        <f t="shared" si="50"/>
        <v>10.968680000000001</v>
      </c>
      <c r="E194">
        <v>55</v>
      </c>
      <c r="F194" s="2"/>
      <c r="G194">
        <f t="shared" si="51"/>
        <v>2</v>
      </c>
      <c r="H194" s="10">
        <f t="shared" si="52"/>
        <v>55</v>
      </c>
      <c r="I194">
        <f t="shared" si="53"/>
        <v>10.968680000000001</v>
      </c>
      <c r="J194">
        <f t="shared" si="54"/>
        <v>4</v>
      </c>
      <c r="K194">
        <f t="shared" si="55"/>
        <v>110</v>
      </c>
      <c r="L194">
        <f t="shared" si="56"/>
        <v>21.937360000000002</v>
      </c>
      <c r="M194">
        <f t="shared" si="57"/>
        <v>3025</v>
      </c>
      <c r="N194">
        <f t="shared" si="58"/>
        <v>603.27740000000006</v>
      </c>
      <c r="O194">
        <f t="shared" si="59"/>
        <v>120.31194094240001</v>
      </c>
      <c r="Q194" s="11">
        <f t="shared" si="60"/>
        <v>57.484937984456721</v>
      </c>
      <c r="R194" s="12">
        <f t="shared" si="61"/>
        <v>4.5180690626485838E-2</v>
      </c>
    </row>
    <row r="195" spans="1:18" x14ac:dyDescent="0.25">
      <c r="A195">
        <v>2</v>
      </c>
      <c r="B195">
        <v>55</v>
      </c>
      <c r="C195">
        <f t="shared" si="50"/>
        <v>13.040989999999999</v>
      </c>
      <c r="E195">
        <v>66</v>
      </c>
      <c r="F195" s="2"/>
      <c r="G195">
        <f t="shared" si="51"/>
        <v>2</v>
      </c>
      <c r="H195" s="10">
        <f t="shared" si="52"/>
        <v>55</v>
      </c>
      <c r="I195">
        <f t="shared" si="53"/>
        <v>13.040989999999999</v>
      </c>
      <c r="J195">
        <f t="shared" si="54"/>
        <v>4</v>
      </c>
      <c r="K195">
        <f t="shared" si="55"/>
        <v>110</v>
      </c>
      <c r="L195">
        <f t="shared" si="56"/>
        <v>26.081979999999998</v>
      </c>
      <c r="M195">
        <f t="shared" si="57"/>
        <v>3025</v>
      </c>
      <c r="N195">
        <f t="shared" si="58"/>
        <v>717.25444999999991</v>
      </c>
      <c r="O195">
        <f t="shared" si="59"/>
        <v>170.06742018009999</v>
      </c>
      <c r="Q195" s="11">
        <f t="shared" si="60"/>
        <v>67.679735097721135</v>
      </c>
      <c r="R195" s="12">
        <f t="shared" si="61"/>
        <v>2.5450531783653564E-2</v>
      </c>
    </row>
    <row r="196" spans="1:18" x14ac:dyDescent="0.25">
      <c r="A196">
        <v>-7</v>
      </c>
      <c r="B196">
        <v>55</v>
      </c>
      <c r="C196">
        <f t="shared" si="50"/>
        <v>4.4909099999999995</v>
      </c>
      <c r="E196">
        <v>36</v>
      </c>
      <c r="F196" s="2"/>
      <c r="G196">
        <f t="shared" si="51"/>
        <v>-7</v>
      </c>
      <c r="H196" s="10">
        <f t="shared" si="52"/>
        <v>55</v>
      </c>
      <c r="I196">
        <f t="shared" si="53"/>
        <v>4.4909099999999995</v>
      </c>
      <c r="J196">
        <f t="shared" si="54"/>
        <v>49</v>
      </c>
      <c r="K196">
        <f t="shared" si="55"/>
        <v>-385</v>
      </c>
      <c r="L196">
        <f t="shared" si="56"/>
        <v>-31.436369999999997</v>
      </c>
      <c r="M196">
        <f t="shared" si="57"/>
        <v>3025</v>
      </c>
      <c r="N196">
        <f t="shared" si="58"/>
        <v>247.00004999999999</v>
      </c>
      <c r="O196">
        <f t="shared" si="59"/>
        <v>20.168272628099995</v>
      </c>
      <c r="Q196" s="11">
        <f t="shared" si="60"/>
        <v>33.064821902509919</v>
      </c>
      <c r="R196" s="12">
        <f t="shared" si="61"/>
        <v>-8.1532724930280021E-2</v>
      </c>
    </row>
    <row r="197" spans="1:18" x14ac:dyDescent="0.25">
      <c r="A197">
        <v>-7</v>
      </c>
      <c r="B197">
        <v>55</v>
      </c>
      <c r="C197">
        <f t="shared" si="50"/>
        <v>6.6410600000000004</v>
      </c>
      <c r="E197">
        <v>49</v>
      </c>
      <c r="F197" s="2"/>
      <c r="G197">
        <f t="shared" si="51"/>
        <v>-7</v>
      </c>
      <c r="H197" s="10">
        <f t="shared" si="52"/>
        <v>55</v>
      </c>
      <c r="I197">
        <f t="shared" si="53"/>
        <v>6.6410600000000004</v>
      </c>
      <c r="J197">
        <f t="shared" si="54"/>
        <v>49</v>
      </c>
      <c r="K197">
        <f t="shared" si="55"/>
        <v>-385</v>
      </c>
      <c r="L197">
        <f t="shared" si="56"/>
        <v>-46.48742</v>
      </c>
      <c r="M197">
        <f t="shared" si="57"/>
        <v>3025</v>
      </c>
      <c r="N197">
        <f t="shared" si="58"/>
        <v>365.25830000000002</v>
      </c>
      <c r="O197">
        <f t="shared" si="59"/>
        <v>44.103677923600003</v>
      </c>
      <c r="Q197" s="11">
        <f t="shared" si="60"/>
        <v>47.102799694242343</v>
      </c>
      <c r="R197" s="12">
        <f t="shared" si="61"/>
        <v>-3.871837358689096E-2</v>
      </c>
    </row>
    <row r="198" spans="1:18" x14ac:dyDescent="0.25">
      <c r="A198">
        <v>-7</v>
      </c>
      <c r="B198">
        <v>55</v>
      </c>
      <c r="C198">
        <f t="shared" si="50"/>
        <v>7.4760499999999999</v>
      </c>
      <c r="E198">
        <v>55</v>
      </c>
      <c r="F198" s="2"/>
      <c r="G198">
        <f t="shared" si="51"/>
        <v>-7</v>
      </c>
      <c r="H198" s="10">
        <f t="shared" si="52"/>
        <v>55</v>
      </c>
      <c r="I198">
        <f t="shared" si="53"/>
        <v>7.4760499999999999</v>
      </c>
      <c r="J198">
        <f t="shared" si="54"/>
        <v>49</v>
      </c>
      <c r="K198">
        <f t="shared" si="55"/>
        <v>-385</v>
      </c>
      <c r="L198">
        <f t="shared" si="56"/>
        <v>-52.332349999999998</v>
      </c>
      <c r="M198">
        <f t="shared" si="57"/>
        <v>3025</v>
      </c>
      <c r="N198">
        <f t="shared" si="58"/>
        <v>411.18275</v>
      </c>
      <c r="O198">
        <f t="shared" si="59"/>
        <v>55.891323602499995</v>
      </c>
      <c r="Q198" s="11">
        <f t="shared" si="60"/>
        <v>52.439717576309938</v>
      </c>
      <c r="R198" s="12">
        <f t="shared" si="61"/>
        <v>-4.6550589521637487E-2</v>
      </c>
    </row>
    <row r="199" spans="1:18" x14ac:dyDescent="0.25">
      <c r="A199">
        <v>-7</v>
      </c>
      <c r="B199">
        <v>55</v>
      </c>
      <c r="C199">
        <f t="shared" si="50"/>
        <v>9.1772999999999989</v>
      </c>
      <c r="E199">
        <v>66</v>
      </c>
      <c r="F199" s="2"/>
      <c r="G199">
        <f t="shared" si="51"/>
        <v>-7</v>
      </c>
      <c r="H199" s="10">
        <f t="shared" si="52"/>
        <v>55</v>
      </c>
      <c r="I199">
        <f t="shared" si="53"/>
        <v>9.1772999999999989</v>
      </c>
      <c r="J199">
        <f t="shared" si="54"/>
        <v>49</v>
      </c>
      <c r="K199">
        <f t="shared" si="55"/>
        <v>-385</v>
      </c>
      <c r="L199">
        <f t="shared" si="56"/>
        <v>-64.241099999999989</v>
      </c>
      <c r="M199">
        <f t="shared" si="57"/>
        <v>3025</v>
      </c>
      <c r="N199">
        <f t="shared" si="58"/>
        <v>504.75149999999996</v>
      </c>
      <c r="O199">
        <f t="shared" si="59"/>
        <v>84.222835289999978</v>
      </c>
      <c r="Q199" s="11">
        <f t="shared" si="60"/>
        <v>63.115046992159144</v>
      </c>
      <c r="R199" s="12">
        <f t="shared" si="61"/>
        <v>-4.3711409209709944E-2</v>
      </c>
    </row>
    <row r="200" spans="1:18" x14ac:dyDescent="0.25">
      <c r="A200">
        <v>-7</v>
      </c>
      <c r="B200">
        <v>55</v>
      </c>
      <c r="C200">
        <f t="shared" si="50"/>
        <v>10.683219999999999</v>
      </c>
      <c r="E200">
        <v>76</v>
      </c>
      <c r="F200" s="2"/>
      <c r="G200">
        <f t="shared" si="51"/>
        <v>-7</v>
      </c>
      <c r="H200" s="10">
        <f t="shared" si="52"/>
        <v>55</v>
      </c>
      <c r="I200">
        <f t="shared" si="53"/>
        <v>10.683219999999999</v>
      </c>
      <c r="J200">
        <f t="shared" si="54"/>
        <v>49</v>
      </c>
      <c r="K200">
        <f t="shared" si="55"/>
        <v>-385</v>
      </c>
      <c r="L200">
        <f t="shared" si="56"/>
        <v>-74.782539999999983</v>
      </c>
      <c r="M200">
        <f t="shared" si="57"/>
        <v>3025</v>
      </c>
      <c r="N200">
        <f t="shared" si="58"/>
        <v>587.57709999999997</v>
      </c>
      <c r="O200">
        <f t="shared" si="59"/>
        <v>114.13118956839998</v>
      </c>
      <c r="Q200" s="11">
        <f t="shared" si="60"/>
        <v>72.342635399074283</v>
      </c>
      <c r="R200" s="12">
        <f t="shared" si="61"/>
        <v>-4.8123218433233125E-2</v>
      </c>
    </row>
    <row r="201" spans="1:18" x14ac:dyDescent="0.25">
      <c r="A201">
        <v>-15</v>
      </c>
      <c r="B201">
        <v>55</v>
      </c>
      <c r="C201">
        <f t="shared" si="50"/>
        <v>3.0988500000000001</v>
      </c>
      <c r="E201">
        <v>36</v>
      </c>
      <c r="F201" s="2"/>
      <c r="G201">
        <f t="shared" si="51"/>
        <v>-15</v>
      </c>
      <c r="H201" s="10">
        <f t="shared" si="52"/>
        <v>55</v>
      </c>
      <c r="I201">
        <f t="shared" si="53"/>
        <v>3.0988500000000001</v>
      </c>
      <c r="J201">
        <f t="shared" si="54"/>
        <v>225</v>
      </c>
      <c r="K201">
        <f t="shared" si="55"/>
        <v>-825</v>
      </c>
      <c r="L201">
        <f t="shared" si="56"/>
        <v>-46.482750000000003</v>
      </c>
      <c r="M201">
        <f t="shared" si="57"/>
        <v>3025</v>
      </c>
      <c r="N201">
        <f t="shared" si="58"/>
        <v>170.43675000000002</v>
      </c>
      <c r="O201">
        <f t="shared" si="59"/>
        <v>9.6028713225000004</v>
      </c>
      <c r="Q201" s="11">
        <f t="shared" si="60"/>
        <v>35.231436460890535</v>
      </c>
      <c r="R201" s="12">
        <f t="shared" si="61"/>
        <v>-2.1348987197485139E-2</v>
      </c>
    </row>
    <row r="202" spans="1:18" x14ac:dyDescent="0.25">
      <c r="A202">
        <v>-15</v>
      </c>
      <c r="B202">
        <v>55</v>
      </c>
      <c r="C202">
        <f t="shared" si="50"/>
        <v>4.8898999999999999</v>
      </c>
      <c r="E202">
        <v>49</v>
      </c>
      <c r="F202" s="2"/>
      <c r="G202">
        <f t="shared" si="51"/>
        <v>-15</v>
      </c>
      <c r="H202" s="10">
        <f t="shared" si="52"/>
        <v>55</v>
      </c>
      <c r="I202">
        <f t="shared" si="53"/>
        <v>4.8898999999999999</v>
      </c>
      <c r="J202">
        <f t="shared" si="54"/>
        <v>225</v>
      </c>
      <c r="K202">
        <f t="shared" si="55"/>
        <v>-825</v>
      </c>
      <c r="L202">
        <f t="shared" si="56"/>
        <v>-73.348500000000001</v>
      </c>
      <c r="M202">
        <f t="shared" si="57"/>
        <v>3025</v>
      </c>
      <c r="N202">
        <f t="shared" si="58"/>
        <v>268.94450000000001</v>
      </c>
      <c r="O202">
        <f t="shared" si="59"/>
        <v>23.91112201</v>
      </c>
      <c r="Q202" s="11">
        <f t="shared" si="60"/>
        <v>48.80324371586461</v>
      </c>
      <c r="R202" s="12">
        <f t="shared" si="61"/>
        <v>-4.0154343701099913E-3</v>
      </c>
    </row>
    <row r="203" spans="1:18" x14ac:dyDescent="0.25">
      <c r="A203">
        <v>-15</v>
      </c>
      <c r="B203">
        <v>55</v>
      </c>
      <c r="C203">
        <f t="shared" si="50"/>
        <v>5.5168100000000004</v>
      </c>
      <c r="E203">
        <v>55</v>
      </c>
      <c r="F203" s="2"/>
      <c r="G203">
        <f t="shared" si="51"/>
        <v>-15</v>
      </c>
      <c r="H203" s="10">
        <f t="shared" si="52"/>
        <v>55</v>
      </c>
      <c r="I203">
        <f t="shared" si="53"/>
        <v>5.5168100000000004</v>
      </c>
      <c r="J203">
        <f t="shared" si="54"/>
        <v>225</v>
      </c>
      <c r="K203">
        <f t="shared" si="55"/>
        <v>-825</v>
      </c>
      <c r="L203">
        <f t="shared" si="56"/>
        <v>-82.75215</v>
      </c>
      <c r="M203">
        <f t="shared" si="57"/>
        <v>3025</v>
      </c>
      <c r="N203">
        <f t="shared" si="58"/>
        <v>303.42455000000001</v>
      </c>
      <c r="O203">
        <f t="shared" si="59"/>
        <v>30.435192576100004</v>
      </c>
      <c r="Q203" s="11">
        <f t="shared" si="60"/>
        <v>53.484007549793581</v>
      </c>
      <c r="R203" s="12">
        <f t="shared" si="61"/>
        <v>-2.7563499094662155E-2</v>
      </c>
    </row>
    <row r="204" spans="1:18" x14ac:dyDescent="0.25">
      <c r="A204">
        <v>-15</v>
      </c>
      <c r="B204">
        <v>55</v>
      </c>
      <c r="C204">
        <f t="shared" si="50"/>
        <v>7.0490300000000001</v>
      </c>
      <c r="E204">
        <v>66</v>
      </c>
      <c r="F204" s="2"/>
      <c r="G204">
        <f t="shared" si="51"/>
        <v>-15</v>
      </c>
      <c r="H204" s="10">
        <f t="shared" si="52"/>
        <v>55</v>
      </c>
      <c r="I204">
        <f t="shared" si="53"/>
        <v>7.0490300000000001</v>
      </c>
      <c r="J204">
        <f t="shared" si="54"/>
        <v>225</v>
      </c>
      <c r="K204">
        <f t="shared" si="55"/>
        <v>-825</v>
      </c>
      <c r="L204">
        <f t="shared" si="56"/>
        <v>-105.73545</v>
      </c>
      <c r="M204">
        <f t="shared" si="57"/>
        <v>3025</v>
      </c>
      <c r="N204">
        <f t="shared" si="58"/>
        <v>387.69665000000003</v>
      </c>
      <c r="O204">
        <f t="shared" si="59"/>
        <v>49.688823940900001</v>
      </c>
      <c r="Q204" s="11">
        <f t="shared" si="60"/>
        <v>64.77208527501962</v>
      </c>
      <c r="R204" s="12">
        <f t="shared" si="61"/>
        <v>-1.8604768560308786E-2</v>
      </c>
    </row>
    <row r="205" spans="1:18" x14ac:dyDescent="0.25">
      <c r="A205">
        <v>-15</v>
      </c>
      <c r="B205">
        <v>55</v>
      </c>
      <c r="C205">
        <f t="shared" si="50"/>
        <v>8.5046800000000005</v>
      </c>
      <c r="E205">
        <v>76</v>
      </c>
      <c r="F205" s="2"/>
      <c r="G205">
        <f t="shared" si="51"/>
        <v>-15</v>
      </c>
      <c r="H205" s="10">
        <f t="shared" si="52"/>
        <v>55</v>
      </c>
      <c r="I205">
        <f t="shared" si="53"/>
        <v>8.5046800000000005</v>
      </c>
      <c r="J205">
        <f t="shared" si="54"/>
        <v>225</v>
      </c>
      <c r="K205">
        <f t="shared" si="55"/>
        <v>-825</v>
      </c>
      <c r="L205">
        <f t="shared" si="56"/>
        <v>-127.5702</v>
      </c>
      <c r="M205">
        <f t="shared" si="57"/>
        <v>3025</v>
      </c>
      <c r="N205">
        <f t="shared" si="58"/>
        <v>467.75740000000002</v>
      </c>
      <c r="O205">
        <f t="shared" si="59"/>
        <v>72.329581902400008</v>
      </c>
      <c r="Q205" s="11">
        <f t="shared" si="60"/>
        <v>75.296102835286632</v>
      </c>
      <c r="R205" s="12">
        <f t="shared" si="61"/>
        <v>-9.2618047988601033E-3</v>
      </c>
    </row>
    <row r="206" spans="1:18" x14ac:dyDescent="0.25">
      <c r="A206">
        <v>-25</v>
      </c>
      <c r="B206">
        <v>55</v>
      </c>
      <c r="C206">
        <f t="shared" si="50"/>
        <v>1.4009800000000001</v>
      </c>
      <c r="E206">
        <v>36</v>
      </c>
      <c r="F206" s="2"/>
      <c r="G206">
        <f t="shared" si="51"/>
        <v>-25</v>
      </c>
      <c r="H206" s="10">
        <f t="shared" si="52"/>
        <v>55</v>
      </c>
      <c r="I206">
        <f t="shared" si="53"/>
        <v>1.4009800000000001</v>
      </c>
      <c r="J206">
        <f t="shared" si="54"/>
        <v>625</v>
      </c>
      <c r="K206">
        <f t="shared" si="55"/>
        <v>-1375</v>
      </c>
      <c r="L206">
        <f t="shared" si="56"/>
        <v>-35.024500000000003</v>
      </c>
      <c r="M206">
        <f t="shared" si="57"/>
        <v>3025</v>
      </c>
      <c r="N206">
        <f t="shared" si="58"/>
        <v>77.053900000000013</v>
      </c>
      <c r="O206">
        <f t="shared" si="59"/>
        <v>1.9627449604000002</v>
      </c>
      <c r="Q206" s="11">
        <f t="shared" si="60"/>
        <v>39.631695701207107</v>
      </c>
      <c r="R206" s="12">
        <f t="shared" si="61"/>
        <v>0.10088043614464187</v>
      </c>
    </row>
    <row r="207" spans="1:18" x14ac:dyDescent="0.25">
      <c r="A207">
        <v>-25</v>
      </c>
      <c r="B207">
        <v>55</v>
      </c>
      <c r="C207">
        <f t="shared" si="50"/>
        <v>2.7531399999999997</v>
      </c>
      <c r="E207">
        <v>49</v>
      </c>
      <c r="F207" s="2"/>
      <c r="G207">
        <f t="shared" si="51"/>
        <v>-25</v>
      </c>
      <c r="H207" s="10">
        <f t="shared" si="52"/>
        <v>55</v>
      </c>
      <c r="I207">
        <f t="shared" si="53"/>
        <v>2.7531399999999997</v>
      </c>
      <c r="J207">
        <f t="shared" si="54"/>
        <v>625</v>
      </c>
      <c r="K207">
        <f t="shared" si="55"/>
        <v>-1375</v>
      </c>
      <c r="L207">
        <f t="shared" si="56"/>
        <v>-68.828499999999991</v>
      </c>
      <c r="M207">
        <f t="shared" si="57"/>
        <v>3025</v>
      </c>
      <c r="N207">
        <f t="shared" si="58"/>
        <v>151.42269999999999</v>
      </c>
      <c r="O207">
        <f t="shared" si="59"/>
        <v>7.5797798595999986</v>
      </c>
      <c r="Q207" s="11">
        <f t="shared" si="60"/>
        <v>51.644484875752205</v>
      </c>
      <c r="R207" s="12">
        <f t="shared" si="61"/>
        <v>5.3969079096983778E-2</v>
      </c>
    </row>
    <row r="208" spans="1:18" x14ac:dyDescent="0.25">
      <c r="A208">
        <v>-25</v>
      </c>
      <c r="B208">
        <v>55</v>
      </c>
      <c r="C208">
        <f t="shared" si="50"/>
        <v>3.3458299999999999</v>
      </c>
      <c r="E208">
        <v>55</v>
      </c>
      <c r="F208" s="2"/>
      <c r="G208">
        <f t="shared" si="51"/>
        <v>-25</v>
      </c>
      <c r="H208" s="10">
        <f t="shared" si="52"/>
        <v>55</v>
      </c>
      <c r="I208">
        <f t="shared" si="53"/>
        <v>3.3458299999999999</v>
      </c>
      <c r="J208">
        <f t="shared" si="54"/>
        <v>625</v>
      </c>
      <c r="K208">
        <f t="shared" si="55"/>
        <v>-1375</v>
      </c>
      <c r="L208">
        <f t="shared" si="56"/>
        <v>-83.645749999999992</v>
      </c>
      <c r="M208">
        <f t="shared" si="57"/>
        <v>3025</v>
      </c>
      <c r="N208">
        <f t="shared" si="58"/>
        <v>184.02064999999999</v>
      </c>
      <c r="O208">
        <f t="shared" si="59"/>
        <v>11.194578388899998</v>
      </c>
      <c r="Q208" s="11">
        <f t="shared" si="60"/>
        <v>56.857035427022097</v>
      </c>
      <c r="R208" s="12">
        <f t="shared" si="61"/>
        <v>3.3764280491310861E-2</v>
      </c>
    </row>
    <row r="209" spans="1:18" x14ac:dyDescent="0.25">
      <c r="A209">
        <v>-25</v>
      </c>
      <c r="B209">
        <v>55</v>
      </c>
      <c r="C209">
        <f t="shared" si="50"/>
        <v>4.3538100000000002</v>
      </c>
      <c r="E209">
        <v>66</v>
      </c>
      <c r="F209" s="2"/>
      <c r="G209">
        <f t="shared" si="51"/>
        <v>-25</v>
      </c>
      <c r="H209" s="10">
        <f t="shared" si="52"/>
        <v>55</v>
      </c>
      <c r="I209">
        <f t="shared" si="53"/>
        <v>4.3538100000000002</v>
      </c>
      <c r="J209">
        <f t="shared" si="54"/>
        <v>625</v>
      </c>
      <c r="K209">
        <f t="shared" si="55"/>
        <v>-1375</v>
      </c>
      <c r="L209">
        <f t="shared" si="56"/>
        <v>-108.84525000000001</v>
      </c>
      <c r="M209">
        <f t="shared" si="57"/>
        <v>3025</v>
      </c>
      <c r="N209">
        <f t="shared" si="58"/>
        <v>239.45955000000001</v>
      </c>
      <c r="O209">
        <f t="shared" si="59"/>
        <v>18.955661516100001</v>
      </c>
      <c r="Q209" s="11">
        <f t="shared" si="60"/>
        <v>65.647772915918338</v>
      </c>
      <c r="R209" s="12">
        <f t="shared" si="61"/>
        <v>-5.3367740012372983E-3</v>
      </c>
    </row>
    <row r="210" spans="1:18" x14ac:dyDescent="0.25">
      <c r="A210">
        <v>-25</v>
      </c>
      <c r="B210">
        <v>55</v>
      </c>
      <c r="C210">
        <f t="shared" si="50"/>
        <v>5.6101899999999993</v>
      </c>
      <c r="E210">
        <v>76</v>
      </c>
      <c r="F210" s="2"/>
      <c r="G210">
        <f t="shared" si="51"/>
        <v>-25</v>
      </c>
      <c r="H210" s="10">
        <f t="shared" si="52"/>
        <v>55</v>
      </c>
      <c r="I210">
        <f t="shared" si="53"/>
        <v>5.6101899999999993</v>
      </c>
      <c r="J210">
        <f t="shared" si="54"/>
        <v>625</v>
      </c>
      <c r="K210">
        <f t="shared" si="55"/>
        <v>-1375</v>
      </c>
      <c r="L210">
        <f t="shared" si="56"/>
        <v>-140.25474999999997</v>
      </c>
      <c r="M210">
        <f t="shared" si="57"/>
        <v>3025</v>
      </c>
      <c r="N210">
        <f t="shared" si="58"/>
        <v>308.56044999999995</v>
      </c>
      <c r="O210">
        <f t="shared" si="59"/>
        <v>31.474231836099992</v>
      </c>
      <c r="Q210" s="11">
        <f t="shared" si="60"/>
        <v>76.474048416768667</v>
      </c>
      <c r="R210" s="12">
        <f t="shared" si="61"/>
        <v>6.2374791680087811E-3</v>
      </c>
    </row>
    <row r="211" spans="1:18" x14ac:dyDescent="0.25">
      <c r="A211">
        <v>-15</v>
      </c>
      <c r="B211">
        <v>35</v>
      </c>
      <c r="C211">
        <f t="shared" ref="C211:C241" si="62">E23</f>
        <v>4.0875199999999996</v>
      </c>
      <c r="E211">
        <v>36</v>
      </c>
      <c r="F211" s="2"/>
      <c r="G211">
        <f t="shared" si="40"/>
        <v>-15</v>
      </c>
      <c r="H211" s="10">
        <f t="shared" si="40"/>
        <v>35</v>
      </c>
      <c r="I211">
        <f t="shared" si="40"/>
        <v>4.0875199999999996</v>
      </c>
      <c r="J211">
        <f t="shared" si="41"/>
        <v>225</v>
      </c>
      <c r="K211">
        <f t="shared" si="42"/>
        <v>-525</v>
      </c>
      <c r="L211">
        <f t="shared" si="43"/>
        <v>-61.312799999999996</v>
      </c>
      <c r="M211">
        <f t="shared" si="44"/>
        <v>1225</v>
      </c>
      <c r="N211">
        <f t="shared" si="45"/>
        <v>143.06319999999999</v>
      </c>
      <c r="O211">
        <f t="shared" si="46"/>
        <v>16.707819750399995</v>
      </c>
      <c r="Q211" s="11">
        <f t="shared" si="49"/>
        <v>35.531841779980034</v>
      </c>
      <c r="R211" s="12">
        <f t="shared" si="47"/>
        <v>-1.3004395000554602E-2</v>
      </c>
    </row>
    <row r="212" spans="1:18" x14ac:dyDescent="0.25">
      <c r="A212">
        <v>-15</v>
      </c>
      <c r="B212">
        <v>35</v>
      </c>
      <c r="C212">
        <f t="shared" si="62"/>
        <v>5.9197899999999999</v>
      </c>
      <c r="E212">
        <v>49</v>
      </c>
      <c r="F212" s="2"/>
      <c r="G212">
        <f t="shared" si="40"/>
        <v>-15</v>
      </c>
      <c r="H212" s="10">
        <f t="shared" si="40"/>
        <v>35</v>
      </c>
      <c r="I212">
        <f t="shared" si="40"/>
        <v>5.9197899999999999</v>
      </c>
      <c r="J212">
        <f t="shared" si="41"/>
        <v>225</v>
      </c>
      <c r="K212">
        <f t="shared" si="42"/>
        <v>-525</v>
      </c>
      <c r="L212">
        <f t="shared" si="43"/>
        <v>-88.796849999999992</v>
      </c>
      <c r="M212">
        <f t="shared" si="44"/>
        <v>1225</v>
      </c>
      <c r="N212">
        <f t="shared" si="45"/>
        <v>207.19264999999999</v>
      </c>
      <c r="O212">
        <f t="shared" si="46"/>
        <v>35.043913644100002</v>
      </c>
      <c r="Q212" s="11">
        <f t="shared" si="49"/>
        <v>48.393529632642284</v>
      </c>
      <c r="R212" s="12">
        <f t="shared" si="47"/>
        <v>-1.2376946272606442E-2</v>
      </c>
    </row>
    <row r="213" spans="1:18" x14ac:dyDescent="0.25">
      <c r="A213">
        <v>-15</v>
      </c>
      <c r="B213">
        <v>35</v>
      </c>
      <c r="C213">
        <f t="shared" si="62"/>
        <v>6.7240200000000003</v>
      </c>
      <c r="E213">
        <v>55</v>
      </c>
      <c r="F213" s="2"/>
      <c r="G213">
        <f t="shared" si="40"/>
        <v>-15</v>
      </c>
      <c r="H213" s="10">
        <f t="shared" si="40"/>
        <v>35</v>
      </c>
      <c r="I213">
        <f t="shared" si="40"/>
        <v>6.7240200000000003</v>
      </c>
      <c r="J213">
        <f t="shared" si="41"/>
        <v>225</v>
      </c>
      <c r="K213">
        <f t="shared" si="42"/>
        <v>-525</v>
      </c>
      <c r="L213">
        <f t="shared" si="43"/>
        <v>-100.86030000000001</v>
      </c>
      <c r="M213">
        <f t="shared" si="44"/>
        <v>1225</v>
      </c>
      <c r="N213">
        <f t="shared" si="45"/>
        <v>235.3407</v>
      </c>
      <c r="O213">
        <f t="shared" si="46"/>
        <v>45.212444960400006</v>
      </c>
      <c r="Q213" s="11">
        <f t="shared" si="49"/>
        <v>53.941369222349337</v>
      </c>
      <c r="R213" s="12">
        <f t="shared" si="47"/>
        <v>-1.9247832320921143E-2</v>
      </c>
    </row>
    <row r="214" spans="1:18" x14ac:dyDescent="0.25">
      <c r="A214">
        <v>-15</v>
      </c>
      <c r="B214">
        <v>35</v>
      </c>
      <c r="C214">
        <f t="shared" si="62"/>
        <v>8.2857800000000008</v>
      </c>
      <c r="E214">
        <v>66</v>
      </c>
      <c r="G214">
        <f t="shared" si="40"/>
        <v>-15</v>
      </c>
      <c r="H214" s="10">
        <f t="shared" si="40"/>
        <v>35</v>
      </c>
      <c r="I214">
        <f t="shared" si="40"/>
        <v>8.2857800000000008</v>
      </c>
      <c r="J214">
        <f t="shared" si="41"/>
        <v>225</v>
      </c>
      <c r="K214">
        <f t="shared" si="42"/>
        <v>-525</v>
      </c>
      <c r="L214">
        <f t="shared" si="43"/>
        <v>-124.28670000000001</v>
      </c>
      <c r="M214">
        <f t="shared" si="44"/>
        <v>1225</v>
      </c>
      <c r="N214">
        <f t="shared" si="45"/>
        <v>290.00230000000005</v>
      </c>
      <c r="O214">
        <f t="shared" si="46"/>
        <v>68.654150208400011</v>
      </c>
      <c r="Q214" s="11">
        <f t="shared" si="49"/>
        <v>64.54501437851944</v>
      </c>
      <c r="R214" s="12">
        <f t="shared" si="47"/>
        <v>-2.2045236689099395E-2</v>
      </c>
    </row>
    <row r="215" spans="1:18" x14ac:dyDescent="0.25">
      <c r="A215">
        <v>-15</v>
      </c>
      <c r="B215">
        <v>35</v>
      </c>
      <c r="C215">
        <f t="shared" si="62"/>
        <v>9.72959</v>
      </c>
      <c r="E215">
        <v>76</v>
      </c>
      <c r="G215">
        <f t="shared" si="40"/>
        <v>-15</v>
      </c>
      <c r="H215" s="10">
        <f t="shared" si="40"/>
        <v>35</v>
      </c>
      <c r="I215">
        <f t="shared" si="40"/>
        <v>9.72959</v>
      </c>
      <c r="J215">
        <f t="shared" si="41"/>
        <v>225</v>
      </c>
      <c r="K215">
        <f t="shared" si="42"/>
        <v>-525</v>
      </c>
      <c r="L215">
        <f t="shared" si="43"/>
        <v>-145.94385</v>
      </c>
      <c r="M215">
        <f t="shared" si="44"/>
        <v>1225</v>
      </c>
      <c r="N215">
        <f t="shared" si="45"/>
        <v>340.53564999999998</v>
      </c>
      <c r="O215">
        <f t="shared" si="46"/>
        <v>94.664921568099999</v>
      </c>
      <c r="Q215" s="11">
        <f t="shared" si="49"/>
        <v>74.14832548292344</v>
      </c>
      <c r="R215" s="12">
        <f t="shared" si="47"/>
        <v>-2.4364138382586321E-2</v>
      </c>
    </row>
    <row r="216" spans="1:18" x14ac:dyDescent="0.25">
      <c r="A216">
        <v>12</v>
      </c>
      <c r="B216">
        <v>45</v>
      </c>
      <c r="C216">
        <f t="shared" si="62"/>
        <v>9.428799999999999</v>
      </c>
      <c r="E216">
        <v>36</v>
      </c>
      <c r="G216">
        <f t="shared" si="40"/>
        <v>12</v>
      </c>
      <c r="H216" s="10">
        <f t="shared" si="40"/>
        <v>45</v>
      </c>
      <c r="I216">
        <f t="shared" si="40"/>
        <v>9.428799999999999</v>
      </c>
      <c r="J216">
        <f t="shared" si="41"/>
        <v>144</v>
      </c>
      <c r="K216">
        <f t="shared" si="42"/>
        <v>540</v>
      </c>
      <c r="L216">
        <f t="shared" si="43"/>
        <v>113.14559999999999</v>
      </c>
      <c r="M216">
        <f t="shared" si="44"/>
        <v>2025</v>
      </c>
      <c r="N216">
        <f t="shared" si="45"/>
        <v>424.29599999999994</v>
      </c>
      <c r="O216">
        <f t="shared" si="46"/>
        <v>88.902269439999984</v>
      </c>
      <c r="Q216" s="11">
        <f t="shared" si="49"/>
        <v>35.947068641023471</v>
      </c>
      <c r="R216" s="12">
        <f t="shared" si="47"/>
        <v>-1.4703155271258181E-3</v>
      </c>
    </row>
    <row r="217" spans="1:18" x14ac:dyDescent="0.25">
      <c r="A217">
        <v>12</v>
      </c>
      <c r="B217">
        <v>45</v>
      </c>
      <c r="C217">
        <f t="shared" si="62"/>
        <v>13.179709999999998</v>
      </c>
      <c r="E217">
        <v>49</v>
      </c>
      <c r="G217">
        <f t="shared" si="40"/>
        <v>12</v>
      </c>
      <c r="H217" s="10">
        <f t="shared" si="40"/>
        <v>45</v>
      </c>
      <c r="I217">
        <f t="shared" si="40"/>
        <v>13.179709999999998</v>
      </c>
      <c r="J217">
        <f t="shared" si="41"/>
        <v>144</v>
      </c>
      <c r="K217">
        <f t="shared" si="42"/>
        <v>540</v>
      </c>
      <c r="L217">
        <f t="shared" si="43"/>
        <v>158.15651999999997</v>
      </c>
      <c r="M217">
        <f t="shared" si="44"/>
        <v>2025</v>
      </c>
      <c r="N217">
        <f t="shared" si="45"/>
        <v>593.08694999999989</v>
      </c>
      <c r="O217">
        <f t="shared" si="46"/>
        <v>173.70475568409995</v>
      </c>
      <c r="Q217" s="11">
        <f t="shared" si="49"/>
        <v>49.529321889166269</v>
      </c>
      <c r="R217" s="12">
        <f t="shared" si="47"/>
        <v>1.080248753400549E-2</v>
      </c>
    </row>
    <row r="218" spans="1:18" x14ac:dyDescent="0.25">
      <c r="A218">
        <v>12</v>
      </c>
      <c r="B218">
        <v>45</v>
      </c>
      <c r="C218">
        <f t="shared" si="62"/>
        <v>14.79819</v>
      </c>
      <c r="E218">
        <v>55</v>
      </c>
      <c r="G218">
        <f t="shared" si="40"/>
        <v>12</v>
      </c>
      <c r="H218" s="10">
        <f t="shared" si="40"/>
        <v>45</v>
      </c>
      <c r="I218">
        <f t="shared" si="40"/>
        <v>14.79819</v>
      </c>
      <c r="J218">
        <f t="shared" si="41"/>
        <v>144</v>
      </c>
      <c r="K218">
        <f t="shared" si="42"/>
        <v>540</v>
      </c>
      <c r="L218">
        <f t="shared" si="43"/>
        <v>177.57828000000001</v>
      </c>
      <c r="M218">
        <f t="shared" si="44"/>
        <v>2025</v>
      </c>
      <c r="N218">
        <f t="shared" si="45"/>
        <v>665.91854999999998</v>
      </c>
      <c r="O218">
        <f t="shared" si="46"/>
        <v>218.98642727609999</v>
      </c>
      <c r="Q218" s="11">
        <f t="shared" si="49"/>
        <v>54.990394344484884</v>
      </c>
      <c r="R218" s="12">
        <f t="shared" si="47"/>
        <v>-1.746482820930272E-4</v>
      </c>
    </row>
    <row r="219" spans="1:18" x14ac:dyDescent="0.25">
      <c r="A219">
        <v>12</v>
      </c>
      <c r="B219">
        <v>45</v>
      </c>
      <c r="C219">
        <f t="shared" si="62"/>
        <v>17.412740000000003</v>
      </c>
      <c r="E219">
        <v>66</v>
      </c>
      <c r="G219">
        <f t="shared" si="40"/>
        <v>12</v>
      </c>
      <c r="H219" s="10">
        <f t="shared" si="40"/>
        <v>45</v>
      </c>
      <c r="I219">
        <f t="shared" si="40"/>
        <v>17.412740000000003</v>
      </c>
      <c r="J219">
        <f t="shared" si="41"/>
        <v>144</v>
      </c>
      <c r="K219">
        <f t="shared" si="42"/>
        <v>540</v>
      </c>
      <c r="L219">
        <f t="shared" si="43"/>
        <v>208.95288000000005</v>
      </c>
      <c r="M219">
        <f t="shared" si="44"/>
        <v>2025</v>
      </c>
      <c r="N219">
        <f t="shared" si="45"/>
        <v>783.57330000000013</v>
      </c>
      <c r="O219">
        <f t="shared" si="46"/>
        <v>303.20351430760013</v>
      </c>
      <c r="Q219" s="11">
        <f t="shared" si="49"/>
        <v>63.303578676678363</v>
      </c>
      <c r="R219" s="12">
        <f t="shared" si="47"/>
        <v>-4.0854868535176316E-2</v>
      </c>
    </row>
    <row r="220" spans="1:18" x14ac:dyDescent="0.25">
      <c r="A220">
        <v>7</v>
      </c>
      <c r="B220">
        <v>45</v>
      </c>
      <c r="C220">
        <f t="shared" si="62"/>
        <v>8.5142399999999991</v>
      </c>
      <c r="E220">
        <v>36</v>
      </c>
      <c r="G220">
        <f t="shared" si="40"/>
        <v>7</v>
      </c>
      <c r="H220" s="10">
        <f t="shared" si="40"/>
        <v>45</v>
      </c>
      <c r="I220">
        <f t="shared" si="40"/>
        <v>8.5142399999999991</v>
      </c>
      <c r="J220">
        <f t="shared" si="41"/>
        <v>49</v>
      </c>
      <c r="K220">
        <f t="shared" si="42"/>
        <v>315</v>
      </c>
      <c r="L220">
        <f t="shared" si="43"/>
        <v>59.599679999999992</v>
      </c>
      <c r="M220">
        <f t="shared" si="44"/>
        <v>2025</v>
      </c>
      <c r="N220">
        <f t="shared" si="45"/>
        <v>383.14079999999996</v>
      </c>
      <c r="O220">
        <f t="shared" si="46"/>
        <v>72.492282777599982</v>
      </c>
      <c r="Q220" s="11">
        <f t="shared" si="49"/>
        <v>36.511590367846559</v>
      </c>
      <c r="R220" s="12">
        <f t="shared" si="47"/>
        <v>1.4210843551293293E-2</v>
      </c>
    </row>
    <row r="221" spans="1:18" x14ac:dyDescent="0.25">
      <c r="A221">
        <v>7</v>
      </c>
      <c r="B221">
        <v>45</v>
      </c>
      <c r="C221">
        <f t="shared" si="62"/>
        <v>11.85694</v>
      </c>
      <c r="E221">
        <v>49</v>
      </c>
      <c r="G221">
        <f t="shared" si="40"/>
        <v>7</v>
      </c>
      <c r="H221" s="10">
        <f t="shared" si="40"/>
        <v>45</v>
      </c>
      <c r="I221">
        <f t="shared" si="40"/>
        <v>11.85694</v>
      </c>
      <c r="J221">
        <f t="shared" si="41"/>
        <v>49</v>
      </c>
      <c r="K221">
        <f t="shared" si="42"/>
        <v>315</v>
      </c>
      <c r="L221">
        <f t="shared" si="43"/>
        <v>82.998580000000004</v>
      </c>
      <c r="M221">
        <f t="shared" si="44"/>
        <v>2025</v>
      </c>
      <c r="N221">
        <f t="shared" si="45"/>
        <v>533.56229999999994</v>
      </c>
      <c r="O221">
        <f t="shared" si="46"/>
        <v>140.5870261636</v>
      </c>
      <c r="Q221" s="11">
        <f t="shared" si="49"/>
        <v>50.848620752133002</v>
      </c>
      <c r="R221" s="12">
        <f t="shared" si="47"/>
        <v>3.7726954125163296E-2</v>
      </c>
    </row>
    <row r="222" spans="1:18" x14ac:dyDescent="0.25">
      <c r="A222">
        <v>7</v>
      </c>
      <c r="B222">
        <v>45</v>
      </c>
      <c r="C222">
        <f t="shared" si="62"/>
        <v>13.156499999999999</v>
      </c>
      <c r="E222">
        <v>55</v>
      </c>
      <c r="G222">
        <f t="shared" si="40"/>
        <v>7</v>
      </c>
      <c r="H222" s="10">
        <f t="shared" si="40"/>
        <v>45</v>
      </c>
      <c r="I222">
        <f t="shared" si="40"/>
        <v>13.156499999999999</v>
      </c>
      <c r="J222">
        <f t="shared" si="41"/>
        <v>49</v>
      </c>
      <c r="K222">
        <f t="shared" si="42"/>
        <v>315</v>
      </c>
      <c r="L222">
        <f t="shared" si="43"/>
        <v>92.095500000000001</v>
      </c>
      <c r="M222">
        <f t="shared" si="44"/>
        <v>2025</v>
      </c>
      <c r="N222">
        <f t="shared" si="45"/>
        <v>592.04250000000002</v>
      </c>
      <c r="O222">
        <f t="shared" si="46"/>
        <v>173.09349225</v>
      </c>
      <c r="Q222" s="11">
        <f t="shared" si="49"/>
        <v>56.145145698426006</v>
      </c>
      <c r="R222" s="12">
        <f t="shared" si="47"/>
        <v>2.0820830880472839E-2</v>
      </c>
    </row>
    <row r="223" spans="1:18" x14ac:dyDescent="0.25">
      <c r="A223">
        <v>7</v>
      </c>
      <c r="B223">
        <v>45</v>
      </c>
      <c r="C223">
        <f t="shared" si="62"/>
        <v>15.733079999999999</v>
      </c>
      <c r="E223">
        <v>66</v>
      </c>
      <c r="G223">
        <f t="shared" si="40"/>
        <v>7</v>
      </c>
      <c r="H223" s="10">
        <f t="shared" si="40"/>
        <v>45</v>
      </c>
      <c r="I223">
        <f t="shared" si="40"/>
        <v>15.733079999999999</v>
      </c>
      <c r="J223">
        <f t="shared" si="41"/>
        <v>49</v>
      </c>
      <c r="K223">
        <f t="shared" si="42"/>
        <v>315</v>
      </c>
      <c r="L223">
        <f t="shared" si="43"/>
        <v>110.13155999999999</v>
      </c>
      <c r="M223">
        <f t="shared" si="44"/>
        <v>2025</v>
      </c>
      <c r="N223">
        <f t="shared" si="45"/>
        <v>707.98860000000002</v>
      </c>
      <c r="O223">
        <f t="shared" si="46"/>
        <v>247.52980628639997</v>
      </c>
      <c r="Q223" s="11">
        <f t="shared" si="49"/>
        <v>66.187171030700256</v>
      </c>
      <c r="R223" s="12">
        <f t="shared" si="47"/>
        <v>2.8359247075796343E-3</v>
      </c>
    </row>
    <row r="224" spans="1:18" x14ac:dyDescent="0.25">
      <c r="A224">
        <v>7</v>
      </c>
      <c r="B224">
        <v>45</v>
      </c>
      <c r="C224">
        <f t="shared" si="62"/>
        <v>18.221540000000001</v>
      </c>
      <c r="E224">
        <v>76</v>
      </c>
      <c r="G224">
        <f t="shared" si="40"/>
        <v>7</v>
      </c>
      <c r="H224" s="10">
        <f t="shared" si="40"/>
        <v>45</v>
      </c>
      <c r="I224">
        <f t="shared" si="40"/>
        <v>18.221540000000001</v>
      </c>
      <c r="J224">
        <f t="shared" si="41"/>
        <v>49</v>
      </c>
      <c r="K224">
        <f t="shared" si="42"/>
        <v>315</v>
      </c>
      <c r="L224">
        <f t="shared" si="43"/>
        <v>127.55078</v>
      </c>
      <c r="M224">
        <f t="shared" si="44"/>
        <v>2025</v>
      </c>
      <c r="N224">
        <f t="shared" si="45"/>
        <v>819.96930000000009</v>
      </c>
      <c r="O224">
        <f t="shared" si="46"/>
        <v>332.02451997160006</v>
      </c>
      <c r="Q224" s="11">
        <f t="shared" si="49"/>
        <v>75.306280765035041</v>
      </c>
      <c r="R224" s="12">
        <f t="shared" si="47"/>
        <v>-9.1278846705915694E-3</v>
      </c>
    </row>
    <row r="225" spans="1:18" x14ac:dyDescent="0.25">
      <c r="A225">
        <v>2</v>
      </c>
      <c r="B225">
        <v>45</v>
      </c>
      <c r="C225">
        <f t="shared" si="62"/>
        <v>7.1808000000000005</v>
      </c>
      <c r="E225">
        <v>36</v>
      </c>
      <c r="G225">
        <f t="shared" si="40"/>
        <v>2</v>
      </c>
      <c r="H225" s="10">
        <f t="shared" si="40"/>
        <v>45</v>
      </c>
      <c r="I225">
        <f t="shared" si="40"/>
        <v>7.1808000000000005</v>
      </c>
      <c r="J225">
        <f t="shared" si="41"/>
        <v>4</v>
      </c>
      <c r="K225">
        <f t="shared" si="42"/>
        <v>90</v>
      </c>
      <c r="L225">
        <f t="shared" si="43"/>
        <v>14.361600000000001</v>
      </c>
      <c r="M225">
        <f t="shared" si="44"/>
        <v>2025</v>
      </c>
      <c r="N225">
        <f t="shared" si="45"/>
        <v>323.13600000000002</v>
      </c>
      <c r="O225">
        <f t="shared" si="46"/>
        <v>51.563888640000009</v>
      </c>
      <c r="Q225" s="11">
        <f t="shared" si="49"/>
        <v>35.24258334301043</v>
      </c>
      <c r="R225" s="12">
        <f t="shared" si="47"/>
        <v>-2.1039351583043597E-2</v>
      </c>
    </row>
    <row r="226" spans="1:18" x14ac:dyDescent="0.25">
      <c r="A226">
        <v>2</v>
      </c>
      <c r="B226">
        <v>45</v>
      </c>
      <c r="C226">
        <f t="shared" si="62"/>
        <v>9.9838899999999988</v>
      </c>
      <c r="E226">
        <v>49</v>
      </c>
      <c r="G226">
        <f t="shared" si="40"/>
        <v>2</v>
      </c>
      <c r="H226" s="10">
        <f t="shared" si="40"/>
        <v>45</v>
      </c>
      <c r="I226">
        <f t="shared" si="40"/>
        <v>9.9838899999999988</v>
      </c>
      <c r="J226">
        <f t="shared" si="41"/>
        <v>4</v>
      </c>
      <c r="K226">
        <f t="shared" si="42"/>
        <v>90</v>
      </c>
      <c r="L226">
        <f t="shared" si="43"/>
        <v>19.967779999999998</v>
      </c>
      <c r="M226">
        <f t="shared" si="44"/>
        <v>2025</v>
      </c>
      <c r="N226">
        <f t="shared" si="45"/>
        <v>449.27504999999996</v>
      </c>
      <c r="O226">
        <f t="shared" si="46"/>
        <v>99.678059532099979</v>
      </c>
      <c r="Q226" s="11">
        <f t="shared" si="49"/>
        <v>49.262561118191435</v>
      </c>
      <c r="R226" s="12">
        <f t="shared" si="47"/>
        <v>5.3583901671721453E-3</v>
      </c>
    </row>
    <row r="227" spans="1:18" x14ac:dyDescent="0.25">
      <c r="A227">
        <v>2</v>
      </c>
      <c r="B227">
        <v>45</v>
      </c>
      <c r="C227">
        <f t="shared" si="62"/>
        <v>11.43529</v>
      </c>
      <c r="E227">
        <v>55</v>
      </c>
      <c r="G227">
        <f t="shared" si="40"/>
        <v>2</v>
      </c>
      <c r="H227" s="10">
        <f t="shared" si="40"/>
        <v>45</v>
      </c>
      <c r="I227">
        <f t="shared" si="40"/>
        <v>11.43529</v>
      </c>
      <c r="J227">
        <f t="shared" si="41"/>
        <v>4</v>
      </c>
      <c r="K227">
        <f t="shared" si="42"/>
        <v>90</v>
      </c>
      <c r="L227">
        <f t="shared" si="43"/>
        <v>22.87058</v>
      </c>
      <c r="M227">
        <f t="shared" si="44"/>
        <v>2025</v>
      </c>
      <c r="N227">
        <f t="shared" si="45"/>
        <v>514.58804999999995</v>
      </c>
      <c r="O227">
        <f t="shared" si="46"/>
        <v>130.7658573841</v>
      </c>
      <c r="Q227" s="11">
        <f t="shared" si="49"/>
        <v>56.238012023504361</v>
      </c>
      <c r="R227" s="12">
        <f t="shared" si="47"/>
        <v>2.2509309518261102E-2</v>
      </c>
    </row>
    <row r="228" spans="1:18" x14ac:dyDescent="0.25">
      <c r="A228">
        <v>2</v>
      </c>
      <c r="B228">
        <v>45</v>
      </c>
      <c r="C228">
        <f t="shared" si="62"/>
        <v>13.587639999999999</v>
      </c>
      <c r="E228">
        <v>66</v>
      </c>
      <c r="G228">
        <f t="shared" si="40"/>
        <v>2</v>
      </c>
      <c r="H228" s="10">
        <f t="shared" si="40"/>
        <v>45</v>
      </c>
      <c r="I228">
        <f t="shared" si="40"/>
        <v>13.587639999999999</v>
      </c>
      <c r="J228">
        <f t="shared" si="41"/>
        <v>4</v>
      </c>
      <c r="K228">
        <f t="shared" si="42"/>
        <v>90</v>
      </c>
      <c r="L228">
        <f t="shared" si="43"/>
        <v>27.175279999999997</v>
      </c>
      <c r="M228">
        <f t="shared" si="44"/>
        <v>2025</v>
      </c>
      <c r="N228">
        <f t="shared" si="45"/>
        <v>611.4437999999999</v>
      </c>
      <c r="O228">
        <f t="shared" si="46"/>
        <v>184.62396076959996</v>
      </c>
      <c r="Q228" s="11">
        <f t="shared" si="49"/>
        <v>66.225633706604725</v>
      </c>
      <c r="R228" s="12">
        <f t="shared" si="47"/>
        <v>3.4186925243140172E-3</v>
      </c>
    </row>
    <row r="229" spans="1:18" x14ac:dyDescent="0.25">
      <c r="A229">
        <v>2</v>
      </c>
      <c r="B229">
        <v>45</v>
      </c>
      <c r="C229">
        <f t="shared" si="62"/>
        <v>15.70218</v>
      </c>
      <c r="E229">
        <v>76</v>
      </c>
      <c r="G229">
        <f t="shared" si="40"/>
        <v>2</v>
      </c>
      <c r="H229" s="10">
        <f t="shared" si="40"/>
        <v>45</v>
      </c>
      <c r="I229">
        <f t="shared" si="40"/>
        <v>15.70218</v>
      </c>
      <c r="J229">
        <f t="shared" si="41"/>
        <v>4</v>
      </c>
      <c r="K229">
        <f t="shared" si="42"/>
        <v>90</v>
      </c>
      <c r="L229">
        <f t="shared" si="43"/>
        <v>31.40436</v>
      </c>
      <c r="M229">
        <f t="shared" si="44"/>
        <v>2025</v>
      </c>
      <c r="N229">
        <f t="shared" si="45"/>
        <v>706.59810000000004</v>
      </c>
      <c r="O229">
        <f t="shared" si="46"/>
        <v>246.55845675240002</v>
      </c>
      <c r="Q229" s="11">
        <f t="shared" si="49"/>
        <v>75.62299536042903</v>
      </c>
      <c r="R229" s="12">
        <f t="shared" si="47"/>
        <v>-4.9605873627759194E-3</v>
      </c>
    </row>
    <row r="230" spans="1:18" x14ac:dyDescent="0.25">
      <c r="A230">
        <v>-7</v>
      </c>
      <c r="B230">
        <v>45</v>
      </c>
      <c r="C230">
        <f t="shared" si="62"/>
        <v>5.3676400000000006</v>
      </c>
      <c r="E230">
        <v>36</v>
      </c>
      <c r="G230">
        <f t="shared" si="40"/>
        <v>-7</v>
      </c>
      <c r="H230" s="10">
        <f t="shared" si="40"/>
        <v>45</v>
      </c>
      <c r="I230">
        <f t="shared" si="40"/>
        <v>5.3676400000000006</v>
      </c>
      <c r="J230">
        <f t="shared" si="41"/>
        <v>49</v>
      </c>
      <c r="K230">
        <f t="shared" si="42"/>
        <v>-315</v>
      </c>
      <c r="L230">
        <f t="shared" si="43"/>
        <v>-37.573480000000004</v>
      </c>
      <c r="M230">
        <f t="shared" si="44"/>
        <v>2025</v>
      </c>
      <c r="N230">
        <f t="shared" si="45"/>
        <v>241.54380000000003</v>
      </c>
      <c r="O230">
        <f t="shared" si="46"/>
        <v>28.811559169600006</v>
      </c>
      <c r="Q230" s="11">
        <f t="shared" si="49"/>
        <v>36.044519980009724</v>
      </c>
      <c r="R230" s="12">
        <f t="shared" si="47"/>
        <v>1.2366661113812289E-3</v>
      </c>
    </row>
    <row r="231" spans="1:18" x14ac:dyDescent="0.25">
      <c r="A231">
        <v>-7</v>
      </c>
      <c r="B231">
        <v>45</v>
      </c>
      <c r="C231">
        <f t="shared" si="62"/>
        <v>7.5449200000000003</v>
      </c>
      <c r="E231">
        <v>49</v>
      </c>
      <c r="G231">
        <f t="shared" si="40"/>
        <v>-7</v>
      </c>
      <c r="H231" s="10">
        <f t="shared" si="40"/>
        <v>45</v>
      </c>
      <c r="I231">
        <f t="shared" si="40"/>
        <v>7.5449200000000003</v>
      </c>
      <c r="J231">
        <f t="shared" si="41"/>
        <v>49</v>
      </c>
      <c r="K231">
        <f t="shared" si="42"/>
        <v>-315</v>
      </c>
      <c r="L231">
        <f t="shared" si="43"/>
        <v>-52.814440000000005</v>
      </c>
      <c r="M231">
        <f t="shared" si="44"/>
        <v>2025</v>
      </c>
      <c r="N231">
        <f t="shared" si="45"/>
        <v>339.52140000000003</v>
      </c>
      <c r="O231">
        <f t="shared" si="46"/>
        <v>56.925817806400005</v>
      </c>
      <c r="Q231" s="11">
        <f t="shared" si="49"/>
        <v>49.574919907272196</v>
      </c>
      <c r="R231" s="12">
        <f t="shared" si="47"/>
        <v>1.1733059332085641E-2</v>
      </c>
    </row>
    <row r="232" spans="1:18" x14ac:dyDescent="0.25">
      <c r="A232">
        <v>-7</v>
      </c>
      <c r="B232">
        <v>45</v>
      </c>
      <c r="C232">
        <f t="shared" si="62"/>
        <v>8.4348500000000008</v>
      </c>
      <c r="E232">
        <v>55</v>
      </c>
      <c r="G232">
        <f t="shared" si="40"/>
        <v>-7</v>
      </c>
      <c r="H232" s="10">
        <f t="shared" si="40"/>
        <v>45</v>
      </c>
      <c r="I232">
        <f t="shared" si="40"/>
        <v>8.4348500000000008</v>
      </c>
      <c r="J232">
        <f t="shared" si="41"/>
        <v>49</v>
      </c>
      <c r="K232">
        <f t="shared" si="42"/>
        <v>-315</v>
      </c>
      <c r="L232">
        <f t="shared" si="43"/>
        <v>-59.043950000000009</v>
      </c>
      <c r="M232">
        <f t="shared" si="44"/>
        <v>2025</v>
      </c>
      <c r="N232">
        <f t="shared" si="45"/>
        <v>379.56825000000003</v>
      </c>
      <c r="O232">
        <f t="shared" si="46"/>
        <v>71.146694522500013</v>
      </c>
      <c r="Q232" s="11">
        <f t="shared" si="49"/>
        <v>54.979771358891618</v>
      </c>
      <c r="R232" s="12">
        <f t="shared" si="47"/>
        <v>-3.6779347469785182E-4</v>
      </c>
    </row>
    <row r="233" spans="1:18" x14ac:dyDescent="0.25">
      <c r="A233">
        <v>-7</v>
      </c>
      <c r="B233">
        <v>45</v>
      </c>
      <c r="C233">
        <f t="shared" si="62"/>
        <v>10.26024</v>
      </c>
      <c r="E233">
        <v>66</v>
      </c>
      <c r="G233">
        <f t="shared" si="40"/>
        <v>-7</v>
      </c>
      <c r="H233" s="10">
        <f t="shared" si="40"/>
        <v>45</v>
      </c>
      <c r="I233">
        <f t="shared" si="40"/>
        <v>10.26024</v>
      </c>
      <c r="J233">
        <f t="shared" si="41"/>
        <v>49</v>
      </c>
      <c r="K233">
        <f t="shared" si="42"/>
        <v>-315</v>
      </c>
      <c r="L233">
        <f t="shared" si="43"/>
        <v>-71.821680000000001</v>
      </c>
      <c r="M233">
        <f t="shared" si="44"/>
        <v>2025</v>
      </c>
      <c r="N233">
        <f t="shared" si="45"/>
        <v>461.71080000000001</v>
      </c>
      <c r="O233">
        <f t="shared" si="46"/>
        <v>105.27252485759999</v>
      </c>
      <c r="Q233" s="11">
        <f t="shared" si="49"/>
        <v>65.838118192648196</v>
      </c>
      <c r="R233" s="12">
        <f t="shared" si="47"/>
        <v>-2.4527546568455186E-3</v>
      </c>
    </row>
    <row r="234" spans="1:18" x14ac:dyDescent="0.25">
      <c r="A234">
        <v>-7</v>
      </c>
      <c r="B234">
        <v>45</v>
      </c>
      <c r="C234">
        <f t="shared" si="62"/>
        <v>11.674940000000001</v>
      </c>
      <c r="E234">
        <v>76</v>
      </c>
      <c r="G234">
        <f t="shared" si="40"/>
        <v>-7</v>
      </c>
      <c r="H234" s="10">
        <f t="shared" si="40"/>
        <v>45</v>
      </c>
      <c r="I234">
        <f t="shared" si="40"/>
        <v>11.674940000000001</v>
      </c>
      <c r="J234">
        <f t="shared" si="41"/>
        <v>49</v>
      </c>
      <c r="K234">
        <f t="shared" si="42"/>
        <v>-315</v>
      </c>
      <c r="L234">
        <f t="shared" si="43"/>
        <v>-81.724580000000003</v>
      </c>
      <c r="M234">
        <f t="shared" si="44"/>
        <v>2025</v>
      </c>
      <c r="N234">
        <f t="shared" si="45"/>
        <v>525.37230000000011</v>
      </c>
      <c r="O234">
        <f t="shared" si="46"/>
        <v>136.30422400360004</v>
      </c>
      <c r="Q234" s="11">
        <f t="shared" si="49"/>
        <v>74.042734601328789</v>
      </c>
      <c r="R234" s="12">
        <f t="shared" si="47"/>
        <v>-2.5753492087779096E-2</v>
      </c>
    </row>
    <row r="235" spans="1:18" x14ac:dyDescent="0.25">
      <c r="A235">
        <v>-15</v>
      </c>
      <c r="B235">
        <v>45</v>
      </c>
      <c r="C235">
        <f t="shared" si="62"/>
        <v>3.7031700000000001</v>
      </c>
      <c r="E235">
        <v>36</v>
      </c>
      <c r="G235">
        <f t="shared" si="40"/>
        <v>-15</v>
      </c>
      <c r="H235" s="10">
        <f t="shared" si="40"/>
        <v>45</v>
      </c>
      <c r="I235">
        <f t="shared" si="40"/>
        <v>3.7031700000000001</v>
      </c>
      <c r="J235">
        <f t="shared" si="41"/>
        <v>225</v>
      </c>
      <c r="K235">
        <f t="shared" si="42"/>
        <v>-675</v>
      </c>
      <c r="L235">
        <f t="shared" si="43"/>
        <v>-55.547550000000001</v>
      </c>
      <c r="M235">
        <f t="shared" si="44"/>
        <v>2025</v>
      </c>
      <c r="N235">
        <f t="shared" si="45"/>
        <v>166.64265</v>
      </c>
      <c r="O235">
        <f t="shared" si="46"/>
        <v>13.713468048900001</v>
      </c>
      <c r="Q235" s="11">
        <f t="shared" si="49"/>
        <v>36.875024008498357</v>
      </c>
      <c r="R235" s="12">
        <f t="shared" si="47"/>
        <v>2.4306222458287705E-2</v>
      </c>
    </row>
    <row r="236" spans="1:18" x14ac:dyDescent="0.25">
      <c r="A236">
        <v>-15</v>
      </c>
      <c r="B236">
        <v>45</v>
      </c>
      <c r="C236">
        <f t="shared" si="62"/>
        <v>5.4766000000000004</v>
      </c>
      <c r="E236">
        <v>49</v>
      </c>
      <c r="G236">
        <f t="shared" si="40"/>
        <v>-15</v>
      </c>
      <c r="H236" s="10">
        <f t="shared" si="40"/>
        <v>45</v>
      </c>
      <c r="I236">
        <f t="shared" si="40"/>
        <v>5.4766000000000004</v>
      </c>
      <c r="J236">
        <f t="shared" si="41"/>
        <v>225</v>
      </c>
      <c r="K236">
        <f t="shared" si="42"/>
        <v>-675</v>
      </c>
      <c r="L236">
        <f t="shared" si="43"/>
        <v>-82.149000000000001</v>
      </c>
      <c r="M236">
        <f t="shared" si="44"/>
        <v>2025</v>
      </c>
      <c r="N236">
        <f t="shared" si="45"/>
        <v>246.447</v>
      </c>
      <c r="O236">
        <f t="shared" si="46"/>
        <v>29.993147560000004</v>
      </c>
      <c r="Q236" s="11">
        <f t="shared" si="49"/>
        <v>49.803680519265995</v>
      </c>
      <c r="R236" s="12">
        <f t="shared" si="47"/>
        <v>1.6401643250326437E-2</v>
      </c>
    </row>
    <row r="237" spans="1:18" x14ac:dyDescent="0.25">
      <c r="A237">
        <v>-15</v>
      </c>
      <c r="B237">
        <v>45</v>
      </c>
      <c r="C237">
        <f t="shared" si="62"/>
        <v>6.2428400000000002</v>
      </c>
      <c r="E237">
        <v>55</v>
      </c>
      <c r="G237">
        <f t="shared" si="40"/>
        <v>-15</v>
      </c>
      <c r="H237" s="10">
        <f t="shared" si="40"/>
        <v>45</v>
      </c>
      <c r="I237">
        <f t="shared" si="40"/>
        <v>6.2428400000000002</v>
      </c>
      <c r="J237">
        <f t="shared" si="41"/>
        <v>225</v>
      </c>
      <c r="K237">
        <f t="shared" si="42"/>
        <v>-675</v>
      </c>
      <c r="L237">
        <f t="shared" si="43"/>
        <v>-93.642600000000002</v>
      </c>
      <c r="M237">
        <f t="shared" si="44"/>
        <v>2025</v>
      </c>
      <c r="N237">
        <f t="shared" si="45"/>
        <v>280.92779999999999</v>
      </c>
      <c r="O237">
        <f t="shared" si="46"/>
        <v>38.973051265599999</v>
      </c>
      <c r="Q237" s="11">
        <f t="shared" si="49"/>
        <v>55.300255109465702</v>
      </c>
      <c r="R237" s="12">
        <f t="shared" si="47"/>
        <v>5.4591838084673133E-3</v>
      </c>
    </row>
    <row r="238" spans="1:18" x14ac:dyDescent="0.25">
      <c r="A238">
        <v>-15</v>
      </c>
      <c r="B238">
        <v>45</v>
      </c>
      <c r="C238">
        <f t="shared" si="62"/>
        <v>7.6533599999999993</v>
      </c>
      <c r="E238">
        <v>66</v>
      </c>
      <c r="G238">
        <f t="shared" si="40"/>
        <v>-15</v>
      </c>
      <c r="H238" s="10">
        <f t="shared" si="40"/>
        <v>45</v>
      </c>
      <c r="I238">
        <f t="shared" si="40"/>
        <v>7.6533599999999993</v>
      </c>
      <c r="J238">
        <f t="shared" si="41"/>
        <v>225</v>
      </c>
      <c r="K238">
        <f t="shared" si="42"/>
        <v>-675</v>
      </c>
      <c r="L238">
        <f t="shared" si="43"/>
        <v>-114.8004</v>
      </c>
      <c r="M238">
        <f t="shared" si="44"/>
        <v>2025</v>
      </c>
      <c r="N238">
        <f t="shared" si="45"/>
        <v>344.40119999999996</v>
      </c>
      <c r="O238">
        <f t="shared" si="46"/>
        <v>58.573919289599992</v>
      </c>
      <c r="Q238" s="11">
        <f t="shared" si="49"/>
        <v>65.277372206526735</v>
      </c>
      <c r="R238" s="12">
        <f t="shared" si="47"/>
        <v>-1.0948905961716136E-2</v>
      </c>
    </row>
    <row r="239" spans="1:18" x14ac:dyDescent="0.25">
      <c r="A239">
        <v>-15</v>
      </c>
      <c r="B239">
        <v>45</v>
      </c>
      <c r="C239">
        <f t="shared" si="62"/>
        <v>9.0393299999999996</v>
      </c>
      <c r="E239">
        <v>76</v>
      </c>
      <c r="G239">
        <f t="shared" si="40"/>
        <v>-15</v>
      </c>
      <c r="H239" s="10">
        <f t="shared" si="40"/>
        <v>45</v>
      </c>
      <c r="I239">
        <f t="shared" si="40"/>
        <v>9.0393299999999996</v>
      </c>
      <c r="J239">
        <f t="shared" si="41"/>
        <v>225</v>
      </c>
      <c r="K239">
        <f t="shared" si="42"/>
        <v>-675</v>
      </c>
      <c r="L239">
        <f t="shared" si="43"/>
        <v>-135.58994999999999</v>
      </c>
      <c r="M239">
        <f t="shared" si="44"/>
        <v>2025</v>
      </c>
      <c r="N239">
        <f t="shared" si="45"/>
        <v>406.76984999999996</v>
      </c>
      <c r="O239">
        <f t="shared" si="46"/>
        <v>81.709486848899999</v>
      </c>
      <c r="Q239" s="11">
        <f t="shared" si="49"/>
        <v>74.902646398859275</v>
      </c>
      <c r="R239" s="12">
        <f t="shared" si="47"/>
        <v>-1.4438863172904274E-2</v>
      </c>
    </row>
    <row r="240" spans="1:18" x14ac:dyDescent="0.25">
      <c r="A240">
        <v>12</v>
      </c>
      <c r="B240">
        <v>55</v>
      </c>
      <c r="C240">
        <f t="shared" si="62"/>
        <v>8.8869599999999984</v>
      </c>
      <c r="E240">
        <v>36</v>
      </c>
      <c r="G240">
        <f t="shared" si="40"/>
        <v>12</v>
      </c>
      <c r="H240" s="10">
        <f t="shared" si="40"/>
        <v>55</v>
      </c>
      <c r="I240">
        <f t="shared" si="40"/>
        <v>8.8869599999999984</v>
      </c>
      <c r="J240">
        <f t="shared" si="41"/>
        <v>144</v>
      </c>
      <c r="K240">
        <f t="shared" si="42"/>
        <v>660</v>
      </c>
      <c r="L240">
        <f t="shared" si="43"/>
        <v>106.64351999999998</v>
      </c>
      <c r="M240">
        <f t="shared" si="44"/>
        <v>3025</v>
      </c>
      <c r="N240">
        <f t="shared" si="45"/>
        <v>488.7827999999999</v>
      </c>
      <c r="O240">
        <f t="shared" si="46"/>
        <v>78.978058041599965</v>
      </c>
      <c r="Q240" s="11">
        <f t="shared" si="49"/>
        <v>36.16196411941538</v>
      </c>
      <c r="R240" s="12">
        <f t="shared" si="47"/>
        <v>4.4990033170938899E-3</v>
      </c>
    </row>
    <row r="241" spans="1:18" x14ac:dyDescent="0.25">
      <c r="A241">
        <v>12</v>
      </c>
      <c r="B241">
        <v>55</v>
      </c>
      <c r="C241">
        <f t="shared" si="62"/>
        <v>12.349639999999999</v>
      </c>
      <c r="E241">
        <v>49</v>
      </c>
      <c r="G241">
        <f t="shared" si="40"/>
        <v>12</v>
      </c>
      <c r="H241" s="10">
        <f t="shared" si="40"/>
        <v>55</v>
      </c>
      <c r="I241">
        <f t="shared" si="40"/>
        <v>12.349639999999999</v>
      </c>
      <c r="J241">
        <f t="shared" si="41"/>
        <v>144</v>
      </c>
      <c r="K241">
        <f t="shared" si="42"/>
        <v>660</v>
      </c>
      <c r="L241">
        <f t="shared" si="43"/>
        <v>148.19567999999998</v>
      </c>
      <c r="M241">
        <f t="shared" si="44"/>
        <v>3025</v>
      </c>
      <c r="N241">
        <f t="shared" si="45"/>
        <v>679.23019999999997</v>
      </c>
      <c r="O241">
        <f t="shared" si="46"/>
        <v>152.51360812959999</v>
      </c>
      <c r="Q241" s="11">
        <f t="shared" si="49"/>
        <v>49.724394522408467</v>
      </c>
      <c r="R241" s="12">
        <f t="shared" si="47"/>
        <v>1.4783561681805448E-2</v>
      </c>
    </row>
    <row r="242" spans="1:18" x14ac:dyDescent="0.25">
      <c r="H242" s="10"/>
      <c r="Q242" s="11"/>
      <c r="R242" s="12"/>
    </row>
    <row r="243" spans="1:18" x14ac:dyDescent="0.25">
      <c r="H243" s="10"/>
      <c r="Q243" s="11"/>
      <c r="R243" s="12"/>
    </row>
    <row r="244" spans="1:18" x14ac:dyDescent="0.25">
      <c r="H244" s="10"/>
      <c r="Q244" s="11"/>
      <c r="R244" s="12"/>
    </row>
    <row r="245" spans="1:18" x14ac:dyDescent="0.25">
      <c r="H245" s="10"/>
      <c r="Q245" s="11"/>
      <c r="R245" s="12"/>
    </row>
    <row r="246" spans="1:18" x14ac:dyDescent="0.25">
      <c r="H246" s="10"/>
      <c r="Q246" s="11"/>
      <c r="R246" s="12"/>
    </row>
    <row r="247" spans="1:18" x14ac:dyDescent="0.25">
      <c r="H247" s="10"/>
      <c r="Q247" s="11"/>
      <c r="R247" s="12"/>
    </row>
    <row r="248" spans="1:18" x14ac:dyDescent="0.25">
      <c r="H248" s="10"/>
      <c r="Q248" s="11"/>
      <c r="R248" s="12"/>
    </row>
    <row r="249" spans="1:18" x14ac:dyDescent="0.25">
      <c r="H249" s="10"/>
      <c r="Q249" s="11"/>
      <c r="R249" s="12"/>
    </row>
    <row r="250" spans="1:18" x14ac:dyDescent="0.25">
      <c r="H250" s="10"/>
      <c r="Q250" s="11"/>
      <c r="R250" s="12"/>
    </row>
    <row r="251" spans="1:18" x14ac:dyDescent="0.25">
      <c r="H251" s="10"/>
      <c r="Q251" s="11"/>
      <c r="R251" s="12"/>
    </row>
    <row r="252" spans="1:18" x14ac:dyDescent="0.25">
      <c r="H252" s="10"/>
      <c r="Q252" s="11"/>
      <c r="R252" s="12"/>
    </row>
    <row r="253" spans="1:18" x14ac:dyDescent="0.25">
      <c r="H253" s="10"/>
      <c r="Q253" s="11"/>
      <c r="R253" s="12"/>
    </row>
    <row r="254" spans="1:18" x14ac:dyDescent="0.25">
      <c r="H254" s="10"/>
      <c r="Q254" s="11"/>
      <c r="R254" s="12"/>
    </row>
    <row r="255" spans="1:18" x14ac:dyDescent="0.25">
      <c r="H255" s="10"/>
      <c r="Q255" s="11"/>
      <c r="R255" s="12"/>
    </row>
    <row r="256" spans="1:18" x14ac:dyDescent="0.25">
      <c r="H256" s="10"/>
      <c r="Q256" s="11"/>
      <c r="R256" s="12"/>
    </row>
    <row r="257" spans="8:18" x14ac:dyDescent="0.25">
      <c r="H257" s="10"/>
      <c r="Q257" s="11"/>
      <c r="R257" s="12"/>
    </row>
    <row r="258" spans="8:18" x14ac:dyDescent="0.25">
      <c r="H258" s="10"/>
      <c r="Q258" s="11"/>
      <c r="R258" s="12"/>
    </row>
    <row r="259" spans="8:18" x14ac:dyDescent="0.25">
      <c r="H259" s="10"/>
      <c r="Q259" s="11"/>
      <c r="R259" s="12"/>
    </row>
    <row r="260" spans="8:18" x14ac:dyDescent="0.25">
      <c r="H260" s="10"/>
      <c r="Q260" s="11"/>
      <c r="R260" s="12"/>
    </row>
    <row r="261" spans="8:18" x14ac:dyDescent="0.25">
      <c r="H261" s="10"/>
      <c r="Q261" s="11"/>
      <c r="R261" s="12"/>
    </row>
    <row r="262" spans="8:18" x14ac:dyDescent="0.25">
      <c r="H262" s="10"/>
      <c r="Q262" s="11"/>
      <c r="R262" s="12"/>
    </row>
    <row r="263" spans="8:18" x14ac:dyDescent="0.25">
      <c r="H263" s="10"/>
      <c r="Q263" s="11"/>
      <c r="R263" s="12"/>
    </row>
    <row r="264" spans="8:18" x14ac:dyDescent="0.25">
      <c r="H264" s="10"/>
      <c r="Q264" s="11"/>
      <c r="R264" s="12"/>
    </row>
    <row r="265" spans="8:18" x14ac:dyDescent="0.25">
      <c r="H265" s="10"/>
      <c r="Q265" s="11"/>
      <c r="R265" s="12"/>
    </row>
    <row r="266" spans="8:18" x14ac:dyDescent="0.25">
      <c r="H266" s="10"/>
      <c r="Q266" s="11"/>
      <c r="R266" s="12"/>
    </row>
    <row r="267" spans="8:18" x14ac:dyDescent="0.25">
      <c r="H267" s="10"/>
      <c r="Q267" s="11"/>
      <c r="R267" s="12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33793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33793" r:id="rId4"/>
      </mc:Fallback>
    </mc:AlternateContent>
    <mc:AlternateContent xmlns:mc="http://schemas.openxmlformats.org/markup-compatibility/2006">
      <mc:Choice Requires="x14">
        <oleObject progId="Equation.3" shapeId="33794" r:id="rId6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33794" r:id="rId6"/>
      </mc:Fallback>
    </mc:AlternateContent>
    <mc:AlternateContent xmlns:mc="http://schemas.openxmlformats.org/markup-compatibility/2006">
      <mc:Choice Requires="x14">
        <oleObject progId="Equation.3" shapeId="33795" r:id="rId7">
          <objectPr defaultSize="0" autoPict="0" r:id="rId5">
            <anchor moveWithCells="1" sizeWithCells="1">
              <from>
                <xdr:col>6</xdr:col>
                <xdr:colOff>171450</xdr:colOff>
                <xdr:row>83</xdr:row>
                <xdr:rowOff>38100</xdr:rowOff>
              </from>
              <to>
                <xdr:col>14</xdr:col>
                <xdr:colOff>1466850</xdr:colOff>
                <xdr:row>83</xdr:row>
                <xdr:rowOff>647700</xdr:rowOff>
              </to>
            </anchor>
          </objectPr>
        </oleObject>
      </mc:Choice>
      <mc:Fallback>
        <oleObject progId="Equation.3" shapeId="33795" r:id="rId7"/>
      </mc:Fallback>
    </mc:AlternateContent>
    <mc:AlternateContent xmlns:mc="http://schemas.openxmlformats.org/markup-compatibility/2006">
      <mc:Choice Requires="x14">
        <oleObject progId="Equation.3" shapeId="33796" r:id="rId8">
          <objectPr defaultSize="0" autoPict="0" r:id="rId5">
            <anchor moveWithCells="1" sizeWithCells="1">
              <from>
                <xdr:col>6</xdr:col>
                <xdr:colOff>171450</xdr:colOff>
                <xdr:row>164</xdr:row>
                <xdr:rowOff>38100</xdr:rowOff>
              </from>
              <to>
                <xdr:col>14</xdr:col>
                <xdr:colOff>1466850</xdr:colOff>
                <xdr:row>164</xdr:row>
                <xdr:rowOff>647700</xdr:rowOff>
              </to>
            </anchor>
          </objectPr>
        </oleObject>
      </mc:Choice>
      <mc:Fallback>
        <oleObject progId="Equation.3" shapeId="33796" r:id="rId8"/>
      </mc:Fallback>
    </mc:AlternateContent>
  </oleObjec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List21"/>
  <dimension ref="A1:T64"/>
  <sheetViews>
    <sheetView zoomScale="70" zoomScaleNormal="70" workbookViewId="0">
      <selection activeCell="E64" sqref="E64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LINEST(E4:E20,G4:O20)</f>
        <v>9.9434156378600848E-4</v>
      </c>
      <c r="H2" s="4">
        <v>-2.7870370370370354E-4</v>
      </c>
      <c r="I2" s="4">
        <v>2.4074074074081721E-5</v>
      </c>
      <c r="J2" s="4">
        <v>2.7098765432098755E-3</v>
      </c>
      <c r="K2" s="4">
        <v>1.5037037037037031E-3</v>
      </c>
      <c r="L2" s="4">
        <v>-6.0938271604938062E-3</v>
      </c>
      <c r="M2" s="4">
        <v>6.9835905349794211E-2</v>
      </c>
      <c r="N2" s="4">
        <v>-4.3750000000000705E-2</v>
      </c>
      <c r="O2" s="4">
        <v>0</v>
      </c>
      <c r="P2" s="4">
        <v>2.214434156378617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35</v>
      </c>
      <c r="C4">
        <v>20</v>
      </c>
      <c r="E4">
        <v>2.27</v>
      </c>
      <c r="F4" s="2"/>
      <c r="G4">
        <f t="shared" ref="G4:I20" si="0">A4</f>
        <v>0</v>
      </c>
      <c r="H4" s="10">
        <f t="shared" si="0"/>
        <v>35</v>
      </c>
      <c r="I4">
        <f t="shared" si="0"/>
        <v>20</v>
      </c>
      <c r="J4">
        <f t="shared" ref="J4:J20" si="1">G4^2</f>
        <v>0</v>
      </c>
      <c r="K4">
        <f t="shared" ref="K4:K20" si="2">G4*H4</f>
        <v>0</v>
      </c>
      <c r="L4">
        <f t="shared" ref="L4:L20" si="3">G4*I4</f>
        <v>0</v>
      </c>
      <c r="M4">
        <f t="shared" ref="M4:M20" si="4">H4^2</f>
        <v>1225</v>
      </c>
      <c r="N4">
        <f t="shared" ref="N4:N20" si="5">H4*I4</f>
        <v>700</v>
      </c>
      <c r="O4">
        <f t="shared" ref="O4:O20" si="6">I4^2</f>
        <v>400</v>
      </c>
      <c r="Q4" s="11">
        <f t="shared" ref="Q4:Q20" si="7">$P$2+$O$2*G4+$N$2*H4+$M$2*I4+$L$2*J4+$K$2*K4+$J$2*L4+$I$2*M4+$H$2*N4+$G$2*O4</f>
        <v>2.3120370370370376</v>
      </c>
      <c r="R4" s="12">
        <f t="shared" ref="R4:R20" si="8">(Q4-E4)/E4</f>
        <v>1.851851851851874E-2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5.91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6.2025925925925929</v>
      </c>
      <c r="R5" s="12">
        <f t="shared" si="8"/>
        <v>4.9508052892147672E-2</v>
      </c>
      <c r="S5" s="11"/>
      <c r="T5" s="12"/>
    </row>
    <row r="6" spans="1:20" x14ac:dyDescent="0.25">
      <c r="A6">
        <v>0</v>
      </c>
      <c r="B6">
        <v>35</v>
      </c>
      <c r="C6">
        <v>80</v>
      </c>
      <c r="E6">
        <v>12.14</v>
      </c>
      <c r="F6" s="2"/>
      <c r="G6">
        <f t="shared" si="0"/>
        <v>0</v>
      </c>
      <c r="H6" s="10">
        <f t="shared" si="0"/>
        <v>35</v>
      </c>
      <c r="I6">
        <f t="shared" si="0"/>
        <v>80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1225</v>
      </c>
      <c r="N6">
        <f t="shared" si="5"/>
        <v>2800</v>
      </c>
      <c r="O6">
        <f t="shared" si="6"/>
        <v>6400</v>
      </c>
      <c r="Q6" s="11">
        <f t="shared" si="7"/>
        <v>11.882962962962964</v>
      </c>
      <c r="R6" s="12">
        <f t="shared" si="8"/>
        <v>-2.1172737811947031E-2</v>
      </c>
      <c r="S6" s="11"/>
      <c r="T6" s="12"/>
    </row>
    <row r="7" spans="1:20" x14ac:dyDescent="0.25">
      <c r="A7">
        <v>5</v>
      </c>
      <c r="B7">
        <v>35</v>
      </c>
      <c r="C7">
        <v>20</v>
      </c>
      <c r="E7">
        <v>2.65</v>
      </c>
      <c r="F7" s="2"/>
      <c r="G7">
        <f t="shared" si="0"/>
        <v>5</v>
      </c>
      <c r="H7" s="10">
        <f t="shared" si="0"/>
        <v>35</v>
      </c>
      <c r="I7">
        <f t="shared" si="0"/>
        <v>20</v>
      </c>
      <c r="J7">
        <f t="shared" si="1"/>
        <v>25</v>
      </c>
      <c r="K7">
        <f t="shared" si="2"/>
        <v>175</v>
      </c>
      <c r="L7">
        <f t="shared" si="3"/>
        <v>100</v>
      </c>
      <c r="M7">
        <f t="shared" si="4"/>
        <v>1225</v>
      </c>
      <c r="N7">
        <f t="shared" si="5"/>
        <v>700</v>
      </c>
      <c r="O7">
        <f t="shared" si="6"/>
        <v>400</v>
      </c>
      <c r="Q7" s="11">
        <f t="shared" si="7"/>
        <v>2.6938271604938278</v>
      </c>
      <c r="R7" s="12">
        <f t="shared" si="8"/>
        <v>1.6538551129746358E-2</v>
      </c>
      <c r="S7" s="11"/>
      <c r="T7" s="12"/>
    </row>
    <row r="8" spans="1:20" x14ac:dyDescent="0.25">
      <c r="A8">
        <v>5</v>
      </c>
      <c r="B8">
        <v>35</v>
      </c>
      <c r="C8">
        <v>50</v>
      </c>
      <c r="E8">
        <v>7.08</v>
      </c>
      <c r="F8" s="2"/>
      <c r="G8">
        <f t="shared" si="0"/>
        <v>5</v>
      </c>
      <c r="H8" s="10">
        <f t="shared" si="0"/>
        <v>35</v>
      </c>
      <c r="I8">
        <f t="shared" si="0"/>
        <v>50</v>
      </c>
      <c r="J8">
        <f t="shared" si="1"/>
        <v>25</v>
      </c>
      <c r="K8">
        <f t="shared" si="2"/>
        <v>175</v>
      </c>
      <c r="L8">
        <f t="shared" si="3"/>
        <v>250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7"/>
        <v>6.9908641975308647</v>
      </c>
      <c r="R8" s="12">
        <f t="shared" si="8"/>
        <v>-1.2589802608634933E-2</v>
      </c>
      <c r="S8" s="11"/>
      <c r="T8" s="12"/>
    </row>
    <row r="9" spans="1:20" x14ac:dyDescent="0.25">
      <c r="A9">
        <v>5</v>
      </c>
      <c r="B9">
        <v>35</v>
      </c>
      <c r="C9">
        <v>80</v>
      </c>
      <c r="E9">
        <v>13.11</v>
      </c>
      <c r="F9" s="2"/>
      <c r="G9">
        <f t="shared" si="0"/>
        <v>5</v>
      </c>
      <c r="H9" s="10">
        <f t="shared" si="0"/>
        <v>35</v>
      </c>
      <c r="I9">
        <f t="shared" si="0"/>
        <v>80</v>
      </c>
      <c r="J9">
        <f t="shared" si="1"/>
        <v>25</v>
      </c>
      <c r="K9">
        <f t="shared" si="2"/>
        <v>175</v>
      </c>
      <c r="L9">
        <f t="shared" si="3"/>
        <v>400</v>
      </c>
      <c r="M9">
        <f t="shared" si="4"/>
        <v>1225</v>
      </c>
      <c r="N9">
        <f t="shared" si="5"/>
        <v>2800</v>
      </c>
      <c r="O9">
        <f t="shared" si="6"/>
        <v>6400</v>
      </c>
      <c r="Q9" s="11">
        <f t="shared" si="7"/>
        <v>13.077716049382717</v>
      </c>
      <c r="R9" s="12">
        <f t="shared" si="8"/>
        <v>-2.4625439067339655E-3</v>
      </c>
      <c r="S9" s="11"/>
      <c r="T9" s="12"/>
    </row>
    <row r="10" spans="1:20" x14ac:dyDescent="0.25">
      <c r="A10">
        <v>0</v>
      </c>
      <c r="B10">
        <v>45</v>
      </c>
      <c r="C10">
        <v>20</v>
      </c>
      <c r="E10">
        <v>1.97</v>
      </c>
      <c r="F10" s="2"/>
      <c r="G10">
        <f t="shared" si="0"/>
        <v>0</v>
      </c>
      <c r="H10" s="10">
        <f t="shared" si="0"/>
        <v>45</v>
      </c>
      <c r="I10">
        <f t="shared" si="0"/>
        <v>20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2025</v>
      </c>
      <c r="N10">
        <f t="shared" si="5"/>
        <v>900</v>
      </c>
      <c r="O10">
        <f t="shared" si="6"/>
        <v>400</v>
      </c>
      <c r="Q10" s="11">
        <f t="shared" si="7"/>
        <v>1.8380555555555551</v>
      </c>
      <c r="R10" s="12">
        <f t="shared" si="8"/>
        <v>-6.6976875352510082E-2</v>
      </c>
      <c r="S10" s="11"/>
      <c r="T10" s="12"/>
    </row>
    <row r="11" spans="1:20" x14ac:dyDescent="0.25">
      <c r="A11">
        <v>0</v>
      </c>
      <c r="B11">
        <v>45</v>
      </c>
      <c r="C11">
        <v>50</v>
      </c>
      <c r="E11">
        <v>5.63</v>
      </c>
      <c r="F11" s="2"/>
      <c r="G11">
        <f t="shared" si="0"/>
        <v>0</v>
      </c>
      <c r="H11" s="10">
        <f t="shared" si="0"/>
        <v>45</v>
      </c>
      <c r="I11">
        <f t="shared" si="0"/>
        <v>50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5.6449999999999996</v>
      </c>
      <c r="R11" s="12">
        <f t="shared" si="8"/>
        <v>2.6642984014209024E-3</v>
      </c>
      <c r="S11" s="11"/>
      <c r="T11" s="12"/>
    </row>
    <row r="12" spans="1:20" x14ac:dyDescent="0.25">
      <c r="A12">
        <v>0</v>
      </c>
      <c r="B12">
        <v>45</v>
      </c>
      <c r="C12">
        <v>80</v>
      </c>
      <c r="E12">
        <v>11.28</v>
      </c>
      <c r="F12" s="2"/>
      <c r="G12">
        <f t="shared" si="0"/>
        <v>0</v>
      </c>
      <c r="H12" s="10">
        <f t="shared" si="0"/>
        <v>45</v>
      </c>
      <c r="I12">
        <f t="shared" si="0"/>
        <v>80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2025</v>
      </c>
      <c r="N12">
        <f t="shared" si="5"/>
        <v>3600</v>
      </c>
      <c r="O12">
        <f t="shared" si="6"/>
        <v>6400</v>
      </c>
      <c r="Q12" s="11">
        <f t="shared" si="7"/>
        <v>11.241759259259258</v>
      </c>
      <c r="R12" s="12">
        <f t="shared" si="8"/>
        <v>-3.3901365904912845E-3</v>
      </c>
      <c r="S12" s="11"/>
      <c r="T12" s="12"/>
    </row>
    <row r="13" spans="1:20" x14ac:dyDescent="0.25">
      <c r="A13">
        <v>5</v>
      </c>
      <c r="B13">
        <v>45</v>
      </c>
      <c r="C13">
        <v>20</v>
      </c>
      <c r="E13">
        <v>2.5299999999999998</v>
      </c>
      <c r="F13" s="2"/>
      <c r="G13">
        <f t="shared" si="0"/>
        <v>5</v>
      </c>
      <c r="H13" s="10">
        <f t="shared" si="0"/>
        <v>45</v>
      </c>
      <c r="I13">
        <f t="shared" si="0"/>
        <v>20</v>
      </c>
      <c r="J13">
        <f t="shared" si="1"/>
        <v>25</v>
      </c>
      <c r="K13">
        <f t="shared" si="2"/>
        <v>225</v>
      </c>
      <c r="L13">
        <f t="shared" si="3"/>
        <v>100</v>
      </c>
      <c r="M13">
        <f t="shared" si="4"/>
        <v>2025</v>
      </c>
      <c r="N13">
        <f t="shared" si="5"/>
        <v>900</v>
      </c>
      <c r="O13">
        <f t="shared" si="6"/>
        <v>400</v>
      </c>
      <c r="Q13" s="11">
        <f t="shared" si="7"/>
        <v>2.2950308641975306</v>
      </c>
      <c r="R13" s="12">
        <f t="shared" si="8"/>
        <v>-9.2873176206509589E-2</v>
      </c>
      <c r="S13" s="11"/>
      <c r="T13" s="12"/>
    </row>
    <row r="14" spans="1:20" x14ac:dyDescent="0.25">
      <c r="A14">
        <v>5</v>
      </c>
      <c r="B14">
        <v>45</v>
      </c>
      <c r="C14">
        <v>50</v>
      </c>
      <c r="E14">
        <v>6.54</v>
      </c>
      <c r="F14" s="2"/>
      <c r="G14">
        <f t="shared" si="0"/>
        <v>5</v>
      </c>
      <c r="H14" s="10">
        <f t="shared" si="0"/>
        <v>45</v>
      </c>
      <c r="I14">
        <f t="shared" si="0"/>
        <v>50</v>
      </c>
      <c r="J14">
        <f t="shared" si="1"/>
        <v>25</v>
      </c>
      <c r="K14">
        <f t="shared" si="2"/>
        <v>225</v>
      </c>
      <c r="L14">
        <f t="shared" si="3"/>
        <v>250</v>
      </c>
      <c r="M14">
        <f t="shared" si="4"/>
        <v>2025</v>
      </c>
      <c r="N14">
        <f t="shared" si="5"/>
        <v>2250</v>
      </c>
      <c r="O14">
        <f t="shared" si="6"/>
        <v>2500</v>
      </c>
      <c r="Q14" s="11">
        <f t="shared" si="7"/>
        <v>6.5084567901234562</v>
      </c>
      <c r="R14" s="12">
        <f t="shared" si="8"/>
        <v>-4.8231207762299382E-3</v>
      </c>
      <c r="S14" s="11"/>
      <c r="T14" s="12"/>
    </row>
    <row r="15" spans="1:20" x14ac:dyDescent="0.25">
      <c r="A15">
        <v>5</v>
      </c>
      <c r="B15">
        <v>45</v>
      </c>
      <c r="C15">
        <v>80</v>
      </c>
      <c r="E15">
        <v>12.09</v>
      </c>
      <c r="F15" s="2"/>
      <c r="G15">
        <f t="shared" si="0"/>
        <v>5</v>
      </c>
      <c r="H15" s="10">
        <f t="shared" si="0"/>
        <v>45</v>
      </c>
      <c r="I15">
        <f t="shared" si="0"/>
        <v>80</v>
      </c>
      <c r="J15">
        <f t="shared" si="1"/>
        <v>25</v>
      </c>
      <c r="K15">
        <f t="shared" si="2"/>
        <v>225</v>
      </c>
      <c r="L15">
        <f t="shared" si="3"/>
        <v>400</v>
      </c>
      <c r="M15">
        <f t="shared" si="4"/>
        <v>2025</v>
      </c>
      <c r="N15">
        <f t="shared" si="5"/>
        <v>3600</v>
      </c>
      <c r="O15">
        <f t="shared" si="6"/>
        <v>6400</v>
      </c>
      <c r="Q15" s="11">
        <f t="shared" si="7"/>
        <v>12.511697530864197</v>
      </c>
      <c r="R15" s="12">
        <f t="shared" si="8"/>
        <v>3.4879861940793802E-2</v>
      </c>
      <c r="S15" s="11"/>
      <c r="T15" s="12"/>
    </row>
    <row r="16" spans="1:20" x14ac:dyDescent="0.25">
      <c r="A16">
        <v>0</v>
      </c>
      <c r="B16">
        <v>55</v>
      </c>
      <c r="C16">
        <v>50</v>
      </c>
      <c r="E16">
        <v>5.22</v>
      </c>
      <c r="F16" s="2"/>
      <c r="G16">
        <f t="shared" si="0"/>
        <v>0</v>
      </c>
      <c r="H16" s="10">
        <f t="shared" si="0"/>
        <v>55</v>
      </c>
      <c r="I16">
        <f t="shared" si="0"/>
        <v>50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3025</v>
      </c>
      <c r="N16">
        <f t="shared" si="5"/>
        <v>2750</v>
      </c>
      <c r="O16">
        <f t="shared" si="6"/>
        <v>2500</v>
      </c>
      <c r="Q16" s="11">
        <f t="shared" si="7"/>
        <v>5.0922222222222224</v>
      </c>
      <c r="R16" s="12">
        <f t="shared" si="8"/>
        <v>-2.4478501489995658E-2</v>
      </c>
      <c r="S16" s="11"/>
      <c r="T16" s="12"/>
    </row>
    <row r="17" spans="1:20" x14ac:dyDescent="0.25">
      <c r="A17">
        <v>0</v>
      </c>
      <c r="B17">
        <v>55</v>
      </c>
      <c r="C17">
        <v>80</v>
      </c>
      <c r="E17">
        <v>10.4</v>
      </c>
      <c r="F17" s="2"/>
      <c r="G17">
        <f t="shared" si="0"/>
        <v>0</v>
      </c>
      <c r="H17" s="10">
        <f t="shared" si="0"/>
        <v>55</v>
      </c>
      <c r="I17">
        <f t="shared" si="0"/>
        <v>80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3025</v>
      </c>
      <c r="N17">
        <f t="shared" si="5"/>
        <v>4400</v>
      </c>
      <c r="O17">
        <f t="shared" si="6"/>
        <v>6400</v>
      </c>
      <c r="Q17" s="11">
        <f t="shared" si="7"/>
        <v>10.60537037037037</v>
      </c>
      <c r="R17" s="12">
        <f t="shared" si="8"/>
        <v>1.9747150997150895E-2</v>
      </c>
      <c r="S17" s="11"/>
      <c r="T17" s="12"/>
    </row>
    <row r="18" spans="1:20" x14ac:dyDescent="0.25">
      <c r="A18">
        <v>5</v>
      </c>
      <c r="B18">
        <v>55</v>
      </c>
      <c r="C18">
        <v>20</v>
      </c>
      <c r="E18">
        <v>1.62</v>
      </c>
      <c r="F18" s="2"/>
      <c r="G18">
        <f t="shared" si="0"/>
        <v>5</v>
      </c>
      <c r="H18" s="10">
        <f t="shared" si="0"/>
        <v>55</v>
      </c>
      <c r="I18">
        <f t="shared" si="0"/>
        <v>20</v>
      </c>
      <c r="J18">
        <f t="shared" si="1"/>
        <v>25</v>
      </c>
      <c r="K18">
        <f t="shared" si="2"/>
        <v>275</v>
      </c>
      <c r="L18">
        <f t="shared" si="3"/>
        <v>100</v>
      </c>
      <c r="M18">
        <f t="shared" si="4"/>
        <v>3025</v>
      </c>
      <c r="N18">
        <f t="shared" si="5"/>
        <v>1100</v>
      </c>
      <c r="O18">
        <f t="shared" si="6"/>
        <v>400</v>
      </c>
      <c r="Q18" s="11">
        <f t="shared" si="7"/>
        <v>1.90104938271605</v>
      </c>
      <c r="R18" s="12">
        <f t="shared" si="8"/>
        <v>0.17348727328151223</v>
      </c>
      <c r="S18" s="11"/>
      <c r="T18" s="12"/>
    </row>
    <row r="19" spans="1:20" x14ac:dyDescent="0.25">
      <c r="A19">
        <v>5</v>
      </c>
      <c r="B19">
        <v>55</v>
      </c>
      <c r="C19">
        <v>50</v>
      </c>
      <c r="E19">
        <v>6.09</v>
      </c>
      <c r="F19" s="2"/>
      <c r="G19">
        <f t="shared" si="0"/>
        <v>5</v>
      </c>
      <c r="H19" s="10">
        <f t="shared" si="0"/>
        <v>55</v>
      </c>
      <c r="I19">
        <f t="shared" si="0"/>
        <v>50</v>
      </c>
      <c r="J19">
        <f t="shared" si="1"/>
        <v>25</v>
      </c>
      <c r="K19">
        <f t="shared" si="2"/>
        <v>275</v>
      </c>
      <c r="L19">
        <f t="shared" si="3"/>
        <v>250</v>
      </c>
      <c r="M19">
        <f t="shared" si="4"/>
        <v>3025</v>
      </c>
      <c r="N19">
        <f t="shared" si="5"/>
        <v>2750</v>
      </c>
      <c r="O19">
        <f t="shared" si="6"/>
        <v>2500</v>
      </c>
      <c r="Q19" s="11">
        <f t="shared" si="7"/>
        <v>6.0308641975308639</v>
      </c>
      <c r="R19" s="12">
        <f t="shared" si="8"/>
        <v>-9.7103123923047568E-3</v>
      </c>
      <c r="S19" s="11"/>
      <c r="T19" s="12"/>
    </row>
    <row r="20" spans="1:20" x14ac:dyDescent="0.25">
      <c r="A20">
        <v>5</v>
      </c>
      <c r="B20">
        <v>55</v>
      </c>
      <c r="C20">
        <v>80</v>
      </c>
      <c r="E20">
        <v>12.25</v>
      </c>
      <c r="G20">
        <f t="shared" si="0"/>
        <v>5</v>
      </c>
      <c r="H20" s="10">
        <f t="shared" si="0"/>
        <v>55</v>
      </c>
      <c r="I20">
        <f t="shared" si="0"/>
        <v>80</v>
      </c>
      <c r="J20">
        <f t="shared" si="1"/>
        <v>25</v>
      </c>
      <c r="K20">
        <f t="shared" si="2"/>
        <v>275</v>
      </c>
      <c r="L20">
        <f t="shared" si="3"/>
        <v>400</v>
      </c>
      <c r="M20">
        <f t="shared" si="4"/>
        <v>3025</v>
      </c>
      <c r="N20">
        <f t="shared" si="5"/>
        <v>4400</v>
      </c>
      <c r="O20">
        <f t="shared" si="6"/>
        <v>6400</v>
      </c>
      <c r="Q20" s="11">
        <f t="shared" si="7"/>
        <v>11.950493827160493</v>
      </c>
      <c r="R20" s="12">
        <f t="shared" si="8"/>
        <v>-2.4449483497102627E-2</v>
      </c>
      <c r="S20" s="11"/>
      <c r="T20" s="12"/>
    </row>
    <row r="23" spans="1:20" x14ac:dyDescent="0.25">
      <c r="A23" t="s">
        <v>27</v>
      </c>
      <c r="G23" s="4" t="s">
        <v>1</v>
      </c>
      <c r="H23" s="4" t="s">
        <v>2</v>
      </c>
      <c r="I23" s="4" t="s">
        <v>3</v>
      </c>
      <c r="J23" s="4" t="s">
        <v>4</v>
      </c>
      <c r="K23" s="4" t="s">
        <v>5</v>
      </c>
      <c r="L23" s="4" t="s">
        <v>6</v>
      </c>
      <c r="M23" s="4" t="s">
        <v>7</v>
      </c>
      <c r="N23" s="4" t="s">
        <v>8</v>
      </c>
      <c r="O23" s="4" t="s">
        <v>9</v>
      </c>
      <c r="P23" s="4" t="s">
        <v>10</v>
      </c>
    </row>
    <row r="24" spans="1:20" x14ac:dyDescent="0.25">
      <c r="A24" s="1"/>
      <c r="C24" s="1"/>
      <c r="D24" s="1"/>
      <c r="E24" s="1"/>
      <c r="F24" s="1"/>
      <c r="G24" s="4">
        <f t="array" ref="G24:P24">LINEST(E26:E42,G26:O42)</f>
        <v>8.3710562414266359E-5</v>
      </c>
      <c r="H24" s="4">
        <v>6.0246913580247041E-4</v>
      </c>
      <c r="I24" s="4">
        <v>1.0339506172839645E-4</v>
      </c>
      <c r="J24" s="4">
        <v>2.6748971193418454E-5</v>
      </c>
      <c r="K24" s="4">
        <v>5.1975308641975749E-4</v>
      </c>
      <c r="L24" s="4">
        <v>-4.9189300411523352E-3</v>
      </c>
      <c r="M24" s="4">
        <v>4.7729766803839956E-3</v>
      </c>
      <c r="N24" s="4">
        <v>-1.1861111111111306E-2</v>
      </c>
      <c r="O24" s="4">
        <v>0</v>
      </c>
      <c r="P24" s="4">
        <v>8.2005315500693177E-2</v>
      </c>
    </row>
    <row r="25" spans="1:20" ht="45" x14ac:dyDescent="0.25">
      <c r="A25" s="5" t="s">
        <v>11</v>
      </c>
      <c r="B25" s="5" t="s">
        <v>12</v>
      </c>
      <c r="C25" s="5" t="s">
        <v>13</v>
      </c>
      <c r="D25" s="6"/>
      <c r="E25" s="7" t="s">
        <v>14</v>
      </c>
      <c r="F25" s="3"/>
      <c r="G25" s="8" t="s">
        <v>17</v>
      </c>
      <c r="H25" s="8" t="s">
        <v>18</v>
      </c>
      <c r="I25" s="8" t="s">
        <v>0</v>
      </c>
      <c r="J25" s="8" t="s">
        <v>19</v>
      </c>
      <c r="K25" s="8" t="s">
        <v>20</v>
      </c>
      <c r="L25" s="8" t="s">
        <v>21</v>
      </c>
      <c r="M25" s="8" t="s">
        <v>22</v>
      </c>
      <c r="N25" s="8" t="s">
        <v>23</v>
      </c>
      <c r="O25" s="8" t="s">
        <v>24</v>
      </c>
      <c r="P25" s="3"/>
      <c r="Q25" s="9" t="s">
        <v>14</v>
      </c>
      <c r="R25" s="9" t="s">
        <v>15</v>
      </c>
    </row>
    <row r="26" spans="1:20" x14ac:dyDescent="0.25">
      <c r="A26">
        <v>0</v>
      </c>
      <c r="B26">
        <v>35</v>
      </c>
      <c r="C26">
        <v>20</v>
      </c>
      <c r="E26">
        <v>0.33</v>
      </c>
      <c r="F26" s="2"/>
      <c r="G26">
        <f t="shared" ref="G26:I42" si="9">A26</f>
        <v>0</v>
      </c>
      <c r="H26" s="10">
        <f t="shared" si="9"/>
        <v>35</v>
      </c>
      <c r="I26">
        <f t="shared" si="9"/>
        <v>20</v>
      </c>
      <c r="J26">
        <f t="shared" ref="J26:J42" si="10">G26^2</f>
        <v>0</v>
      </c>
      <c r="K26">
        <f t="shared" ref="K26:K42" si="11">G26*H26</f>
        <v>0</v>
      </c>
      <c r="L26">
        <f t="shared" ref="L26:L42" si="12">G26*I26</f>
        <v>0</v>
      </c>
      <c r="M26">
        <f t="shared" ref="M26:M42" si="13">H26^2</f>
        <v>1225</v>
      </c>
      <c r="N26">
        <f t="shared" ref="N26:N42" si="14">H26*I26</f>
        <v>700</v>
      </c>
      <c r="O26">
        <f t="shared" ref="O26:O42" si="15">I26^2</f>
        <v>400</v>
      </c>
      <c r="Q26" s="11">
        <f t="shared" ref="Q26:Q42" si="16">$P$24+$O$24*G26+$N$24*H26+$M$24*I26+$L$24*J26+$K$24*K26+$J$24*L26+$I$24*M26+$H$24*N26+$G$24*O26</f>
        <v>0.34419753086419885</v>
      </c>
      <c r="R26" s="12">
        <f t="shared" ref="R26:R42" si="17">(Q26-E26)/E26</f>
        <v>4.3022820800602532E-2</v>
      </c>
    </row>
    <row r="27" spans="1:20" x14ac:dyDescent="0.25">
      <c r="A27">
        <v>0</v>
      </c>
      <c r="B27">
        <v>35</v>
      </c>
      <c r="C27">
        <v>50</v>
      </c>
      <c r="E27">
        <v>1.3</v>
      </c>
      <c r="F27" s="2"/>
      <c r="G27">
        <f t="shared" si="9"/>
        <v>0</v>
      </c>
      <c r="H27" s="10">
        <f t="shared" si="9"/>
        <v>35</v>
      </c>
      <c r="I27">
        <f t="shared" si="9"/>
        <v>50</v>
      </c>
      <c r="J27">
        <f t="shared" si="10"/>
        <v>0</v>
      </c>
      <c r="K27">
        <f t="shared" si="11"/>
        <v>0</v>
      </c>
      <c r="L27">
        <f t="shared" si="12"/>
        <v>0</v>
      </c>
      <c r="M27">
        <f t="shared" si="13"/>
        <v>1225</v>
      </c>
      <c r="N27">
        <f t="shared" si="14"/>
        <v>1750</v>
      </c>
      <c r="O27">
        <f t="shared" si="15"/>
        <v>2500</v>
      </c>
      <c r="Q27" s="11">
        <f t="shared" si="16"/>
        <v>1.2957716049382721</v>
      </c>
      <c r="R27" s="12">
        <f t="shared" si="17"/>
        <v>-3.2526115859445358E-3</v>
      </c>
    </row>
    <row r="28" spans="1:20" x14ac:dyDescent="0.25">
      <c r="A28">
        <v>0</v>
      </c>
      <c r="B28">
        <v>35</v>
      </c>
      <c r="C28">
        <v>80</v>
      </c>
      <c r="E28">
        <v>2.42</v>
      </c>
      <c r="F28" s="2"/>
      <c r="G28">
        <f t="shared" si="9"/>
        <v>0</v>
      </c>
      <c r="H28" s="10">
        <f t="shared" si="9"/>
        <v>35</v>
      </c>
      <c r="I28">
        <f t="shared" si="9"/>
        <v>80</v>
      </c>
      <c r="J28">
        <f t="shared" si="10"/>
        <v>0</v>
      </c>
      <c r="K28">
        <f t="shared" si="11"/>
        <v>0</v>
      </c>
      <c r="L28">
        <f t="shared" si="12"/>
        <v>0</v>
      </c>
      <c r="M28">
        <f t="shared" si="13"/>
        <v>1225</v>
      </c>
      <c r="N28">
        <f t="shared" si="14"/>
        <v>2800</v>
      </c>
      <c r="O28">
        <f t="shared" si="15"/>
        <v>6400</v>
      </c>
      <c r="Q28" s="11">
        <f t="shared" si="16"/>
        <v>2.3980246913580245</v>
      </c>
      <c r="R28" s="12">
        <f t="shared" si="17"/>
        <v>-9.0807060504030541E-3</v>
      </c>
    </row>
    <row r="29" spans="1:20" x14ac:dyDescent="0.25">
      <c r="A29">
        <v>5</v>
      </c>
      <c r="B29">
        <v>35</v>
      </c>
      <c r="C29">
        <v>20</v>
      </c>
      <c r="E29">
        <v>0.34</v>
      </c>
      <c r="F29" s="2"/>
      <c r="G29">
        <f t="shared" si="9"/>
        <v>5</v>
      </c>
      <c r="H29" s="10">
        <f t="shared" si="9"/>
        <v>35</v>
      </c>
      <c r="I29">
        <f t="shared" si="9"/>
        <v>20</v>
      </c>
      <c r="J29">
        <f t="shared" si="10"/>
        <v>25</v>
      </c>
      <c r="K29">
        <f t="shared" si="11"/>
        <v>175</v>
      </c>
      <c r="L29">
        <f t="shared" si="12"/>
        <v>100</v>
      </c>
      <c r="M29">
        <f t="shared" si="13"/>
        <v>1225</v>
      </c>
      <c r="N29">
        <f t="shared" si="14"/>
        <v>700</v>
      </c>
      <c r="O29">
        <f t="shared" si="15"/>
        <v>400</v>
      </c>
      <c r="Q29" s="11">
        <f t="shared" si="16"/>
        <v>0.31485596707818986</v>
      </c>
      <c r="R29" s="12">
        <f t="shared" si="17"/>
        <v>-7.3953038005324018E-2</v>
      </c>
    </row>
    <row r="30" spans="1:20" x14ac:dyDescent="0.25">
      <c r="A30">
        <v>5</v>
      </c>
      <c r="B30">
        <v>35</v>
      </c>
      <c r="C30">
        <v>50</v>
      </c>
      <c r="E30">
        <v>1.27</v>
      </c>
      <c r="F30" s="2"/>
      <c r="G30">
        <f t="shared" si="9"/>
        <v>5</v>
      </c>
      <c r="H30" s="10">
        <f t="shared" si="9"/>
        <v>35</v>
      </c>
      <c r="I30">
        <f t="shared" si="9"/>
        <v>50</v>
      </c>
      <c r="J30">
        <f t="shared" si="10"/>
        <v>25</v>
      </c>
      <c r="K30">
        <f t="shared" si="11"/>
        <v>175</v>
      </c>
      <c r="L30">
        <f t="shared" si="12"/>
        <v>250</v>
      </c>
      <c r="M30">
        <f t="shared" si="13"/>
        <v>1225</v>
      </c>
      <c r="N30">
        <f t="shared" si="14"/>
        <v>1750</v>
      </c>
      <c r="O30">
        <f t="shared" si="15"/>
        <v>2500</v>
      </c>
      <c r="Q30" s="11">
        <f t="shared" si="16"/>
        <v>1.2704423868312755</v>
      </c>
      <c r="R30" s="12">
        <f t="shared" si="17"/>
        <v>3.483360876185116E-4</v>
      </c>
    </row>
    <row r="31" spans="1:20" x14ac:dyDescent="0.25">
      <c r="A31">
        <v>5</v>
      </c>
      <c r="B31">
        <v>35</v>
      </c>
      <c r="C31">
        <v>80</v>
      </c>
      <c r="E31">
        <v>2.34</v>
      </c>
      <c r="F31" s="2"/>
      <c r="G31">
        <f t="shared" si="9"/>
        <v>5</v>
      </c>
      <c r="H31" s="10">
        <f t="shared" si="9"/>
        <v>35</v>
      </c>
      <c r="I31">
        <f t="shared" si="9"/>
        <v>80</v>
      </c>
      <c r="J31">
        <f t="shared" si="10"/>
        <v>25</v>
      </c>
      <c r="K31">
        <f t="shared" si="11"/>
        <v>175</v>
      </c>
      <c r="L31">
        <f t="shared" si="12"/>
        <v>400</v>
      </c>
      <c r="M31">
        <f t="shared" si="13"/>
        <v>1225</v>
      </c>
      <c r="N31">
        <f t="shared" si="14"/>
        <v>2800</v>
      </c>
      <c r="O31">
        <f t="shared" si="15"/>
        <v>6400</v>
      </c>
      <c r="Q31" s="11">
        <f t="shared" si="16"/>
        <v>2.3767078189300412</v>
      </c>
      <c r="R31" s="12">
        <f t="shared" si="17"/>
        <v>1.5687102106855293E-2</v>
      </c>
    </row>
    <row r="32" spans="1:20" x14ac:dyDescent="0.25">
      <c r="A32">
        <v>0</v>
      </c>
      <c r="B32">
        <v>45</v>
      </c>
      <c r="C32">
        <v>20</v>
      </c>
      <c r="E32">
        <v>0.43</v>
      </c>
      <c r="F32" s="2"/>
      <c r="G32">
        <f t="shared" si="9"/>
        <v>0</v>
      </c>
      <c r="H32" s="10">
        <f t="shared" si="9"/>
        <v>45</v>
      </c>
      <c r="I32">
        <f t="shared" si="9"/>
        <v>20</v>
      </c>
      <c r="J32">
        <f t="shared" si="10"/>
        <v>0</v>
      </c>
      <c r="K32">
        <f t="shared" si="11"/>
        <v>0</v>
      </c>
      <c r="L32">
        <f t="shared" si="12"/>
        <v>0</v>
      </c>
      <c r="M32">
        <f t="shared" si="13"/>
        <v>2025</v>
      </c>
      <c r="N32">
        <f t="shared" si="14"/>
        <v>900</v>
      </c>
      <c r="O32">
        <f t="shared" si="15"/>
        <v>400</v>
      </c>
      <c r="Q32" s="11">
        <f t="shared" si="16"/>
        <v>0.42879629629629701</v>
      </c>
      <c r="R32" s="12">
        <f t="shared" si="17"/>
        <v>-2.7993109388441515E-3</v>
      </c>
    </row>
    <row r="33" spans="1:18" x14ac:dyDescent="0.25">
      <c r="A33">
        <v>0</v>
      </c>
      <c r="B33">
        <v>45</v>
      </c>
      <c r="C33">
        <v>50</v>
      </c>
      <c r="E33">
        <v>1.53</v>
      </c>
      <c r="F33" s="2"/>
      <c r="G33">
        <f t="shared" si="9"/>
        <v>0</v>
      </c>
      <c r="H33" s="10">
        <f t="shared" si="9"/>
        <v>45</v>
      </c>
      <c r="I33">
        <f t="shared" si="9"/>
        <v>50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2025</v>
      </c>
      <c r="N33">
        <f t="shared" si="14"/>
        <v>2250</v>
      </c>
      <c r="O33">
        <f t="shared" si="15"/>
        <v>2500</v>
      </c>
      <c r="Q33" s="11">
        <f t="shared" si="16"/>
        <v>1.5611111111111113</v>
      </c>
      <c r="R33" s="12">
        <f t="shared" si="17"/>
        <v>2.0334059549745955E-2</v>
      </c>
    </row>
    <row r="34" spans="1:18" x14ac:dyDescent="0.25">
      <c r="A34">
        <v>0</v>
      </c>
      <c r="B34">
        <v>45</v>
      </c>
      <c r="C34">
        <v>80</v>
      </c>
      <c r="E34">
        <v>2.85</v>
      </c>
      <c r="F34" s="2"/>
      <c r="G34">
        <f t="shared" si="9"/>
        <v>0</v>
      </c>
      <c r="H34" s="10">
        <f t="shared" si="9"/>
        <v>45</v>
      </c>
      <c r="I34">
        <f t="shared" si="9"/>
        <v>80</v>
      </c>
      <c r="J34">
        <f t="shared" si="10"/>
        <v>0</v>
      </c>
      <c r="K34">
        <f t="shared" si="11"/>
        <v>0</v>
      </c>
      <c r="L34">
        <f t="shared" si="12"/>
        <v>0</v>
      </c>
      <c r="M34">
        <f t="shared" si="13"/>
        <v>2025</v>
      </c>
      <c r="N34">
        <f t="shared" si="14"/>
        <v>3600</v>
      </c>
      <c r="O34">
        <f t="shared" si="15"/>
        <v>6400</v>
      </c>
      <c r="Q34" s="11">
        <f t="shared" si="16"/>
        <v>2.844104938271605</v>
      </c>
      <c r="R34" s="12">
        <f t="shared" si="17"/>
        <v>-2.0684427117175597E-3</v>
      </c>
    </row>
    <row r="35" spans="1:18" x14ac:dyDescent="0.25">
      <c r="A35">
        <v>5</v>
      </c>
      <c r="B35">
        <v>45</v>
      </c>
      <c r="C35">
        <v>20</v>
      </c>
      <c r="E35">
        <v>0.42</v>
      </c>
      <c r="F35" s="2"/>
      <c r="G35">
        <f t="shared" si="9"/>
        <v>5</v>
      </c>
      <c r="H35" s="10">
        <f t="shared" si="9"/>
        <v>45</v>
      </c>
      <c r="I35">
        <f t="shared" si="9"/>
        <v>20</v>
      </c>
      <c r="J35">
        <f t="shared" si="10"/>
        <v>25</v>
      </c>
      <c r="K35">
        <f t="shared" si="11"/>
        <v>225</v>
      </c>
      <c r="L35">
        <f t="shared" si="12"/>
        <v>100</v>
      </c>
      <c r="M35">
        <f t="shared" si="13"/>
        <v>2025</v>
      </c>
      <c r="N35">
        <f t="shared" si="14"/>
        <v>900</v>
      </c>
      <c r="O35">
        <f t="shared" si="15"/>
        <v>400</v>
      </c>
      <c r="Q35" s="11">
        <f t="shared" si="16"/>
        <v>0.42544238683127583</v>
      </c>
      <c r="R35" s="12">
        <f t="shared" si="17"/>
        <v>1.2958063883990113E-2</v>
      </c>
    </row>
    <row r="36" spans="1:18" x14ac:dyDescent="0.25">
      <c r="A36">
        <v>5</v>
      </c>
      <c r="B36">
        <v>45</v>
      </c>
      <c r="C36">
        <v>50</v>
      </c>
      <c r="E36">
        <v>1.55</v>
      </c>
      <c r="F36" s="2"/>
      <c r="G36">
        <f t="shared" si="9"/>
        <v>5</v>
      </c>
      <c r="H36" s="10">
        <f t="shared" si="9"/>
        <v>45</v>
      </c>
      <c r="I36">
        <f t="shared" si="9"/>
        <v>50</v>
      </c>
      <c r="J36">
        <f t="shared" si="10"/>
        <v>25</v>
      </c>
      <c r="K36">
        <f t="shared" si="11"/>
        <v>225</v>
      </c>
      <c r="L36">
        <f t="shared" si="12"/>
        <v>250</v>
      </c>
      <c r="M36">
        <f t="shared" si="13"/>
        <v>2025</v>
      </c>
      <c r="N36">
        <f t="shared" si="14"/>
        <v>2250</v>
      </c>
      <c r="O36">
        <f t="shared" si="15"/>
        <v>2500</v>
      </c>
      <c r="Q36" s="11">
        <f t="shared" si="16"/>
        <v>1.561769547325103</v>
      </c>
      <c r="R36" s="12">
        <f t="shared" si="17"/>
        <v>7.5932563387760875E-3</v>
      </c>
    </row>
    <row r="37" spans="1:18" x14ac:dyDescent="0.25">
      <c r="A37">
        <v>5</v>
      </c>
      <c r="B37">
        <v>45</v>
      </c>
      <c r="C37">
        <v>80</v>
      </c>
      <c r="E37">
        <v>2.89</v>
      </c>
      <c r="F37" s="2"/>
      <c r="G37">
        <f t="shared" si="9"/>
        <v>5</v>
      </c>
      <c r="H37" s="10">
        <f t="shared" si="9"/>
        <v>45</v>
      </c>
      <c r="I37">
        <f t="shared" si="9"/>
        <v>80</v>
      </c>
      <c r="J37">
        <f t="shared" si="10"/>
        <v>25</v>
      </c>
      <c r="K37">
        <f t="shared" si="11"/>
        <v>225</v>
      </c>
      <c r="L37">
        <f t="shared" si="12"/>
        <v>400</v>
      </c>
      <c r="M37">
        <f t="shared" si="13"/>
        <v>2025</v>
      </c>
      <c r="N37">
        <f t="shared" si="14"/>
        <v>3600</v>
      </c>
      <c r="O37">
        <f t="shared" si="15"/>
        <v>6400</v>
      </c>
      <c r="Q37" s="11">
        <f t="shared" si="16"/>
        <v>2.8487757201646096</v>
      </c>
      <c r="R37" s="12">
        <f t="shared" si="17"/>
        <v>-1.4264456690446561E-2</v>
      </c>
    </row>
    <row r="38" spans="1:18" x14ac:dyDescent="0.25">
      <c r="A38">
        <v>0</v>
      </c>
      <c r="B38">
        <v>55</v>
      </c>
      <c r="C38">
        <v>50</v>
      </c>
      <c r="E38">
        <v>1.9</v>
      </c>
      <c r="F38" s="2"/>
      <c r="G38">
        <f t="shared" si="9"/>
        <v>0</v>
      </c>
      <c r="H38" s="10">
        <f t="shared" si="9"/>
        <v>55</v>
      </c>
      <c r="I38">
        <f t="shared" si="9"/>
        <v>50</v>
      </c>
      <c r="J38">
        <f t="shared" si="10"/>
        <v>0</v>
      </c>
      <c r="K38">
        <f t="shared" si="11"/>
        <v>0</v>
      </c>
      <c r="L38">
        <f t="shared" si="12"/>
        <v>0</v>
      </c>
      <c r="M38">
        <f t="shared" si="13"/>
        <v>3025</v>
      </c>
      <c r="N38">
        <f t="shared" si="14"/>
        <v>2750</v>
      </c>
      <c r="O38">
        <f t="shared" si="15"/>
        <v>2500</v>
      </c>
      <c r="Q38" s="11">
        <f t="shared" si="16"/>
        <v>1.84712962962963</v>
      </c>
      <c r="R38" s="12">
        <f t="shared" si="17"/>
        <v>-2.7826510721247318E-2</v>
      </c>
    </row>
    <row r="39" spans="1:18" x14ac:dyDescent="0.25">
      <c r="A39">
        <v>0</v>
      </c>
      <c r="B39">
        <v>55</v>
      </c>
      <c r="C39">
        <v>80</v>
      </c>
      <c r="E39">
        <v>3.27</v>
      </c>
      <c r="F39" s="2"/>
      <c r="G39">
        <f t="shared" si="9"/>
        <v>0</v>
      </c>
      <c r="H39" s="10">
        <f t="shared" si="9"/>
        <v>55</v>
      </c>
      <c r="I39">
        <f t="shared" si="9"/>
        <v>80</v>
      </c>
      <c r="J39">
        <f t="shared" si="10"/>
        <v>0</v>
      </c>
      <c r="K39">
        <f t="shared" si="11"/>
        <v>0</v>
      </c>
      <c r="L39">
        <f t="shared" si="12"/>
        <v>0</v>
      </c>
      <c r="M39">
        <f t="shared" si="13"/>
        <v>3025</v>
      </c>
      <c r="N39">
        <f t="shared" si="14"/>
        <v>4400</v>
      </c>
      <c r="O39">
        <f t="shared" si="15"/>
        <v>6400</v>
      </c>
      <c r="Q39" s="11">
        <f t="shared" si="16"/>
        <v>3.310864197530865</v>
      </c>
      <c r="R39" s="12">
        <f t="shared" si="17"/>
        <v>1.2496696492619268E-2</v>
      </c>
    </row>
    <row r="40" spans="1:18" x14ac:dyDescent="0.25">
      <c r="A40">
        <v>5</v>
      </c>
      <c r="B40">
        <v>55</v>
      </c>
      <c r="C40">
        <v>20</v>
      </c>
      <c r="E40">
        <v>0.55000000000000004</v>
      </c>
      <c r="F40" s="2"/>
      <c r="G40">
        <f t="shared" si="9"/>
        <v>5</v>
      </c>
      <c r="H40" s="10">
        <f t="shared" si="9"/>
        <v>55</v>
      </c>
      <c r="I40">
        <f t="shared" si="9"/>
        <v>20</v>
      </c>
      <c r="J40">
        <f t="shared" si="10"/>
        <v>25</v>
      </c>
      <c r="K40">
        <f t="shared" si="11"/>
        <v>275</v>
      </c>
      <c r="L40">
        <f t="shared" si="12"/>
        <v>100</v>
      </c>
      <c r="M40">
        <f t="shared" si="13"/>
        <v>3025</v>
      </c>
      <c r="N40">
        <f t="shared" si="14"/>
        <v>1100</v>
      </c>
      <c r="O40">
        <f t="shared" si="15"/>
        <v>400</v>
      </c>
      <c r="Q40" s="11">
        <f t="shared" si="16"/>
        <v>0.5567078189300414</v>
      </c>
      <c r="R40" s="12">
        <f t="shared" si="17"/>
        <v>1.2196034418257005E-2</v>
      </c>
    </row>
    <row r="41" spans="1:18" x14ac:dyDescent="0.25">
      <c r="A41">
        <v>5</v>
      </c>
      <c r="B41">
        <v>55</v>
      </c>
      <c r="C41">
        <v>50</v>
      </c>
      <c r="E41">
        <v>1.86</v>
      </c>
      <c r="F41" s="2"/>
      <c r="G41">
        <f t="shared" si="9"/>
        <v>5</v>
      </c>
      <c r="H41" s="10">
        <f t="shared" si="9"/>
        <v>55</v>
      </c>
      <c r="I41">
        <f t="shared" si="9"/>
        <v>50</v>
      </c>
      <c r="J41">
        <f t="shared" si="10"/>
        <v>25</v>
      </c>
      <c r="K41">
        <f t="shared" si="11"/>
        <v>275</v>
      </c>
      <c r="L41">
        <f t="shared" si="12"/>
        <v>250</v>
      </c>
      <c r="M41">
        <f t="shared" si="13"/>
        <v>3025</v>
      </c>
      <c r="N41">
        <f t="shared" si="14"/>
        <v>2750</v>
      </c>
      <c r="O41">
        <f t="shared" si="15"/>
        <v>2500</v>
      </c>
      <c r="Q41" s="11">
        <f t="shared" si="16"/>
        <v>1.8737757201646095</v>
      </c>
      <c r="R41" s="12">
        <f t="shared" si="17"/>
        <v>7.4063011637684794E-3</v>
      </c>
    </row>
    <row r="42" spans="1:18" x14ac:dyDescent="0.25">
      <c r="A42">
        <v>5</v>
      </c>
      <c r="B42">
        <v>55</v>
      </c>
      <c r="C42">
        <v>80</v>
      </c>
      <c r="E42">
        <v>3.35</v>
      </c>
      <c r="G42">
        <f t="shared" si="9"/>
        <v>5</v>
      </c>
      <c r="H42" s="10">
        <f t="shared" si="9"/>
        <v>55</v>
      </c>
      <c r="I42">
        <f t="shared" si="9"/>
        <v>80</v>
      </c>
      <c r="J42">
        <f t="shared" si="10"/>
        <v>25</v>
      </c>
      <c r="K42">
        <f t="shared" si="11"/>
        <v>275</v>
      </c>
      <c r="L42">
        <f t="shared" si="12"/>
        <v>400</v>
      </c>
      <c r="M42">
        <f t="shared" si="13"/>
        <v>3025</v>
      </c>
      <c r="N42">
        <f t="shared" si="14"/>
        <v>4400</v>
      </c>
      <c r="O42">
        <f t="shared" si="15"/>
        <v>6400</v>
      </c>
      <c r="Q42" s="11">
        <f t="shared" si="16"/>
        <v>3.3415226337448574</v>
      </c>
      <c r="R42" s="12">
        <f t="shared" si="17"/>
        <v>-2.5305570910873808E-3</v>
      </c>
    </row>
    <row r="45" spans="1:18" x14ac:dyDescent="0.25">
      <c r="A45" t="s">
        <v>28</v>
      </c>
      <c r="G45" s="4" t="s">
        <v>1</v>
      </c>
      <c r="H45" s="4" t="s">
        <v>2</v>
      </c>
      <c r="I45" s="4" t="s">
        <v>3</v>
      </c>
      <c r="J45" s="4" t="s">
        <v>4</v>
      </c>
      <c r="K45" s="4" t="s">
        <v>5</v>
      </c>
      <c r="L45" s="4" t="s">
        <v>6</v>
      </c>
      <c r="M45" s="4" t="s">
        <v>7</v>
      </c>
      <c r="N45" s="4" t="s">
        <v>8</v>
      </c>
      <c r="O45" s="4" t="s">
        <v>9</v>
      </c>
      <c r="P45" s="4" t="s">
        <v>10</v>
      </c>
    </row>
    <row r="46" spans="1:18" x14ac:dyDescent="0.25">
      <c r="A46" s="1"/>
      <c r="C46" s="1"/>
      <c r="D46" s="1"/>
      <c r="E46" s="1"/>
      <c r="F46" s="1"/>
      <c r="G46" s="4">
        <f t="array" ref="G46:P46">LINEST(E48:E64,G48:O64)</f>
        <v>-0.23111335038039818</v>
      </c>
      <c r="H46" s="4">
        <v>-1.6457979337159815E-2</v>
      </c>
      <c r="I46" s="4">
        <v>4.8960170805664492E-3</v>
      </c>
      <c r="J46" s="4">
        <v>-1.6615859218768902E-2</v>
      </c>
      <c r="K46" s="4">
        <v>-6.2327239606436505E-3</v>
      </c>
      <c r="L46" s="4">
        <v>-0.11712586265435346</v>
      </c>
      <c r="M46" s="4">
        <v>10.106108462121735</v>
      </c>
      <c r="N46" s="4">
        <v>2.3072572745662973E-3</v>
      </c>
      <c r="O46" s="4">
        <v>0</v>
      </c>
      <c r="P46" s="4">
        <v>-6.263309726549366</v>
      </c>
    </row>
    <row r="47" spans="1:18" ht="45" x14ac:dyDescent="0.25">
      <c r="A47" s="5" t="s">
        <v>11</v>
      </c>
      <c r="B47" s="5" t="s">
        <v>12</v>
      </c>
      <c r="C47" s="5" t="s">
        <v>14</v>
      </c>
      <c r="E47" s="7" t="s">
        <v>13</v>
      </c>
      <c r="F47" s="3"/>
      <c r="G47" s="8" t="s">
        <v>17</v>
      </c>
      <c r="H47" s="8" t="s">
        <v>18</v>
      </c>
      <c r="I47" s="8" t="s">
        <v>0</v>
      </c>
      <c r="J47" s="8" t="s">
        <v>19</v>
      </c>
      <c r="K47" s="8" t="s">
        <v>20</v>
      </c>
      <c r="L47" s="8" t="s">
        <v>21</v>
      </c>
      <c r="M47" s="8" t="s">
        <v>22</v>
      </c>
      <c r="N47" s="8" t="s">
        <v>23</v>
      </c>
      <c r="O47" s="8" t="s">
        <v>24</v>
      </c>
      <c r="P47" s="3"/>
      <c r="Q47" s="9" t="s">
        <v>16</v>
      </c>
      <c r="R47" s="9" t="s">
        <v>15</v>
      </c>
    </row>
    <row r="48" spans="1:18" x14ac:dyDescent="0.25">
      <c r="A48">
        <v>0</v>
      </c>
      <c r="B48">
        <v>35</v>
      </c>
      <c r="C48" s="11">
        <f t="shared" ref="C48:C64" si="18">E4</f>
        <v>2.27</v>
      </c>
      <c r="E48">
        <v>20</v>
      </c>
      <c r="F48" s="2"/>
      <c r="G48">
        <f t="shared" ref="G48:I64" si="19">A48</f>
        <v>0</v>
      </c>
      <c r="H48" s="10">
        <f t="shared" si="19"/>
        <v>35</v>
      </c>
      <c r="I48">
        <f t="shared" si="19"/>
        <v>2.27</v>
      </c>
      <c r="J48">
        <f t="shared" ref="J48:J64" si="20">G48^2</f>
        <v>0</v>
      </c>
      <c r="K48">
        <f t="shared" ref="K48:K64" si="21">G48*H48</f>
        <v>0</v>
      </c>
      <c r="L48">
        <f t="shared" ref="L48:L64" si="22">G48*I48</f>
        <v>0</v>
      </c>
      <c r="M48">
        <f t="shared" ref="M48:M64" si="23">H48^2</f>
        <v>1225</v>
      </c>
      <c r="N48">
        <f t="shared" ref="N48:N64" si="24">H48*I48</f>
        <v>79.45</v>
      </c>
      <c r="O48">
        <f t="shared" ref="O48:O64" si="25">I48^2</f>
        <v>5.1528999999999998</v>
      </c>
      <c r="Q48" s="11">
        <f t="shared" ref="Q48:Q64" si="26">$P$46+$O$46*G48+$N$46*H48+$M$46*I48+$L$46*J48+$K$46*K48+$J$46*L48+$I$46*M48+$H$46*N48+$G$46*O48</f>
        <v>20.257440969258191</v>
      </c>
      <c r="R48" s="12">
        <f t="shared" ref="R48:R64" si="27">(Q48-E48)/E48</f>
        <v>1.2872048462909546E-2</v>
      </c>
    </row>
    <row r="49" spans="1:18" x14ac:dyDescent="0.25">
      <c r="A49">
        <v>0</v>
      </c>
      <c r="B49">
        <v>35</v>
      </c>
      <c r="C49" s="11">
        <f t="shared" si="18"/>
        <v>5.91</v>
      </c>
      <c r="E49">
        <v>50</v>
      </c>
      <c r="F49" s="2"/>
      <c r="G49">
        <f t="shared" si="19"/>
        <v>0</v>
      </c>
      <c r="H49" s="10">
        <f t="shared" si="19"/>
        <v>35</v>
      </c>
      <c r="I49">
        <f t="shared" si="19"/>
        <v>5.91</v>
      </c>
      <c r="J49">
        <f t="shared" si="20"/>
        <v>0</v>
      </c>
      <c r="K49">
        <f t="shared" si="21"/>
        <v>0</v>
      </c>
      <c r="L49">
        <f t="shared" si="22"/>
        <v>0</v>
      </c>
      <c r="M49">
        <f t="shared" si="23"/>
        <v>1225</v>
      </c>
      <c r="N49">
        <f t="shared" si="24"/>
        <v>206.85</v>
      </c>
      <c r="O49">
        <f t="shared" si="25"/>
        <v>34.928100000000001</v>
      </c>
      <c r="Q49" s="11">
        <f t="shared" si="26"/>
        <v>48.065482973580721</v>
      </c>
      <c r="R49" s="12">
        <f t="shared" si="27"/>
        <v>-3.8690340528385575E-2</v>
      </c>
    </row>
    <row r="50" spans="1:18" x14ac:dyDescent="0.25">
      <c r="A50">
        <v>0</v>
      </c>
      <c r="B50">
        <v>35</v>
      </c>
      <c r="C50" s="11">
        <f t="shared" si="18"/>
        <v>12.14</v>
      </c>
      <c r="E50">
        <v>80</v>
      </c>
      <c r="F50" s="2"/>
      <c r="G50">
        <f t="shared" si="19"/>
        <v>0</v>
      </c>
      <c r="H50" s="10">
        <f t="shared" si="19"/>
        <v>35</v>
      </c>
      <c r="I50">
        <f t="shared" si="19"/>
        <v>12.14</v>
      </c>
      <c r="J50">
        <f t="shared" si="20"/>
        <v>0</v>
      </c>
      <c r="K50">
        <f t="shared" si="21"/>
        <v>0</v>
      </c>
      <c r="L50">
        <f t="shared" si="22"/>
        <v>0</v>
      </c>
      <c r="M50">
        <f t="shared" si="23"/>
        <v>1225</v>
      </c>
      <c r="N50">
        <f t="shared" si="24"/>
        <v>424.90000000000003</v>
      </c>
      <c r="O50">
        <f t="shared" si="25"/>
        <v>147.37960000000001</v>
      </c>
      <c r="Q50" s="11">
        <f t="shared" si="26"/>
        <v>81.448833377830084</v>
      </c>
      <c r="R50" s="12">
        <f t="shared" si="27"/>
        <v>1.8110417222876051E-2</v>
      </c>
    </row>
    <row r="51" spans="1:18" x14ac:dyDescent="0.25">
      <c r="A51">
        <v>5</v>
      </c>
      <c r="B51">
        <v>35</v>
      </c>
      <c r="C51" s="11">
        <f t="shared" si="18"/>
        <v>2.65</v>
      </c>
      <c r="E51">
        <v>20</v>
      </c>
      <c r="F51" s="2"/>
      <c r="G51">
        <f t="shared" si="19"/>
        <v>5</v>
      </c>
      <c r="H51" s="10">
        <f t="shared" si="19"/>
        <v>35</v>
      </c>
      <c r="I51">
        <f t="shared" si="19"/>
        <v>2.65</v>
      </c>
      <c r="J51">
        <f t="shared" si="20"/>
        <v>25</v>
      </c>
      <c r="K51">
        <f t="shared" si="21"/>
        <v>175</v>
      </c>
      <c r="L51">
        <f t="shared" si="22"/>
        <v>13.25</v>
      </c>
      <c r="M51">
        <f t="shared" si="23"/>
        <v>1225</v>
      </c>
      <c r="N51">
        <f t="shared" si="24"/>
        <v>92.75</v>
      </c>
      <c r="O51">
        <f t="shared" si="25"/>
        <v>7.0225</v>
      </c>
      <c r="Q51" s="11">
        <f t="shared" si="26"/>
        <v>19.207748145688871</v>
      </c>
      <c r="R51" s="12">
        <f t="shared" si="27"/>
        <v>-3.9612592715556436E-2</v>
      </c>
    </row>
    <row r="52" spans="1:18" x14ac:dyDescent="0.25">
      <c r="A52">
        <v>5</v>
      </c>
      <c r="B52">
        <v>35</v>
      </c>
      <c r="C52" s="11">
        <f t="shared" si="18"/>
        <v>7.08</v>
      </c>
      <c r="E52">
        <v>50</v>
      </c>
      <c r="F52" s="2"/>
      <c r="G52">
        <f t="shared" si="19"/>
        <v>5</v>
      </c>
      <c r="H52" s="10">
        <f t="shared" si="19"/>
        <v>35</v>
      </c>
      <c r="I52">
        <f t="shared" si="19"/>
        <v>7.08</v>
      </c>
      <c r="J52">
        <f t="shared" si="20"/>
        <v>25</v>
      </c>
      <c r="K52">
        <f t="shared" si="21"/>
        <v>175</v>
      </c>
      <c r="L52">
        <f t="shared" si="22"/>
        <v>35.4</v>
      </c>
      <c r="M52">
        <f t="shared" si="23"/>
        <v>1225</v>
      </c>
      <c r="N52">
        <f t="shared" si="24"/>
        <v>247.8</v>
      </c>
      <c r="O52">
        <f t="shared" si="25"/>
        <v>50.126400000000004</v>
      </c>
      <c r="Q52" s="11">
        <f t="shared" si="26"/>
        <v>51.09607091150415</v>
      </c>
      <c r="R52" s="12">
        <f t="shared" si="27"/>
        <v>2.1921418230082992E-2</v>
      </c>
    </row>
    <row r="53" spans="1:18" x14ac:dyDescent="0.25">
      <c r="A53">
        <v>5</v>
      </c>
      <c r="B53">
        <v>35</v>
      </c>
      <c r="C53" s="11">
        <f t="shared" si="18"/>
        <v>13.11</v>
      </c>
      <c r="E53">
        <v>80</v>
      </c>
      <c r="F53" s="2"/>
      <c r="G53">
        <f t="shared" si="19"/>
        <v>5</v>
      </c>
      <c r="H53" s="10">
        <f t="shared" si="19"/>
        <v>35</v>
      </c>
      <c r="I53">
        <f t="shared" si="19"/>
        <v>13.11</v>
      </c>
      <c r="J53">
        <f t="shared" si="20"/>
        <v>25</v>
      </c>
      <c r="K53">
        <f t="shared" si="21"/>
        <v>175</v>
      </c>
      <c r="L53">
        <f t="shared" si="22"/>
        <v>65.55</v>
      </c>
      <c r="M53">
        <f t="shared" si="23"/>
        <v>1225</v>
      </c>
      <c r="N53">
        <f t="shared" si="24"/>
        <v>458.84999999999997</v>
      </c>
      <c r="O53">
        <f t="shared" si="25"/>
        <v>171.87209999999999</v>
      </c>
      <c r="Q53" s="11">
        <f t="shared" si="26"/>
        <v>79.924423622137908</v>
      </c>
      <c r="R53" s="12">
        <f t="shared" si="27"/>
        <v>-9.4470472327614632E-4</v>
      </c>
    </row>
    <row r="54" spans="1:18" x14ac:dyDescent="0.25">
      <c r="A54">
        <v>0</v>
      </c>
      <c r="B54">
        <v>45</v>
      </c>
      <c r="C54" s="11">
        <f t="shared" si="18"/>
        <v>1.97</v>
      </c>
      <c r="E54">
        <v>20</v>
      </c>
      <c r="F54" s="2"/>
      <c r="G54">
        <f t="shared" si="19"/>
        <v>0</v>
      </c>
      <c r="H54" s="10">
        <f t="shared" si="19"/>
        <v>45</v>
      </c>
      <c r="I54">
        <f t="shared" si="19"/>
        <v>1.97</v>
      </c>
      <c r="J54">
        <f t="shared" si="20"/>
        <v>0</v>
      </c>
      <c r="K54">
        <f t="shared" si="21"/>
        <v>0</v>
      </c>
      <c r="L54">
        <f t="shared" si="22"/>
        <v>0</v>
      </c>
      <c r="M54">
        <f t="shared" si="23"/>
        <v>2025</v>
      </c>
      <c r="N54">
        <f t="shared" si="24"/>
        <v>88.65</v>
      </c>
      <c r="O54">
        <f t="shared" si="25"/>
        <v>3.8809</v>
      </c>
      <c r="Q54" s="11">
        <f t="shared" si="26"/>
        <v>21.308057439602493</v>
      </c>
      <c r="R54" s="12">
        <f t="shared" si="27"/>
        <v>6.5402871980124649E-2</v>
      </c>
    </row>
    <row r="55" spans="1:18" x14ac:dyDescent="0.25">
      <c r="A55">
        <v>0</v>
      </c>
      <c r="B55">
        <v>45</v>
      </c>
      <c r="C55" s="11">
        <f t="shared" si="18"/>
        <v>5.63</v>
      </c>
      <c r="E55">
        <v>50</v>
      </c>
      <c r="F55" s="2"/>
      <c r="G55">
        <f t="shared" si="19"/>
        <v>0</v>
      </c>
      <c r="H55" s="10">
        <f t="shared" si="19"/>
        <v>45</v>
      </c>
      <c r="I55">
        <f t="shared" si="19"/>
        <v>5.63</v>
      </c>
      <c r="J55">
        <f t="shared" si="20"/>
        <v>0</v>
      </c>
      <c r="K55">
        <f t="shared" si="21"/>
        <v>0</v>
      </c>
      <c r="L55">
        <f t="shared" si="22"/>
        <v>0</v>
      </c>
      <c r="M55">
        <f t="shared" si="23"/>
        <v>2025</v>
      </c>
      <c r="N55">
        <f t="shared" si="24"/>
        <v>253.35</v>
      </c>
      <c r="O55">
        <f t="shared" si="25"/>
        <v>31.696899999999999</v>
      </c>
      <c r="Q55" s="11">
        <f t="shared" si="26"/>
        <v>49.157136259956665</v>
      </c>
      <c r="R55" s="12">
        <f t="shared" si="27"/>
        <v>-1.6857274800866691E-2</v>
      </c>
    </row>
    <row r="56" spans="1:18" x14ac:dyDescent="0.25">
      <c r="A56">
        <v>0</v>
      </c>
      <c r="B56">
        <v>45</v>
      </c>
      <c r="C56" s="11">
        <f t="shared" si="18"/>
        <v>11.28</v>
      </c>
      <c r="E56">
        <v>80</v>
      </c>
      <c r="F56" s="2"/>
      <c r="G56">
        <f t="shared" si="19"/>
        <v>0</v>
      </c>
      <c r="H56" s="10">
        <f t="shared" si="19"/>
        <v>45</v>
      </c>
      <c r="I56">
        <f t="shared" si="19"/>
        <v>11.28</v>
      </c>
      <c r="J56">
        <f t="shared" si="20"/>
        <v>0</v>
      </c>
      <c r="K56">
        <f t="shared" si="21"/>
        <v>0</v>
      </c>
      <c r="L56">
        <f t="shared" si="22"/>
        <v>0</v>
      </c>
      <c r="M56">
        <f t="shared" si="23"/>
        <v>2025</v>
      </c>
      <c r="N56">
        <f t="shared" si="24"/>
        <v>507.59999999999997</v>
      </c>
      <c r="O56">
        <f t="shared" si="25"/>
        <v>127.23839999999998</v>
      </c>
      <c r="Q56" s="11">
        <f t="shared" si="26"/>
        <v>79.991291659102771</v>
      </c>
      <c r="R56" s="12">
        <f t="shared" si="27"/>
        <v>-1.0885426121536313E-4</v>
      </c>
    </row>
    <row r="57" spans="1:18" x14ac:dyDescent="0.25">
      <c r="A57">
        <v>5</v>
      </c>
      <c r="B57">
        <v>45</v>
      </c>
      <c r="C57" s="11">
        <f t="shared" si="18"/>
        <v>2.5299999999999998</v>
      </c>
      <c r="E57">
        <v>20</v>
      </c>
      <c r="F57" s="2"/>
      <c r="G57">
        <f t="shared" si="19"/>
        <v>5</v>
      </c>
      <c r="H57" s="10">
        <f t="shared" si="19"/>
        <v>45</v>
      </c>
      <c r="I57">
        <f t="shared" si="19"/>
        <v>2.5299999999999998</v>
      </c>
      <c r="J57">
        <f t="shared" si="20"/>
        <v>25</v>
      </c>
      <c r="K57">
        <f t="shared" si="21"/>
        <v>225</v>
      </c>
      <c r="L57">
        <f t="shared" si="22"/>
        <v>12.649999999999999</v>
      </c>
      <c r="M57">
        <f t="shared" si="23"/>
        <v>2025</v>
      </c>
      <c r="N57">
        <f t="shared" si="24"/>
        <v>113.85</v>
      </c>
      <c r="O57">
        <f t="shared" si="25"/>
        <v>6.4008999999999991</v>
      </c>
      <c r="Q57" s="11">
        <f t="shared" si="26"/>
        <v>21.429631379514547</v>
      </c>
      <c r="R57" s="12">
        <f t="shared" si="27"/>
        <v>7.1481568975727328E-2</v>
      </c>
    </row>
    <row r="58" spans="1:18" x14ac:dyDescent="0.25">
      <c r="A58">
        <v>5</v>
      </c>
      <c r="B58">
        <v>45</v>
      </c>
      <c r="C58" s="11">
        <f t="shared" si="18"/>
        <v>6.54</v>
      </c>
      <c r="E58">
        <v>50</v>
      </c>
      <c r="F58" s="2"/>
      <c r="G58">
        <f t="shared" si="19"/>
        <v>5</v>
      </c>
      <c r="H58" s="10">
        <f t="shared" si="19"/>
        <v>45</v>
      </c>
      <c r="I58">
        <f t="shared" si="19"/>
        <v>6.54</v>
      </c>
      <c r="J58">
        <f t="shared" si="20"/>
        <v>25</v>
      </c>
      <c r="K58">
        <f t="shared" si="21"/>
        <v>225</v>
      </c>
      <c r="L58">
        <f t="shared" si="22"/>
        <v>32.700000000000003</v>
      </c>
      <c r="M58">
        <f t="shared" si="23"/>
        <v>2025</v>
      </c>
      <c r="N58">
        <f t="shared" si="24"/>
        <v>294.3</v>
      </c>
      <c r="O58">
        <f t="shared" si="25"/>
        <v>42.771599999999999</v>
      </c>
      <c r="Q58" s="11">
        <f t="shared" si="26"/>
        <v>50.246381631215556</v>
      </c>
      <c r="R58" s="12">
        <f t="shared" si="27"/>
        <v>4.9276326243111153E-3</v>
      </c>
    </row>
    <row r="59" spans="1:18" x14ac:dyDescent="0.25">
      <c r="A59">
        <v>5</v>
      </c>
      <c r="B59">
        <v>45</v>
      </c>
      <c r="C59" s="11">
        <f t="shared" si="18"/>
        <v>12.09</v>
      </c>
      <c r="E59">
        <v>80</v>
      </c>
      <c r="F59" s="2"/>
      <c r="G59">
        <f t="shared" si="19"/>
        <v>5</v>
      </c>
      <c r="H59" s="10">
        <f t="shared" si="19"/>
        <v>45</v>
      </c>
      <c r="I59">
        <f t="shared" si="19"/>
        <v>12.09</v>
      </c>
      <c r="J59">
        <f t="shared" si="20"/>
        <v>25</v>
      </c>
      <c r="K59">
        <f t="shared" si="21"/>
        <v>225</v>
      </c>
      <c r="L59">
        <f t="shared" si="22"/>
        <v>60.45</v>
      </c>
      <c r="M59">
        <f t="shared" si="23"/>
        <v>2025</v>
      </c>
      <c r="N59">
        <f t="shared" si="24"/>
        <v>544.04999999999995</v>
      </c>
      <c r="O59">
        <f t="shared" si="25"/>
        <v>146.16810000000001</v>
      </c>
      <c r="Q59" s="11">
        <f t="shared" si="26"/>
        <v>77.867501630607833</v>
      </c>
      <c r="R59" s="12">
        <f t="shared" si="27"/>
        <v>-2.6656229617402084E-2</v>
      </c>
    </row>
    <row r="60" spans="1:18" x14ac:dyDescent="0.25">
      <c r="A60">
        <v>0</v>
      </c>
      <c r="B60">
        <v>55</v>
      </c>
      <c r="C60" s="11">
        <f t="shared" si="18"/>
        <v>5.22</v>
      </c>
      <c r="E60">
        <v>50</v>
      </c>
      <c r="F60" s="2"/>
      <c r="G60">
        <f t="shared" si="19"/>
        <v>0</v>
      </c>
      <c r="H60" s="10">
        <f t="shared" si="19"/>
        <v>55</v>
      </c>
      <c r="I60">
        <f t="shared" si="19"/>
        <v>5.22</v>
      </c>
      <c r="J60">
        <f t="shared" si="20"/>
        <v>0</v>
      </c>
      <c r="K60">
        <f t="shared" si="21"/>
        <v>0</v>
      </c>
      <c r="L60">
        <f t="shared" si="22"/>
        <v>0</v>
      </c>
      <c r="M60">
        <f t="shared" si="23"/>
        <v>3025</v>
      </c>
      <c r="N60">
        <f t="shared" si="24"/>
        <v>287.09999999999997</v>
      </c>
      <c r="O60">
        <f t="shared" si="25"/>
        <v>27.248399999999997</v>
      </c>
      <c r="Q60" s="11">
        <f t="shared" si="26"/>
        <v>50.405372380336921</v>
      </c>
      <c r="R60" s="12">
        <f t="shared" si="27"/>
        <v>8.1074476067384185E-3</v>
      </c>
    </row>
    <row r="61" spans="1:18" x14ac:dyDescent="0.25">
      <c r="A61">
        <v>0</v>
      </c>
      <c r="B61">
        <v>55</v>
      </c>
      <c r="C61" s="11">
        <f t="shared" si="18"/>
        <v>10.4</v>
      </c>
      <c r="E61">
        <v>80</v>
      </c>
      <c r="F61" s="2"/>
      <c r="G61">
        <f t="shared" si="19"/>
        <v>0</v>
      </c>
      <c r="H61" s="10">
        <f t="shared" si="19"/>
        <v>55</v>
      </c>
      <c r="I61">
        <f t="shared" si="19"/>
        <v>10.4</v>
      </c>
      <c r="J61">
        <f t="shared" si="20"/>
        <v>0</v>
      </c>
      <c r="K61">
        <f t="shared" si="21"/>
        <v>0</v>
      </c>
      <c r="L61">
        <f t="shared" si="22"/>
        <v>0</v>
      </c>
      <c r="M61">
        <f t="shared" si="23"/>
        <v>3025</v>
      </c>
      <c r="N61">
        <f t="shared" si="24"/>
        <v>572</v>
      </c>
      <c r="O61">
        <f t="shared" si="25"/>
        <v>108.16000000000001</v>
      </c>
      <c r="Q61" s="11">
        <f t="shared" si="26"/>
        <v>79.366384940332068</v>
      </c>
      <c r="R61" s="12">
        <f t="shared" si="27"/>
        <v>-7.9201882458491465E-3</v>
      </c>
    </row>
    <row r="62" spans="1:18" x14ac:dyDescent="0.25">
      <c r="A62">
        <v>5</v>
      </c>
      <c r="B62">
        <v>55</v>
      </c>
      <c r="C62" s="11">
        <f t="shared" si="18"/>
        <v>1.62</v>
      </c>
      <c r="E62">
        <v>20</v>
      </c>
      <c r="F62" s="2"/>
      <c r="G62">
        <f t="shared" si="19"/>
        <v>5</v>
      </c>
      <c r="H62" s="10">
        <f t="shared" si="19"/>
        <v>55</v>
      </c>
      <c r="I62">
        <f t="shared" si="19"/>
        <v>1.62</v>
      </c>
      <c r="J62">
        <f t="shared" si="20"/>
        <v>25</v>
      </c>
      <c r="K62">
        <f t="shared" si="21"/>
        <v>275</v>
      </c>
      <c r="L62">
        <f t="shared" si="22"/>
        <v>8.1000000000000014</v>
      </c>
      <c r="M62">
        <f t="shared" si="23"/>
        <v>3025</v>
      </c>
      <c r="N62">
        <f t="shared" si="24"/>
        <v>89.100000000000009</v>
      </c>
      <c r="O62">
        <f t="shared" si="25"/>
        <v>2.6244000000000005</v>
      </c>
      <c r="Q62" s="11">
        <f t="shared" si="26"/>
        <v>18.196262850015373</v>
      </c>
      <c r="R62" s="12">
        <f t="shared" si="27"/>
        <v>-9.018685749923136E-2</v>
      </c>
    </row>
    <row r="63" spans="1:18" x14ac:dyDescent="0.25">
      <c r="A63">
        <v>5</v>
      </c>
      <c r="B63">
        <v>55</v>
      </c>
      <c r="C63" s="11">
        <f t="shared" si="18"/>
        <v>6.09</v>
      </c>
      <c r="E63">
        <v>50</v>
      </c>
      <c r="F63" s="2"/>
      <c r="G63">
        <f t="shared" si="19"/>
        <v>5</v>
      </c>
      <c r="H63" s="10">
        <f t="shared" si="19"/>
        <v>55</v>
      </c>
      <c r="I63">
        <f t="shared" si="19"/>
        <v>6.09</v>
      </c>
      <c r="J63">
        <f t="shared" si="20"/>
        <v>25</v>
      </c>
      <c r="K63">
        <f t="shared" si="21"/>
        <v>275</v>
      </c>
      <c r="L63">
        <f t="shared" si="22"/>
        <v>30.45</v>
      </c>
      <c r="M63">
        <f t="shared" si="23"/>
        <v>3025</v>
      </c>
      <c r="N63">
        <f t="shared" si="24"/>
        <v>334.95</v>
      </c>
      <c r="O63">
        <f t="shared" si="25"/>
        <v>37.088099999999997</v>
      </c>
      <c r="Q63" s="11">
        <f t="shared" si="26"/>
        <v>50.987987828614379</v>
      </c>
      <c r="R63" s="12">
        <f t="shared" si="27"/>
        <v>1.9759756572287585E-2</v>
      </c>
    </row>
    <row r="64" spans="1:18" x14ac:dyDescent="0.25">
      <c r="A64">
        <v>5</v>
      </c>
      <c r="B64">
        <v>55</v>
      </c>
      <c r="C64" s="11">
        <f t="shared" si="18"/>
        <v>12.25</v>
      </c>
      <c r="E64">
        <v>80</v>
      </c>
      <c r="G64">
        <f t="shared" si="19"/>
        <v>5</v>
      </c>
      <c r="H64" s="10">
        <f t="shared" si="19"/>
        <v>55</v>
      </c>
      <c r="I64">
        <f t="shared" si="19"/>
        <v>12.25</v>
      </c>
      <c r="J64">
        <f t="shared" si="20"/>
        <v>25</v>
      </c>
      <c r="K64">
        <f t="shared" si="21"/>
        <v>275</v>
      </c>
      <c r="L64">
        <f t="shared" si="22"/>
        <v>61.25</v>
      </c>
      <c r="M64">
        <f t="shared" si="23"/>
        <v>3025</v>
      </c>
      <c r="N64">
        <f t="shared" si="24"/>
        <v>673.75</v>
      </c>
      <c r="O64">
        <f t="shared" si="25"/>
        <v>150.0625</v>
      </c>
      <c r="Q64" s="11">
        <f t="shared" si="26"/>
        <v>81.043992000701195</v>
      </c>
      <c r="R64" s="12">
        <f t="shared" si="27"/>
        <v>1.3049900008764936E-2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0417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0417" r:id="rId4"/>
      </mc:Fallback>
    </mc:AlternateContent>
    <mc:AlternateContent xmlns:mc="http://schemas.openxmlformats.org/markup-compatibility/2006">
      <mc:Choice Requires="x14">
        <oleObject progId="Equation.3" shapeId="60418" r:id="rId6">
          <objectPr defaultSize="0" autoPict="0" r:id="rId5">
            <anchor moveWithCells="1" sizeWithCells="1">
              <from>
                <xdr:col>6</xdr:col>
                <xdr:colOff>171450</xdr:colOff>
                <xdr:row>24</xdr:row>
                <xdr:rowOff>38100</xdr:rowOff>
              </from>
              <to>
                <xdr:col>14</xdr:col>
                <xdr:colOff>1466850</xdr:colOff>
                <xdr:row>24</xdr:row>
                <xdr:rowOff>647700</xdr:rowOff>
              </to>
            </anchor>
          </objectPr>
        </oleObject>
      </mc:Choice>
      <mc:Fallback>
        <oleObject progId="Equation.3" shapeId="60418" r:id="rId6"/>
      </mc:Fallback>
    </mc:AlternateContent>
    <mc:AlternateContent xmlns:mc="http://schemas.openxmlformats.org/markup-compatibility/2006">
      <mc:Choice Requires="x14">
        <oleObject progId="Equation.3" shapeId="60419" r:id="rId7">
          <objectPr defaultSize="0" autoPict="0" r:id="rId5">
            <anchor moveWithCells="1" sizeWithCells="1">
              <from>
                <xdr:col>6</xdr:col>
                <xdr:colOff>171450</xdr:colOff>
                <xdr:row>46</xdr:row>
                <xdr:rowOff>38100</xdr:rowOff>
              </from>
              <to>
                <xdr:col>14</xdr:col>
                <xdr:colOff>1466850</xdr:colOff>
                <xdr:row>46</xdr:row>
                <xdr:rowOff>647700</xdr:rowOff>
              </to>
            </anchor>
          </objectPr>
        </oleObject>
      </mc:Choice>
      <mc:Fallback>
        <oleObject progId="Equation.3" shapeId="60419" r:id="rId7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List22"/>
  <dimension ref="A1:T67"/>
  <sheetViews>
    <sheetView zoomScale="70" zoomScaleNormal="70" workbookViewId="0">
      <selection activeCell="E45" sqref="E45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LINEST(E4:E21,G4:O21)</f>
        <v>-2.2037037037037058E-4</v>
      </c>
      <c r="H2" s="4">
        <v>-2.6250000000000025E-4</v>
      </c>
      <c r="I2" s="4">
        <v>9.6666666666666288E-4</v>
      </c>
      <c r="J2" s="4">
        <v>2.9333333333333347E-3</v>
      </c>
      <c r="K2" s="4">
        <v>4.9333333333333165E-3</v>
      </c>
      <c r="L2" s="4">
        <v>-1.8488888888888722E-2</v>
      </c>
      <c r="M2" s="4">
        <v>0.21984953703703708</v>
      </c>
      <c r="N2" s="4">
        <v>-0.11237499999999957</v>
      </c>
      <c r="O2" s="4">
        <v>0</v>
      </c>
      <c r="P2" s="4">
        <v>2.9984490740740606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35</v>
      </c>
      <c r="C4">
        <v>20</v>
      </c>
      <c r="E4">
        <v>4.2</v>
      </c>
      <c r="F4" s="2"/>
      <c r="G4">
        <f t="shared" ref="G4:I21" si="0">A4</f>
        <v>0</v>
      </c>
      <c r="H4" s="10">
        <f t="shared" si="0"/>
        <v>35</v>
      </c>
      <c r="I4">
        <f t="shared" si="0"/>
        <v>20</v>
      </c>
      <c r="J4">
        <f t="shared" ref="J4:J21" si="1">G4^2</f>
        <v>0</v>
      </c>
      <c r="K4">
        <f t="shared" ref="K4:K21" si="2">G4*H4</f>
        <v>0</v>
      </c>
      <c r="L4">
        <f t="shared" ref="L4:L21" si="3">G4*I4</f>
        <v>0</v>
      </c>
      <c r="M4">
        <f t="shared" ref="M4:M21" si="4">H4^2</f>
        <v>1225</v>
      </c>
      <c r="N4">
        <f t="shared" ref="N4:N21" si="5">H4*I4</f>
        <v>700</v>
      </c>
      <c r="O4">
        <f t="shared" ref="O4:O21" si="6">I4^2</f>
        <v>400</v>
      </c>
      <c r="Q4" s="11">
        <f t="shared" ref="Q4:Q21" si="7">$P$2+$O$2*G4+$N$2*H4+$M$2*I4+$L$2*J4+$K$2*K4+$J$2*L4+$I$2*M4+$H$2*N4+$G$2*O4</f>
        <v>4.374583333333331</v>
      </c>
      <c r="R4" s="12">
        <f t="shared" ref="R4:R21" si="8">(Q4-E4)/E4</f>
        <v>4.1567460317459733E-2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10.52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10.231666666666666</v>
      </c>
      <c r="R5" s="12">
        <f t="shared" si="8"/>
        <v>-2.7408111533586882E-2</v>
      </c>
      <c r="S5" s="11"/>
      <c r="T5" s="12"/>
    </row>
    <row r="6" spans="1:20" x14ac:dyDescent="0.25">
      <c r="A6">
        <v>0</v>
      </c>
      <c r="B6">
        <v>35</v>
      </c>
      <c r="C6">
        <v>80</v>
      </c>
      <c r="E6">
        <v>15.6</v>
      </c>
      <c r="F6" s="2"/>
      <c r="G6">
        <f t="shared" si="0"/>
        <v>0</v>
      </c>
      <c r="H6" s="10">
        <f t="shared" si="0"/>
        <v>35</v>
      </c>
      <c r="I6">
        <f t="shared" si="0"/>
        <v>80</v>
      </c>
      <c r="J6">
        <f t="shared" si="1"/>
        <v>0</v>
      </c>
      <c r="K6">
        <f t="shared" si="2"/>
        <v>0</v>
      </c>
      <c r="L6">
        <f t="shared" si="3"/>
        <v>0</v>
      </c>
      <c r="M6">
        <f t="shared" si="4"/>
        <v>1225</v>
      </c>
      <c r="N6">
        <f t="shared" si="5"/>
        <v>2800</v>
      </c>
      <c r="O6">
        <f t="shared" si="6"/>
        <v>6400</v>
      </c>
      <c r="Q6" s="11">
        <f t="shared" si="7"/>
        <v>15.692083333333334</v>
      </c>
      <c r="R6" s="12">
        <f t="shared" si="8"/>
        <v>5.9027777777778748E-3</v>
      </c>
      <c r="S6" s="11"/>
      <c r="T6" s="12"/>
    </row>
    <row r="7" spans="1:20" x14ac:dyDescent="0.25">
      <c r="A7">
        <v>5</v>
      </c>
      <c r="B7">
        <v>35</v>
      </c>
      <c r="C7">
        <v>20</v>
      </c>
      <c r="E7">
        <v>4.9000000000000004</v>
      </c>
      <c r="F7" s="2"/>
      <c r="G7">
        <f t="shared" si="0"/>
        <v>5</v>
      </c>
      <c r="H7" s="10">
        <f t="shared" si="0"/>
        <v>35</v>
      </c>
      <c r="I7">
        <f t="shared" si="0"/>
        <v>20</v>
      </c>
      <c r="J7">
        <f t="shared" si="1"/>
        <v>25</v>
      </c>
      <c r="K7">
        <f t="shared" si="2"/>
        <v>175</v>
      </c>
      <c r="L7">
        <f t="shared" si="3"/>
        <v>100</v>
      </c>
      <c r="M7">
        <f t="shared" si="4"/>
        <v>1225</v>
      </c>
      <c r="N7">
        <f t="shared" si="5"/>
        <v>700</v>
      </c>
      <c r="O7">
        <f t="shared" si="6"/>
        <v>400</v>
      </c>
      <c r="Q7" s="11">
        <f t="shared" si="7"/>
        <v>5.0690277777777757</v>
      </c>
      <c r="R7" s="12">
        <f t="shared" si="8"/>
        <v>3.4495464852607211E-2</v>
      </c>
      <c r="S7" s="11"/>
      <c r="T7" s="12"/>
    </row>
    <row r="8" spans="1:20" x14ac:dyDescent="0.25">
      <c r="A8">
        <v>5</v>
      </c>
      <c r="B8">
        <v>35</v>
      </c>
      <c r="C8">
        <v>50</v>
      </c>
      <c r="E8">
        <v>12.26</v>
      </c>
      <c r="F8" s="2"/>
      <c r="G8">
        <f t="shared" si="0"/>
        <v>5</v>
      </c>
      <c r="H8" s="10">
        <f t="shared" si="0"/>
        <v>35</v>
      </c>
      <c r="I8">
        <f t="shared" si="0"/>
        <v>50</v>
      </c>
      <c r="J8">
        <f t="shared" si="1"/>
        <v>25</v>
      </c>
      <c r="K8">
        <f t="shared" si="2"/>
        <v>175</v>
      </c>
      <c r="L8">
        <f t="shared" si="3"/>
        <v>250</v>
      </c>
      <c r="M8">
        <f t="shared" si="4"/>
        <v>1225</v>
      </c>
      <c r="N8">
        <f t="shared" si="5"/>
        <v>1750</v>
      </c>
      <c r="O8">
        <f t="shared" si="6"/>
        <v>2500</v>
      </c>
      <c r="Q8" s="11">
        <f t="shared" si="7"/>
        <v>11.366111111111113</v>
      </c>
      <c r="R8" s="12">
        <f t="shared" si="8"/>
        <v>-7.2911002356352894E-2</v>
      </c>
      <c r="S8" s="11"/>
      <c r="T8" s="12"/>
    </row>
    <row r="9" spans="1:20" x14ac:dyDescent="0.25">
      <c r="A9">
        <v>5</v>
      </c>
      <c r="B9">
        <v>35</v>
      </c>
      <c r="C9">
        <v>80</v>
      </c>
      <c r="E9">
        <v>16.52</v>
      </c>
      <c r="F9" s="2"/>
      <c r="G9">
        <f t="shared" si="0"/>
        <v>5</v>
      </c>
      <c r="H9" s="10">
        <f t="shared" si="0"/>
        <v>35</v>
      </c>
      <c r="I9">
        <f t="shared" si="0"/>
        <v>80</v>
      </c>
      <c r="J9">
        <f t="shared" si="1"/>
        <v>25</v>
      </c>
      <c r="K9">
        <f t="shared" si="2"/>
        <v>175</v>
      </c>
      <c r="L9">
        <f t="shared" si="3"/>
        <v>400</v>
      </c>
      <c r="M9">
        <f t="shared" si="4"/>
        <v>1225</v>
      </c>
      <c r="N9">
        <f t="shared" si="5"/>
        <v>2800</v>
      </c>
      <c r="O9">
        <f t="shared" si="6"/>
        <v>6400</v>
      </c>
      <c r="Q9" s="11">
        <f t="shared" si="7"/>
        <v>17.266527777777782</v>
      </c>
      <c r="R9" s="12">
        <f t="shared" si="8"/>
        <v>4.5189332795265262E-2</v>
      </c>
      <c r="S9" s="11"/>
      <c r="T9" s="12"/>
    </row>
    <row r="10" spans="1:20" x14ac:dyDescent="0.25">
      <c r="A10">
        <v>0</v>
      </c>
      <c r="B10">
        <v>45</v>
      </c>
      <c r="C10">
        <v>20</v>
      </c>
      <c r="E10">
        <v>3.79</v>
      </c>
      <c r="F10" s="2"/>
      <c r="G10">
        <f t="shared" si="0"/>
        <v>0</v>
      </c>
      <c r="H10" s="10">
        <f t="shared" si="0"/>
        <v>45</v>
      </c>
      <c r="I10">
        <f t="shared" si="0"/>
        <v>20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2025</v>
      </c>
      <c r="N10">
        <f t="shared" si="5"/>
        <v>900</v>
      </c>
      <c r="O10">
        <f t="shared" si="6"/>
        <v>400</v>
      </c>
      <c r="Q10" s="11">
        <f t="shared" si="7"/>
        <v>3.9716666666666649</v>
      </c>
      <c r="R10" s="12">
        <f t="shared" si="8"/>
        <v>4.7933157431837695E-2</v>
      </c>
      <c r="S10" s="11"/>
      <c r="T10" s="12"/>
    </row>
    <row r="11" spans="1:20" x14ac:dyDescent="0.25">
      <c r="A11">
        <v>0</v>
      </c>
      <c r="B11">
        <v>45</v>
      </c>
      <c r="C11">
        <v>50</v>
      </c>
      <c r="E11">
        <v>9.58</v>
      </c>
      <c r="F11" s="2"/>
      <c r="G11">
        <f t="shared" si="0"/>
        <v>0</v>
      </c>
      <c r="H11" s="10">
        <f t="shared" si="0"/>
        <v>45</v>
      </c>
      <c r="I11">
        <f t="shared" si="0"/>
        <v>50</v>
      </c>
      <c r="J11">
        <f t="shared" si="1"/>
        <v>0</v>
      </c>
      <c r="K11">
        <f t="shared" si="2"/>
        <v>0</v>
      </c>
      <c r="L11">
        <f t="shared" si="3"/>
        <v>0</v>
      </c>
      <c r="M11">
        <f t="shared" si="4"/>
        <v>2025</v>
      </c>
      <c r="N11">
        <f t="shared" si="5"/>
        <v>2250</v>
      </c>
      <c r="O11">
        <f t="shared" si="6"/>
        <v>2500</v>
      </c>
      <c r="Q11" s="11">
        <f t="shared" si="7"/>
        <v>9.75</v>
      </c>
      <c r="R11" s="12">
        <f t="shared" si="8"/>
        <v>1.7745302713987467E-2</v>
      </c>
      <c r="S11" s="11"/>
      <c r="T11" s="12"/>
    </row>
    <row r="12" spans="1:20" x14ac:dyDescent="0.25">
      <c r="A12">
        <v>0</v>
      </c>
      <c r="B12">
        <v>45</v>
      </c>
      <c r="C12">
        <v>80</v>
      </c>
      <c r="E12">
        <v>15.44</v>
      </c>
      <c r="F12" s="2"/>
      <c r="G12">
        <f t="shared" si="0"/>
        <v>0</v>
      </c>
      <c r="H12" s="10">
        <f t="shared" si="0"/>
        <v>45</v>
      </c>
      <c r="I12">
        <f t="shared" si="0"/>
        <v>80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2025</v>
      </c>
      <c r="N12">
        <f t="shared" si="5"/>
        <v>3600</v>
      </c>
      <c r="O12">
        <f t="shared" si="6"/>
        <v>6400</v>
      </c>
      <c r="Q12" s="11">
        <f t="shared" si="7"/>
        <v>15.131666666666666</v>
      </c>
      <c r="R12" s="12">
        <f t="shared" si="8"/>
        <v>-1.9969775474956836E-2</v>
      </c>
      <c r="S12" s="11"/>
      <c r="T12" s="12"/>
    </row>
    <row r="13" spans="1:20" x14ac:dyDescent="0.25">
      <c r="A13">
        <v>5</v>
      </c>
      <c r="B13">
        <v>45</v>
      </c>
      <c r="C13">
        <v>20</v>
      </c>
      <c r="E13">
        <v>4.6399999999999997</v>
      </c>
      <c r="F13" s="2"/>
      <c r="G13">
        <f t="shared" si="0"/>
        <v>5</v>
      </c>
      <c r="H13" s="10">
        <f t="shared" si="0"/>
        <v>45</v>
      </c>
      <c r="I13">
        <f t="shared" si="0"/>
        <v>20</v>
      </c>
      <c r="J13">
        <f t="shared" si="1"/>
        <v>25</v>
      </c>
      <c r="K13">
        <f t="shared" si="2"/>
        <v>225</v>
      </c>
      <c r="L13">
        <f t="shared" si="3"/>
        <v>100</v>
      </c>
      <c r="M13">
        <f t="shared" si="4"/>
        <v>2025</v>
      </c>
      <c r="N13">
        <f t="shared" si="5"/>
        <v>900</v>
      </c>
      <c r="O13">
        <f t="shared" si="6"/>
        <v>400</v>
      </c>
      <c r="Q13" s="11">
        <f t="shared" si="7"/>
        <v>4.9127777777777757</v>
      </c>
      <c r="R13" s="12">
        <f t="shared" si="8"/>
        <v>5.8788314176244832E-2</v>
      </c>
      <c r="S13" s="11"/>
      <c r="T13" s="12"/>
    </row>
    <row r="14" spans="1:20" x14ac:dyDescent="0.25">
      <c r="A14">
        <v>5</v>
      </c>
      <c r="B14">
        <v>45</v>
      </c>
      <c r="C14">
        <v>50</v>
      </c>
      <c r="E14">
        <v>11.22</v>
      </c>
      <c r="F14" s="2"/>
      <c r="G14">
        <f t="shared" si="0"/>
        <v>5</v>
      </c>
      <c r="H14" s="10">
        <f t="shared" si="0"/>
        <v>45</v>
      </c>
      <c r="I14">
        <f t="shared" si="0"/>
        <v>50</v>
      </c>
      <c r="J14">
        <f t="shared" si="1"/>
        <v>25</v>
      </c>
      <c r="K14">
        <f t="shared" si="2"/>
        <v>225</v>
      </c>
      <c r="L14">
        <f t="shared" si="3"/>
        <v>250</v>
      </c>
      <c r="M14">
        <f t="shared" si="4"/>
        <v>2025</v>
      </c>
      <c r="N14">
        <f t="shared" si="5"/>
        <v>2250</v>
      </c>
      <c r="O14">
        <f t="shared" si="6"/>
        <v>2500</v>
      </c>
      <c r="Q14" s="11">
        <f t="shared" si="7"/>
        <v>11.13111111111111</v>
      </c>
      <c r="R14" s="12">
        <f t="shared" si="8"/>
        <v>-7.9223608635374636E-3</v>
      </c>
      <c r="S14" s="11"/>
      <c r="T14" s="12"/>
    </row>
    <row r="15" spans="1:20" x14ac:dyDescent="0.25">
      <c r="A15">
        <v>5</v>
      </c>
      <c r="B15">
        <v>45</v>
      </c>
      <c r="C15">
        <v>80</v>
      </c>
      <c r="E15">
        <v>17.18</v>
      </c>
      <c r="F15" s="2"/>
      <c r="G15">
        <f t="shared" si="0"/>
        <v>5</v>
      </c>
      <c r="H15" s="10">
        <f t="shared" si="0"/>
        <v>45</v>
      </c>
      <c r="I15">
        <f t="shared" si="0"/>
        <v>80</v>
      </c>
      <c r="J15">
        <f t="shared" si="1"/>
        <v>25</v>
      </c>
      <c r="K15">
        <f t="shared" si="2"/>
        <v>225</v>
      </c>
      <c r="L15">
        <f t="shared" si="3"/>
        <v>400</v>
      </c>
      <c r="M15">
        <f t="shared" si="4"/>
        <v>2025</v>
      </c>
      <c r="N15">
        <f t="shared" si="5"/>
        <v>3600</v>
      </c>
      <c r="O15">
        <f t="shared" si="6"/>
        <v>6400</v>
      </c>
      <c r="Q15" s="11">
        <f t="shared" si="7"/>
        <v>16.952777777777779</v>
      </c>
      <c r="R15" s="12">
        <f t="shared" si="8"/>
        <v>-1.3225973354029129E-2</v>
      </c>
      <c r="S15" s="11"/>
      <c r="T15" s="12"/>
    </row>
    <row r="16" spans="1:20" x14ac:dyDescent="0.25">
      <c r="A16">
        <v>0</v>
      </c>
      <c r="B16">
        <v>55</v>
      </c>
      <c r="C16">
        <v>20</v>
      </c>
      <c r="E16">
        <v>4.34</v>
      </c>
      <c r="F16" s="2"/>
      <c r="G16">
        <f t="shared" si="0"/>
        <v>0</v>
      </c>
      <c r="H16" s="10">
        <f t="shared" si="0"/>
        <v>55</v>
      </c>
      <c r="I16">
        <f t="shared" si="0"/>
        <v>20</v>
      </c>
      <c r="J16">
        <f t="shared" si="1"/>
        <v>0</v>
      </c>
      <c r="K16">
        <f t="shared" si="2"/>
        <v>0</v>
      </c>
      <c r="L16">
        <f t="shared" si="3"/>
        <v>0</v>
      </c>
      <c r="M16">
        <f t="shared" si="4"/>
        <v>3025</v>
      </c>
      <c r="N16">
        <f t="shared" si="5"/>
        <v>1100</v>
      </c>
      <c r="O16">
        <f t="shared" si="6"/>
        <v>400</v>
      </c>
      <c r="Q16" s="11">
        <f t="shared" si="7"/>
        <v>3.762083333333333</v>
      </c>
      <c r="R16" s="12">
        <f t="shared" si="8"/>
        <v>-0.13316052227342554</v>
      </c>
      <c r="S16" s="11"/>
      <c r="T16" s="12"/>
    </row>
    <row r="17" spans="1:20" x14ac:dyDescent="0.25">
      <c r="A17">
        <v>0</v>
      </c>
      <c r="B17">
        <v>55</v>
      </c>
      <c r="C17">
        <v>50</v>
      </c>
      <c r="E17">
        <v>8.9</v>
      </c>
      <c r="F17" s="2"/>
      <c r="G17">
        <f t="shared" si="0"/>
        <v>0</v>
      </c>
      <c r="H17" s="10">
        <f t="shared" si="0"/>
        <v>55</v>
      </c>
      <c r="I17">
        <f t="shared" si="0"/>
        <v>50</v>
      </c>
      <c r="J17">
        <f t="shared" si="1"/>
        <v>0</v>
      </c>
      <c r="K17">
        <f t="shared" si="2"/>
        <v>0</v>
      </c>
      <c r="L17">
        <f t="shared" si="3"/>
        <v>0</v>
      </c>
      <c r="M17">
        <f t="shared" si="4"/>
        <v>3025</v>
      </c>
      <c r="N17">
        <f t="shared" si="5"/>
        <v>2750</v>
      </c>
      <c r="O17">
        <f t="shared" si="6"/>
        <v>2500</v>
      </c>
      <c r="Q17" s="11">
        <f t="shared" si="7"/>
        <v>9.461666666666666</v>
      </c>
      <c r="R17" s="12">
        <f t="shared" si="8"/>
        <v>6.310861423220962E-2</v>
      </c>
      <c r="S17" s="11"/>
      <c r="T17" s="12"/>
    </row>
    <row r="18" spans="1:20" x14ac:dyDescent="0.25">
      <c r="A18">
        <v>0</v>
      </c>
      <c r="B18">
        <v>55</v>
      </c>
      <c r="C18">
        <v>80</v>
      </c>
      <c r="E18">
        <v>14.77</v>
      </c>
      <c r="F18" s="2"/>
      <c r="G18">
        <f t="shared" si="0"/>
        <v>0</v>
      </c>
      <c r="H18" s="10">
        <f t="shared" si="0"/>
        <v>55</v>
      </c>
      <c r="I18">
        <f t="shared" si="0"/>
        <v>80</v>
      </c>
      <c r="J18">
        <f t="shared" si="1"/>
        <v>0</v>
      </c>
      <c r="K18">
        <f t="shared" si="2"/>
        <v>0</v>
      </c>
      <c r="L18">
        <f t="shared" si="3"/>
        <v>0</v>
      </c>
      <c r="M18">
        <f t="shared" si="4"/>
        <v>3025</v>
      </c>
      <c r="N18">
        <f t="shared" si="5"/>
        <v>4400</v>
      </c>
      <c r="O18">
        <f t="shared" si="6"/>
        <v>6400</v>
      </c>
      <c r="Q18" s="11">
        <f t="shared" si="7"/>
        <v>14.764583333333333</v>
      </c>
      <c r="R18" s="12">
        <f t="shared" si="8"/>
        <v>-3.6673437147373525E-4</v>
      </c>
      <c r="S18" s="11"/>
      <c r="T18" s="12"/>
    </row>
    <row r="19" spans="1:20" x14ac:dyDescent="0.25">
      <c r="A19">
        <v>5</v>
      </c>
      <c r="B19">
        <v>55</v>
      </c>
      <c r="C19">
        <v>20</v>
      </c>
      <c r="E19">
        <v>5.17</v>
      </c>
      <c r="F19" s="2"/>
      <c r="G19">
        <f t="shared" si="0"/>
        <v>5</v>
      </c>
      <c r="H19" s="10">
        <f t="shared" si="0"/>
        <v>55</v>
      </c>
      <c r="I19">
        <f t="shared" si="0"/>
        <v>20</v>
      </c>
      <c r="J19">
        <f t="shared" si="1"/>
        <v>25</v>
      </c>
      <c r="K19">
        <f t="shared" si="2"/>
        <v>275</v>
      </c>
      <c r="L19">
        <f t="shared" si="3"/>
        <v>100</v>
      </c>
      <c r="M19">
        <f t="shared" si="4"/>
        <v>3025</v>
      </c>
      <c r="N19">
        <f t="shared" si="5"/>
        <v>1100</v>
      </c>
      <c r="O19">
        <f t="shared" si="6"/>
        <v>400</v>
      </c>
      <c r="Q19" s="11">
        <f t="shared" si="7"/>
        <v>4.9498611111111099</v>
      </c>
      <c r="R19" s="12">
        <f t="shared" si="8"/>
        <v>-4.258005587792843E-2</v>
      </c>
      <c r="S19" s="11"/>
      <c r="T19" s="12"/>
    </row>
    <row r="20" spans="1:20" x14ac:dyDescent="0.25">
      <c r="A20">
        <v>5</v>
      </c>
      <c r="B20">
        <v>55</v>
      </c>
      <c r="C20">
        <v>50</v>
      </c>
      <c r="E20">
        <v>10.55</v>
      </c>
      <c r="F20" s="2"/>
      <c r="G20">
        <f t="shared" si="0"/>
        <v>5</v>
      </c>
      <c r="H20" s="10">
        <f t="shared" si="0"/>
        <v>55</v>
      </c>
      <c r="I20">
        <f t="shared" si="0"/>
        <v>50</v>
      </c>
      <c r="J20">
        <f t="shared" si="1"/>
        <v>25</v>
      </c>
      <c r="K20">
        <f t="shared" si="2"/>
        <v>275</v>
      </c>
      <c r="L20">
        <f t="shared" si="3"/>
        <v>250</v>
      </c>
      <c r="M20">
        <f t="shared" si="4"/>
        <v>3025</v>
      </c>
      <c r="N20">
        <f t="shared" si="5"/>
        <v>2750</v>
      </c>
      <c r="O20">
        <f t="shared" si="6"/>
        <v>2500</v>
      </c>
      <c r="Q20" s="11">
        <f t="shared" si="7"/>
        <v>11.089444444444446</v>
      </c>
      <c r="R20" s="12">
        <f t="shared" si="8"/>
        <v>5.1132174828857367E-2</v>
      </c>
      <c r="S20" s="11"/>
      <c r="T20" s="12"/>
    </row>
    <row r="21" spans="1:20" x14ac:dyDescent="0.25">
      <c r="A21">
        <v>5</v>
      </c>
      <c r="B21">
        <v>55</v>
      </c>
      <c r="C21">
        <v>80</v>
      </c>
      <c r="E21">
        <v>17.13</v>
      </c>
      <c r="G21">
        <f t="shared" si="0"/>
        <v>5</v>
      </c>
      <c r="H21" s="10">
        <f t="shared" si="0"/>
        <v>55</v>
      </c>
      <c r="I21">
        <f t="shared" si="0"/>
        <v>80</v>
      </c>
      <c r="J21">
        <f t="shared" si="1"/>
        <v>25</v>
      </c>
      <c r="K21">
        <f t="shared" si="2"/>
        <v>275</v>
      </c>
      <c r="L21">
        <f t="shared" si="3"/>
        <v>400</v>
      </c>
      <c r="M21">
        <f t="shared" si="4"/>
        <v>3025</v>
      </c>
      <c r="N21">
        <f t="shared" si="5"/>
        <v>4400</v>
      </c>
      <c r="O21">
        <f t="shared" si="6"/>
        <v>6400</v>
      </c>
      <c r="Q21" s="11">
        <f t="shared" si="7"/>
        <v>16.832361111111108</v>
      </c>
      <c r="R21" s="12">
        <f t="shared" si="8"/>
        <v>-1.7375299993513754E-2</v>
      </c>
      <c r="S21" s="11"/>
      <c r="T21" s="12"/>
    </row>
    <row r="24" spans="1:20" x14ac:dyDescent="0.25">
      <c r="A24" t="s">
        <v>27</v>
      </c>
      <c r="G24" s="4" t="s">
        <v>1</v>
      </c>
      <c r="H24" s="4" t="s">
        <v>2</v>
      </c>
      <c r="I24" s="4" t="s">
        <v>3</v>
      </c>
      <c r="J24" s="4" t="s">
        <v>4</v>
      </c>
      <c r="K24" s="4" t="s">
        <v>5</v>
      </c>
      <c r="L24" s="4" t="s">
        <v>6</v>
      </c>
      <c r="M24" s="4" t="s">
        <v>7</v>
      </c>
      <c r="N24" s="4" t="s">
        <v>8</v>
      </c>
      <c r="O24" s="4" t="s">
        <v>9</v>
      </c>
      <c r="P24" s="4" t="s">
        <v>10</v>
      </c>
    </row>
    <row r="25" spans="1:20" x14ac:dyDescent="0.25">
      <c r="A25" s="1"/>
      <c r="C25" s="1"/>
      <c r="D25" s="1"/>
      <c r="E25" s="1"/>
      <c r="F25" s="1"/>
      <c r="G25" s="4">
        <f t="array" ref="G25:P25">LINEST(E27:E44,G27:O44)</f>
        <v>3.6759259259259302E-4</v>
      </c>
      <c r="H25" s="4">
        <v>6.2916666666666665E-4</v>
      </c>
      <c r="I25" s="4">
        <v>8.3333333333335065E-5</v>
      </c>
      <c r="J25" s="4">
        <v>6.3333333333333373E-4</v>
      </c>
      <c r="K25" s="4">
        <v>1.9999999999999407E-4</v>
      </c>
      <c r="L25" s="4">
        <v>-4.3111111111110564E-3</v>
      </c>
      <c r="M25" s="4">
        <v>-2.7384259259259558E-3</v>
      </c>
      <c r="N25" s="4">
        <v>1.5541666666666551E-2</v>
      </c>
      <c r="O25" s="4">
        <v>0</v>
      </c>
      <c r="P25" s="4">
        <v>-0.27081018518518341</v>
      </c>
    </row>
    <row r="26" spans="1:20" ht="45" x14ac:dyDescent="0.25">
      <c r="A26" s="5" t="s">
        <v>11</v>
      </c>
      <c r="B26" s="5" t="s">
        <v>12</v>
      </c>
      <c r="C26" s="5" t="s">
        <v>13</v>
      </c>
      <c r="D26" s="6"/>
      <c r="E26" s="7" t="s">
        <v>14</v>
      </c>
      <c r="F26" s="3"/>
      <c r="G26" s="8" t="s">
        <v>17</v>
      </c>
      <c r="H26" s="8" t="s">
        <v>18</v>
      </c>
      <c r="I26" s="8" t="s">
        <v>0</v>
      </c>
      <c r="J26" s="8" t="s">
        <v>19</v>
      </c>
      <c r="K26" s="8" t="s">
        <v>20</v>
      </c>
      <c r="L26" s="8" t="s">
        <v>21</v>
      </c>
      <c r="M26" s="8" t="s">
        <v>22</v>
      </c>
      <c r="N26" s="8" t="s">
        <v>23</v>
      </c>
      <c r="O26" s="8" t="s">
        <v>24</v>
      </c>
      <c r="P26" s="3"/>
      <c r="Q26" s="9" t="s">
        <v>14</v>
      </c>
      <c r="R26" s="9" t="s">
        <v>15</v>
      </c>
    </row>
    <row r="27" spans="1:20" x14ac:dyDescent="0.25">
      <c r="A27">
        <v>0</v>
      </c>
      <c r="B27">
        <v>35</v>
      </c>
      <c r="C27">
        <v>20</v>
      </c>
      <c r="E27">
        <v>0.9</v>
      </c>
      <c r="F27" s="2"/>
      <c r="G27">
        <f t="shared" ref="G27:I44" si="9">A27</f>
        <v>0</v>
      </c>
      <c r="H27" s="10">
        <f t="shared" si="9"/>
        <v>35</v>
      </c>
      <c r="I27">
        <f t="shared" si="9"/>
        <v>20</v>
      </c>
      <c r="J27">
        <f t="shared" ref="J27:J44" si="10">G27^2</f>
        <v>0</v>
      </c>
      <c r="K27">
        <f t="shared" ref="K27:K44" si="11">G27*H27</f>
        <v>0</v>
      </c>
      <c r="L27">
        <f t="shared" ref="L27:L44" si="12">G27*I27</f>
        <v>0</v>
      </c>
      <c r="M27">
        <f t="shared" ref="M27:M44" si="13">H27^2</f>
        <v>1225</v>
      </c>
      <c r="N27">
        <f t="shared" ref="N27:N44" si="14">H27*I27</f>
        <v>700</v>
      </c>
      <c r="O27">
        <f t="shared" ref="O27:O44" si="15">I27^2</f>
        <v>400</v>
      </c>
      <c r="Q27" s="11">
        <f t="shared" ref="Q27:Q44" si="16">$P$25+$O$25*G27+$N$25*H27+$M$25*I27+$L$25*J27+$K$25*K27+$J$25*L27+$I$25*M27+$H$25*N27+$G$25*O27</f>
        <v>0.90791666666666615</v>
      </c>
      <c r="R27" s="12">
        <f t="shared" ref="R27:R44" si="17">(Q27-E27)/E27</f>
        <v>8.7962962962956966E-3</v>
      </c>
    </row>
    <row r="28" spans="1:20" x14ac:dyDescent="0.25">
      <c r="A28">
        <v>0</v>
      </c>
      <c r="B28">
        <v>35</v>
      </c>
      <c r="C28">
        <v>50</v>
      </c>
      <c r="E28">
        <v>2.34</v>
      </c>
      <c r="F28" s="2"/>
      <c r="G28">
        <f t="shared" si="9"/>
        <v>0</v>
      </c>
      <c r="H28" s="10">
        <f t="shared" si="9"/>
        <v>35</v>
      </c>
      <c r="I28">
        <f t="shared" si="9"/>
        <v>50</v>
      </c>
      <c r="J28">
        <f t="shared" si="10"/>
        <v>0</v>
      </c>
      <c r="K28">
        <f t="shared" si="11"/>
        <v>0</v>
      </c>
      <c r="L28">
        <f t="shared" si="12"/>
        <v>0</v>
      </c>
      <c r="M28">
        <f t="shared" si="13"/>
        <v>1225</v>
      </c>
      <c r="N28">
        <f t="shared" si="14"/>
        <v>1750</v>
      </c>
      <c r="O28">
        <f t="shared" si="15"/>
        <v>2500</v>
      </c>
      <c r="Q28" s="11">
        <f t="shared" si="16"/>
        <v>2.2583333333333329</v>
      </c>
      <c r="R28" s="12">
        <f t="shared" si="17"/>
        <v>-3.4900284900285045E-2</v>
      </c>
    </row>
    <row r="29" spans="1:20" x14ac:dyDescent="0.25">
      <c r="A29">
        <v>0</v>
      </c>
      <c r="B29">
        <v>35</v>
      </c>
      <c r="C29">
        <v>80</v>
      </c>
      <c r="E29">
        <v>4.1900000000000004</v>
      </c>
      <c r="F29" s="2"/>
      <c r="G29">
        <f t="shared" si="9"/>
        <v>0</v>
      </c>
      <c r="H29" s="10">
        <f t="shared" si="9"/>
        <v>35</v>
      </c>
      <c r="I29">
        <f t="shared" si="9"/>
        <v>80</v>
      </c>
      <c r="J29">
        <f t="shared" si="10"/>
        <v>0</v>
      </c>
      <c r="K29">
        <f t="shared" si="11"/>
        <v>0</v>
      </c>
      <c r="L29">
        <f t="shared" si="12"/>
        <v>0</v>
      </c>
      <c r="M29">
        <f t="shared" si="13"/>
        <v>1225</v>
      </c>
      <c r="N29">
        <f t="shared" si="14"/>
        <v>2800</v>
      </c>
      <c r="O29">
        <f t="shared" si="15"/>
        <v>6400</v>
      </c>
      <c r="Q29" s="11">
        <f t="shared" si="16"/>
        <v>4.2704166666666676</v>
      </c>
      <c r="R29" s="12">
        <f t="shared" si="17"/>
        <v>1.9192521877486216E-2</v>
      </c>
    </row>
    <row r="30" spans="1:20" x14ac:dyDescent="0.25">
      <c r="A30">
        <v>5</v>
      </c>
      <c r="B30">
        <v>35</v>
      </c>
      <c r="C30">
        <v>20</v>
      </c>
      <c r="E30">
        <v>0.91</v>
      </c>
      <c r="F30" s="2"/>
      <c r="G30">
        <f t="shared" si="9"/>
        <v>5</v>
      </c>
      <c r="H30" s="10">
        <f t="shared" si="9"/>
        <v>35</v>
      </c>
      <c r="I30">
        <f t="shared" si="9"/>
        <v>20</v>
      </c>
      <c r="J30">
        <f t="shared" si="10"/>
        <v>25</v>
      </c>
      <c r="K30">
        <f t="shared" si="11"/>
        <v>175</v>
      </c>
      <c r="L30">
        <f t="shared" si="12"/>
        <v>100</v>
      </c>
      <c r="M30">
        <f t="shared" si="13"/>
        <v>1225</v>
      </c>
      <c r="N30">
        <f t="shared" si="14"/>
        <v>700</v>
      </c>
      <c r="O30">
        <f t="shared" si="15"/>
        <v>400</v>
      </c>
      <c r="Q30" s="11">
        <f t="shared" si="16"/>
        <v>0.89847222222222201</v>
      </c>
      <c r="R30" s="12">
        <f t="shared" si="17"/>
        <v>-1.266788766788794E-2</v>
      </c>
    </row>
    <row r="31" spans="1:20" x14ac:dyDescent="0.25">
      <c r="A31">
        <v>5</v>
      </c>
      <c r="B31">
        <v>35</v>
      </c>
      <c r="C31">
        <v>50</v>
      </c>
      <c r="E31">
        <v>2.42</v>
      </c>
      <c r="F31" s="2"/>
      <c r="G31">
        <f t="shared" si="9"/>
        <v>5</v>
      </c>
      <c r="H31" s="10">
        <f t="shared" si="9"/>
        <v>35</v>
      </c>
      <c r="I31">
        <f t="shared" si="9"/>
        <v>50</v>
      </c>
      <c r="J31">
        <f t="shared" si="10"/>
        <v>25</v>
      </c>
      <c r="K31">
        <f t="shared" si="11"/>
        <v>175</v>
      </c>
      <c r="L31">
        <f t="shared" si="12"/>
        <v>250</v>
      </c>
      <c r="M31">
        <f t="shared" si="13"/>
        <v>1225</v>
      </c>
      <c r="N31">
        <f t="shared" si="14"/>
        <v>1750</v>
      </c>
      <c r="O31">
        <f t="shared" si="15"/>
        <v>2500</v>
      </c>
      <c r="Q31" s="11">
        <f t="shared" si="16"/>
        <v>2.3438888888888885</v>
      </c>
      <c r="R31" s="12">
        <f t="shared" si="17"/>
        <v>-3.1450872359963418E-2</v>
      </c>
    </row>
    <row r="32" spans="1:20" x14ac:dyDescent="0.25">
      <c r="A32">
        <v>5</v>
      </c>
      <c r="B32">
        <v>35</v>
      </c>
      <c r="C32">
        <v>80</v>
      </c>
      <c r="E32">
        <v>4.37</v>
      </c>
      <c r="F32" s="2"/>
      <c r="G32">
        <f t="shared" si="9"/>
        <v>5</v>
      </c>
      <c r="H32" s="10">
        <f t="shared" si="9"/>
        <v>35</v>
      </c>
      <c r="I32">
        <f t="shared" si="9"/>
        <v>80</v>
      </c>
      <c r="J32">
        <f t="shared" si="10"/>
        <v>25</v>
      </c>
      <c r="K32">
        <f t="shared" si="11"/>
        <v>175</v>
      </c>
      <c r="L32">
        <f t="shared" si="12"/>
        <v>400</v>
      </c>
      <c r="M32">
        <f t="shared" si="13"/>
        <v>1225</v>
      </c>
      <c r="N32">
        <f t="shared" si="14"/>
        <v>2800</v>
      </c>
      <c r="O32">
        <f t="shared" si="15"/>
        <v>6400</v>
      </c>
      <c r="Q32" s="11">
        <f t="shared" si="16"/>
        <v>4.450972222222223</v>
      </c>
      <c r="R32" s="12">
        <f t="shared" si="17"/>
        <v>1.8529112636664277E-2</v>
      </c>
    </row>
    <row r="33" spans="1:18" x14ac:dyDescent="0.25">
      <c r="A33">
        <v>0</v>
      </c>
      <c r="B33">
        <v>45</v>
      </c>
      <c r="C33">
        <v>20</v>
      </c>
      <c r="E33">
        <v>1.18</v>
      </c>
      <c r="F33" s="2"/>
      <c r="G33">
        <f t="shared" si="9"/>
        <v>0</v>
      </c>
      <c r="H33" s="10">
        <f t="shared" si="9"/>
        <v>45</v>
      </c>
      <c r="I33">
        <f t="shared" si="9"/>
        <v>20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2025</v>
      </c>
      <c r="N33">
        <f t="shared" si="14"/>
        <v>900</v>
      </c>
      <c r="O33">
        <f t="shared" si="15"/>
        <v>400</v>
      </c>
      <c r="Q33" s="11">
        <f t="shared" si="16"/>
        <v>1.2558333333333331</v>
      </c>
      <c r="R33" s="12">
        <f t="shared" si="17"/>
        <v>6.4265536723163735E-2</v>
      </c>
    </row>
    <row r="34" spans="1:18" x14ac:dyDescent="0.25">
      <c r="A34">
        <v>0</v>
      </c>
      <c r="B34">
        <v>45</v>
      </c>
      <c r="C34">
        <v>50</v>
      </c>
      <c r="E34">
        <v>2.8</v>
      </c>
      <c r="F34" s="2"/>
      <c r="G34">
        <f t="shared" si="9"/>
        <v>0</v>
      </c>
      <c r="H34" s="10">
        <f t="shared" si="9"/>
        <v>45</v>
      </c>
      <c r="I34">
        <f t="shared" si="9"/>
        <v>50</v>
      </c>
      <c r="J34">
        <f t="shared" si="10"/>
        <v>0</v>
      </c>
      <c r="K34">
        <f t="shared" si="11"/>
        <v>0</v>
      </c>
      <c r="L34">
        <f t="shared" si="12"/>
        <v>0</v>
      </c>
      <c r="M34">
        <f t="shared" si="13"/>
        <v>2025</v>
      </c>
      <c r="N34">
        <f t="shared" si="14"/>
        <v>2250</v>
      </c>
      <c r="O34">
        <f t="shared" si="15"/>
        <v>2500</v>
      </c>
      <c r="Q34" s="11">
        <f t="shared" si="16"/>
        <v>2.7949999999999995</v>
      </c>
      <c r="R34" s="12">
        <f t="shared" si="17"/>
        <v>-1.7857142857144064E-3</v>
      </c>
    </row>
    <row r="35" spans="1:18" x14ac:dyDescent="0.25">
      <c r="A35">
        <v>0</v>
      </c>
      <c r="B35">
        <v>45</v>
      </c>
      <c r="C35">
        <v>80</v>
      </c>
      <c r="E35">
        <v>5.08</v>
      </c>
      <c r="F35" s="2"/>
      <c r="G35">
        <f t="shared" si="9"/>
        <v>0</v>
      </c>
      <c r="H35" s="10">
        <f t="shared" si="9"/>
        <v>45</v>
      </c>
      <c r="I35">
        <f t="shared" si="9"/>
        <v>80</v>
      </c>
      <c r="J35">
        <f t="shared" si="10"/>
        <v>0</v>
      </c>
      <c r="K35">
        <f t="shared" si="11"/>
        <v>0</v>
      </c>
      <c r="L35">
        <f t="shared" si="12"/>
        <v>0</v>
      </c>
      <c r="M35">
        <f t="shared" si="13"/>
        <v>2025</v>
      </c>
      <c r="N35">
        <f t="shared" si="14"/>
        <v>3600</v>
      </c>
      <c r="O35">
        <f t="shared" si="15"/>
        <v>6400</v>
      </c>
      <c r="Q35" s="11">
        <f t="shared" si="16"/>
        <v>4.9958333333333336</v>
      </c>
      <c r="R35" s="12">
        <f t="shared" si="17"/>
        <v>-1.6568241469816239E-2</v>
      </c>
    </row>
    <row r="36" spans="1:18" x14ac:dyDescent="0.25">
      <c r="A36">
        <v>5</v>
      </c>
      <c r="B36">
        <v>45</v>
      </c>
      <c r="C36">
        <v>20</v>
      </c>
      <c r="E36">
        <v>1.1599999999999999</v>
      </c>
      <c r="F36" s="2"/>
      <c r="G36">
        <f t="shared" si="9"/>
        <v>5</v>
      </c>
      <c r="H36" s="10">
        <f t="shared" si="9"/>
        <v>45</v>
      </c>
      <c r="I36">
        <f t="shared" si="9"/>
        <v>20</v>
      </c>
      <c r="J36">
        <f t="shared" si="10"/>
        <v>25</v>
      </c>
      <c r="K36">
        <f t="shared" si="11"/>
        <v>225</v>
      </c>
      <c r="L36">
        <f t="shared" si="12"/>
        <v>100</v>
      </c>
      <c r="M36">
        <f t="shared" si="13"/>
        <v>2025</v>
      </c>
      <c r="N36">
        <f t="shared" si="14"/>
        <v>900</v>
      </c>
      <c r="O36">
        <f t="shared" si="15"/>
        <v>400</v>
      </c>
      <c r="Q36" s="11">
        <f t="shared" si="16"/>
        <v>1.2563888888888888</v>
      </c>
      <c r="R36" s="12">
        <f t="shared" si="17"/>
        <v>8.3093869731800746E-2</v>
      </c>
    </row>
    <row r="37" spans="1:18" x14ac:dyDescent="0.25">
      <c r="A37">
        <v>5</v>
      </c>
      <c r="B37">
        <v>45</v>
      </c>
      <c r="C37">
        <v>50</v>
      </c>
      <c r="E37">
        <v>2.9</v>
      </c>
      <c r="F37" s="2"/>
      <c r="G37">
        <f t="shared" si="9"/>
        <v>5</v>
      </c>
      <c r="H37" s="10">
        <f t="shared" si="9"/>
        <v>45</v>
      </c>
      <c r="I37">
        <f t="shared" si="9"/>
        <v>50</v>
      </c>
      <c r="J37">
        <f t="shared" si="10"/>
        <v>25</v>
      </c>
      <c r="K37">
        <f t="shared" si="11"/>
        <v>225</v>
      </c>
      <c r="L37">
        <f t="shared" si="12"/>
        <v>250</v>
      </c>
      <c r="M37">
        <f t="shared" si="13"/>
        <v>2025</v>
      </c>
      <c r="N37">
        <f t="shared" si="14"/>
        <v>2250</v>
      </c>
      <c r="O37">
        <f t="shared" si="15"/>
        <v>2500</v>
      </c>
      <c r="Q37" s="11">
        <f t="shared" si="16"/>
        <v>2.8905555555555553</v>
      </c>
      <c r="R37" s="12">
        <f t="shared" si="17"/>
        <v>-3.2567049808429616E-3</v>
      </c>
    </row>
    <row r="38" spans="1:18" x14ac:dyDescent="0.25">
      <c r="A38">
        <v>5</v>
      </c>
      <c r="B38">
        <v>45</v>
      </c>
      <c r="C38">
        <v>80</v>
      </c>
      <c r="E38">
        <v>5.26</v>
      </c>
      <c r="F38" s="2"/>
      <c r="G38">
        <f t="shared" si="9"/>
        <v>5</v>
      </c>
      <c r="H38" s="10">
        <f t="shared" si="9"/>
        <v>45</v>
      </c>
      <c r="I38">
        <f t="shared" si="9"/>
        <v>80</v>
      </c>
      <c r="J38">
        <f t="shared" si="10"/>
        <v>25</v>
      </c>
      <c r="K38">
        <f t="shared" si="11"/>
        <v>225</v>
      </c>
      <c r="L38">
        <f t="shared" si="12"/>
        <v>400</v>
      </c>
      <c r="M38">
        <f t="shared" si="13"/>
        <v>2025</v>
      </c>
      <c r="N38">
        <f t="shared" si="14"/>
        <v>3600</v>
      </c>
      <c r="O38">
        <f t="shared" si="15"/>
        <v>6400</v>
      </c>
      <c r="Q38" s="11">
        <f t="shared" si="16"/>
        <v>5.1863888888888896</v>
      </c>
      <c r="R38" s="12">
        <f t="shared" si="17"/>
        <v>-1.3994507815800415E-2</v>
      </c>
    </row>
    <row r="39" spans="1:18" x14ac:dyDescent="0.25">
      <c r="A39">
        <v>0</v>
      </c>
      <c r="B39">
        <v>55</v>
      </c>
      <c r="C39">
        <v>20</v>
      </c>
      <c r="E39">
        <v>1.7</v>
      </c>
      <c r="F39" s="2"/>
      <c r="G39">
        <f t="shared" si="9"/>
        <v>0</v>
      </c>
      <c r="H39" s="10">
        <f t="shared" si="9"/>
        <v>55</v>
      </c>
      <c r="I39">
        <f t="shared" si="9"/>
        <v>20</v>
      </c>
      <c r="J39">
        <f t="shared" si="10"/>
        <v>0</v>
      </c>
      <c r="K39">
        <f t="shared" si="11"/>
        <v>0</v>
      </c>
      <c r="L39">
        <f t="shared" si="12"/>
        <v>0</v>
      </c>
      <c r="M39">
        <f t="shared" si="13"/>
        <v>3025</v>
      </c>
      <c r="N39">
        <f t="shared" si="14"/>
        <v>1100</v>
      </c>
      <c r="O39">
        <f t="shared" si="15"/>
        <v>400</v>
      </c>
      <c r="Q39" s="11">
        <f t="shared" si="16"/>
        <v>1.6204166666666671</v>
      </c>
      <c r="R39" s="12">
        <f t="shared" si="17"/>
        <v>-4.6813725490195822E-2</v>
      </c>
    </row>
    <row r="40" spans="1:18" x14ac:dyDescent="0.25">
      <c r="A40">
        <v>0</v>
      </c>
      <c r="B40">
        <v>55</v>
      </c>
      <c r="C40">
        <v>50</v>
      </c>
      <c r="E40">
        <v>3.27</v>
      </c>
      <c r="F40" s="2"/>
      <c r="G40">
        <f t="shared" si="9"/>
        <v>0</v>
      </c>
      <c r="H40" s="10">
        <f t="shared" si="9"/>
        <v>55</v>
      </c>
      <c r="I40">
        <f t="shared" si="9"/>
        <v>50</v>
      </c>
      <c r="J40">
        <f t="shared" si="10"/>
        <v>0</v>
      </c>
      <c r="K40">
        <f t="shared" si="11"/>
        <v>0</v>
      </c>
      <c r="L40">
        <f t="shared" si="12"/>
        <v>0</v>
      </c>
      <c r="M40">
        <f t="shared" si="13"/>
        <v>3025</v>
      </c>
      <c r="N40">
        <f t="shared" si="14"/>
        <v>2750</v>
      </c>
      <c r="O40">
        <f t="shared" si="15"/>
        <v>2500</v>
      </c>
      <c r="Q40" s="11">
        <f t="shared" si="16"/>
        <v>3.3483333333333336</v>
      </c>
      <c r="R40" s="12">
        <f t="shared" si="17"/>
        <v>2.3955147808358897E-2</v>
      </c>
    </row>
    <row r="41" spans="1:18" x14ac:dyDescent="0.25">
      <c r="A41">
        <v>0</v>
      </c>
      <c r="B41">
        <v>55</v>
      </c>
      <c r="C41">
        <v>80</v>
      </c>
      <c r="E41">
        <v>5.73</v>
      </c>
      <c r="F41" s="2"/>
      <c r="G41">
        <f t="shared" si="9"/>
        <v>0</v>
      </c>
      <c r="H41" s="10">
        <f t="shared" si="9"/>
        <v>55</v>
      </c>
      <c r="I41">
        <f t="shared" si="9"/>
        <v>80</v>
      </c>
      <c r="J41">
        <f t="shared" si="10"/>
        <v>0</v>
      </c>
      <c r="K41">
        <f t="shared" si="11"/>
        <v>0</v>
      </c>
      <c r="L41">
        <f t="shared" si="12"/>
        <v>0</v>
      </c>
      <c r="M41">
        <f t="shared" si="13"/>
        <v>3025</v>
      </c>
      <c r="N41">
        <f t="shared" si="14"/>
        <v>4400</v>
      </c>
      <c r="O41">
        <f t="shared" si="15"/>
        <v>6400</v>
      </c>
      <c r="Q41" s="11">
        <f t="shared" si="16"/>
        <v>5.737916666666667</v>
      </c>
      <c r="R41" s="12">
        <f t="shared" si="17"/>
        <v>1.3816172193135377E-3</v>
      </c>
    </row>
    <row r="42" spans="1:18" x14ac:dyDescent="0.25">
      <c r="A42">
        <v>5</v>
      </c>
      <c r="B42">
        <v>55</v>
      </c>
      <c r="C42">
        <v>20</v>
      </c>
      <c r="E42">
        <v>1.72</v>
      </c>
      <c r="F42" s="2"/>
      <c r="G42">
        <f t="shared" si="9"/>
        <v>5</v>
      </c>
      <c r="H42" s="10">
        <f t="shared" si="9"/>
        <v>55</v>
      </c>
      <c r="I42">
        <f t="shared" si="9"/>
        <v>20</v>
      </c>
      <c r="J42">
        <f t="shared" si="10"/>
        <v>25</v>
      </c>
      <c r="K42">
        <f t="shared" si="11"/>
        <v>275</v>
      </c>
      <c r="L42">
        <f t="shared" si="12"/>
        <v>100</v>
      </c>
      <c r="M42">
        <f t="shared" si="13"/>
        <v>3025</v>
      </c>
      <c r="N42">
        <f t="shared" si="14"/>
        <v>1100</v>
      </c>
      <c r="O42">
        <f t="shared" si="15"/>
        <v>400</v>
      </c>
      <c r="Q42" s="11">
        <f t="shared" si="16"/>
        <v>1.630972222222222</v>
      </c>
      <c r="R42" s="12">
        <f t="shared" si="17"/>
        <v>-5.1760335917312751E-2</v>
      </c>
    </row>
    <row r="43" spans="1:18" x14ac:dyDescent="0.25">
      <c r="A43">
        <v>5</v>
      </c>
      <c r="B43">
        <v>55</v>
      </c>
      <c r="C43">
        <v>50</v>
      </c>
      <c r="E43">
        <v>3.36</v>
      </c>
      <c r="F43" s="2"/>
      <c r="G43">
        <f t="shared" si="9"/>
        <v>5</v>
      </c>
      <c r="H43" s="10">
        <f t="shared" si="9"/>
        <v>55</v>
      </c>
      <c r="I43">
        <f t="shared" si="9"/>
        <v>50</v>
      </c>
      <c r="J43">
        <f t="shared" si="10"/>
        <v>25</v>
      </c>
      <c r="K43">
        <f t="shared" si="11"/>
        <v>275</v>
      </c>
      <c r="L43">
        <f t="shared" si="12"/>
        <v>250</v>
      </c>
      <c r="M43">
        <f t="shared" si="13"/>
        <v>3025</v>
      </c>
      <c r="N43">
        <f t="shared" si="14"/>
        <v>2750</v>
      </c>
      <c r="O43">
        <f t="shared" si="15"/>
        <v>2500</v>
      </c>
      <c r="Q43" s="11">
        <f t="shared" si="16"/>
        <v>3.4538888888888888</v>
      </c>
      <c r="R43" s="12">
        <f t="shared" si="17"/>
        <v>2.79431216931217E-2</v>
      </c>
    </row>
    <row r="44" spans="1:18" x14ac:dyDescent="0.25">
      <c r="A44">
        <v>5</v>
      </c>
      <c r="B44">
        <v>55</v>
      </c>
      <c r="C44">
        <v>80</v>
      </c>
      <c r="E44">
        <v>5.95</v>
      </c>
      <c r="G44">
        <f t="shared" si="9"/>
        <v>5</v>
      </c>
      <c r="H44" s="10">
        <f t="shared" si="9"/>
        <v>55</v>
      </c>
      <c r="I44">
        <f t="shared" si="9"/>
        <v>80</v>
      </c>
      <c r="J44">
        <f t="shared" si="10"/>
        <v>25</v>
      </c>
      <c r="K44">
        <f t="shared" si="11"/>
        <v>275</v>
      </c>
      <c r="L44">
        <f t="shared" si="12"/>
        <v>400</v>
      </c>
      <c r="M44">
        <f t="shared" si="13"/>
        <v>3025</v>
      </c>
      <c r="N44">
        <f t="shared" si="14"/>
        <v>4400</v>
      </c>
      <c r="O44">
        <f t="shared" si="15"/>
        <v>6400</v>
      </c>
      <c r="Q44" s="11">
        <f t="shared" si="16"/>
        <v>5.9384722222222237</v>
      </c>
      <c r="R44" s="12">
        <f t="shared" si="17"/>
        <v>-1.9374416433237767E-3</v>
      </c>
    </row>
    <row r="47" spans="1:18" x14ac:dyDescent="0.25">
      <c r="A47" t="s">
        <v>28</v>
      </c>
      <c r="G47" s="4" t="s">
        <v>1</v>
      </c>
      <c r="H47" s="4" t="s">
        <v>2</v>
      </c>
      <c r="I47" s="4" t="s">
        <v>3</v>
      </c>
      <c r="J47" s="4" t="s">
        <v>4</v>
      </c>
      <c r="K47" s="4" t="s">
        <v>5</v>
      </c>
      <c r="L47" s="4" t="s">
        <v>6</v>
      </c>
      <c r="M47" s="4" t="s">
        <v>7</v>
      </c>
      <c r="N47" s="4" t="s">
        <v>8</v>
      </c>
      <c r="O47" s="4" t="s">
        <v>9</v>
      </c>
      <c r="P47" s="4" t="s">
        <v>10</v>
      </c>
    </row>
    <row r="48" spans="1:18" x14ac:dyDescent="0.25">
      <c r="A48" s="1"/>
      <c r="C48" s="1"/>
      <c r="D48" s="1"/>
      <c r="E48" s="1"/>
      <c r="F48" s="1"/>
      <c r="G48" s="4">
        <f t="array" ref="G48:P48">LINEST(E50:E67,G50:O67)</f>
        <v>2.6409989924596904E-2</v>
      </c>
      <c r="H48" s="4">
        <v>8.5119268271322355E-3</v>
      </c>
      <c r="I48" s="4">
        <v>-4.1087198190910522E-3</v>
      </c>
      <c r="J48" s="4">
        <v>-9.6221306286511196E-2</v>
      </c>
      <c r="K48" s="4">
        <v>-3.1038251834638372E-2</v>
      </c>
      <c r="L48" s="4">
        <v>0.19031938475936586</v>
      </c>
      <c r="M48" s="4">
        <v>4.4584364870993713</v>
      </c>
      <c r="N48" s="4">
        <v>0.49784825839672714</v>
      </c>
      <c r="O48" s="4">
        <v>0</v>
      </c>
      <c r="P48" s="4">
        <v>-13.692999503086124</v>
      </c>
    </row>
    <row r="49" spans="1:18" ht="45" x14ac:dyDescent="0.25">
      <c r="A49" s="5" t="s">
        <v>11</v>
      </c>
      <c r="B49" s="5" t="s">
        <v>12</v>
      </c>
      <c r="C49" s="5" t="s">
        <v>14</v>
      </c>
      <c r="E49" s="7" t="s">
        <v>13</v>
      </c>
      <c r="F49" s="3"/>
      <c r="G49" s="8" t="s">
        <v>17</v>
      </c>
      <c r="H49" s="8" t="s">
        <v>18</v>
      </c>
      <c r="I49" s="8" t="s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3"/>
      <c r="Q49" s="9" t="s">
        <v>16</v>
      </c>
      <c r="R49" s="9" t="s">
        <v>15</v>
      </c>
    </row>
    <row r="50" spans="1:18" x14ac:dyDescent="0.25">
      <c r="A50">
        <v>0</v>
      </c>
      <c r="B50">
        <v>35</v>
      </c>
      <c r="C50" s="11">
        <f t="shared" ref="C50:C67" si="18">E4</f>
        <v>4.2</v>
      </c>
      <c r="E50">
        <v>20</v>
      </c>
      <c r="F50" s="2"/>
      <c r="G50">
        <f t="shared" ref="G50:I67" si="19">A50</f>
        <v>0</v>
      </c>
      <c r="H50" s="10">
        <f t="shared" si="19"/>
        <v>35</v>
      </c>
      <c r="I50">
        <f t="shared" si="19"/>
        <v>4.2</v>
      </c>
      <c r="J50">
        <f t="shared" ref="J50:J67" si="20">G50^2</f>
        <v>0</v>
      </c>
      <c r="K50">
        <f t="shared" ref="K50:K67" si="21">G50*H50</f>
        <v>0</v>
      </c>
      <c r="L50">
        <f t="shared" ref="L50:L67" si="22">G50*I50</f>
        <v>0</v>
      </c>
      <c r="M50">
        <f t="shared" ref="M50:M67" si="23">H50^2</f>
        <v>1225</v>
      </c>
      <c r="N50">
        <f t="shared" ref="N50:N67" si="24">H50*I50</f>
        <v>147</v>
      </c>
      <c r="O50">
        <f t="shared" ref="O50:O67" si="25">I50^2</f>
        <v>17.64</v>
      </c>
      <c r="Q50" s="11">
        <f t="shared" ref="Q50:Q67" si="26">$P$48+$O$48*G50+$N$48*H50+$M$48*I50+$L$48*J50+$K$48*K50+$J$48*L50+$I$48*M50+$H$48*N50+$G$48*O50</f>
        <v>19.141066474088479</v>
      </c>
      <c r="R50" s="12">
        <f t="shared" ref="R50:R67" si="27">(Q50-E50)/E50</f>
        <v>-4.2946676295576046E-2</v>
      </c>
    </row>
    <row r="51" spans="1:18" x14ac:dyDescent="0.25">
      <c r="A51">
        <v>0</v>
      </c>
      <c r="B51">
        <v>35</v>
      </c>
      <c r="C51" s="11">
        <f t="shared" si="18"/>
        <v>10.52</v>
      </c>
      <c r="E51">
        <v>50</v>
      </c>
      <c r="F51" s="2"/>
      <c r="G51">
        <f t="shared" si="19"/>
        <v>0</v>
      </c>
      <c r="H51" s="10">
        <f t="shared" si="19"/>
        <v>35</v>
      </c>
      <c r="I51">
        <f t="shared" si="19"/>
        <v>10.52</v>
      </c>
      <c r="J51">
        <f t="shared" si="20"/>
        <v>0</v>
      </c>
      <c r="K51">
        <f t="shared" si="21"/>
        <v>0</v>
      </c>
      <c r="L51">
        <f t="shared" si="22"/>
        <v>0</v>
      </c>
      <c r="M51">
        <f t="shared" si="23"/>
        <v>1225</v>
      </c>
      <c r="N51">
        <f t="shared" si="24"/>
        <v>368.2</v>
      </c>
      <c r="O51">
        <f t="shared" si="25"/>
        <v>110.67039999999999</v>
      </c>
      <c r="Q51" s="11">
        <f t="shared" si="26"/>
        <v>51.658155213399368</v>
      </c>
      <c r="R51" s="12">
        <f t="shared" si="27"/>
        <v>3.3163104267987367E-2</v>
      </c>
    </row>
    <row r="52" spans="1:18" x14ac:dyDescent="0.25">
      <c r="A52">
        <v>0</v>
      </c>
      <c r="B52">
        <v>35</v>
      </c>
      <c r="C52" s="11">
        <f t="shared" si="18"/>
        <v>15.6</v>
      </c>
      <c r="E52">
        <v>80</v>
      </c>
      <c r="F52" s="2"/>
      <c r="G52">
        <f t="shared" si="19"/>
        <v>0</v>
      </c>
      <c r="H52" s="10">
        <f t="shared" si="19"/>
        <v>35</v>
      </c>
      <c r="I52">
        <f t="shared" si="19"/>
        <v>15.6</v>
      </c>
      <c r="J52">
        <f t="shared" si="20"/>
        <v>0</v>
      </c>
      <c r="K52">
        <f t="shared" si="21"/>
        <v>0</v>
      </c>
      <c r="L52">
        <f t="shared" si="22"/>
        <v>0</v>
      </c>
      <c r="M52">
        <f t="shared" si="23"/>
        <v>1225</v>
      </c>
      <c r="N52">
        <f t="shared" si="24"/>
        <v>546</v>
      </c>
      <c r="O52">
        <f t="shared" si="25"/>
        <v>243.35999999999999</v>
      </c>
      <c r="Q52" s="11">
        <f t="shared" si="26"/>
        <v>79.324764156827072</v>
      </c>
      <c r="R52" s="12">
        <f t="shared" si="27"/>
        <v>-8.4404480396615966E-3</v>
      </c>
    </row>
    <row r="53" spans="1:18" x14ac:dyDescent="0.25">
      <c r="A53">
        <v>5</v>
      </c>
      <c r="B53">
        <v>35</v>
      </c>
      <c r="C53" s="11">
        <f t="shared" si="18"/>
        <v>4.9000000000000004</v>
      </c>
      <c r="E53">
        <v>20</v>
      </c>
      <c r="F53" s="2"/>
      <c r="G53">
        <f t="shared" si="19"/>
        <v>5</v>
      </c>
      <c r="H53" s="10">
        <f t="shared" si="19"/>
        <v>35</v>
      </c>
      <c r="I53">
        <f t="shared" si="19"/>
        <v>4.9000000000000004</v>
      </c>
      <c r="J53">
        <f t="shared" si="20"/>
        <v>25</v>
      </c>
      <c r="K53">
        <f t="shared" si="21"/>
        <v>175</v>
      </c>
      <c r="L53">
        <f t="shared" si="22"/>
        <v>24.5</v>
      </c>
      <c r="M53">
        <f t="shared" si="23"/>
        <v>1225</v>
      </c>
      <c r="N53">
        <f t="shared" si="24"/>
        <v>171.5</v>
      </c>
      <c r="O53">
        <f t="shared" si="25"/>
        <v>24.010000000000005</v>
      </c>
      <c r="Q53" s="11">
        <f t="shared" si="26"/>
        <v>19.607614402045364</v>
      </c>
      <c r="R53" s="12">
        <f t="shared" si="27"/>
        <v>-1.9619279897731802E-2</v>
      </c>
    </row>
    <row r="54" spans="1:18" x14ac:dyDescent="0.25">
      <c r="A54">
        <v>5</v>
      </c>
      <c r="B54">
        <v>35</v>
      </c>
      <c r="C54" s="11">
        <f t="shared" si="18"/>
        <v>12.26</v>
      </c>
      <c r="E54">
        <v>50</v>
      </c>
      <c r="F54" s="2"/>
      <c r="G54">
        <f t="shared" si="19"/>
        <v>5</v>
      </c>
      <c r="H54" s="10">
        <f t="shared" si="19"/>
        <v>35</v>
      </c>
      <c r="I54">
        <f t="shared" si="19"/>
        <v>12.26</v>
      </c>
      <c r="J54">
        <f t="shared" si="20"/>
        <v>25</v>
      </c>
      <c r="K54">
        <f t="shared" si="21"/>
        <v>175</v>
      </c>
      <c r="L54">
        <f t="shared" si="22"/>
        <v>61.3</v>
      </c>
      <c r="M54">
        <f t="shared" si="23"/>
        <v>1225</v>
      </c>
      <c r="N54">
        <f t="shared" si="24"/>
        <v>429.09999999999997</v>
      </c>
      <c r="O54">
        <f t="shared" si="25"/>
        <v>150.30760000000001</v>
      </c>
      <c r="Q54" s="11">
        <f t="shared" si="26"/>
        <v>54.408953569923156</v>
      </c>
      <c r="R54" s="12">
        <f t="shared" si="27"/>
        <v>8.8179071398463121E-2</v>
      </c>
    </row>
    <row r="55" spans="1:18" x14ac:dyDescent="0.25">
      <c r="A55">
        <v>5</v>
      </c>
      <c r="B55">
        <v>35</v>
      </c>
      <c r="C55" s="11">
        <f t="shared" si="18"/>
        <v>16.52</v>
      </c>
      <c r="E55">
        <v>80</v>
      </c>
      <c r="F55" s="2"/>
      <c r="G55">
        <f t="shared" si="19"/>
        <v>5</v>
      </c>
      <c r="H55" s="10">
        <f t="shared" si="19"/>
        <v>35</v>
      </c>
      <c r="I55">
        <f t="shared" si="19"/>
        <v>16.52</v>
      </c>
      <c r="J55">
        <f t="shared" si="20"/>
        <v>25</v>
      </c>
      <c r="K55">
        <f t="shared" si="21"/>
        <v>175</v>
      </c>
      <c r="L55">
        <f t="shared" si="22"/>
        <v>82.6</v>
      </c>
      <c r="M55">
        <f t="shared" si="23"/>
        <v>1225</v>
      </c>
      <c r="N55">
        <f t="shared" si="24"/>
        <v>578.19999999999993</v>
      </c>
      <c r="O55">
        <f t="shared" si="25"/>
        <v>272.91039999999998</v>
      </c>
      <c r="Q55" s="11">
        <f t="shared" si="26"/>
        <v>75.859446183716571</v>
      </c>
      <c r="R55" s="12">
        <f t="shared" si="27"/>
        <v>-5.175692270354286E-2</v>
      </c>
    </row>
    <row r="56" spans="1:18" x14ac:dyDescent="0.25">
      <c r="A56">
        <v>0</v>
      </c>
      <c r="B56">
        <v>45</v>
      </c>
      <c r="C56" s="11">
        <f t="shared" si="18"/>
        <v>3.79</v>
      </c>
      <c r="E56">
        <v>20</v>
      </c>
      <c r="F56" s="2"/>
      <c r="G56">
        <f t="shared" si="19"/>
        <v>0</v>
      </c>
      <c r="H56" s="10">
        <f t="shared" si="19"/>
        <v>45</v>
      </c>
      <c r="I56">
        <f t="shared" si="19"/>
        <v>3.79</v>
      </c>
      <c r="J56">
        <f t="shared" si="20"/>
        <v>0</v>
      </c>
      <c r="K56">
        <f t="shared" si="21"/>
        <v>0</v>
      </c>
      <c r="L56">
        <f t="shared" si="22"/>
        <v>0</v>
      </c>
      <c r="M56">
        <f t="shared" si="23"/>
        <v>2025</v>
      </c>
      <c r="N56">
        <f t="shared" si="24"/>
        <v>170.55</v>
      </c>
      <c r="O56">
        <f t="shared" si="25"/>
        <v>14.364100000000001</v>
      </c>
      <c r="Q56" s="11">
        <f t="shared" si="26"/>
        <v>19.11855363385714</v>
      </c>
      <c r="R56" s="12">
        <f t="shared" si="27"/>
        <v>-4.4072318307143019E-2</v>
      </c>
    </row>
    <row r="57" spans="1:18" x14ac:dyDescent="0.25">
      <c r="A57">
        <v>0</v>
      </c>
      <c r="B57">
        <v>45</v>
      </c>
      <c r="C57" s="11">
        <f t="shared" si="18"/>
        <v>9.58</v>
      </c>
      <c r="E57">
        <v>50</v>
      </c>
      <c r="F57" s="2"/>
      <c r="G57">
        <f t="shared" si="19"/>
        <v>0</v>
      </c>
      <c r="H57" s="10">
        <f t="shared" si="19"/>
        <v>45</v>
      </c>
      <c r="I57">
        <f t="shared" si="19"/>
        <v>9.58</v>
      </c>
      <c r="J57">
        <f t="shared" si="20"/>
        <v>0</v>
      </c>
      <c r="K57">
        <f t="shared" si="21"/>
        <v>0</v>
      </c>
      <c r="L57">
        <f t="shared" si="22"/>
        <v>0</v>
      </c>
      <c r="M57">
        <f t="shared" si="23"/>
        <v>2025</v>
      </c>
      <c r="N57">
        <f t="shared" si="24"/>
        <v>431.1</v>
      </c>
      <c r="O57">
        <f t="shared" si="25"/>
        <v>91.776399999999995</v>
      </c>
      <c r="Q57" s="11">
        <f t="shared" si="26"/>
        <v>49.195141492011672</v>
      </c>
      <c r="R57" s="12">
        <f t="shared" si="27"/>
        <v>-1.6097170159766562E-2</v>
      </c>
    </row>
    <row r="58" spans="1:18" x14ac:dyDescent="0.25">
      <c r="A58">
        <v>0</v>
      </c>
      <c r="B58">
        <v>45</v>
      </c>
      <c r="C58" s="11">
        <f t="shared" si="18"/>
        <v>15.44</v>
      </c>
      <c r="E58">
        <v>80</v>
      </c>
      <c r="F58" s="2"/>
      <c r="G58">
        <f t="shared" si="19"/>
        <v>0</v>
      </c>
      <c r="H58" s="10">
        <f t="shared" si="19"/>
        <v>45</v>
      </c>
      <c r="I58">
        <f t="shared" si="19"/>
        <v>15.44</v>
      </c>
      <c r="J58">
        <f t="shared" si="20"/>
        <v>0</v>
      </c>
      <c r="K58">
        <f t="shared" si="21"/>
        <v>0</v>
      </c>
      <c r="L58">
        <f t="shared" si="22"/>
        <v>0</v>
      </c>
      <c r="M58">
        <f t="shared" si="23"/>
        <v>2025</v>
      </c>
      <c r="N58">
        <f t="shared" si="24"/>
        <v>694.8</v>
      </c>
      <c r="O58">
        <f t="shared" si="25"/>
        <v>238.39359999999999</v>
      </c>
      <c r="Q58" s="11">
        <f t="shared" si="26"/>
        <v>81.438333185501378</v>
      </c>
      <c r="R58" s="12">
        <f t="shared" si="27"/>
        <v>1.7979164818767223E-2</v>
      </c>
    </row>
    <row r="59" spans="1:18" x14ac:dyDescent="0.25">
      <c r="A59">
        <v>5</v>
      </c>
      <c r="B59">
        <v>45</v>
      </c>
      <c r="C59" s="11">
        <f t="shared" si="18"/>
        <v>4.6399999999999997</v>
      </c>
      <c r="E59">
        <v>20</v>
      </c>
      <c r="F59" s="2"/>
      <c r="G59">
        <f t="shared" si="19"/>
        <v>5</v>
      </c>
      <c r="H59" s="10">
        <f t="shared" si="19"/>
        <v>45</v>
      </c>
      <c r="I59">
        <f t="shared" si="19"/>
        <v>4.6399999999999997</v>
      </c>
      <c r="J59">
        <f t="shared" si="20"/>
        <v>25</v>
      </c>
      <c r="K59">
        <f t="shared" si="21"/>
        <v>225</v>
      </c>
      <c r="L59">
        <f t="shared" si="22"/>
        <v>23.2</v>
      </c>
      <c r="M59">
        <f t="shared" si="23"/>
        <v>2025</v>
      </c>
      <c r="N59">
        <f t="shared" si="24"/>
        <v>208.79999999999998</v>
      </c>
      <c r="O59">
        <f t="shared" si="25"/>
        <v>21.529599999999999</v>
      </c>
      <c r="Q59" s="11">
        <f t="shared" si="26"/>
        <v>18.965090282177556</v>
      </c>
      <c r="R59" s="12">
        <f t="shared" si="27"/>
        <v>-5.1745485891122198E-2</v>
      </c>
    </row>
    <row r="60" spans="1:18" x14ac:dyDescent="0.25">
      <c r="A60">
        <v>5</v>
      </c>
      <c r="B60">
        <v>45</v>
      </c>
      <c r="C60" s="11">
        <f t="shared" si="18"/>
        <v>11.22</v>
      </c>
      <c r="E60">
        <v>50</v>
      </c>
      <c r="F60" s="2"/>
      <c r="G60">
        <f t="shared" si="19"/>
        <v>5</v>
      </c>
      <c r="H60" s="10">
        <f t="shared" si="19"/>
        <v>45</v>
      </c>
      <c r="I60">
        <f t="shared" si="19"/>
        <v>11.22</v>
      </c>
      <c r="J60">
        <f t="shared" si="20"/>
        <v>25</v>
      </c>
      <c r="K60">
        <f t="shared" si="21"/>
        <v>225</v>
      </c>
      <c r="L60">
        <f t="shared" si="22"/>
        <v>56.1</v>
      </c>
      <c r="M60">
        <f t="shared" si="23"/>
        <v>2025</v>
      </c>
      <c r="N60">
        <f t="shared" si="24"/>
        <v>504.90000000000003</v>
      </c>
      <c r="O60">
        <f t="shared" si="25"/>
        <v>125.88840000000002</v>
      </c>
      <c r="Q60" s="11">
        <f t="shared" si="26"/>
        <v>50.412417780522105</v>
      </c>
      <c r="R60" s="12">
        <f t="shared" si="27"/>
        <v>8.2483556104421037E-3</v>
      </c>
    </row>
    <row r="61" spans="1:18" x14ac:dyDescent="0.25">
      <c r="A61">
        <v>5</v>
      </c>
      <c r="B61">
        <v>45</v>
      </c>
      <c r="C61" s="11">
        <f t="shared" si="18"/>
        <v>17.18</v>
      </c>
      <c r="E61">
        <v>80</v>
      </c>
      <c r="F61" s="2"/>
      <c r="G61">
        <f t="shared" si="19"/>
        <v>5</v>
      </c>
      <c r="H61" s="10">
        <f t="shared" si="19"/>
        <v>45</v>
      </c>
      <c r="I61">
        <f t="shared" si="19"/>
        <v>17.18</v>
      </c>
      <c r="J61">
        <f t="shared" si="20"/>
        <v>25</v>
      </c>
      <c r="K61">
        <f t="shared" si="21"/>
        <v>225</v>
      </c>
      <c r="L61">
        <f t="shared" si="22"/>
        <v>85.9</v>
      </c>
      <c r="M61">
        <f t="shared" si="23"/>
        <v>2025</v>
      </c>
      <c r="N61">
        <f t="shared" si="24"/>
        <v>773.1</v>
      </c>
      <c r="O61">
        <f t="shared" si="25"/>
        <v>295.1524</v>
      </c>
      <c r="Q61" s="11">
        <f t="shared" si="26"/>
        <v>80.870463625930157</v>
      </c>
      <c r="R61" s="12">
        <f t="shared" si="27"/>
        <v>1.0880795324126957E-2</v>
      </c>
    </row>
    <row r="62" spans="1:18" x14ac:dyDescent="0.25">
      <c r="A62">
        <v>0</v>
      </c>
      <c r="B62">
        <v>55</v>
      </c>
      <c r="C62" s="11">
        <f t="shared" si="18"/>
        <v>4.34</v>
      </c>
      <c r="E62">
        <v>20</v>
      </c>
      <c r="F62" s="2"/>
      <c r="G62">
        <f t="shared" si="19"/>
        <v>0</v>
      </c>
      <c r="H62" s="10">
        <f t="shared" si="19"/>
        <v>55</v>
      </c>
      <c r="I62">
        <f t="shared" si="19"/>
        <v>4.34</v>
      </c>
      <c r="J62">
        <f t="shared" si="20"/>
        <v>0</v>
      </c>
      <c r="K62">
        <f t="shared" si="21"/>
        <v>0</v>
      </c>
      <c r="L62">
        <f t="shared" si="22"/>
        <v>0</v>
      </c>
      <c r="M62">
        <f t="shared" si="23"/>
        <v>3025</v>
      </c>
      <c r="N62">
        <f t="shared" si="24"/>
        <v>238.7</v>
      </c>
      <c r="O62">
        <f t="shared" si="25"/>
        <v>18.835599999999999</v>
      </c>
      <c r="Q62" s="11">
        <f t="shared" si="26"/>
        <v>23.138636549854912</v>
      </c>
      <c r="R62" s="12">
        <f t="shared" si="27"/>
        <v>0.15693182749274559</v>
      </c>
    </row>
    <row r="63" spans="1:18" x14ac:dyDescent="0.25">
      <c r="A63">
        <v>0</v>
      </c>
      <c r="B63">
        <v>55</v>
      </c>
      <c r="C63" s="11">
        <f t="shared" si="18"/>
        <v>8.9</v>
      </c>
      <c r="E63">
        <v>50</v>
      </c>
      <c r="F63" s="2"/>
      <c r="G63">
        <f t="shared" si="19"/>
        <v>0</v>
      </c>
      <c r="H63" s="10">
        <f t="shared" si="19"/>
        <v>55</v>
      </c>
      <c r="I63">
        <f t="shared" si="19"/>
        <v>8.9</v>
      </c>
      <c r="J63">
        <f t="shared" si="20"/>
        <v>0</v>
      </c>
      <c r="K63">
        <f t="shared" si="21"/>
        <v>0</v>
      </c>
      <c r="L63">
        <f t="shared" si="22"/>
        <v>0</v>
      </c>
      <c r="M63">
        <f t="shared" si="23"/>
        <v>3025</v>
      </c>
      <c r="N63">
        <f t="shared" si="24"/>
        <v>489.5</v>
      </c>
      <c r="O63">
        <f t="shared" si="25"/>
        <v>79.210000000000008</v>
      </c>
      <c r="Q63" s="11">
        <f t="shared" si="26"/>
        <v>47.198385474976391</v>
      </c>
      <c r="R63" s="12">
        <f t="shared" si="27"/>
        <v>-5.6032290500472183E-2</v>
      </c>
    </row>
    <row r="64" spans="1:18" x14ac:dyDescent="0.25">
      <c r="A64">
        <v>0</v>
      </c>
      <c r="B64">
        <v>55</v>
      </c>
      <c r="C64" s="11">
        <f t="shared" si="18"/>
        <v>14.77</v>
      </c>
      <c r="E64">
        <v>80</v>
      </c>
      <c r="F64" s="2"/>
      <c r="G64">
        <f t="shared" si="19"/>
        <v>0</v>
      </c>
      <c r="H64" s="10">
        <f t="shared" si="19"/>
        <v>55</v>
      </c>
      <c r="I64">
        <f t="shared" si="19"/>
        <v>14.77</v>
      </c>
      <c r="J64">
        <f t="shared" si="20"/>
        <v>0</v>
      </c>
      <c r="K64">
        <f t="shared" si="21"/>
        <v>0</v>
      </c>
      <c r="L64">
        <f t="shared" si="22"/>
        <v>0</v>
      </c>
      <c r="M64">
        <f t="shared" si="23"/>
        <v>3025</v>
      </c>
      <c r="N64">
        <f t="shared" si="24"/>
        <v>812.35</v>
      </c>
      <c r="O64">
        <f t="shared" si="25"/>
        <v>218.15289999999999</v>
      </c>
      <c r="Q64" s="11">
        <f t="shared" si="26"/>
        <v>79.786963819483631</v>
      </c>
      <c r="R64" s="12">
        <f t="shared" si="27"/>
        <v>-2.6629522564546094E-3</v>
      </c>
    </row>
    <row r="65" spans="1:18" x14ac:dyDescent="0.25">
      <c r="A65">
        <v>5</v>
      </c>
      <c r="B65">
        <v>55</v>
      </c>
      <c r="C65" s="11">
        <f t="shared" si="18"/>
        <v>5.17</v>
      </c>
      <c r="E65">
        <v>20</v>
      </c>
      <c r="F65" s="2"/>
      <c r="G65">
        <f t="shared" si="19"/>
        <v>5</v>
      </c>
      <c r="H65" s="10">
        <f t="shared" si="19"/>
        <v>55</v>
      </c>
      <c r="I65">
        <f t="shared" si="19"/>
        <v>5.17</v>
      </c>
      <c r="J65">
        <f t="shared" si="20"/>
        <v>25</v>
      </c>
      <c r="K65">
        <f t="shared" si="21"/>
        <v>275</v>
      </c>
      <c r="L65">
        <f t="shared" si="22"/>
        <v>25.85</v>
      </c>
      <c r="M65">
        <f t="shared" si="23"/>
        <v>3025</v>
      </c>
      <c r="N65">
        <f t="shared" si="24"/>
        <v>284.35000000000002</v>
      </c>
      <c r="O65">
        <f t="shared" si="25"/>
        <v>26.728899999999999</v>
      </c>
      <c r="Q65" s="11">
        <f t="shared" si="26"/>
        <v>21.171314864230069</v>
      </c>
      <c r="R65" s="12">
        <f t="shared" si="27"/>
        <v>5.8565743211503471E-2</v>
      </c>
    </row>
    <row r="66" spans="1:18" x14ac:dyDescent="0.25">
      <c r="A66">
        <v>5</v>
      </c>
      <c r="B66">
        <v>55</v>
      </c>
      <c r="C66" s="11">
        <f t="shared" si="18"/>
        <v>10.55</v>
      </c>
      <c r="E66">
        <v>50</v>
      </c>
      <c r="F66" s="2"/>
      <c r="G66">
        <f t="shared" si="19"/>
        <v>5</v>
      </c>
      <c r="H66" s="10">
        <f t="shared" si="19"/>
        <v>55</v>
      </c>
      <c r="I66">
        <f t="shared" si="19"/>
        <v>10.55</v>
      </c>
      <c r="J66">
        <f t="shared" si="20"/>
        <v>25</v>
      </c>
      <c r="K66">
        <f t="shared" si="21"/>
        <v>275</v>
      </c>
      <c r="L66">
        <f t="shared" si="22"/>
        <v>52.75</v>
      </c>
      <c r="M66">
        <f t="shared" si="23"/>
        <v>3025</v>
      </c>
      <c r="N66">
        <f t="shared" si="24"/>
        <v>580.25</v>
      </c>
      <c r="O66">
        <f t="shared" si="25"/>
        <v>111.30250000000001</v>
      </c>
      <c r="Q66" s="11">
        <f t="shared" si="26"/>
        <v>47.321617097752863</v>
      </c>
      <c r="R66" s="12">
        <f t="shared" si="27"/>
        <v>-5.3567658044942734E-2</v>
      </c>
    </row>
    <row r="67" spans="1:18" x14ac:dyDescent="0.25">
      <c r="A67">
        <v>5</v>
      </c>
      <c r="B67">
        <v>55</v>
      </c>
      <c r="C67" s="11">
        <f t="shared" si="18"/>
        <v>17.13</v>
      </c>
      <c r="E67">
        <v>80</v>
      </c>
      <c r="G67">
        <f t="shared" si="19"/>
        <v>5</v>
      </c>
      <c r="H67" s="10">
        <f t="shared" si="19"/>
        <v>55</v>
      </c>
      <c r="I67">
        <f t="shared" si="19"/>
        <v>17.13</v>
      </c>
      <c r="J67">
        <f t="shared" si="20"/>
        <v>25</v>
      </c>
      <c r="K67">
        <f t="shared" si="21"/>
        <v>275</v>
      </c>
      <c r="L67">
        <f t="shared" si="22"/>
        <v>85.649999999999991</v>
      </c>
      <c r="M67">
        <f t="shared" si="23"/>
        <v>3025</v>
      </c>
      <c r="N67">
        <f t="shared" si="24"/>
        <v>942.15</v>
      </c>
      <c r="O67">
        <f t="shared" si="25"/>
        <v>293.43689999999998</v>
      </c>
      <c r="Q67" s="11">
        <f t="shared" si="26"/>
        <v>81.383082193702151</v>
      </c>
      <c r="R67" s="12">
        <f t="shared" si="27"/>
        <v>1.728852742127689E-2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1441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1441" r:id="rId4"/>
      </mc:Fallback>
    </mc:AlternateContent>
    <mc:AlternateContent xmlns:mc="http://schemas.openxmlformats.org/markup-compatibility/2006">
      <mc:Choice Requires="x14">
        <oleObject progId="Equation.3" shapeId="61442" r:id="rId6">
          <objectPr defaultSize="0" autoPict="0" r:id="rId5">
            <anchor moveWithCells="1" sizeWithCells="1">
              <from>
                <xdr:col>6</xdr:col>
                <xdr:colOff>171450</xdr:colOff>
                <xdr:row>25</xdr:row>
                <xdr:rowOff>38100</xdr:rowOff>
              </from>
              <to>
                <xdr:col>14</xdr:col>
                <xdr:colOff>1466850</xdr:colOff>
                <xdr:row>25</xdr:row>
                <xdr:rowOff>647700</xdr:rowOff>
              </to>
            </anchor>
          </objectPr>
        </oleObject>
      </mc:Choice>
      <mc:Fallback>
        <oleObject progId="Equation.3" shapeId="61442" r:id="rId6"/>
      </mc:Fallback>
    </mc:AlternateContent>
    <mc:AlternateContent xmlns:mc="http://schemas.openxmlformats.org/markup-compatibility/2006">
      <mc:Choice Requires="x14">
        <oleObject progId="Equation.3" shapeId="61443" r:id="rId7">
          <objectPr defaultSize="0" autoPict="0" r:id="rId5">
            <anchor moveWithCells="1" sizeWithCells="1">
              <from>
                <xdr:col>6</xdr:col>
                <xdr:colOff>171450</xdr:colOff>
                <xdr:row>48</xdr:row>
                <xdr:rowOff>38100</xdr:rowOff>
              </from>
              <to>
                <xdr:col>14</xdr:col>
                <xdr:colOff>1466850</xdr:colOff>
                <xdr:row>48</xdr:row>
                <xdr:rowOff>647700</xdr:rowOff>
              </to>
            </anchor>
          </objectPr>
        </oleObject>
      </mc:Choice>
      <mc:Fallback>
        <oleObject progId="Equation.3" shapeId="61443" r:id="rId7"/>
      </mc:Fallback>
    </mc:AlternateContent>
  </oleObjec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List23"/>
  <dimension ref="A1:T37"/>
  <sheetViews>
    <sheetView zoomScale="70" zoomScaleNormal="70" workbookViewId="0"/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LINEST(E4:E11,G4:O11)</f>
        <v>0</v>
      </c>
      <c r="H2" s="4">
        <v>-1.6199999999999551E-4</v>
      </c>
      <c r="I2" s="4">
        <v>-3.0000000000000268E-4</v>
      </c>
      <c r="J2" s="4">
        <v>3.8519999999999935E-3</v>
      </c>
      <c r="K2" s="4">
        <v>-2.7999999999999152E-4</v>
      </c>
      <c r="L2" s="4">
        <v>1.9199999999999794E-3</v>
      </c>
      <c r="M2" s="4">
        <v>0</v>
      </c>
      <c r="N2" s="4">
        <v>0</v>
      </c>
      <c r="O2" s="4">
        <v>0</v>
      </c>
      <c r="P2" s="4">
        <v>6.503999999999996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25</v>
      </c>
      <c r="C4">
        <v>50</v>
      </c>
      <c r="E4">
        <v>6.1</v>
      </c>
      <c r="F4" s="2"/>
      <c r="G4">
        <f t="shared" ref="G4:I11" si="0">A4</f>
        <v>0</v>
      </c>
      <c r="H4" s="10">
        <f t="shared" si="0"/>
        <v>25</v>
      </c>
      <c r="I4">
        <f t="shared" si="0"/>
        <v>50</v>
      </c>
      <c r="J4">
        <f t="shared" ref="J4:J11" si="1">G4^2</f>
        <v>0</v>
      </c>
      <c r="K4">
        <f t="shared" ref="K4:K11" si="2">G4*H4</f>
        <v>0</v>
      </c>
      <c r="L4">
        <f t="shared" ref="L4:L11" si="3">G4*I4</f>
        <v>0</v>
      </c>
      <c r="M4">
        <f t="shared" ref="M4:M11" si="4">H4^2</f>
        <v>625</v>
      </c>
      <c r="N4">
        <f t="shared" ref="N4:N11" si="5">H4*I4</f>
        <v>1250</v>
      </c>
      <c r="O4">
        <f t="shared" ref="O4:O11" si="6">I4^2</f>
        <v>2500</v>
      </c>
      <c r="Q4" s="11">
        <f t="shared" ref="Q4:Q11" si="7">$P$2+$O$2*G4+$N$2*H4+$M$2*I4+$L$2*J4+$K$2*K4+$J$2*L4+$I$2*M4+$H$2*N4+$G$2*O4</f>
        <v>6.1139999999999999</v>
      </c>
      <c r="R4" s="12">
        <f t="shared" ref="R4:R11" si="8">(Q4-E4)/E4</f>
        <v>2.2950819672131533E-3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5.9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5.8530000000000006</v>
      </c>
      <c r="R5" s="12">
        <f t="shared" si="8"/>
        <v>-7.966101694915205E-3</v>
      </c>
      <c r="S5" s="11"/>
      <c r="T5" s="12"/>
    </row>
    <row r="6" spans="1:20" x14ac:dyDescent="0.25">
      <c r="A6">
        <v>5</v>
      </c>
      <c r="B6">
        <v>35</v>
      </c>
      <c r="C6">
        <v>50</v>
      </c>
      <c r="E6">
        <v>6.81</v>
      </c>
      <c r="F6" s="2"/>
      <c r="G6">
        <f t="shared" si="0"/>
        <v>5</v>
      </c>
      <c r="H6" s="10">
        <f t="shared" si="0"/>
        <v>35</v>
      </c>
      <c r="I6">
        <f t="shared" si="0"/>
        <v>50</v>
      </c>
      <c r="J6">
        <f t="shared" si="1"/>
        <v>25</v>
      </c>
      <c r="K6">
        <f t="shared" si="2"/>
        <v>175</v>
      </c>
      <c r="L6">
        <f t="shared" si="3"/>
        <v>250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6.8149999999999995</v>
      </c>
      <c r="R6" s="12">
        <f t="shared" si="8"/>
        <v>7.3421439060204015E-4</v>
      </c>
      <c r="S6" s="11"/>
      <c r="T6" s="12"/>
    </row>
    <row r="7" spans="1:20" x14ac:dyDescent="0.25">
      <c r="A7">
        <v>-5</v>
      </c>
      <c r="B7">
        <v>45</v>
      </c>
      <c r="C7">
        <v>50</v>
      </c>
      <c r="E7">
        <v>4.68</v>
      </c>
      <c r="F7" s="2"/>
      <c r="G7">
        <f t="shared" si="0"/>
        <v>-5</v>
      </c>
      <c r="H7" s="10">
        <f t="shared" si="0"/>
        <v>45</v>
      </c>
      <c r="I7">
        <f t="shared" si="0"/>
        <v>50</v>
      </c>
      <c r="J7">
        <f t="shared" si="1"/>
        <v>25</v>
      </c>
      <c r="K7">
        <f t="shared" si="2"/>
        <v>-225</v>
      </c>
      <c r="L7">
        <f t="shared" si="3"/>
        <v>-250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4.68</v>
      </c>
      <c r="R7" s="12">
        <f t="shared" si="8"/>
        <v>0</v>
      </c>
      <c r="S7" s="11"/>
      <c r="T7" s="12"/>
    </row>
    <row r="8" spans="1:20" x14ac:dyDescent="0.25">
      <c r="A8">
        <v>0</v>
      </c>
      <c r="B8">
        <v>45</v>
      </c>
      <c r="C8">
        <v>50</v>
      </c>
      <c r="E8">
        <v>5.48</v>
      </c>
      <c r="F8" s="2"/>
      <c r="G8">
        <f t="shared" si="0"/>
        <v>0</v>
      </c>
      <c r="H8" s="10">
        <f t="shared" si="0"/>
        <v>45</v>
      </c>
      <c r="I8">
        <f t="shared" si="0"/>
        <v>50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5.5320000000000009</v>
      </c>
      <c r="R8" s="12">
        <f t="shared" si="8"/>
        <v>9.4890510948905989E-3</v>
      </c>
      <c r="S8" s="11"/>
      <c r="T8" s="12"/>
    </row>
    <row r="9" spans="1:20" x14ac:dyDescent="0.25">
      <c r="A9">
        <v>5</v>
      </c>
      <c r="B9">
        <v>45</v>
      </c>
      <c r="C9">
        <v>50</v>
      </c>
      <c r="E9">
        <v>6.49</v>
      </c>
      <c r="F9" s="2"/>
      <c r="G9">
        <f t="shared" si="0"/>
        <v>5</v>
      </c>
      <c r="H9" s="10">
        <f t="shared" si="0"/>
        <v>45</v>
      </c>
      <c r="I9">
        <f t="shared" si="0"/>
        <v>50</v>
      </c>
      <c r="J9">
        <f t="shared" si="1"/>
        <v>25</v>
      </c>
      <c r="K9">
        <f t="shared" si="2"/>
        <v>225</v>
      </c>
      <c r="L9">
        <f t="shared" si="3"/>
        <v>250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6.48</v>
      </c>
      <c r="R9" s="12">
        <f t="shared" si="8"/>
        <v>-1.5408320493065927E-3</v>
      </c>
      <c r="S9" s="11"/>
      <c r="T9" s="12"/>
    </row>
    <row r="10" spans="1:20" x14ac:dyDescent="0.25">
      <c r="A10">
        <v>0</v>
      </c>
      <c r="B10">
        <v>55</v>
      </c>
      <c r="C10">
        <v>50</v>
      </c>
      <c r="E10">
        <v>5.17</v>
      </c>
      <c r="F10" s="2"/>
      <c r="G10">
        <f t="shared" si="0"/>
        <v>0</v>
      </c>
      <c r="H10" s="10">
        <f t="shared" si="0"/>
        <v>55</v>
      </c>
      <c r="I10">
        <f t="shared" si="0"/>
        <v>50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5.1510000000000007</v>
      </c>
      <c r="R10" s="12">
        <f t="shared" si="8"/>
        <v>-3.6750483558992729E-3</v>
      </c>
      <c r="S10" s="11"/>
      <c r="T10" s="12"/>
    </row>
    <row r="11" spans="1:20" x14ac:dyDescent="0.25">
      <c r="A11">
        <v>5</v>
      </c>
      <c r="B11">
        <v>55</v>
      </c>
      <c r="C11">
        <v>50</v>
      </c>
      <c r="E11">
        <v>6.08</v>
      </c>
      <c r="F11" s="2"/>
      <c r="G11">
        <f t="shared" si="0"/>
        <v>5</v>
      </c>
      <c r="H11" s="10">
        <f t="shared" si="0"/>
        <v>55</v>
      </c>
      <c r="I11">
        <f t="shared" si="0"/>
        <v>50</v>
      </c>
      <c r="J11">
        <f t="shared" si="1"/>
        <v>25</v>
      </c>
      <c r="K11">
        <f t="shared" si="2"/>
        <v>275</v>
      </c>
      <c r="L11">
        <f t="shared" si="3"/>
        <v>250</v>
      </c>
      <c r="M11">
        <f t="shared" si="4"/>
        <v>3025</v>
      </c>
      <c r="N11">
        <f t="shared" si="5"/>
        <v>2750</v>
      </c>
      <c r="O11">
        <f t="shared" si="6"/>
        <v>2500</v>
      </c>
      <c r="Q11" s="11">
        <f t="shared" si="7"/>
        <v>6.0850000000000009</v>
      </c>
      <c r="R11" s="12">
        <f t="shared" si="8"/>
        <v>8.2236842105276012E-4</v>
      </c>
      <c r="S11" s="11"/>
      <c r="T11" s="12"/>
    </row>
    <row r="14" spans="1:20" x14ac:dyDescent="0.25">
      <c r="A14" t="s">
        <v>27</v>
      </c>
      <c r="G14" s="4" t="s">
        <v>1</v>
      </c>
      <c r="H14" s="4" t="s">
        <v>2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</row>
    <row r="15" spans="1:20" x14ac:dyDescent="0.25">
      <c r="A15" s="1"/>
      <c r="C15" s="1"/>
      <c r="D15" s="1"/>
      <c r="E15" s="1"/>
      <c r="F15" s="1"/>
      <c r="G15" s="4">
        <f t="array" ref="G15:P15">LINEST(E17:E24,G17:O24)</f>
        <v>0</v>
      </c>
      <c r="H15" s="4">
        <v>-4.3742857142857141E-4</v>
      </c>
      <c r="I15" s="4">
        <v>5.5714285714285718E-4</v>
      </c>
      <c r="J15" s="4">
        <v>-3.3542857142857029E-4</v>
      </c>
      <c r="K15" s="4">
        <v>4.4571428571428426E-4</v>
      </c>
      <c r="L15" s="4">
        <v>4.5714285714283934E-5</v>
      </c>
      <c r="M15" s="4">
        <v>0</v>
      </c>
      <c r="N15" s="4">
        <v>0</v>
      </c>
      <c r="O15" s="4">
        <v>0</v>
      </c>
      <c r="P15" s="4">
        <v>1.391285714285714</v>
      </c>
    </row>
    <row r="16" spans="1:20" ht="45" x14ac:dyDescent="0.25">
      <c r="A16" s="5" t="s">
        <v>11</v>
      </c>
      <c r="B16" s="5" t="s">
        <v>12</v>
      </c>
      <c r="C16" s="5" t="s">
        <v>13</v>
      </c>
      <c r="D16" s="6"/>
      <c r="E16" s="7" t="s">
        <v>14</v>
      </c>
      <c r="F16" s="3"/>
      <c r="G16" s="8" t="s">
        <v>17</v>
      </c>
      <c r="H16" s="8" t="s">
        <v>18</v>
      </c>
      <c r="I16" s="8" t="s">
        <v>0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3"/>
      <c r="Q16" s="9" t="s">
        <v>14</v>
      </c>
      <c r="R16" s="9" t="s">
        <v>15</v>
      </c>
    </row>
    <row r="17" spans="1:18" x14ac:dyDescent="0.25">
      <c r="A17">
        <v>0</v>
      </c>
      <c r="B17">
        <v>25</v>
      </c>
      <c r="C17">
        <v>50</v>
      </c>
      <c r="E17">
        <v>1.2</v>
      </c>
      <c r="F17" s="2"/>
      <c r="G17">
        <f t="shared" ref="G17:I24" si="9">A17</f>
        <v>0</v>
      </c>
      <c r="H17" s="10">
        <f t="shared" si="9"/>
        <v>25</v>
      </c>
      <c r="I17">
        <f t="shared" si="9"/>
        <v>50</v>
      </c>
      <c r="J17">
        <f t="shared" ref="J17:J24" si="10">G17^2</f>
        <v>0</v>
      </c>
      <c r="K17">
        <f t="shared" ref="K17:K24" si="11">G17*H17</f>
        <v>0</v>
      </c>
      <c r="L17">
        <f t="shared" ref="L17:L24" si="12">G17*I17</f>
        <v>0</v>
      </c>
      <c r="M17">
        <f t="shared" ref="M17:M24" si="13">H17^2</f>
        <v>625</v>
      </c>
      <c r="N17">
        <f t="shared" ref="N17:N24" si="14">H17*I17</f>
        <v>1250</v>
      </c>
      <c r="O17">
        <f t="shared" ref="O17:O24" si="15">I17^2</f>
        <v>2500</v>
      </c>
      <c r="Q17" s="11">
        <f t="shared" ref="Q17:Q24" si="16">$P$15+$O$15*G17+$N$15*H17+$M$15*I17+$L$15*J17+$K$15*K17+$J$15*L17+$I$15*M17+$H$15*N17+$G$15*O17</f>
        <v>1.1927142857142856</v>
      </c>
      <c r="R17" s="12">
        <f t="shared" ref="R17:R24" si="17">(Q17-E17)/E17</f>
        <v>-6.0714285714286165E-3</v>
      </c>
    </row>
    <row r="18" spans="1:18" x14ac:dyDescent="0.25">
      <c r="A18">
        <v>0</v>
      </c>
      <c r="B18">
        <v>35</v>
      </c>
      <c r="C18">
        <v>50</v>
      </c>
      <c r="E18">
        <v>1.29</v>
      </c>
      <c r="F18" s="2"/>
      <c r="G18">
        <f t="shared" si="9"/>
        <v>0</v>
      </c>
      <c r="H18" s="10">
        <f t="shared" si="9"/>
        <v>35</v>
      </c>
      <c r="I18">
        <f t="shared" si="9"/>
        <v>50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1225</v>
      </c>
      <c r="N18">
        <f t="shared" si="14"/>
        <v>1750</v>
      </c>
      <c r="O18">
        <f t="shared" si="15"/>
        <v>2500</v>
      </c>
      <c r="Q18" s="11">
        <f t="shared" si="16"/>
        <v>1.3082857142857143</v>
      </c>
      <c r="R18" s="12">
        <f t="shared" si="17"/>
        <v>1.4174972314507161E-2</v>
      </c>
    </row>
    <row r="19" spans="1:18" x14ac:dyDescent="0.25">
      <c r="A19">
        <v>5</v>
      </c>
      <c r="B19">
        <v>35</v>
      </c>
      <c r="C19">
        <v>50</v>
      </c>
      <c r="E19">
        <v>1.3</v>
      </c>
      <c r="F19" s="2"/>
      <c r="G19">
        <f t="shared" si="9"/>
        <v>5</v>
      </c>
      <c r="H19" s="10">
        <f t="shared" si="9"/>
        <v>35</v>
      </c>
      <c r="I19">
        <f t="shared" si="9"/>
        <v>50</v>
      </c>
      <c r="J19">
        <f t="shared" si="10"/>
        <v>25</v>
      </c>
      <c r="K19">
        <f t="shared" si="11"/>
        <v>175</v>
      </c>
      <c r="L19">
        <f t="shared" si="12"/>
        <v>250</v>
      </c>
      <c r="M19">
        <f t="shared" si="13"/>
        <v>1225</v>
      </c>
      <c r="N19">
        <f t="shared" si="14"/>
        <v>1750</v>
      </c>
      <c r="O19">
        <f t="shared" si="15"/>
        <v>2500</v>
      </c>
      <c r="Q19" s="11">
        <f t="shared" si="16"/>
        <v>1.3035714285714284</v>
      </c>
      <c r="R19" s="12">
        <f t="shared" si="17"/>
        <v>2.7472527472525666E-3</v>
      </c>
    </row>
    <row r="20" spans="1:18" x14ac:dyDescent="0.25">
      <c r="A20">
        <v>-5</v>
      </c>
      <c r="B20">
        <v>45</v>
      </c>
      <c r="C20">
        <v>50</v>
      </c>
      <c r="E20">
        <v>1.52</v>
      </c>
      <c r="F20" s="2"/>
      <c r="G20">
        <f t="shared" si="9"/>
        <v>-5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-225</v>
      </c>
      <c r="L20">
        <f t="shared" si="12"/>
        <v>-250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1.52</v>
      </c>
      <c r="R20" s="12">
        <f t="shared" si="17"/>
        <v>0</v>
      </c>
    </row>
    <row r="21" spans="1:18" x14ac:dyDescent="0.25">
      <c r="A21">
        <v>0</v>
      </c>
      <c r="B21">
        <v>45</v>
      </c>
      <c r="C21">
        <v>50</v>
      </c>
      <c r="E21">
        <v>1.55</v>
      </c>
      <c r="F21" s="2"/>
      <c r="G21">
        <f t="shared" si="9"/>
        <v>0</v>
      </c>
      <c r="H21" s="10">
        <f t="shared" si="9"/>
        <v>45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2025</v>
      </c>
      <c r="N21">
        <f t="shared" si="14"/>
        <v>2250</v>
      </c>
      <c r="O21">
        <f t="shared" si="15"/>
        <v>2500</v>
      </c>
      <c r="Q21" s="11">
        <f t="shared" si="16"/>
        <v>1.5352857142857141</v>
      </c>
      <c r="R21" s="12">
        <f t="shared" si="17"/>
        <v>-9.4930875576038076E-3</v>
      </c>
    </row>
    <row r="22" spans="1:18" x14ac:dyDescent="0.25">
      <c r="A22">
        <v>5</v>
      </c>
      <c r="B22">
        <v>45</v>
      </c>
      <c r="C22">
        <v>50</v>
      </c>
      <c r="E22">
        <v>1.56</v>
      </c>
      <c r="F22" s="2"/>
      <c r="G22">
        <f t="shared" si="9"/>
        <v>5</v>
      </c>
      <c r="H22" s="10">
        <f t="shared" si="9"/>
        <v>45</v>
      </c>
      <c r="I22">
        <f t="shared" si="9"/>
        <v>50</v>
      </c>
      <c r="J22">
        <f t="shared" si="10"/>
        <v>25</v>
      </c>
      <c r="K22">
        <f t="shared" si="11"/>
        <v>225</v>
      </c>
      <c r="L22">
        <f t="shared" si="12"/>
        <v>250</v>
      </c>
      <c r="M22">
        <f t="shared" si="13"/>
        <v>2025</v>
      </c>
      <c r="N22">
        <f t="shared" si="14"/>
        <v>2250</v>
      </c>
      <c r="O22">
        <f t="shared" si="15"/>
        <v>2500</v>
      </c>
      <c r="Q22" s="11">
        <f t="shared" si="16"/>
        <v>1.5528571428571425</v>
      </c>
      <c r="R22" s="12">
        <f t="shared" si="17"/>
        <v>-4.578754578754847E-3</v>
      </c>
    </row>
    <row r="23" spans="1:18" x14ac:dyDescent="0.25">
      <c r="A23">
        <v>0</v>
      </c>
      <c r="B23">
        <v>55</v>
      </c>
      <c r="C23">
        <v>50</v>
      </c>
      <c r="E23">
        <v>1.87</v>
      </c>
      <c r="F23" s="2"/>
      <c r="G23">
        <f t="shared" si="9"/>
        <v>0</v>
      </c>
      <c r="H23" s="10">
        <f t="shared" si="9"/>
        <v>55</v>
      </c>
      <c r="I23">
        <f t="shared" si="9"/>
        <v>50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3025</v>
      </c>
      <c r="N23">
        <f t="shared" si="14"/>
        <v>2750</v>
      </c>
      <c r="O23">
        <f t="shared" si="15"/>
        <v>2500</v>
      </c>
      <c r="Q23" s="11">
        <f t="shared" si="16"/>
        <v>1.8737142857142854</v>
      </c>
      <c r="R23" s="12">
        <f t="shared" si="17"/>
        <v>1.9862490450723727E-3</v>
      </c>
    </row>
    <row r="24" spans="1:18" x14ac:dyDescent="0.25">
      <c r="A24">
        <v>5</v>
      </c>
      <c r="B24">
        <v>55</v>
      </c>
      <c r="C24">
        <v>50</v>
      </c>
      <c r="E24">
        <v>1.91</v>
      </c>
      <c r="F24" s="2"/>
      <c r="G24">
        <f t="shared" si="9"/>
        <v>5</v>
      </c>
      <c r="H24" s="10">
        <f t="shared" si="9"/>
        <v>55</v>
      </c>
      <c r="I24">
        <f t="shared" si="9"/>
        <v>50</v>
      </c>
      <c r="J24">
        <f t="shared" si="10"/>
        <v>25</v>
      </c>
      <c r="K24">
        <f t="shared" si="11"/>
        <v>275</v>
      </c>
      <c r="L24">
        <f t="shared" si="12"/>
        <v>250</v>
      </c>
      <c r="M24">
        <f t="shared" si="13"/>
        <v>3025</v>
      </c>
      <c r="N24">
        <f t="shared" si="14"/>
        <v>2750</v>
      </c>
      <c r="O24">
        <f t="shared" si="15"/>
        <v>2500</v>
      </c>
      <c r="Q24" s="11">
        <f t="shared" si="16"/>
        <v>1.913571428571428</v>
      </c>
      <c r="R24" s="12">
        <f t="shared" si="17"/>
        <v>1.8698578908000602E-3</v>
      </c>
    </row>
    <row r="27" spans="1:18" x14ac:dyDescent="0.25">
      <c r="A27" t="s">
        <v>28</v>
      </c>
      <c r="G27" s="4" t="s">
        <v>1</v>
      </c>
      <c r="H27" s="4" t="s">
        <v>2</v>
      </c>
      <c r="I27" s="4" t="s">
        <v>3</v>
      </c>
      <c r="J27" s="4" t="s">
        <v>4</v>
      </c>
      <c r="K27" s="4" t="s">
        <v>5</v>
      </c>
      <c r="L27" s="4" t="s">
        <v>6</v>
      </c>
      <c r="M27" s="4" t="s">
        <v>7</v>
      </c>
      <c r="N27" s="4" t="s">
        <v>8</v>
      </c>
      <c r="O27" s="4" t="s">
        <v>9</v>
      </c>
      <c r="P27" s="4" t="s">
        <v>10</v>
      </c>
    </row>
    <row r="28" spans="1:18" x14ac:dyDescent="0.25">
      <c r="A28" s="1"/>
      <c r="C28" s="1"/>
      <c r="D28" s="1"/>
      <c r="E28" s="1"/>
      <c r="F28" s="1"/>
      <c r="G28" s="4">
        <f t="array" ref="G28:P28">LINEST(E30:E37,G30:O37)</f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50</v>
      </c>
    </row>
    <row r="29" spans="1:18" ht="45" x14ac:dyDescent="0.25">
      <c r="A29" s="5" t="s">
        <v>11</v>
      </c>
      <c r="B29" s="5" t="s">
        <v>12</v>
      </c>
      <c r="C29" s="5" t="s">
        <v>14</v>
      </c>
      <c r="E29" s="7" t="s">
        <v>13</v>
      </c>
      <c r="F29" s="3"/>
      <c r="G29" s="8" t="s">
        <v>17</v>
      </c>
      <c r="H29" s="8" t="s">
        <v>18</v>
      </c>
      <c r="I29" s="8" t="s">
        <v>0</v>
      </c>
      <c r="J29" s="8" t="s">
        <v>19</v>
      </c>
      <c r="K29" s="8" t="s">
        <v>20</v>
      </c>
      <c r="L29" s="8" t="s">
        <v>21</v>
      </c>
      <c r="M29" s="8" t="s">
        <v>22</v>
      </c>
      <c r="N29" s="8" t="s">
        <v>23</v>
      </c>
      <c r="O29" s="8" t="s">
        <v>24</v>
      </c>
      <c r="P29" s="3"/>
      <c r="Q29" s="9" t="s">
        <v>16</v>
      </c>
      <c r="R29" s="9" t="s">
        <v>15</v>
      </c>
    </row>
    <row r="30" spans="1:18" x14ac:dyDescent="0.25">
      <c r="A30">
        <v>0</v>
      </c>
      <c r="B30">
        <v>25</v>
      </c>
      <c r="C30">
        <f>E4</f>
        <v>6.1</v>
      </c>
      <c r="E30">
        <v>50</v>
      </c>
      <c r="F30" s="2"/>
      <c r="G30">
        <f t="shared" ref="G30:I37" si="18">A30</f>
        <v>0</v>
      </c>
      <c r="H30" s="10">
        <f t="shared" si="18"/>
        <v>25</v>
      </c>
      <c r="I30">
        <f t="shared" si="18"/>
        <v>6.1</v>
      </c>
      <c r="J30">
        <f t="shared" ref="J30:J37" si="19">G30^2</f>
        <v>0</v>
      </c>
      <c r="K30">
        <f t="shared" ref="K30:K37" si="20">G30*H30</f>
        <v>0</v>
      </c>
      <c r="L30">
        <f t="shared" ref="L30:L37" si="21">G30*I30</f>
        <v>0</v>
      </c>
      <c r="M30">
        <f t="shared" ref="M30:M37" si="22">H30^2</f>
        <v>625</v>
      </c>
      <c r="N30">
        <f t="shared" ref="N30:N37" si="23">H30*I30</f>
        <v>152.5</v>
      </c>
      <c r="O30">
        <f t="shared" ref="O30:O37" si="24">I30^2</f>
        <v>37.209999999999994</v>
      </c>
      <c r="Q30" s="11">
        <f t="shared" ref="Q30:Q37" si="25">$P$28+$O$28*G30+$N$28*H30+$M$28*I30+$L$28*J30+$K$28*K30+$J$28*L30+$I$28*M30+$H$28*N30+$G$28*O30</f>
        <v>50</v>
      </c>
      <c r="R30" s="12">
        <f t="shared" ref="R30:R37" si="26">(Q30-E30)/E30</f>
        <v>0</v>
      </c>
    </row>
    <row r="31" spans="1:18" x14ac:dyDescent="0.25">
      <c r="A31">
        <v>0</v>
      </c>
      <c r="B31">
        <v>35</v>
      </c>
      <c r="C31">
        <f t="shared" ref="C31:C37" si="27">E5</f>
        <v>5.9</v>
      </c>
      <c r="E31">
        <v>50</v>
      </c>
      <c r="F31" s="2"/>
      <c r="G31">
        <f t="shared" si="18"/>
        <v>0</v>
      </c>
      <c r="H31" s="10">
        <f t="shared" si="18"/>
        <v>35</v>
      </c>
      <c r="I31">
        <f t="shared" si="18"/>
        <v>5.9</v>
      </c>
      <c r="J31">
        <f t="shared" si="19"/>
        <v>0</v>
      </c>
      <c r="K31">
        <f t="shared" si="20"/>
        <v>0</v>
      </c>
      <c r="L31">
        <f t="shared" si="21"/>
        <v>0</v>
      </c>
      <c r="M31">
        <f t="shared" si="22"/>
        <v>1225</v>
      </c>
      <c r="N31">
        <f t="shared" si="23"/>
        <v>206.5</v>
      </c>
      <c r="O31">
        <f t="shared" si="24"/>
        <v>34.81</v>
      </c>
      <c r="Q31" s="11">
        <f t="shared" si="25"/>
        <v>50</v>
      </c>
      <c r="R31" s="12">
        <f t="shared" si="26"/>
        <v>0</v>
      </c>
    </row>
    <row r="32" spans="1:18" x14ac:dyDescent="0.25">
      <c r="A32">
        <v>5</v>
      </c>
      <c r="B32">
        <v>35</v>
      </c>
      <c r="C32">
        <f t="shared" si="27"/>
        <v>6.81</v>
      </c>
      <c r="E32">
        <v>50</v>
      </c>
      <c r="F32" s="2"/>
      <c r="G32">
        <f t="shared" si="18"/>
        <v>5</v>
      </c>
      <c r="H32" s="10">
        <f t="shared" si="18"/>
        <v>35</v>
      </c>
      <c r="I32">
        <f t="shared" si="18"/>
        <v>6.81</v>
      </c>
      <c r="J32">
        <f t="shared" si="19"/>
        <v>25</v>
      </c>
      <c r="K32">
        <f t="shared" si="20"/>
        <v>175</v>
      </c>
      <c r="L32">
        <f t="shared" si="21"/>
        <v>34.049999999999997</v>
      </c>
      <c r="M32">
        <f t="shared" si="22"/>
        <v>1225</v>
      </c>
      <c r="N32">
        <f t="shared" si="23"/>
        <v>238.35</v>
      </c>
      <c r="O32">
        <f t="shared" si="24"/>
        <v>46.376099999999994</v>
      </c>
      <c r="Q32" s="11">
        <f t="shared" si="25"/>
        <v>50</v>
      </c>
      <c r="R32" s="12">
        <f t="shared" si="26"/>
        <v>0</v>
      </c>
    </row>
    <row r="33" spans="1:18" x14ac:dyDescent="0.25">
      <c r="A33">
        <v>-5</v>
      </c>
      <c r="B33">
        <v>45</v>
      </c>
      <c r="C33">
        <f t="shared" si="27"/>
        <v>4.68</v>
      </c>
      <c r="E33">
        <v>50</v>
      </c>
      <c r="F33" s="2"/>
      <c r="G33">
        <f t="shared" si="18"/>
        <v>-5</v>
      </c>
      <c r="H33" s="10">
        <f t="shared" si="18"/>
        <v>45</v>
      </c>
      <c r="I33">
        <f t="shared" si="18"/>
        <v>4.68</v>
      </c>
      <c r="J33">
        <f t="shared" si="19"/>
        <v>25</v>
      </c>
      <c r="K33">
        <f t="shared" si="20"/>
        <v>-225</v>
      </c>
      <c r="L33">
        <f t="shared" si="21"/>
        <v>-23.4</v>
      </c>
      <c r="M33">
        <f t="shared" si="22"/>
        <v>2025</v>
      </c>
      <c r="N33">
        <f t="shared" si="23"/>
        <v>210.6</v>
      </c>
      <c r="O33">
        <f t="shared" si="24"/>
        <v>21.902399999999997</v>
      </c>
      <c r="Q33" s="11">
        <f t="shared" si="25"/>
        <v>50</v>
      </c>
      <c r="R33" s="12">
        <f t="shared" si="26"/>
        <v>0</v>
      </c>
    </row>
    <row r="34" spans="1:18" x14ac:dyDescent="0.25">
      <c r="A34">
        <v>0</v>
      </c>
      <c r="B34">
        <v>45</v>
      </c>
      <c r="C34">
        <f t="shared" si="27"/>
        <v>5.48</v>
      </c>
      <c r="E34">
        <v>50</v>
      </c>
      <c r="F34" s="2"/>
      <c r="G34">
        <f t="shared" si="18"/>
        <v>0</v>
      </c>
      <c r="H34" s="10">
        <f t="shared" si="18"/>
        <v>45</v>
      </c>
      <c r="I34">
        <f t="shared" si="18"/>
        <v>5.48</v>
      </c>
      <c r="J34">
        <f t="shared" si="19"/>
        <v>0</v>
      </c>
      <c r="K34">
        <f t="shared" si="20"/>
        <v>0</v>
      </c>
      <c r="L34">
        <f t="shared" si="21"/>
        <v>0</v>
      </c>
      <c r="M34">
        <f t="shared" si="22"/>
        <v>2025</v>
      </c>
      <c r="N34">
        <f t="shared" si="23"/>
        <v>246.60000000000002</v>
      </c>
      <c r="O34">
        <f t="shared" si="24"/>
        <v>30.030400000000004</v>
      </c>
      <c r="Q34" s="11">
        <f t="shared" si="25"/>
        <v>50</v>
      </c>
      <c r="R34" s="12">
        <f t="shared" si="26"/>
        <v>0</v>
      </c>
    </row>
    <row r="35" spans="1:18" x14ac:dyDescent="0.25">
      <c r="A35">
        <v>5</v>
      </c>
      <c r="B35">
        <v>45</v>
      </c>
      <c r="C35">
        <f t="shared" si="27"/>
        <v>6.49</v>
      </c>
      <c r="E35">
        <v>50</v>
      </c>
      <c r="F35" s="2"/>
      <c r="G35">
        <f t="shared" si="18"/>
        <v>5</v>
      </c>
      <c r="H35" s="10">
        <f t="shared" si="18"/>
        <v>45</v>
      </c>
      <c r="I35">
        <f t="shared" si="18"/>
        <v>6.49</v>
      </c>
      <c r="J35">
        <f t="shared" si="19"/>
        <v>25</v>
      </c>
      <c r="K35">
        <f t="shared" si="20"/>
        <v>225</v>
      </c>
      <c r="L35">
        <f t="shared" si="21"/>
        <v>32.450000000000003</v>
      </c>
      <c r="M35">
        <f t="shared" si="22"/>
        <v>2025</v>
      </c>
      <c r="N35">
        <f t="shared" si="23"/>
        <v>292.05</v>
      </c>
      <c r="O35">
        <f t="shared" si="24"/>
        <v>42.120100000000001</v>
      </c>
      <c r="Q35" s="11">
        <f t="shared" si="25"/>
        <v>50</v>
      </c>
      <c r="R35" s="12">
        <f t="shared" si="26"/>
        <v>0</v>
      </c>
    </row>
    <row r="36" spans="1:18" x14ac:dyDescent="0.25">
      <c r="A36">
        <v>0</v>
      </c>
      <c r="B36">
        <v>55</v>
      </c>
      <c r="C36">
        <f t="shared" si="27"/>
        <v>5.17</v>
      </c>
      <c r="E36">
        <v>50</v>
      </c>
      <c r="F36" s="2"/>
      <c r="G36">
        <f t="shared" si="18"/>
        <v>0</v>
      </c>
      <c r="H36" s="10">
        <f t="shared" si="18"/>
        <v>55</v>
      </c>
      <c r="I36">
        <f t="shared" si="18"/>
        <v>5.17</v>
      </c>
      <c r="J36">
        <f t="shared" si="19"/>
        <v>0</v>
      </c>
      <c r="K36">
        <f t="shared" si="20"/>
        <v>0</v>
      </c>
      <c r="L36">
        <f t="shared" si="21"/>
        <v>0</v>
      </c>
      <c r="M36">
        <f t="shared" si="22"/>
        <v>3025</v>
      </c>
      <c r="N36">
        <f t="shared" si="23"/>
        <v>284.35000000000002</v>
      </c>
      <c r="O36">
        <f t="shared" si="24"/>
        <v>26.728899999999999</v>
      </c>
      <c r="Q36" s="11">
        <f t="shared" si="25"/>
        <v>50</v>
      </c>
      <c r="R36" s="12">
        <f t="shared" si="26"/>
        <v>0</v>
      </c>
    </row>
    <row r="37" spans="1:18" x14ac:dyDescent="0.25">
      <c r="A37">
        <v>5</v>
      </c>
      <c r="B37">
        <v>55</v>
      </c>
      <c r="C37">
        <f t="shared" si="27"/>
        <v>6.08</v>
      </c>
      <c r="E37">
        <v>50</v>
      </c>
      <c r="F37" s="2"/>
      <c r="G37">
        <f t="shared" si="18"/>
        <v>5</v>
      </c>
      <c r="H37" s="10">
        <f t="shared" si="18"/>
        <v>55</v>
      </c>
      <c r="I37">
        <f t="shared" si="18"/>
        <v>6.08</v>
      </c>
      <c r="J37">
        <f t="shared" si="19"/>
        <v>25</v>
      </c>
      <c r="K37">
        <f t="shared" si="20"/>
        <v>275</v>
      </c>
      <c r="L37">
        <f t="shared" si="21"/>
        <v>30.4</v>
      </c>
      <c r="M37">
        <f t="shared" si="22"/>
        <v>3025</v>
      </c>
      <c r="N37">
        <f t="shared" si="23"/>
        <v>334.4</v>
      </c>
      <c r="O37">
        <f t="shared" si="24"/>
        <v>36.9664</v>
      </c>
      <c r="Q37" s="11">
        <f t="shared" si="25"/>
        <v>50</v>
      </c>
      <c r="R3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3489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3489" r:id="rId4"/>
      </mc:Fallback>
    </mc:AlternateContent>
    <mc:AlternateContent xmlns:mc="http://schemas.openxmlformats.org/markup-compatibility/2006">
      <mc:Choice Requires="x14">
        <oleObject progId="Equation.3" shapeId="63490" r:id="rId6">
          <objectPr defaultSize="0" autoPict="0" r:id="rId5">
            <anchor moveWithCells="1" sizeWithCells="1">
              <from>
                <xdr:col>6</xdr:col>
                <xdr:colOff>171450</xdr:colOff>
                <xdr:row>15</xdr:row>
                <xdr:rowOff>38100</xdr:rowOff>
              </from>
              <to>
                <xdr:col>14</xdr:col>
                <xdr:colOff>1466850</xdr:colOff>
                <xdr:row>15</xdr:row>
                <xdr:rowOff>647700</xdr:rowOff>
              </to>
            </anchor>
          </objectPr>
        </oleObject>
      </mc:Choice>
      <mc:Fallback>
        <oleObject progId="Equation.3" shapeId="63490" r:id="rId6"/>
      </mc:Fallback>
    </mc:AlternateContent>
    <mc:AlternateContent xmlns:mc="http://schemas.openxmlformats.org/markup-compatibility/2006">
      <mc:Choice Requires="x14">
        <oleObject progId="Equation.3" shapeId="63491" r:id="rId7">
          <objectPr defaultSize="0" autoPict="0" r:id="rId5">
            <anchor moveWithCells="1" sizeWithCells="1">
              <from>
                <xdr:col>6</xdr:col>
                <xdr:colOff>171450</xdr:colOff>
                <xdr:row>28</xdr:row>
                <xdr:rowOff>38100</xdr:rowOff>
              </from>
              <to>
                <xdr:col>14</xdr:col>
                <xdr:colOff>1466850</xdr:colOff>
                <xdr:row>28</xdr:row>
                <xdr:rowOff>647700</xdr:rowOff>
              </to>
            </anchor>
          </objectPr>
        </oleObject>
      </mc:Choice>
      <mc:Fallback>
        <oleObject progId="Equation.3" shapeId="63491" r:id="rId7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List24"/>
  <dimension ref="A1:T37"/>
  <sheetViews>
    <sheetView zoomScale="70" zoomScaleNormal="70" workbookViewId="0"/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LINEST(E4:E11,G4:O11)</f>
        <v>0</v>
      </c>
      <c r="H2" s="4">
        <v>-5.8828571428571458E-4</v>
      </c>
      <c r="I2" s="4">
        <v>-2.8571428571428385E-5</v>
      </c>
      <c r="J2" s="4">
        <v>5.7697142857142817E-3</v>
      </c>
      <c r="K2" s="4">
        <v>-1.5028571428571361E-3</v>
      </c>
      <c r="L2" s="4">
        <v>2.8971428571428646E-3</v>
      </c>
      <c r="M2" s="4">
        <v>0</v>
      </c>
      <c r="N2" s="4">
        <v>0</v>
      </c>
      <c r="O2" s="4">
        <v>0</v>
      </c>
      <c r="P2" s="4">
        <v>9.2533571428571424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25</v>
      </c>
      <c r="C4">
        <v>50</v>
      </c>
      <c r="E4">
        <v>8.5</v>
      </c>
      <c r="F4" s="2"/>
      <c r="G4">
        <f t="shared" ref="G4:I11" si="0">A4</f>
        <v>0</v>
      </c>
      <c r="H4" s="10">
        <f t="shared" si="0"/>
        <v>25</v>
      </c>
      <c r="I4">
        <f t="shared" si="0"/>
        <v>50</v>
      </c>
      <c r="J4">
        <f t="shared" ref="J4:J11" si="1">G4^2</f>
        <v>0</v>
      </c>
      <c r="K4">
        <f t="shared" ref="K4:K11" si="2">G4*H4</f>
        <v>0</v>
      </c>
      <c r="L4">
        <f t="shared" ref="L4:L11" si="3">G4*I4</f>
        <v>0</v>
      </c>
      <c r="M4">
        <f t="shared" ref="M4:M11" si="4">H4^2</f>
        <v>625</v>
      </c>
      <c r="N4">
        <f t="shared" ref="N4:N11" si="5">H4*I4</f>
        <v>1250</v>
      </c>
      <c r="O4">
        <f t="shared" ref="O4:O11" si="6">I4^2</f>
        <v>2500</v>
      </c>
      <c r="Q4" s="11">
        <f t="shared" ref="Q4:Q11" si="7">$P$2+$O$2*G4+$N$2*H4+$M$2*I4+$L$2*J4+$K$2*K4+$J$2*L4+$I$2*M4+$H$2*N4+$G$2*O4</f>
        <v>8.5001428571428566</v>
      </c>
      <c r="R4" s="12">
        <f t="shared" ref="R4:R11" si="8">(Q4-E4)/E4</f>
        <v>1.6806722689006608E-5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8.19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8.1888571428571417</v>
      </c>
      <c r="R5" s="12">
        <f t="shared" si="8"/>
        <v>-1.3954299668593142E-4</v>
      </c>
      <c r="S5" s="11"/>
      <c r="T5" s="12"/>
    </row>
    <row r="6" spans="1:20" x14ac:dyDescent="0.25">
      <c r="A6">
        <v>5</v>
      </c>
      <c r="B6">
        <v>35</v>
      </c>
      <c r="C6">
        <v>50</v>
      </c>
      <c r="E6">
        <v>9.44</v>
      </c>
      <c r="F6" s="2"/>
      <c r="G6">
        <f t="shared" si="0"/>
        <v>5</v>
      </c>
      <c r="H6" s="10">
        <f t="shared" si="0"/>
        <v>35</v>
      </c>
      <c r="I6">
        <f t="shared" si="0"/>
        <v>50</v>
      </c>
      <c r="J6">
        <f t="shared" si="1"/>
        <v>25</v>
      </c>
      <c r="K6">
        <f t="shared" si="2"/>
        <v>175</v>
      </c>
      <c r="L6">
        <f t="shared" si="3"/>
        <v>250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9.4407142857142858</v>
      </c>
      <c r="R6" s="12">
        <f t="shared" si="8"/>
        <v>7.5665859564230247E-5</v>
      </c>
      <c r="S6" s="11"/>
      <c r="T6" s="12"/>
    </row>
    <row r="7" spans="1:20" x14ac:dyDescent="0.25">
      <c r="A7">
        <v>-5</v>
      </c>
      <c r="B7">
        <v>45</v>
      </c>
      <c r="C7">
        <v>50</v>
      </c>
      <c r="E7">
        <v>6.84</v>
      </c>
      <c r="F7" s="2"/>
      <c r="G7">
        <f t="shared" si="0"/>
        <v>-5</v>
      </c>
      <c r="H7" s="10">
        <f t="shared" si="0"/>
        <v>45</v>
      </c>
      <c r="I7">
        <f t="shared" si="0"/>
        <v>50</v>
      </c>
      <c r="J7">
        <f t="shared" si="1"/>
        <v>25</v>
      </c>
      <c r="K7">
        <f t="shared" si="2"/>
        <v>-225</v>
      </c>
      <c r="L7">
        <f t="shared" si="3"/>
        <v>-250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6.84</v>
      </c>
      <c r="R7" s="12">
        <f t="shared" si="8"/>
        <v>0</v>
      </c>
      <c r="S7" s="11"/>
      <c r="T7" s="12"/>
    </row>
    <row r="8" spans="1:20" x14ac:dyDescent="0.25">
      <c r="A8">
        <v>0</v>
      </c>
      <c r="B8">
        <v>45</v>
      </c>
      <c r="C8">
        <v>50</v>
      </c>
      <c r="E8">
        <v>7.87</v>
      </c>
      <c r="F8" s="2"/>
      <c r="G8">
        <f t="shared" si="0"/>
        <v>0</v>
      </c>
      <c r="H8" s="10">
        <f t="shared" si="0"/>
        <v>45</v>
      </c>
      <c r="I8">
        <f t="shared" si="0"/>
        <v>50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7.8718571428571416</v>
      </c>
      <c r="R8" s="12">
        <f t="shared" si="8"/>
        <v>2.3597749137756636E-4</v>
      </c>
      <c r="S8" s="11"/>
      <c r="T8" s="12"/>
    </row>
    <row r="9" spans="1:20" x14ac:dyDescent="0.25">
      <c r="A9">
        <v>5</v>
      </c>
      <c r="B9">
        <v>45</v>
      </c>
      <c r="C9">
        <v>50</v>
      </c>
      <c r="E9">
        <v>9.0500000000000007</v>
      </c>
      <c r="F9" s="2"/>
      <c r="G9">
        <f t="shared" si="0"/>
        <v>5</v>
      </c>
      <c r="H9" s="10">
        <f t="shared" si="0"/>
        <v>45</v>
      </c>
      <c r="I9">
        <f t="shared" si="0"/>
        <v>50</v>
      </c>
      <c r="J9">
        <f t="shared" si="1"/>
        <v>25</v>
      </c>
      <c r="K9">
        <f t="shared" si="2"/>
        <v>225</v>
      </c>
      <c r="L9">
        <f t="shared" si="3"/>
        <v>250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9.048571428571428</v>
      </c>
      <c r="R9" s="12">
        <f t="shared" si="8"/>
        <v>-1.5785319652736649E-4</v>
      </c>
      <c r="S9" s="11"/>
      <c r="T9" s="12"/>
    </row>
    <row r="10" spans="1:20" x14ac:dyDescent="0.25">
      <c r="A10">
        <v>0</v>
      </c>
      <c r="B10">
        <v>55</v>
      </c>
      <c r="C10">
        <v>50</v>
      </c>
      <c r="E10">
        <v>7.55</v>
      </c>
      <c r="F10" s="2"/>
      <c r="G10">
        <f t="shared" si="0"/>
        <v>0</v>
      </c>
      <c r="H10" s="10">
        <f t="shared" si="0"/>
        <v>55</v>
      </c>
      <c r="I10">
        <f t="shared" si="0"/>
        <v>50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7.549142857142856</v>
      </c>
      <c r="R10" s="12">
        <f t="shared" si="8"/>
        <v>-1.135288552508315E-4</v>
      </c>
      <c r="S10" s="11"/>
      <c r="T10" s="12"/>
    </row>
    <row r="11" spans="1:20" x14ac:dyDescent="0.25">
      <c r="A11">
        <v>5</v>
      </c>
      <c r="B11">
        <v>55</v>
      </c>
      <c r="C11">
        <v>50</v>
      </c>
      <c r="E11">
        <v>8.65</v>
      </c>
      <c r="F11" s="2"/>
      <c r="G11">
        <f t="shared" si="0"/>
        <v>5</v>
      </c>
      <c r="H11" s="10">
        <f t="shared" si="0"/>
        <v>55</v>
      </c>
      <c r="I11">
        <f t="shared" si="0"/>
        <v>50</v>
      </c>
      <c r="J11">
        <f t="shared" si="1"/>
        <v>25</v>
      </c>
      <c r="K11">
        <f t="shared" si="2"/>
        <v>275</v>
      </c>
      <c r="L11">
        <f t="shared" si="3"/>
        <v>250</v>
      </c>
      <c r="M11">
        <f t="shared" si="4"/>
        <v>3025</v>
      </c>
      <c r="N11">
        <f t="shared" si="5"/>
        <v>2750</v>
      </c>
      <c r="O11">
        <f t="shared" si="6"/>
        <v>2500</v>
      </c>
      <c r="Q11" s="11">
        <f t="shared" si="7"/>
        <v>8.6507142857142867</v>
      </c>
      <c r="R11" s="12">
        <f t="shared" si="8"/>
        <v>8.2576383154489409E-5</v>
      </c>
      <c r="S11" s="11"/>
      <c r="T11" s="12"/>
    </row>
    <row r="14" spans="1:20" x14ac:dyDescent="0.25">
      <c r="A14" t="s">
        <v>27</v>
      </c>
      <c r="G14" s="4" t="s">
        <v>1</v>
      </c>
      <c r="H14" s="4" t="s">
        <v>2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</row>
    <row r="15" spans="1:20" x14ac:dyDescent="0.25">
      <c r="A15" s="1"/>
      <c r="C15" s="1"/>
      <c r="D15" s="1"/>
      <c r="E15" s="1"/>
      <c r="F15" s="1"/>
      <c r="G15" s="4">
        <f t="array" ref="G15:P15">LINEST(E17:E24,G17:O24)</f>
        <v>0</v>
      </c>
      <c r="H15" s="4">
        <v>-4.9142857142856953E-4</v>
      </c>
      <c r="I15" s="4">
        <v>6.5714285714285571E-4</v>
      </c>
      <c r="J15" s="4">
        <v>-1.3142857142857655E-4</v>
      </c>
      <c r="K15" s="4">
        <v>4.8571428571429211E-4</v>
      </c>
      <c r="L15" s="4">
        <v>8.5714285714279234E-5</v>
      </c>
      <c r="M15" s="4">
        <v>0</v>
      </c>
      <c r="N15" s="4">
        <v>0</v>
      </c>
      <c r="O15" s="4">
        <v>0</v>
      </c>
      <c r="P15" s="4">
        <v>1.8992857142857131</v>
      </c>
    </row>
    <row r="16" spans="1:20" ht="45" x14ac:dyDescent="0.25">
      <c r="A16" s="5" t="s">
        <v>11</v>
      </c>
      <c r="B16" s="5" t="s">
        <v>12</v>
      </c>
      <c r="C16" s="5" t="s">
        <v>13</v>
      </c>
      <c r="D16" s="6"/>
      <c r="E16" s="7" t="s">
        <v>14</v>
      </c>
      <c r="F16" s="3"/>
      <c r="G16" s="8" t="s">
        <v>17</v>
      </c>
      <c r="H16" s="8" t="s">
        <v>18</v>
      </c>
      <c r="I16" s="8" t="s">
        <v>0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3"/>
      <c r="Q16" s="9" t="s">
        <v>14</v>
      </c>
      <c r="R16" s="9" t="s">
        <v>15</v>
      </c>
    </row>
    <row r="17" spans="1:18" x14ac:dyDescent="0.25">
      <c r="A17">
        <v>0</v>
      </c>
      <c r="B17">
        <v>25</v>
      </c>
      <c r="C17">
        <v>50</v>
      </c>
      <c r="E17">
        <v>1.72</v>
      </c>
      <c r="F17" s="2"/>
      <c r="G17">
        <f t="shared" ref="G17:I24" si="9">A17</f>
        <v>0</v>
      </c>
      <c r="H17" s="10">
        <f t="shared" si="9"/>
        <v>25</v>
      </c>
      <c r="I17">
        <f t="shared" si="9"/>
        <v>50</v>
      </c>
      <c r="J17">
        <f t="shared" ref="J17:J24" si="10">G17^2</f>
        <v>0</v>
      </c>
      <c r="K17">
        <f t="shared" ref="K17:K24" si="11">G17*H17</f>
        <v>0</v>
      </c>
      <c r="L17">
        <f t="shared" ref="L17:L24" si="12">G17*I17</f>
        <v>0</v>
      </c>
      <c r="M17">
        <f t="shared" ref="M17:M24" si="13">H17^2</f>
        <v>625</v>
      </c>
      <c r="N17">
        <f t="shared" ref="N17:N24" si="14">H17*I17</f>
        <v>1250</v>
      </c>
      <c r="O17">
        <f t="shared" ref="O17:O24" si="15">I17^2</f>
        <v>2500</v>
      </c>
      <c r="Q17" s="11">
        <f t="shared" ref="Q17:Q24" si="16">$P$15+$O$15*G17+$N$15*H17+$M$15*I17+$L$15*J17+$K$15*K17+$J$15*L17+$I$15*M17+$H$15*N17+$G$15*O17</f>
        <v>1.695714285714286</v>
      </c>
      <c r="R17" s="12">
        <f t="shared" ref="R17:R24" si="17">(Q17-E17)/E17</f>
        <v>-1.4119601328903501E-2</v>
      </c>
    </row>
    <row r="18" spans="1:18" x14ac:dyDescent="0.25">
      <c r="A18">
        <v>0</v>
      </c>
      <c r="B18">
        <v>35</v>
      </c>
      <c r="C18">
        <v>50</v>
      </c>
      <c r="E18">
        <v>1.79</v>
      </c>
      <c r="F18" s="2"/>
      <c r="G18">
        <f t="shared" si="9"/>
        <v>0</v>
      </c>
      <c r="H18" s="10">
        <f t="shared" si="9"/>
        <v>35</v>
      </c>
      <c r="I18">
        <f t="shared" si="9"/>
        <v>50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1225</v>
      </c>
      <c r="N18">
        <f t="shared" si="14"/>
        <v>1750</v>
      </c>
      <c r="O18">
        <f t="shared" si="15"/>
        <v>2500</v>
      </c>
      <c r="Q18" s="11">
        <f t="shared" si="16"/>
        <v>1.8442857142857148</v>
      </c>
      <c r="R18" s="12">
        <f t="shared" si="17"/>
        <v>3.0327214684756822E-2</v>
      </c>
    </row>
    <row r="19" spans="1:18" x14ac:dyDescent="0.25">
      <c r="A19">
        <v>5</v>
      </c>
      <c r="B19">
        <v>35</v>
      </c>
      <c r="C19">
        <v>50</v>
      </c>
      <c r="E19">
        <v>1.88</v>
      </c>
      <c r="F19" s="2"/>
      <c r="G19">
        <f t="shared" si="9"/>
        <v>5</v>
      </c>
      <c r="H19" s="10">
        <f t="shared" si="9"/>
        <v>35</v>
      </c>
      <c r="I19">
        <f t="shared" si="9"/>
        <v>50</v>
      </c>
      <c r="J19">
        <f t="shared" si="10"/>
        <v>25</v>
      </c>
      <c r="K19">
        <f t="shared" si="11"/>
        <v>175</v>
      </c>
      <c r="L19">
        <f t="shared" si="12"/>
        <v>250</v>
      </c>
      <c r="M19">
        <f t="shared" si="13"/>
        <v>1225</v>
      </c>
      <c r="N19">
        <f t="shared" si="14"/>
        <v>1750</v>
      </c>
      <c r="O19">
        <f t="shared" si="15"/>
        <v>2500</v>
      </c>
      <c r="Q19" s="11">
        <f t="shared" si="16"/>
        <v>1.8985714285714286</v>
      </c>
      <c r="R19" s="12">
        <f t="shared" si="17"/>
        <v>9.8784194528875983E-3</v>
      </c>
    </row>
    <row r="20" spans="1:18" x14ac:dyDescent="0.25">
      <c r="A20">
        <v>-5</v>
      </c>
      <c r="B20">
        <v>45</v>
      </c>
      <c r="C20">
        <v>50</v>
      </c>
      <c r="E20">
        <v>2.0499999999999998</v>
      </c>
      <c r="F20" s="2"/>
      <c r="G20">
        <f t="shared" si="9"/>
        <v>-5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-225</v>
      </c>
      <c r="L20">
        <f t="shared" si="12"/>
        <v>-250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2.0499999999999998</v>
      </c>
      <c r="R20" s="12">
        <f t="shared" si="17"/>
        <v>0</v>
      </c>
    </row>
    <row r="21" spans="1:18" x14ac:dyDescent="0.25">
      <c r="A21">
        <v>0</v>
      </c>
      <c r="B21">
        <v>45</v>
      </c>
      <c r="C21">
        <v>50</v>
      </c>
      <c r="E21">
        <v>2.16</v>
      </c>
      <c r="F21" s="2"/>
      <c r="G21">
        <f t="shared" si="9"/>
        <v>0</v>
      </c>
      <c r="H21" s="10">
        <f t="shared" si="9"/>
        <v>45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2025</v>
      </c>
      <c r="N21">
        <f t="shared" si="14"/>
        <v>2250</v>
      </c>
      <c r="O21">
        <f t="shared" si="15"/>
        <v>2500</v>
      </c>
      <c r="Q21" s="11">
        <f t="shared" si="16"/>
        <v>2.1242857142857146</v>
      </c>
      <c r="R21" s="12">
        <f t="shared" si="17"/>
        <v>-1.6534391534391474E-2</v>
      </c>
    </row>
    <row r="22" spans="1:18" x14ac:dyDescent="0.25">
      <c r="A22">
        <v>5</v>
      </c>
      <c r="B22">
        <v>45</v>
      </c>
      <c r="C22">
        <v>50</v>
      </c>
      <c r="E22">
        <v>2.2400000000000002</v>
      </c>
      <c r="F22" s="2"/>
      <c r="G22">
        <f t="shared" si="9"/>
        <v>5</v>
      </c>
      <c r="H22" s="10">
        <f t="shared" si="9"/>
        <v>45</v>
      </c>
      <c r="I22">
        <f t="shared" si="9"/>
        <v>50</v>
      </c>
      <c r="J22">
        <f t="shared" si="10"/>
        <v>25</v>
      </c>
      <c r="K22">
        <f t="shared" si="11"/>
        <v>225</v>
      </c>
      <c r="L22">
        <f t="shared" si="12"/>
        <v>250</v>
      </c>
      <c r="M22">
        <f t="shared" si="13"/>
        <v>2025</v>
      </c>
      <c r="N22">
        <f t="shared" si="14"/>
        <v>2250</v>
      </c>
      <c r="O22">
        <f t="shared" si="15"/>
        <v>2500</v>
      </c>
      <c r="Q22" s="11">
        <f t="shared" si="16"/>
        <v>2.2028571428571428</v>
      </c>
      <c r="R22" s="12">
        <f t="shared" si="17"/>
        <v>-1.6581632653061323E-2</v>
      </c>
    </row>
    <row r="23" spans="1:18" x14ac:dyDescent="0.25">
      <c r="A23">
        <v>0</v>
      </c>
      <c r="B23">
        <v>55</v>
      </c>
      <c r="C23">
        <v>50</v>
      </c>
      <c r="E23">
        <v>2.5299999999999998</v>
      </c>
      <c r="F23" s="2"/>
      <c r="G23">
        <f t="shared" si="9"/>
        <v>0</v>
      </c>
      <c r="H23" s="10">
        <f t="shared" si="9"/>
        <v>55</v>
      </c>
      <c r="I23">
        <f t="shared" si="9"/>
        <v>50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3025</v>
      </c>
      <c r="N23">
        <f t="shared" si="14"/>
        <v>2750</v>
      </c>
      <c r="O23">
        <f t="shared" si="15"/>
        <v>2500</v>
      </c>
      <c r="Q23" s="11">
        <f t="shared" si="16"/>
        <v>2.5357142857142856</v>
      </c>
      <c r="R23" s="12">
        <f t="shared" si="17"/>
        <v>2.2586109542631553E-3</v>
      </c>
    </row>
    <row r="24" spans="1:18" x14ac:dyDescent="0.25">
      <c r="A24">
        <v>5</v>
      </c>
      <c r="B24">
        <v>55</v>
      </c>
      <c r="C24">
        <v>50</v>
      </c>
      <c r="E24">
        <v>2.62</v>
      </c>
      <c r="F24" s="2"/>
      <c r="G24">
        <f t="shared" si="9"/>
        <v>5</v>
      </c>
      <c r="H24" s="10">
        <f t="shared" si="9"/>
        <v>55</v>
      </c>
      <c r="I24">
        <f t="shared" si="9"/>
        <v>50</v>
      </c>
      <c r="J24">
        <f t="shared" si="10"/>
        <v>25</v>
      </c>
      <c r="K24">
        <f t="shared" si="11"/>
        <v>275</v>
      </c>
      <c r="L24">
        <f t="shared" si="12"/>
        <v>250</v>
      </c>
      <c r="M24">
        <f t="shared" si="13"/>
        <v>3025</v>
      </c>
      <c r="N24">
        <f t="shared" si="14"/>
        <v>2750</v>
      </c>
      <c r="O24">
        <f t="shared" si="15"/>
        <v>2500</v>
      </c>
      <c r="Q24" s="11">
        <f t="shared" si="16"/>
        <v>2.6385714285714288</v>
      </c>
      <c r="R24" s="12">
        <f t="shared" si="17"/>
        <v>7.0883315158124741E-3</v>
      </c>
    </row>
    <row r="27" spans="1:18" x14ac:dyDescent="0.25">
      <c r="A27" t="s">
        <v>28</v>
      </c>
      <c r="G27" s="4" t="s">
        <v>1</v>
      </c>
      <c r="H27" s="4" t="s">
        <v>2</v>
      </c>
      <c r="I27" s="4" t="s">
        <v>3</v>
      </c>
      <c r="J27" s="4" t="s">
        <v>4</v>
      </c>
      <c r="K27" s="4" t="s">
        <v>5</v>
      </c>
      <c r="L27" s="4" t="s">
        <v>6</v>
      </c>
      <c r="M27" s="4" t="s">
        <v>7</v>
      </c>
      <c r="N27" s="4" t="s">
        <v>8</v>
      </c>
      <c r="O27" s="4" t="s">
        <v>9</v>
      </c>
      <c r="P27" s="4" t="s">
        <v>10</v>
      </c>
    </row>
    <row r="28" spans="1:18" x14ac:dyDescent="0.25">
      <c r="A28" s="1"/>
      <c r="C28" s="1"/>
      <c r="D28" s="1"/>
      <c r="E28" s="1"/>
      <c r="F28" s="1"/>
      <c r="G28" s="4">
        <f t="array" ref="G28:P28">LINEST(E30:E37,G30:O37)</f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50</v>
      </c>
    </row>
    <row r="29" spans="1:18" ht="45" x14ac:dyDescent="0.25">
      <c r="A29" s="5" t="s">
        <v>11</v>
      </c>
      <c r="B29" s="5" t="s">
        <v>12</v>
      </c>
      <c r="C29" s="5" t="s">
        <v>14</v>
      </c>
      <c r="E29" s="7" t="s">
        <v>13</v>
      </c>
      <c r="F29" s="3"/>
      <c r="G29" s="8" t="s">
        <v>17</v>
      </c>
      <c r="H29" s="8" t="s">
        <v>18</v>
      </c>
      <c r="I29" s="8" t="s">
        <v>0</v>
      </c>
      <c r="J29" s="8" t="s">
        <v>19</v>
      </c>
      <c r="K29" s="8" t="s">
        <v>20</v>
      </c>
      <c r="L29" s="8" t="s">
        <v>21</v>
      </c>
      <c r="M29" s="8" t="s">
        <v>22</v>
      </c>
      <c r="N29" s="8" t="s">
        <v>23</v>
      </c>
      <c r="O29" s="8" t="s">
        <v>24</v>
      </c>
      <c r="P29" s="3"/>
      <c r="Q29" s="9" t="s">
        <v>16</v>
      </c>
      <c r="R29" s="9" t="s">
        <v>15</v>
      </c>
    </row>
    <row r="30" spans="1:18" x14ac:dyDescent="0.25">
      <c r="A30">
        <v>0</v>
      </c>
      <c r="B30">
        <v>25</v>
      </c>
      <c r="C30">
        <f>E4</f>
        <v>8.5</v>
      </c>
      <c r="E30">
        <v>50</v>
      </c>
      <c r="F30" s="2"/>
      <c r="G30">
        <f t="shared" ref="G30:I37" si="18">A30</f>
        <v>0</v>
      </c>
      <c r="H30" s="10">
        <f t="shared" si="18"/>
        <v>25</v>
      </c>
      <c r="I30">
        <f t="shared" si="18"/>
        <v>8.5</v>
      </c>
      <c r="J30">
        <f t="shared" ref="J30:J37" si="19">G30^2</f>
        <v>0</v>
      </c>
      <c r="K30">
        <f t="shared" ref="K30:K37" si="20">G30*H30</f>
        <v>0</v>
      </c>
      <c r="L30">
        <f t="shared" ref="L30:L37" si="21">G30*I30</f>
        <v>0</v>
      </c>
      <c r="M30">
        <f t="shared" ref="M30:M37" si="22">H30^2</f>
        <v>625</v>
      </c>
      <c r="N30">
        <f t="shared" ref="N30:N37" si="23">H30*I30</f>
        <v>212.5</v>
      </c>
      <c r="O30">
        <f t="shared" ref="O30:O37" si="24">I30^2</f>
        <v>72.25</v>
      </c>
      <c r="Q30" s="11">
        <f t="shared" ref="Q30:Q37" si="25">$P$28+$O$28*G30+$N$28*H30+$M$28*I30+$L$28*J30+$K$28*K30+$J$28*L30+$I$28*M30+$H$28*N30+$G$28*O30</f>
        <v>50</v>
      </c>
      <c r="R30" s="12">
        <f t="shared" ref="R30:R37" si="26">(Q30-E30)/E30</f>
        <v>0</v>
      </c>
    </row>
    <row r="31" spans="1:18" x14ac:dyDescent="0.25">
      <c r="A31">
        <v>0</v>
      </c>
      <c r="B31">
        <v>35</v>
      </c>
      <c r="C31">
        <f t="shared" ref="C31:C37" si="27">E5</f>
        <v>8.19</v>
      </c>
      <c r="E31">
        <v>50</v>
      </c>
      <c r="F31" s="2"/>
      <c r="G31">
        <f t="shared" si="18"/>
        <v>0</v>
      </c>
      <c r="H31" s="10">
        <f t="shared" si="18"/>
        <v>35</v>
      </c>
      <c r="I31">
        <f t="shared" si="18"/>
        <v>8.19</v>
      </c>
      <c r="J31">
        <f t="shared" si="19"/>
        <v>0</v>
      </c>
      <c r="K31">
        <f t="shared" si="20"/>
        <v>0</v>
      </c>
      <c r="L31">
        <f t="shared" si="21"/>
        <v>0</v>
      </c>
      <c r="M31">
        <f t="shared" si="22"/>
        <v>1225</v>
      </c>
      <c r="N31">
        <f t="shared" si="23"/>
        <v>286.64999999999998</v>
      </c>
      <c r="O31">
        <f t="shared" si="24"/>
        <v>67.076099999999997</v>
      </c>
      <c r="Q31" s="11">
        <f t="shared" si="25"/>
        <v>50</v>
      </c>
      <c r="R31" s="12">
        <f t="shared" si="26"/>
        <v>0</v>
      </c>
    </row>
    <row r="32" spans="1:18" x14ac:dyDescent="0.25">
      <c r="A32">
        <v>5</v>
      </c>
      <c r="B32">
        <v>35</v>
      </c>
      <c r="C32">
        <f t="shared" si="27"/>
        <v>9.44</v>
      </c>
      <c r="E32">
        <v>50</v>
      </c>
      <c r="F32" s="2"/>
      <c r="G32">
        <f t="shared" si="18"/>
        <v>5</v>
      </c>
      <c r="H32" s="10">
        <f t="shared" si="18"/>
        <v>35</v>
      </c>
      <c r="I32">
        <f t="shared" si="18"/>
        <v>9.44</v>
      </c>
      <c r="J32">
        <f t="shared" si="19"/>
        <v>25</v>
      </c>
      <c r="K32">
        <f t="shared" si="20"/>
        <v>175</v>
      </c>
      <c r="L32">
        <f t="shared" si="21"/>
        <v>47.199999999999996</v>
      </c>
      <c r="M32">
        <f t="shared" si="22"/>
        <v>1225</v>
      </c>
      <c r="N32">
        <f t="shared" si="23"/>
        <v>330.4</v>
      </c>
      <c r="O32">
        <f t="shared" si="24"/>
        <v>89.113599999999991</v>
      </c>
      <c r="Q32" s="11">
        <f t="shared" si="25"/>
        <v>50</v>
      </c>
      <c r="R32" s="12">
        <f t="shared" si="26"/>
        <v>0</v>
      </c>
    </row>
    <row r="33" spans="1:18" x14ac:dyDescent="0.25">
      <c r="A33">
        <v>-5</v>
      </c>
      <c r="B33">
        <v>45</v>
      </c>
      <c r="C33">
        <f t="shared" si="27"/>
        <v>6.84</v>
      </c>
      <c r="E33">
        <v>50</v>
      </c>
      <c r="F33" s="2"/>
      <c r="G33">
        <f t="shared" si="18"/>
        <v>-5</v>
      </c>
      <c r="H33" s="10">
        <f t="shared" si="18"/>
        <v>45</v>
      </c>
      <c r="I33">
        <f t="shared" si="18"/>
        <v>6.84</v>
      </c>
      <c r="J33">
        <f t="shared" si="19"/>
        <v>25</v>
      </c>
      <c r="K33">
        <f t="shared" si="20"/>
        <v>-225</v>
      </c>
      <c r="L33">
        <f t="shared" si="21"/>
        <v>-34.200000000000003</v>
      </c>
      <c r="M33">
        <f t="shared" si="22"/>
        <v>2025</v>
      </c>
      <c r="N33">
        <f t="shared" si="23"/>
        <v>307.8</v>
      </c>
      <c r="O33">
        <f t="shared" si="24"/>
        <v>46.785599999999995</v>
      </c>
      <c r="Q33" s="11">
        <f t="shared" si="25"/>
        <v>50</v>
      </c>
      <c r="R33" s="12">
        <f t="shared" si="26"/>
        <v>0</v>
      </c>
    </row>
    <row r="34" spans="1:18" x14ac:dyDescent="0.25">
      <c r="A34">
        <v>0</v>
      </c>
      <c r="B34">
        <v>45</v>
      </c>
      <c r="C34">
        <f t="shared" si="27"/>
        <v>7.87</v>
      </c>
      <c r="E34">
        <v>50</v>
      </c>
      <c r="F34" s="2"/>
      <c r="G34">
        <f t="shared" si="18"/>
        <v>0</v>
      </c>
      <c r="H34" s="10">
        <f t="shared" si="18"/>
        <v>45</v>
      </c>
      <c r="I34">
        <f t="shared" si="18"/>
        <v>7.87</v>
      </c>
      <c r="J34">
        <f t="shared" si="19"/>
        <v>0</v>
      </c>
      <c r="K34">
        <f t="shared" si="20"/>
        <v>0</v>
      </c>
      <c r="L34">
        <f t="shared" si="21"/>
        <v>0</v>
      </c>
      <c r="M34">
        <f t="shared" si="22"/>
        <v>2025</v>
      </c>
      <c r="N34">
        <f t="shared" si="23"/>
        <v>354.15</v>
      </c>
      <c r="O34">
        <f t="shared" si="24"/>
        <v>61.936900000000001</v>
      </c>
      <c r="Q34" s="11">
        <f t="shared" si="25"/>
        <v>50</v>
      </c>
      <c r="R34" s="12">
        <f t="shared" si="26"/>
        <v>0</v>
      </c>
    </row>
    <row r="35" spans="1:18" x14ac:dyDescent="0.25">
      <c r="A35">
        <v>5</v>
      </c>
      <c r="B35">
        <v>45</v>
      </c>
      <c r="C35">
        <f t="shared" si="27"/>
        <v>9.0500000000000007</v>
      </c>
      <c r="E35">
        <v>50</v>
      </c>
      <c r="F35" s="2"/>
      <c r="G35">
        <f t="shared" si="18"/>
        <v>5</v>
      </c>
      <c r="H35" s="10">
        <f t="shared" si="18"/>
        <v>45</v>
      </c>
      <c r="I35">
        <f t="shared" si="18"/>
        <v>9.0500000000000007</v>
      </c>
      <c r="J35">
        <f t="shared" si="19"/>
        <v>25</v>
      </c>
      <c r="K35">
        <f t="shared" si="20"/>
        <v>225</v>
      </c>
      <c r="L35">
        <f t="shared" si="21"/>
        <v>45.25</v>
      </c>
      <c r="M35">
        <f t="shared" si="22"/>
        <v>2025</v>
      </c>
      <c r="N35">
        <f t="shared" si="23"/>
        <v>407.25000000000006</v>
      </c>
      <c r="O35">
        <f t="shared" si="24"/>
        <v>81.902500000000018</v>
      </c>
      <c r="Q35" s="11">
        <f t="shared" si="25"/>
        <v>50</v>
      </c>
      <c r="R35" s="12">
        <f t="shared" si="26"/>
        <v>0</v>
      </c>
    </row>
    <row r="36" spans="1:18" x14ac:dyDescent="0.25">
      <c r="A36">
        <v>0</v>
      </c>
      <c r="B36">
        <v>55</v>
      </c>
      <c r="C36">
        <f t="shared" si="27"/>
        <v>7.55</v>
      </c>
      <c r="E36">
        <v>50</v>
      </c>
      <c r="F36" s="2"/>
      <c r="G36">
        <f t="shared" si="18"/>
        <v>0</v>
      </c>
      <c r="H36" s="10">
        <f t="shared" si="18"/>
        <v>55</v>
      </c>
      <c r="I36">
        <f t="shared" si="18"/>
        <v>7.55</v>
      </c>
      <c r="J36">
        <f t="shared" si="19"/>
        <v>0</v>
      </c>
      <c r="K36">
        <f t="shared" si="20"/>
        <v>0</v>
      </c>
      <c r="L36">
        <f t="shared" si="21"/>
        <v>0</v>
      </c>
      <c r="M36">
        <f t="shared" si="22"/>
        <v>3025</v>
      </c>
      <c r="N36">
        <f t="shared" si="23"/>
        <v>415.25</v>
      </c>
      <c r="O36">
        <f t="shared" si="24"/>
        <v>57.002499999999998</v>
      </c>
      <c r="Q36" s="11">
        <f t="shared" si="25"/>
        <v>50</v>
      </c>
      <c r="R36" s="12">
        <f t="shared" si="26"/>
        <v>0</v>
      </c>
    </row>
    <row r="37" spans="1:18" x14ac:dyDescent="0.25">
      <c r="A37">
        <v>5</v>
      </c>
      <c r="B37">
        <v>55</v>
      </c>
      <c r="C37">
        <f t="shared" si="27"/>
        <v>8.65</v>
      </c>
      <c r="E37">
        <v>50</v>
      </c>
      <c r="F37" s="2"/>
      <c r="G37">
        <f t="shared" si="18"/>
        <v>5</v>
      </c>
      <c r="H37" s="10">
        <f t="shared" si="18"/>
        <v>55</v>
      </c>
      <c r="I37">
        <f t="shared" si="18"/>
        <v>8.65</v>
      </c>
      <c r="J37">
        <f t="shared" si="19"/>
        <v>25</v>
      </c>
      <c r="K37">
        <f t="shared" si="20"/>
        <v>275</v>
      </c>
      <c r="L37">
        <f t="shared" si="21"/>
        <v>43.25</v>
      </c>
      <c r="M37">
        <f t="shared" si="22"/>
        <v>3025</v>
      </c>
      <c r="N37">
        <f t="shared" si="23"/>
        <v>475.75</v>
      </c>
      <c r="O37">
        <f t="shared" si="24"/>
        <v>74.822500000000005</v>
      </c>
      <c r="Q37" s="11">
        <f t="shared" si="25"/>
        <v>50</v>
      </c>
      <c r="R3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6561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6561" r:id="rId4"/>
      </mc:Fallback>
    </mc:AlternateContent>
    <mc:AlternateContent xmlns:mc="http://schemas.openxmlformats.org/markup-compatibility/2006">
      <mc:Choice Requires="x14">
        <oleObject progId="Equation.3" shapeId="66562" r:id="rId6">
          <objectPr defaultSize="0" autoPict="0" r:id="rId5">
            <anchor moveWithCells="1" sizeWithCells="1">
              <from>
                <xdr:col>6</xdr:col>
                <xdr:colOff>171450</xdr:colOff>
                <xdr:row>15</xdr:row>
                <xdr:rowOff>38100</xdr:rowOff>
              </from>
              <to>
                <xdr:col>14</xdr:col>
                <xdr:colOff>1466850</xdr:colOff>
                <xdr:row>15</xdr:row>
                <xdr:rowOff>647700</xdr:rowOff>
              </to>
            </anchor>
          </objectPr>
        </oleObject>
      </mc:Choice>
      <mc:Fallback>
        <oleObject progId="Equation.3" shapeId="66562" r:id="rId6"/>
      </mc:Fallback>
    </mc:AlternateContent>
    <mc:AlternateContent xmlns:mc="http://schemas.openxmlformats.org/markup-compatibility/2006">
      <mc:Choice Requires="x14">
        <oleObject progId="Equation.3" shapeId="66563" r:id="rId7">
          <objectPr defaultSize="0" autoPict="0" r:id="rId5">
            <anchor moveWithCells="1" sizeWithCells="1">
              <from>
                <xdr:col>6</xdr:col>
                <xdr:colOff>171450</xdr:colOff>
                <xdr:row>28</xdr:row>
                <xdr:rowOff>38100</xdr:rowOff>
              </from>
              <to>
                <xdr:col>14</xdr:col>
                <xdr:colOff>1466850</xdr:colOff>
                <xdr:row>28</xdr:row>
                <xdr:rowOff>647700</xdr:rowOff>
              </to>
            </anchor>
          </objectPr>
        </oleObject>
      </mc:Choice>
      <mc:Fallback>
        <oleObject progId="Equation.3" shapeId="66563" r:id="rId7"/>
      </mc:Fallback>
    </mc:AlternateContent>
  </oleObjec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List25"/>
  <dimension ref="A1:T37"/>
  <sheetViews>
    <sheetView zoomScale="70" zoomScaleNormal="70" workbookViewId="0">
      <selection activeCell="C30" sqref="C30:C37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LINEST(E4:E11,G4:O11)</f>
        <v>0</v>
      </c>
      <c r="H2" s="4">
        <v>-1.2185714285714265E-3</v>
      </c>
      <c r="I2" s="4">
        <v>2.928571428571412E-4</v>
      </c>
      <c r="J2" s="4">
        <v>6.6314285714285598E-3</v>
      </c>
      <c r="K2" s="4">
        <v>-1.4857142857142719E-3</v>
      </c>
      <c r="L2" s="4">
        <v>2.5142857142857137E-3</v>
      </c>
      <c r="M2" s="4">
        <v>0</v>
      </c>
      <c r="N2" s="4">
        <v>0</v>
      </c>
      <c r="O2" s="4">
        <v>0</v>
      </c>
      <c r="P2" s="4">
        <v>11.739464285714284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25</v>
      </c>
      <c r="C4">
        <v>50</v>
      </c>
      <c r="E4">
        <v>10.4</v>
      </c>
      <c r="F4" s="2"/>
      <c r="G4">
        <f t="shared" ref="G4:I11" si="0">A4</f>
        <v>0</v>
      </c>
      <c r="H4" s="10">
        <f t="shared" si="0"/>
        <v>25</v>
      </c>
      <c r="I4">
        <f t="shared" si="0"/>
        <v>50</v>
      </c>
      <c r="J4">
        <f t="shared" ref="J4:J11" si="1">G4^2</f>
        <v>0</v>
      </c>
      <c r="K4">
        <f t="shared" ref="K4:K11" si="2">G4*H4</f>
        <v>0</v>
      </c>
      <c r="L4">
        <f t="shared" ref="L4:L11" si="3">G4*I4</f>
        <v>0</v>
      </c>
      <c r="M4">
        <f t="shared" ref="M4:M11" si="4">H4^2</f>
        <v>625</v>
      </c>
      <c r="N4">
        <f t="shared" ref="N4:N11" si="5">H4*I4</f>
        <v>1250</v>
      </c>
      <c r="O4">
        <f t="shared" ref="O4:O11" si="6">I4^2</f>
        <v>2500</v>
      </c>
      <c r="Q4" s="11">
        <f t="shared" ref="Q4:Q11" si="7">$P$2+$O$2*G4+$N$2*H4+$M$2*I4+$L$2*J4+$K$2*K4+$J$2*L4+$I$2*M4+$H$2*N4+$G$2*O4</f>
        <v>10.399285714285714</v>
      </c>
      <c r="R4" s="12">
        <f t="shared" ref="R4:R11" si="8">(Q4-E4)/E4</f>
        <v>-6.8681318681378218E-5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9.9700000000000006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9.9657142857142862</v>
      </c>
      <c r="R5" s="12">
        <f t="shared" si="8"/>
        <v>-4.2986101160626355E-4</v>
      </c>
      <c r="S5" s="11"/>
      <c r="T5" s="12"/>
    </row>
    <row r="6" spans="1:20" x14ac:dyDescent="0.25">
      <c r="A6">
        <v>5</v>
      </c>
      <c r="B6">
        <v>35</v>
      </c>
      <c r="C6">
        <v>50</v>
      </c>
      <c r="E6">
        <v>11.42</v>
      </c>
      <c r="F6" s="2"/>
      <c r="G6">
        <f t="shared" si="0"/>
        <v>5</v>
      </c>
      <c r="H6" s="10">
        <f t="shared" si="0"/>
        <v>35</v>
      </c>
      <c r="I6">
        <f t="shared" si="0"/>
        <v>50</v>
      </c>
      <c r="J6">
        <f t="shared" si="1"/>
        <v>25</v>
      </c>
      <c r="K6">
        <f t="shared" si="2"/>
        <v>175</v>
      </c>
      <c r="L6">
        <f t="shared" si="3"/>
        <v>250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11.42642857142857</v>
      </c>
      <c r="R6" s="12">
        <f t="shared" si="8"/>
        <v>5.6292219164359855E-4</v>
      </c>
      <c r="S6" s="11"/>
      <c r="T6" s="12"/>
    </row>
    <row r="7" spans="1:20" x14ac:dyDescent="0.25">
      <c r="A7">
        <v>-5</v>
      </c>
      <c r="B7">
        <v>45</v>
      </c>
      <c r="C7">
        <v>50</v>
      </c>
      <c r="E7">
        <v>8.33</v>
      </c>
      <c r="F7" s="2"/>
      <c r="G7">
        <f t="shared" si="0"/>
        <v>-5</v>
      </c>
      <c r="H7" s="10">
        <f t="shared" si="0"/>
        <v>45</v>
      </c>
      <c r="I7">
        <f t="shared" si="0"/>
        <v>50</v>
      </c>
      <c r="J7">
        <f t="shared" si="1"/>
        <v>25</v>
      </c>
      <c r="K7">
        <f t="shared" si="2"/>
        <v>-225</v>
      </c>
      <c r="L7">
        <f t="shared" si="3"/>
        <v>-250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8.3299999999999983</v>
      </c>
      <c r="R7" s="12">
        <f t="shared" si="8"/>
        <v>-2.1324811997602046E-16</v>
      </c>
      <c r="S7" s="11"/>
      <c r="T7" s="12"/>
    </row>
    <row r="8" spans="1:20" x14ac:dyDescent="0.25">
      <c r="A8">
        <v>0</v>
      </c>
      <c r="B8">
        <v>45</v>
      </c>
      <c r="C8">
        <v>50</v>
      </c>
      <c r="E8">
        <v>9.58</v>
      </c>
      <c r="F8" s="2"/>
      <c r="G8">
        <f t="shared" si="0"/>
        <v>0</v>
      </c>
      <c r="H8" s="10">
        <f t="shared" si="0"/>
        <v>45</v>
      </c>
      <c r="I8">
        <f t="shared" si="0"/>
        <v>50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9.5907142857142844</v>
      </c>
      <c r="R8" s="12">
        <f t="shared" si="8"/>
        <v>1.1184014315536893E-3</v>
      </c>
      <c r="S8" s="11"/>
      <c r="T8" s="12"/>
    </row>
    <row r="9" spans="1:20" x14ac:dyDescent="0.25">
      <c r="A9">
        <v>5</v>
      </c>
      <c r="B9">
        <v>45</v>
      </c>
      <c r="C9">
        <v>50</v>
      </c>
      <c r="E9">
        <v>10.99</v>
      </c>
      <c r="F9" s="2"/>
      <c r="G9">
        <f t="shared" si="0"/>
        <v>5</v>
      </c>
      <c r="H9" s="10">
        <f t="shared" si="0"/>
        <v>45</v>
      </c>
      <c r="I9">
        <f t="shared" si="0"/>
        <v>50</v>
      </c>
      <c r="J9">
        <f t="shared" si="1"/>
        <v>25</v>
      </c>
      <c r="K9">
        <f t="shared" si="2"/>
        <v>225</v>
      </c>
      <c r="L9">
        <f t="shared" si="3"/>
        <v>250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10.977142857142855</v>
      </c>
      <c r="R9" s="12">
        <f t="shared" si="8"/>
        <v>-1.1698947094763532E-3</v>
      </c>
      <c r="S9" s="11"/>
      <c r="T9" s="12"/>
    </row>
    <row r="10" spans="1:20" x14ac:dyDescent="0.25">
      <c r="A10">
        <v>0</v>
      </c>
      <c r="B10">
        <v>55</v>
      </c>
      <c r="C10">
        <v>50</v>
      </c>
      <c r="E10">
        <v>9.2799999999999994</v>
      </c>
      <c r="F10" s="2"/>
      <c r="G10">
        <f t="shared" si="0"/>
        <v>0</v>
      </c>
      <c r="H10" s="10">
        <f t="shared" si="0"/>
        <v>55</v>
      </c>
      <c r="I10">
        <f t="shared" si="0"/>
        <v>50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9.274285714285714</v>
      </c>
      <c r="R10" s="12">
        <f t="shared" si="8"/>
        <v>-6.1576354679798912E-4</v>
      </c>
      <c r="S10" s="11"/>
      <c r="T10" s="12"/>
    </row>
    <row r="11" spans="1:20" x14ac:dyDescent="0.25">
      <c r="A11">
        <v>5</v>
      </c>
      <c r="B11">
        <v>55</v>
      </c>
      <c r="C11">
        <v>50</v>
      </c>
      <c r="E11">
        <v>10.58</v>
      </c>
      <c r="F11" s="2"/>
      <c r="G11">
        <f t="shared" si="0"/>
        <v>5</v>
      </c>
      <c r="H11" s="10">
        <f t="shared" si="0"/>
        <v>55</v>
      </c>
      <c r="I11">
        <f t="shared" si="0"/>
        <v>50</v>
      </c>
      <c r="J11">
        <f t="shared" si="1"/>
        <v>25</v>
      </c>
      <c r="K11">
        <f t="shared" si="2"/>
        <v>275</v>
      </c>
      <c r="L11">
        <f t="shared" si="3"/>
        <v>250</v>
      </c>
      <c r="M11">
        <f t="shared" si="4"/>
        <v>3025</v>
      </c>
      <c r="N11">
        <f t="shared" si="5"/>
        <v>2750</v>
      </c>
      <c r="O11">
        <f t="shared" si="6"/>
        <v>2500</v>
      </c>
      <c r="Q11" s="11">
        <f t="shared" si="7"/>
        <v>10.586428571428572</v>
      </c>
      <c r="R11" s="12">
        <f t="shared" si="8"/>
        <v>6.0761544693494071E-4</v>
      </c>
      <c r="S11" s="11"/>
      <c r="T11" s="12"/>
    </row>
    <row r="14" spans="1:20" x14ac:dyDescent="0.25">
      <c r="A14" t="s">
        <v>27</v>
      </c>
      <c r="G14" s="4" t="s">
        <v>1</v>
      </c>
      <c r="H14" s="4" t="s">
        <v>2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</row>
    <row r="15" spans="1:20" x14ac:dyDescent="0.25">
      <c r="A15" s="1"/>
      <c r="C15" s="1"/>
      <c r="D15" s="1"/>
      <c r="E15" s="1"/>
      <c r="F15" s="1"/>
      <c r="G15" s="4">
        <f t="array" ref="G15:P15">LINEST(E17:E24,G17:O24)</f>
        <v>0</v>
      </c>
      <c r="H15" s="4">
        <v>-4.9999999999999481E-5</v>
      </c>
      <c r="I15" s="4">
        <v>5.4999999999999949E-4</v>
      </c>
      <c r="J15" s="4">
        <v>-4.6000000000000278E-4</v>
      </c>
      <c r="K15" s="4">
        <v>8.0000000000000329E-4</v>
      </c>
      <c r="L15" s="4">
        <v>-1.9999999999999765E-4</v>
      </c>
      <c r="M15" s="4">
        <v>0</v>
      </c>
      <c r="N15" s="4">
        <v>0</v>
      </c>
      <c r="O15" s="4">
        <v>0</v>
      </c>
      <c r="P15" s="4">
        <v>1.5887499999999992</v>
      </c>
    </row>
    <row r="16" spans="1:20" ht="45" x14ac:dyDescent="0.25">
      <c r="A16" s="5" t="s">
        <v>11</v>
      </c>
      <c r="B16" s="5" t="s">
        <v>12</v>
      </c>
      <c r="C16" s="5" t="s">
        <v>13</v>
      </c>
      <c r="D16" s="6"/>
      <c r="E16" s="7" t="s">
        <v>14</v>
      </c>
      <c r="F16" s="3"/>
      <c r="G16" s="8" t="s">
        <v>17</v>
      </c>
      <c r="H16" s="8" t="s">
        <v>18</v>
      </c>
      <c r="I16" s="8" t="s">
        <v>0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3"/>
      <c r="Q16" s="9" t="s">
        <v>14</v>
      </c>
      <c r="R16" s="9" t="s">
        <v>15</v>
      </c>
    </row>
    <row r="17" spans="1:18" x14ac:dyDescent="0.25">
      <c r="A17">
        <v>0</v>
      </c>
      <c r="B17">
        <v>25</v>
      </c>
      <c r="C17">
        <v>50</v>
      </c>
      <c r="E17">
        <v>1.87</v>
      </c>
      <c r="F17" s="2"/>
      <c r="G17">
        <f t="shared" ref="G17:I24" si="9">A17</f>
        <v>0</v>
      </c>
      <c r="H17" s="10">
        <f t="shared" si="9"/>
        <v>25</v>
      </c>
      <c r="I17">
        <f t="shared" si="9"/>
        <v>50</v>
      </c>
      <c r="J17">
        <f t="shared" ref="J17:J24" si="10">G17^2</f>
        <v>0</v>
      </c>
      <c r="K17">
        <f t="shared" ref="K17:K24" si="11">G17*H17</f>
        <v>0</v>
      </c>
      <c r="L17">
        <f t="shared" ref="L17:L24" si="12">G17*I17</f>
        <v>0</v>
      </c>
      <c r="M17">
        <f t="shared" ref="M17:M24" si="13">H17^2</f>
        <v>625</v>
      </c>
      <c r="N17">
        <f t="shared" ref="N17:N24" si="14">H17*I17</f>
        <v>1250</v>
      </c>
      <c r="O17">
        <f t="shared" ref="O17:O24" si="15">I17^2</f>
        <v>2500</v>
      </c>
      <c r="Q17" s="11">
        <f t="shared" ref="Q17:Q24" si="16">$P$15+$O$15*G17+$N$15*H17+$M$15*I17+$L$15*J17+$K$15*K17+$J$15*L17+$I$15*M17+$H$15*N17+$G$15*O17</f>
        <v>1.8699999999999994</v>
      </c>
      <c r="R17" s="12">
        <f t="shared" ref="R17:R24" si="17">(Q17-E17)/E17</f>
        <v>-3.5622129132357963E-16</v>
      </c>
    </row>
    <row r="18" spans="1:18" x14ac:dyDescent="0.25">
      <c r="A18">
        <v>0</v>
      </c>
      <c r="B18">
        <v>35</v>
      </c>
      <c r="C18">
        <v>50</v>
      </c>
      <c r="E18">
        <v>2.17</v>
      </c>
      <c r="F18" s="2"/>
      <c r="G18">
        <f t="shared" si="9"/>
        <v>0</v>
      </c>
      <c r="H18" s="10">
        <f t="shared" si="9"/>
        <v>35</v>
      </c>
      <c r="I18">
        <f t="shared" si="9"/>
        <v>50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1225</v>
      </c>
      <c r="N18">
        <f t="shared" si="14"/>
        <v>1750</v>
      </c>
      <c r="O18">
        <f t="shared" si="15"/>
        <v>2500</v>
      </c>
      <c r="Q18" s="11">
        <f t="shared" si="16"/>
        <v>2.1749999999999994</v>
      </c>
      <c r="R18" s="12">
        <f t="shared" si="17"/>
        <v>2.3041474654375343E-3</v>
      </c>
    </row>
    <row r="19" spans="1:18" x14ac:dyDescent="0.25">
      <c r="A19">
        <v>5</v>
      </c>
      <c r="B19">
        <v>35</v>
      </c>
      <c r="C19">
        <v>50</v>
      </c>
      <c r="E19">
        <v>2.2000000000000002</v>
      </c>
      <c r="F19" s="2"/>
      <c r="G19">
        <f t="shared" si="9"/>
        <v>5</v>
      </c>
      <c r="H19" s="10">
        <f t="shared" si="9"/>
        <v>35</v>
      </c>
      <c r="I19">
        <f t="shared" si="9"/>
        <v>50</v>
      </c>
      <c r="J19">
        <f t="shared" si="10"/>
        <v>25</v>
      </c>
      <c r="K19">
        <f t="shared" si="11"/>
        <v>175</v>
      </c>
      <c r="L19">
        <f t="shared" si="12"/>
        <v>250</v>
      </c>
      <c r="M19">
        <f t="shared" si="13"/>
        <v>1225</v>
      </c>
      <c r="N19">
        <f t="shared" si="14"/>
        <v>1750</v>
      </c>
      <c r="O19">
        <f t="shared" si="15"/>
        <v>2500</v>
      </c>
      <c r="Q19" s="11">
        <f t="shared" si="16"/>
        <v>2.1949999999999998</v>
      </c>
      <c r="R19" s="12">
        <f t="shared" si="17"/>
        <v>-2.2727272727274261E-3</v>
      </c>
    </row>
    <row r="20" spans="1:18" x14ac:dyDescent="0.25">
      <c r="A20">
        <v>-5</v>
      </c>
      <c r="B20">
        <v>45</v>
      </c>
      <c r="C20">
        <v>50</v>
      </c>
      <c r="E20">
        <v>2.52</v>
      </c>
      <c r="F20" s="2"/>
      <c r="G20">
        <f t="shared" si="9"/>
        <v>-5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-225</v>
      </c>
      <c r="L20">
        <f t="shared" si="12"/>
        <v>-250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2.5199999999999991</v>
      </c>
      <c r="R20" s="12">
        <f t="shared" si="17"/>
        <v>-3.5245175384925603E-16</v>
      </c>
    </row>
    <row r="21" spans="1:18" x14ac:dyDescent="0.25">
      <c r="A21">
        <v>0</v>
      </c>
      <c r="B21">
        <v>45</v>
      </c>
      <c r="C21">
        <v>50</v>
      </c>
      <c r="E21">
        <v>2.6</v>
      </c>
      <c r="F21" s="2"/>
      <c r="G21">
        <f t="shared" si="9"/>
        <v>0</v>
      </c>
      <c r="H21" s="10">
        <f t="shared" si="9"/>
        <v>45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2025</v>
      </c>
      <c r="N21">
        <f t="shared" si="14"/>
        <v>2250</v>
      </c>
      <c r="O21">
        <f t="shared" si="15"/>
        <v>2500</v>
      </c>
      <c r="Q21" s="11">
        <f t="shared" si="16"/>
        <v>2.589999999999999</v>
      </c>
      <c r="R21" s="12">
        <f t="shared" si="17"/>
        <v>-3.8461538461542766E-3</v>
      </c>
    </row>
    <row r="22" spans="1:18" x14ac:dyDescent="0.25">
      <c r="A22">
        <v>5</v>
      </c>
      <c r="B22">
        <v>45</v>
      </c>
      <c r="C22">
        <v>50</v>
      </c>
      <c r="E22">
        <v>2.64</v>
      </c>
      <c r="F22" s="2"/>
      <c r="G22">
        <f t="shared" si="9"/>
        <v>5</v>
      </c>
      <c r="H22" s="10">
        <f t="shared" si="9"/>
        <v>45</v>
      </c>
      <c r="I22">
        <f t="shared" si="9"/>
        <v>50</v>
      </c>
      <c r="J22">
        <f t="shared" si="10"/>
        <v>25</v>
      </c>
      <c r="K22">
        <f t="shared" si="11"/>
        <v>225</v>
      </c>
      <c r="L22">
        <f t="shared" si="12"/>
        <v>250</v>
      </c>
      <c r="M22">
        <f t="shared" si="13"/>
        <v>2025</v>
      </c>
      <c r="N22">
        <f t="shared" si="14"/>
        <v>2250</v>
      </c>
      <c r="O22">
        <f t="shared" si="15"/>
        <v>2500</v>
      </c>
      <c r="Q22" s="11">
        <f t="shared" si="16"/>
        <v>2.6499999999999995</v>
      </c>
      <c r="R22" s="12">
        <f t="shared" si="17"/>
        <v>3.7878787878785386E-3</v>
      </c>
    </row>
    <row r="23" spans="1:18" x14ac:dyDescent="0.25">
      <c r="A23">
        <v>0</v>
      </c>
      <c r="B23">
        <v>55</v>
      </c>
      <c r="C23">
        <v>50</v>
      </c>
      <c r="E23">
        <v>3.11</v>
      </c>
      <c r="F23" s="2"/>
      <c r="G23">
        <f t="shared" si="9"/>
        <v>0</v>
      </c>
      <c r="H23" s="10">
        <f t="shared" si="9"/>
        <v>55</v>
      </c>
      <c r="I23">
        <f t="shared" si="9"/>
        <v>50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3025</v>
      </c>
      <c r="N23">
        <f t="shared" si="14"/>
        <v>2750</v>
      </c>
      <c r="O23">
        <f t="shared" si="15"/>
        <v>2500</v>
      </c>
      <c r="Q23" s="11">
        <f t="shared" si="16"/>
        <v>3.1149999999999993</v>
      </c>
      <c r="R23" s="12">
        <f t="shared" si="17"/>
        <v>1.6077170418004661E-3</v>
      </c>
    </row>
    <row r="24" spans="1:18" x14ac:dyDescent="0.25">
      <c r="A24">
        <v>5</v>
      </c>
      <c r="B24">
        <v>55</v>
      </c>
      <c r="C24">
        <v>50</v>
      </c>
      <c r="E24">
        <v>3.22</v>
      </c>
      <c r="F24" s="2"/>
      <c r="G24">
        <f t="shared" si="9"/>
        <v>5</v>
      </c>
      <c r="H24" s="10">
        <f t="shared" si="9"/>
        <v>55</v>
      </c>
      <c r="I24">
        <f t="shared" si="9"/>
        <v>50</v>
      </c>
      <c r="J24">
        <f t="shared" si="10"/>
        <v>25</v>
      </c>
      <c r="K24">
        <f t="shared" si="11"/>
        <v>275</v>
      </c>
      <c r="L24">
        <f t="shared" si="12"/>
        <v>250</v>
      </c>
      <c r="M24">
        <f t="shared" si="13"/>
        <v>3025</v>
      </c>
      <c r="N24">
        <f t="shared" si="14"/>
        <v>2750</v>
      </c>
      <c r="O24">
        <f t="shared" si="15"/>
        <v>2500</v>
      </c>
      <c r="Q24" s="11">
        <f t="shared" si="16"/>
        <v>3.2149999999999999</v>
      </c>
      <c r="R24" s="12">
        <f t="shared" si="17"/>
        <v>-1.5527950310560052E-3</v>
      </c>
    </row>
    <row r="27" spans="1:18" x14ac:dyDescent="0.25">
      <c r="A27" t="s">
        <v>28</v>
      </c>
      <c r="G27" s="4" t="s">
        <v>1</v>
      </c>
      <c r="H27" s="4" t="s">
        <v>2</v>
      </c>
      <c r="I27" s="4" t="s">
        <v>3</v>
      </c>
      <c r="J27" s="4" t="s">
        <v>4</v>
      </c>
      <c r="K27" s="4" t="s">
        <v>5</v>
      </c>
      <c r="L27" s="4" t="s">
        <v>6</v>
      </c>
      <c r="M27" s="4" t="s">
        <v>7</v>
      </c>
      <c r="N27" s="4" t="s">
        <v>8</v>
      </c>
      <c r="O27" s="4" t="s">
        <v>9</v>
      </c>
      <c r="P27" s="4" t="s">
        <v>10</v>
      </c>
    </row>
    <row r="28" spans="1:18" x14ac:dyDescent="0.25">
      <c r="A28" s="1"/>
      <c r="C28" s="1"/>
      <c r="D28" s="1"/>
      <c r="E28" s="1"/>
      <c r="F28" s="1"/>
      <c r="G28" s="4">
        <f t="array" ref="G28:P28">LINEST(E30:E37,G30:O37)</f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50</v>
      </c>
    </row>
    <row r="29" spans="1:18" ht="45" x14ac:dyDescent="0.25">
      <c r="A29" s="5" t="s">
        <v>11</v>
      </c>
      <c r="B29" s="5" t="s">
        <v>12</v>
      </c>
      <c r="C29" s="5" t="s">
        <v>14</v>
      </c>
      <c r="E29" s="7" t="s">
        <v>13</v>
      </c>
      <c r="F29" s="3"/>
      <c r="G29" s="8" t="s">
        <v>17</v>
      </c>
      <c r="H29" s="8" t="s">
        <v>18</v>
      </c>
      <c r="I29" s="8" t="s">
        <v>0</v>
      </c>
      <c r="J29" s="8" t="s">
        <v>19</v>
      </c>
      <c r="K29" s="8" t="s">
        <v>20</v>
      </c>
      <c r="L29" s="8" t="s">
        <v>21</v>
      </c>
      <c r="M29" s="8" t="s">
        <v>22</v>
      </c>
      <c r="N29" s="8" t="s">
        <v>23</v>
      </c>
      <c r="O29" s="8" t="s">
        <v>24</v>
      </c>
      <c r="P29" s="3"/>
      <c r="Q29" s="9" t="s">
        <v>16</v>
      </c>
      <c r="R29" s="9" t="s">
        <v>15</v>
      </c>
    </row>
    <row r="30" spans="1:18" x14ac:dyDescent="0.25">
      <c r="A30">
        <v>0</v>
      </c>
      <c r="B30">
        <v>25</v>
      </c>
      <c r="C30">
        <f>E4</f>
        <v>10.4</v>
      </c>
      <c r="E30">
        <v>50</v>
      </c>
      <c r="F30" s="2"/>
      <c r="G30">
        <f t="shared" ref="G30:I37" si="18">A30</f>
        <v>0</v>
      </c>
      <c r="H30" s="10">
        <f t="shared" si="18"/>
        <v>25</v>
      </c>
      <c r="I30">
        <f t="shared" si="18"/>
        <v>10.4</v>
      </c>
      <c r="J30">
        <f t="shared" ref="J30:J37" si="19">G30^2</f>
        <v>0</v>
      </c>
      <c r="K30">
        <f t="shared" ref="K30:K37" si="20">G30*H30</f>
        <v>0</v>
      </c>
      <c r="L30">
        <f t="shared" ref="L30:L37" si="21">G30*I30</f>
        <v>0</v>
      </c>
      <c r="M30">
        <f t="shared" ref="M30:M37" si="22">H30^2</f>
        <v>625</v>
      </c>
      <c r="N30">
        <f t="shared" ref="N30:N37" si="23">H30*I30</f>
        <v>260</v>
      </c>
      <c r="O30">
        <f t="shared" ref="O30:O37" si="24">I30^2</f>
        <v>108.16000000000001</v>
      </c>
      <c r="Q30" s="11">
        <f t="shared" ref="Q30:Q37" si="25">$P$28+$O$28*G30+$N$28*H30+$M$28*I30+$L$28*J30+$K$28*K30+$J$28*L30+$I$28*M30+$H$28*N30+$G$28*O30</f>
        <v>50</v>
      </c>
      <c r="R30" s="12">
        <f t="shared" ref="R30:R37" si="26">(Q30-E30)/E30</f>
        <v>0</v>
      </c>
    </row>
    <row r="31" spans="1:18" x14ac:dyDescent="0.25">
      <c r="A31">
        <v>0</v>
      </c>
      <c r="B31">
        <v>35</v>
      </c>
      <c r="C31">
        <f t="shared" ref="C31:C37" si="27">E5</f>
        <v>9.9700000000000006</v>
      </c>
      <c r="E31">
        <v>50</v>
      </c>
      <c r="F31" s="2"/>
      <c r="G31">
        <f t="shared" si="18"/>
        <v>0</v>
      </c>
      <c r="H31" s="10">
        <f t="shared" si="18"/>
        <v>35</v>
      </c>
      <c r="I31">
        <f t="shared" si="18"/>
        <v>9.9700000000000006</v>
      </c>
      <c r="J31">
        <f t="shared" si="19"/>
        <v>0</v>
      </c>
      <c r="K31">
        <f t="shared" si="20"/>
        <v>0</v>
      </c>
      <c r="L31">
        <f t="shared" si="21"/>
        <v>0</v>
      </c>
      <c r="M31">
        <f t="shared" si="22"/>
        <v>1225</v>
      </c>
      <c r="N31">
        <f t="shared" si="23"/>
        <v>348.95000000000005</v>
      </c>
      <c r="O31">
        <f t="shared" si="24"/>
        <v>99.400900000000007</v>
      </c>
      <c r="Q31" s="11">
        <f t="shared" si="25"/>
        <v>50</v>
      </c>
      <c r="R31" s="12">
        <f t="shared" si="26"/>
        <v>0</v>
      </c>
    </row>
    <row r="32" spans="1:18" x14ac:dyDescent="0.25">
      <c r="A32">
        <v>5</v>
      </c>
      <c r="B32">
        <v>35</v>
      </c>
      <c r="C32">
        <f t="shared" si="27"/>
        <v>11.42</v>
      </c>
      <c r="E32">
        <v>50</v>
      </c>
      <c r="F32" s="2"/>
      <c r="G32">
        <f t="shared" si="18"/>
        <v>5</v>
      </c>
      <c r="H32" s="10">
        <f t="shared" si="18"/>
        <v>35</v>
      </c>
      <c r="I32">
        <f t="shared" si="18"/>
        <v>11.42</v>
      </c>
      <c r="J32">
        <f t="shared" si="19"/>
        <v>25</v>
      </c>
      <c r="K32">
        <f t="shared" si="20"/>
        <v>175</v>
      </c>
      <c r="L32">
        <f t="shared" si="21"/>
        <v>57.1</v>
      </c>
      <c r="M32">
        <f t="shared" si="22"/>
        <v>1225</v>
      </c>
      <c r="N32">
        <f t="shared" si="23"/>
        <v>399.7</v>
      </c>
      <c r="O32">
        <f t="shared" si="24"/>
        <v>130.41640000000001</v>
      </c>
      <c r="Q32" s="11">
        <f t="shared" si="25"/>
        <v>50</v>
      </c>
      <c r="R32" s="12">
        <f t="shared" si="26"/>
        <v>0</v>
      </c>
    </row>
    <row r="33" spans="1:18" x14ac:dyDescent="0.25">
      <c r="A33">
        <v>-5</v>
      </c>
      <c r="B33">
        <v>45</v>
      </c>
      <c r="C33">
        <f t="shared" si="27"/>
        <v>8.33</v>
      </c>
      <c r="E33">
        <v>50</v>
      </c>
      <c r="F33" s="2"/>
      <c r="G33">
        <f t="shared" si="18"/>
        <v>-5</v>
      </c>
      <c r="H33" s="10">
        <f t="shared" si="18"/>
        <v>45</v>
      </c>
      <c r="I33">
        <f t="shared" si="18"/>
        <v>8.33</v>
      </c>
      <c r="J33">
        <f t="shared" si="19"/>
        <v>25</v>
      </c>
      <c r="K33">
        <f t="shared" si="20"/>
        <v>-225</v>
      </c>
      <c r="L33">
        <f t="shared" si="21"/>
        <v>-41.65</v>
      </c>
      <c r="M33">
        <f t="shared" si="22"/>
        <v>2025</v>
      </c>
      <c r="N33">
        <f t="shared" si="23"/>
        <v>374.85</v>
      </c>
      <c r="O33">
        <f t="shared" si="24"/>
        <v>69.388900000000007</v>
      </c>
      <c r="Q33" s="11">
        <f t="shared" si="25"/>
        <v>50</v>
      </c>
      <c r="R33" s="12">
        <f t="shared" si="26"/>
        <v>0</v>
      </c>
    </row>
    <row r="34" spans="1:18" x14ac:dyDescent="0.25">
      <c r="A34">
        <v>0</v>
      </c>
      <c r="B34">
        <v>45</v>
      </c>
      <c r="C34">
        <f t="shared" si="27"/>
        <v>9.58</v>
      </c>
      <c r="E34">
        <v>50</v>
      </c>
      <c r="F34" s="2"/>
      <c r="G34">
        <f t="shared" si="18"/>
        <v>0</v>
      </c>
      <c r="H34" s="10">
        <f t="shared" si="18"/>
        <v>45</v>
      </c>
      <c r="I34">
        <f t="shared" si="18"/>
        <v>9.58</v>
      </c>
      <c r="J34">
        <f t="shared" si="19"/>
        <v>0</v>
      </c>
      <c r="K34">
        <f t="shared" si="20"/>
        <v>0</v>
      </c>
      <c r="L34">
        <f t="shared" si="21"/>
        <v>0</v>
      </c>
      <c r="M34">
        <f t="shared" si="22"/>
        <v>2025</v>
      </c>
      <c r="N34">
        <f t="shared" si="23"/>
        <v>431.1</v>
      </c>
      <c r="O34">
        <f t="shared" si="24"/>
        <v>91.776399999999995</v>
      </c>
      <c r="Q34" s="11">
        <f t="shared" si="25"/>
        <v>50</v>
      </c>
      <c r="R34" s="12">
        <f t="shared" si="26"/>
        <v>0</v>
      </c>
    </row>
    <row r="35" spans="1:18" x14ac:dyDescent="0.25">
      <c r="A35">
        <v>5</v>
      </c>
      <c r="B35">
        <v>45</v>
      </c>
      <c r="C35">
        <f t="shared" si="27"/>
        <v>10.99</v>
      </c>
      <c r="E35">
        <v>50</v>
      </c>
      <c r="F35" s="2"/>
      <c r="G35">
        <f t="shared" si="18"/>
        <v>5</v>
      </c>
      <c r="H35" s="10">
        <f t="shared" si="18"/>
        <v>45</v>
      </c>
      <c r="I35">
        <f t="shared" si="18"/>
        <v>10.99</v>
      </c>
      <c r="J35">
        <f t="shared" si="19"/>
        <v>25</v>
      </c>
      <c r="K35">
        <f t="shared" si="20"/>
        <v>225</v>
      </c>
      <c r="L35">
        <f t="shared" si="21"/>
        <v>54.95</v>
      </c>
      <c r="M35">
        <f t="shared" si="22"/>
        <v>2025</v>
      </c>
      <c r="N35">
        <f t="shared" si="23"/>
        <v>494.55</v>
      </c>
      <c r="O35">
        <f t="shared" si="24"/>
        <v>120.7801</v>
      </c>
      <c r="Q35" s="11">
        <f t="shared" si="25"/>
        <v>50</v>
      </c>
      <c r="R35" s="12">
        <f t="shared" si="26"/>
        <v>0</v>
      </c>
    </row>
    <row r="36" spans="1:18" x14ac:dyDescent="0.25">
      <c r="A36">
        <v>0</v>
      </c>
      <c r="B36">
        <v>55</v>
      </c>
      <c r="C36">
        <f t="shared" si="27"/>
        <v>9.2799999999999994</v>
      </c>
      <c r="E36">
        <v>50</v>
      </c>
      <c r="F36" s="2"/>
      <c r="G36">
        <f t="shared" si="18"/>
        <v>0</v>
      </c>
      <c r="H36" s="10">
        <f t="shared" si="18"/>
        <v>55</v>
      </c>
      <c r="I36">
        <f t="shared" si="18"/>
        <v>9.2799999999999994</v>
      </c>
      <c r="J36">
        <f t="shared" si="19"/>
        <v>0</v>
      </c>
      <c r="K36">
        <f t="shared" si="20"/>
        <v>0</v>
      </c>
      <c r="L36">
        <f t="shared" si="21"/>
        <v>0</v>
      </c>
      <c r="M36">
        <f t="shared" si="22"/>
        <v>3025</v>
      </c>
      <c r="N36">
        <f t="shared" si="23"/>
        <v>510.4</v>
      </c>
      <c r="O36">
        <f t="shared" si="24"/>
        <v>86.118399999999994</v>
      </c>
      <c r="Q36" s="11">
        <f t="shared" si="25"/>
        <v>50</v>
      </c>
      <c r="R36" s="12">
        <f t="shared" si="26"/>
        <v>0</v>
      </c>
    </row>
    <row r="37" spans="1:18" x14ac:dyDescent="0.25">
      <c r="A37">
        <v>5</v>
      </c>
      <c r="B37">
        <v>55</v>
      </c>
      <c r="C37">
        <f t="shared" si="27"/>
        <v>10.58</v>
      </c>
      <c r="E37">
        <v>50</v>
      </c>
      <c r="F37" s="2"/>
      <c r="G37">
        <f t="shared" si="18"/>
        <v>5</v>
      </c>
      <c r="H37" s="10">
        <f t="shared" si="18"/>
        <v>55</v>
      </c>
      <c r="I37">
        <f t="shared" si="18"/>
        <v>10.58</v>
      </c>
      <c r="J37">
        <f t="shared" si="19"/>
        <v>25</v>
      </c>
      <c r="K37">
        <f t="shared" si="20"/>
        <v>275</v>
      </c>
      <c r="L37">
        <f t="shared" si="21"/>
        <v>52.9</v>
      </c>
      <c r="M37">
        <f t="shared" si="22"/>
        <v>3025</v>
      </c>
      <c r="N37">
        <f t="shared" si="23"/>
        <v>581.9</v>
      </c>
      <c r="O37">
        <f t="shared" si="24"/>
        <v>111.93640000000001</v>
      </c>
      <c r="Q37" s="11">
        <f t="shared" si="25"/>
        <v>50</v>
      </c>
      <c r="R3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246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2465" r:id="rId4"/>
      </mc:Fallback>
    </mc:AlternateContent>
    <mc:AlternateContent xmlns:mc="http://schemas.openxmlformats.org/markup-compatibility/2006">
      <mc:Choice Requires="x14">
        <oleObject progId="Equation.3" shapeId="62466" r:id="rId6">
          <objectPr defaultSize="0" autoPict="0" r:id="rId5">
            <anchor moveWithCells="1" sizeWithCells="1">
              <from>
                <xdr:col>6</xdr:col>
                <xdr:colOff>171450</xdr:colOff>
                <xdr:row>15</xdr:row>
                <xdr:rowOff>38100</xdr:rowOff>
              </from>
              <to>
                <xdr:col>14</xdr:col>
                <xdr:colOff>1466850</xdr:colOff>
                <xdr:row>15</xdr:row>
                <xdr:rowOff>647700</xdr:rowOff>
              </to>
            </anchor>
          </objectPr>
        </oleObject>
      </mc:Choice>
      <mc:Fallback>
        <oleObject progId="Equation.3" shapeId="62466" r:id="rId6"/>
      </mc:Fallback>
    </mc:AlternateContent>
    <mc:AlternateContent xmlns:mc="http://schemas.openxmlformats.org/markup-compatibility/2006">
      <mc:Choice Requires="x14">
        <oleObject progId="Equation.3" shapeId="62467" r:id="rId7">
          <objectPr defaultSize="0" autoPict="0" r:id="rId5">
            <anchor moveWithCells="1" sizeWithCells="1">
              <from>
                <xdr:col>6</xdr:col>
                <xdr:colOff>171450</xdr:colOff>
                <xdr:row>28</xdr:row>
                <xdr:rowOff>38100</xdr:rowOff>
              </from>
              <to>
                <xdr:col>14</xdr:col>
                <xdr:colOff>1466850</xdr:colOff>
                <xdr:row>28</xdr:row>
                <xdr:rowOff>647700</xdr:rowOff>
              </to>
            </anchor>
          </objectPr>
        </oleObject>
      </mc:Choice>
      <mc:Fallback>
        <oleObject progId="Equation.3" shapeId="62467" r:id="rId7"/>
      </mc:Fallback>
    </mc:AlternateContent>
  </oleObjec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List26"/>
  <dimension ref="A1:T37"/>
  <sheetViews>
    <sheetView zoomScale="70" zoomScaleNormal="70" workbookViewId="0">
      <selection activeCell="E25" sqref="E25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LINEST(E4:E11,G4:O11)</f>
        <v>0</v>
      </c>
      <c r="H2" s="4">
        <v>-2.0885714285714357E-3</v>
      </c>
      <c r="I2" s="4">
        <v>7.428571428571471E-4</v>
      </c>
      <c r="J2" s="4">
        <v>8.0514285714285705E-3</v>
      </c>
      <c r="K2" s="4">
        <v>-2.0857142857142867E-3</v>
      </c>
      <c r="L2" s="4">
        <v>6.3142857142857159E-3</v>
      </c>
      <c r="M2" s="4">
        <v>0</v>
      </c>
      <c r="N2" s="4">
        <v>0</v>
      </c>
      <c r="O2" s="4">
        <v>0</v>
      </c>
      <c r="P2" s="4">
        <v>14.460714285714293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25</v>
      </c>
      <c r="C4">
        <v>50</v>
      </c>
      <c r="E4">
        <v>12.3</v>
      </c>
      <c r="F4" s="2"/>
      <c r="G4">
        <f t="shared" ref="G4:I11" si="0">A4</f>
        <v>0</v>
      </c>
      <c r="H4" s="10">
        <f t="shared" si="0"/>
        <v>25</v>
      </c>
      <c r="I4">
        <f t="shared" si="0"/>
        <v>50</v>
      </c>
      <c r="J4">
        <f t="shared" ref="J4:J11" si="1">G4^2</f>
        <v>0</v>
      </c>
      <c r="K4">
        <f t="shared" ref="K4:K11" si="2">G4*H4</f>
        <v>0</v>
      </c>
      <c r="L4">
        <f t="shared" ref="L4:L11" si="3">G4*I4</f>
        <v>0</v>
      </c>
      <c r="M4">
        <f t="shared" ref="M4:M11" si="4">H4^2</f>
        <v>625</v>
      </c>
      <c r="N4">
        <f t="shared" ref="N4:N11" si="5">H4*I4</f>
        <v>1250</v>
      </c>
      <c r="O4">
        <f t="shared" ref="O4:O11" si="6">I4^2</f>
        <v>2500</v>
      </c>
      <c r="Q4" s="11">
        <f t="shared" ref="Q4:Q11" si="7">$P$2+$O$2*G4+$N$2*H4+$M$2*I4+$L$2*J4+$K$2*K4+$J$2*L4+$I$2*M4+$H$2*N4+$G$2*O4</f>
        <v>12.314285714285715</v>
      </c>
      <c r="R4" s="12">
        <f t="shared" ref="R4:R11" si="8">(Q4-E4)/E4</f>
        <v>1.1614401858304256E-3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11.75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11.715714285714284</v>
      </c>
      <c r="R5" s="12">
        <f t="shared" si="8"/>
        <v>-2.9179331306991986E-3</v>
      </c>
      <c r="S5" s="11"/>
      <c r="T5" s="12"/>
    </row>
    <row r="6" spans="1:20" x14ac:dyDescent="0.25">
      <c r="A6">
        <v>5</v>
      </c>
      <c r="B6">
        <v>35</v>
      </c>
      <c r="C6">
        <v>50</v>
      </c>
      <c r="E6">
        <v>13.53</v>
      </c>
      <c r="F6" s="2"/>
      <c r="G6">
        <f t="shared" si="0"/>
        <v>5</v>
      </c>
      <c r="H6" s="10">
        <f t="shared" si="0"/>
        <v>35</v>
      </c>
      <c r="I6">
        <f t="shared" si="0"/>
        <v>50</v>
      </c>
      <c r="J6">
        <f t="shared" si="1"/>
        <v>25</v>
      </c>
      <c r="K6">
        <f t="shared" si="2"/>
        <v>175</v>
      </c>
      <c r="L6">
        <f t="shared" si="3"/>
        <v>250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13.521428571428569</v>
      </c>
      <c r="R6" s="12">
        <f t="shared" si="8"/>
        <v>-6.3351282863493522E-4</v>
      </c>
      <c r="S6" s="11"/>
      <c r="T6" s="12"/>
    </row>
    <row r="7" spans="1:20" x14ac:dyDescent="0.25">
      <c r="A7">
        <v>-5</v>
      </c>
      <c r="B7">
        <v>45</v>
      </c>
      <c r="C7">
        <v>50</v>
      </c>
      <c r="E7">
        <v>9.8800000000000008</v>
      </c>
      <c r="F7" s="2"/>
      <c r="G7">
        <f t="shared" si="0"/>
        <v>-5</v>
      </c>
      <c r="H7" s="10">
        <f t="shared" si="0"/>
        <v>45</v>
      </c>
      <c r="I7">
        <f t="shared" si="0"/>
        <v>50</v>
      </c>
      <c r="J7">
        <f t="shared" si="1"/>
        <v>25</v>
      </c>
      <c r="K7">
        <f t="shared" si="2"/>
        <v>-225</v>
      </c>
      <c r="L7">
        <f t="shared" si="3"/>
        <v>-250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9.879999999999999</v>
      </c>
      <c r="R7" s="12">
        <f t="shared" si="8"/>
        <v>-1.797932023684464E-16</v>
      </c>
      <c r="S7" s="11"/>
      <c r="T7" s="12"/>
    </row>
    <row r="8" spans="1:20" x14ac:dyDescent="0.25">
      <c r="A8">
        <v>0</v>
      </c>
      <c r="B8">
        <v>45</v>
      </c>
      <c r="C8">
        <v>50</v>
      </c>
      <c r="E8">
        <v>11.24</v>
      </c>
      <c r="F8" s="2"/>
      <c r="G8">
        <f t="shared" si="0"/>
        <v>0</v>
      </c>
      <c r="H8" s="10">
        <f t="shared" si="0"/>
        <v>45</v>
      </c>
      <c r="I8">
        <f t="shared" si="0"/>
        <v>50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11.265714285714285</v>
      </c>
      <c r="R8" s="12">
        <f t="shared" si="8"/>
        <v>2.2877478393491914E-3</v>
      </c>
      <c r="S8" s="11"/>
      <c r="T8" s="12"/>
    </row>
    <row r="9" spans="1:20" x14ac:dyDescent="0.25">
      <c r="A9">
        <v>5</v>
      </c>
      <c r="B9">
        <v>45</v>
      </c>
      <c r="C9">
        <v>50</v>
      </c>
      <c r="E9">
        <v>12.95</v>
      </c>
      <c r="F9" s="2"/>
      <c r="G9">
        <f t="shared" si="0"/>
        <v>5</v>
      </c>
      <c r="H9" s="10">
        <f t="shared" si="0"/>
        <v>45</v>
      </c>
      <c r="I9">
        <f t="shared" si="0"/>
        <v>50</v>
      </c>
      <c r="J9">
        <f t="shared" si="1"/>
        <v>25</v>
      </c>
      <c r="K9">
        <f t="shared" si="2"/>
        <v>225</v>
      </c>
      <c r="L9">
        <f t="shared" si="3"/>
        <v>250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12.967142857142855</v>
      </c>
      <c r="R9" s="12">
        <f t="shared" si="8"/>
        <v>1.3237727523440939E-3</v>
      </c>
      <c r="S9" s="11"/>
      <c r="T9" s="12"/>
    </row>
    <row r="10" spans="1:20" x14ac:dyDescent="0.25">
      <c r="A10">
        <v>0</v>
      </c>
      <c r="B10">
        <v>55</v>
      </c>
      <c r="C10">
        <v>50</v>
      </c>
      <c r="E10">
        <v>10.97</v>
      </c>
      <c r="F10" s="2"/>
      <c r="G10">
        <f t="shared" si="0"/>
        <v>0</v>
      </c>
      <c r="H10" s="10">
        <f t="shared" si="0"/>
        <v>55</v>
      </c>
      <c r="I10">
        <f t="shared" si="0"/>
        <v>50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10.964285714285714</v>
      </c>
      <c r="R10" s="12">
        <f t="shared" si="8"/>
        <v>-5.209011590052064E-4</v>
      </c>
      <c r="S10" s="11"/>
      <c r="T10" s="12"/>
    </row>
    <row r="11" spans="1:20" x14ac:dyDescent="0.25">
      <c r="A11">
        <v>5</v>
      </c>
      <c r="B11">
        <v>55</v>
      </c>
      <c r="C11">
        <v>50</v>
      </c>
      <c r="E11">
        <v>12.57</v>
      </c>
      <c r="F11" s="2"/>
      <c r="G11">
        <f t="shared" si="0"/>
        <v>5</v>
      </c>
      <c r="H11" s="10">
        <f t="shared" si="0"/>
        <v>55</v>
      </c>
      <c r="I11">
        <f t="shared" si="0"/>
        <v>50</v>
      </c>
      <c r="J11">
        <f t="shared" si="1"/>
        <v>25</v>
      </c>
      <c r="K11">
        <f t="shared" si="2"/>
        <v>275</v>
      </c>
      <c r="L11">
        <f t="shared" si="3"/>
        <v>250</v>
      </c>
      <c r="M11">
        <f t="shared" si="4"/>
        <v>3025</v>
      </c>
      <c r="N11">
        <f t="shared" si="5"/>
        <v>2750</v>
      </c>
      <c r="O11">
        <f t="shared" si="6"/>
        <v>2500</v>
      </c>
      <c r="Q11" s="11">
        <f t="shared" si="7"/>
        <v>12.56142857142857</v>
      </c>
      <c r="R11" s="12">
        <f t="shared" si="8"/>
        <v>-6.8189566996266289E-4</v>
      </c>
      <c r="S11" s="11"/>
      <c r="T11" s="12"/>
    </row>
    <row r="14" spans="1:20" x14ac:dyDescent="0.25">
      <c r="A14" t="s">
        <v>27</v>
      </c>
      <c r="G14" s="4" t="s">
        <v>1</v>
      </c>
      <c r="H14" s="4" t="s">
        <v>2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</row>
    <row r="15" spans="1:20" x14ac:dyDescent="0.25">
      <c r="A15" s="1"/>
      <c r="C15" s="1"/>
      <c r="D15" s="1"/>
      <c r="E15" s="1"/>
      <c r="F15" s="1"/>
      <c r="G15" s="4">
        <f t="array" ref="G15:P15">LINEST(E17:E24,G17:O24)</f>
        <v>0</v>
      </c>
      <c r="H15" s="4">
        <v>-2.1942857142857216E-4</v>
      </c>
      <c r="I15" s="4">
        <v>7.571428571428576E-4</v>
      </c>
      <c r="J15" s="4">
        <v>6.7657142857142905E-4</v>
      </c>
      <c r="K15" s="4">
        <v>-4.3428571428571518E-4</v>
      </c>
      <c r="L15" s="4">
        <v>-3.4285714285706281E-5</v>
      </c>
      <c r="M15" s="4">
        <v>0</v>
      </c>
      <c r="N15" s="4">
        <v>0</v>
      </c>
      <c r="O15" s="4">
        <v>0</v>
      </c>
      <c r="P15" s="4">
        <v>2.0227857142857153</v>
      </c>
    </row>
    <row r="16" spans="1:20" ht="45" x14ac:dyDescent="0.25">
      <c r="A16" s="5" t="s">
        <v>11</v>
      </c>
      <c r="B16" s="5" t="s">
        <v>12</v>
      </c>
      <c r="C16" s="5" t="s">
        <v>13</v>
      </c>
      <c r="D16" s="6"/>
      <c r="E16" s="7" t="s">
        <v>14</v>
      </c>
      <c r="F16" s="3"/>
      <c r="G16" s="8" t="s">
        <v>17</v>
      </c>
      <c r="H16" s="8" t="s">
        <v>18</v>
      </c>
      <c r="I16" s="8" t="s">
        <v>0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3"/>
      <c r="Q16" s="9" t="s">
        <v>14</v>
      </c>
      <c r="R16" s="9" t="s">
        <v>15</v>
      </c>
    </row>
    <row r="17" spans="1:18" x14ac:dyDescent="0.25">
      <c r="A17">
        <v>0</v>
      </c>
      <c r="B17">
        <v>25</v>
      </c>
      <c r="C17">
        <v>50</v>
      </c>
      <c r="E17">
        <v>2.23</v>
      </c>
      <c r="F17" s="2"/>
      <c r="G17">
        <f t="shared" ref="G17:I24" si="9">A17</f>
        <v>0</v>
      </c>
      <c r="H17" s="10">
        <f t="shared" si="9"/>
        <v>25</v>
      </c>
      <c r="I17">
        <f t="shared" si="9"/>
        <v>50</v>
      </c>
      <c r="J17">
        <f t="shared" ref="J17:J24" si="10">G17^2</f>
        <v>0</v>
      </c>
      <c r="K17">
        <f t="shared" ref="K17:K24" si="11">G17*H17</f>
        <v>0</v>
      </c>
      <c r="L17">
        <f t="shared" ref="L17:L24" si="12">G17*I17</f>
        <v>0</v>
      </c>
      <c r="M17">
        <f t="shared" ref="M17:M24" si="13">H17^2</f>
        <v>625</v>
      </c>
      <c r="N17">
        <f t="shared" ref="N17:N24" si="14">H17*I17</f>
        <v>1250</v>
      </c>
      <c r="O17">
        <f t="shared" ref="O17:O24" si="15">I17^2</f>
        <v>2500</v>
      </c>
      <c r="Q17" s="11">
        <f t="shared" ref="Q17:Q24" si="16">$P$15+$O$15*G17+$N$15*H17+$M$15*I17+$L$15*J17+$K$15*K17+$J$15*L17+$I$15*M17+$H$15*N17+$G$15*O17</f>
        <v>2.221714285714286</v>
      </c>
      <c r="R17" s="12">
        <f t="shared" ref="R17:R24" si="17">(Q17-E17)/E17</f>
        <v>-3.7155669442663713E-3</v>
      </c>
    </row>
    <row r="18" spans="1:18" x14ac:dyDescent="0.25">
      <c r="A18">
        <v>0</v>
      </c>
      <c r="B18">
        <v>35</v>
      </c>
      <c r="C18">
        <v>50</v>
      </c>
      <c r="E18">
        <v>2.5499999999999998</v>
      </c>
      <c r="F18" s="2"/>
      <c r="G18">
        <f t="shared" si="9"/>
        <v>0</v>
      </c>
      <c r="H18" s="10">
        <f t="shared" si="9"/>
        <v>35</v>
      </c>
      <c r="I18">
        <f t="shared" si="9"/>
        <v>50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1225</v>
      </c>
      <c r="N18">
        <f t="shared" si="14"/>
        <v>1750</v>
      </c>
      <c r="O18">
        <f t="shared" si="15"/>
        <v>2500</v>
      </c>
      <c r="Q18" s="11">
        <f t="shared" si="16"/>
        <v>2.5662857142857147</v>
      </c>
      <c r="R18" s="12">
        <f t="shared" si="17"/>
        <v>6.386554621848982E-3</v>
      </c>
    </row>
    <row r="19" spans="1:18" x14ac:dyDescent="0.25">
      <c r="A19">
        <v>5</v>
      </c>
      <c r="B19">
        <v>35</v>
      </c>
      <c r="C19">
        <v>50</v>
      </c>
      <c r="E19">
        <v>2.65</v>
      </c>
      <c r="F19" s="2"/>
      <c r="G19">
        <f t="shared" si="9"/>
        <v>5</v>
      </c>
      <c r="H19" s="10">
        <f t="shared" si="9"/>
        <v>35</v>
      </c>
      <c r="I19">
        <f t="shared" si="9"/>
        <v>50</v>
      </c>
      <c r="J19">
        <f t="shared" si="10"/>
        <v>25</v>
      </c>
      <c r="K19">
        <f t="shared" si="11"/>
        <v>175</v>
      </c>
      <c r="L19">
        <f t="shared" si="12"/>
        <v>250</v>
      </c>
      <c r="M19">
        <f t="shared" si="13"/>
        <v>1225</v>
      </c>
      <c r="N19">
        <f t="shared" si="14"/>
        <v>1750</v>
      </c>
      <c r="O19">
        <f t="shared" si="15"/>
        <v>2500</v>
      </c>
      <c r="Q19" s="11">
        <f t="shared" si="16"/>
        <v>2.6585714285714297</v>
      </c>
      <c r="R19" s="12">
        <f t="shared" si="17"/>
        <v>3.2345013477093529E-3</v>
      </c>
    </row>
    <row r="20" spans="1:18" x14ac:dyDescent="0.25">
      <c r="A20">
        <v>-5</v>
      </c>
      <c r="B20">
        <v>45</v>
      </c>
      <c r="C20">
        <v>50</v>
      </c>
      <c r="E20">
        <v>2.99</v>
      </c>
      <c r="F20" s="2"/>
      <c r="G20">
        <f t="shared" si="9"/>
        <v>-5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-225</v>
      </c>
      <c r="L20">
        <f t="shared" si="12"/>
        <v>-250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2.99</v>
      </c>
      <c r="R20" s="12">
        <f t="shared" si="17"/>
        <v>0</v>
      </c>
    </row>
    <row r="21" spans="1:18" x14ac:dyDescent="0.25">
      <c r="A21">
        <v>0</v>
      </c>
      <c r="B21">
        <v>45</v>
      </c>
      <c r="C21">
        <v>50</v>
      </c>
      <c r="E21">
        <v>3.07</v>
      </c>
      <c r="F21" s="2"/>
      <c r="G21">
        <f t="shared" si="9"/>
        <v>0</v>
      </c>
      <c r="H21" s="10">
        <f t="shared" si="9"/>
        <v>45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2025</v>
      </c>
      <c r="N21">
        <f t="shared" si="14"/>
        <v>2250</v>
      </c>
      <c r="O21">
        <f t="shared" si="15"/>
        <v>2500</v>
      </c>
      <c r="Q21" s="11">
        <f t="shared" si="16"/>
        <v>3.0622857142857143</v>
      </c>
      <c r="R21" s="12">
        <f t="shared" si="17"/>
        <v>-2.5127966496044179E-3</v>
      </c>
    </row>
    <row r="22" spans="1:18" x14ac:dyDescent="0.25">
      <c r="A22">
        <v>5</v>
      </c>
      <c r="B22">
        <v>45</v>
      </c>
      <c r="C22">
        <v>50</v>
      </c>
      <c r="E22">
        <v>3.15</v>
      </c>
      <c r="F22" s="2"/>
      <c r="G22">
        <f t="shared" si="9"/>
        <v>5</v>
      </c>
      <c r="H22" s="10">
        <f t="shared" si="9"/>
        <v>45</v>
      </c>
      <c r="I22">
        <f t="shared" si="9"/>
        <v>50</v>
      </c>
      <c r="J22">
        <f t="shared" si="10"/>
        <v>25</v>
      </c>
      <c r="K22">
        <f t="shared" si="11"/>
        <v>225</v>
      </c>
      <c r="L22">
        <f t="shared" si="12"/>
        <v>250</v>
      </c>
      <c r="M22">
        <f t="shared" si="13"/>
        <v>2025</v>
      </c>
      <c r="N22">
        <f t="shared" si="14"/>
        <v>2250</v>
      </c>
      <c r="O22">
        <f t="shared" si="15"/>
        <v>2500</v>
      </c>
      <c r="Q22" s="11">
        <f t="shared" si="16"/>
        <v>3.132857142857143</v>
      </c>
      <c r="R22" s="12">
        <f t="shared" si="17"/>
        <v>-5.4421768707482235E-3</v>
      </c>
    </row>
    <row r="23" spans="1:18" x14ac:dyDescent="0.25">
      <c r="A23">
        <v>0</v>
      </c>
      <c r="B23">
        <v>55</v>
      </c>
      <c r="C23">
        <v>50</v>
      </c>
      <c r="E23">
        <v>3.71</v>
      </c>
      <c r="F23" s="2"/>
      <c r="G23">
        <f t="shared" si="9"/>
        <v>0</v>
      </c>
      <c r="H23" s="10">
        <f t="shared" si="9"/>
        <v>55</v>
      </c>
      <c r="I23">
        <f t="shared" si="9"/>
        <v>50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3025</v>
      </c>
      <c r="N23">
        <f t="shared" si="14"/>
        <v>2750</v>
      </c>
      <c r="O23">
        <f t="shared" si="15"/>
        <v>2500</v>
      </c>
      <c r="Q23" s="11">
        <f t="shared" si="16"/>
        <v>3.7097142857142855</v>
      </c>
      <c r="R23" s="12">
        <f t="shared" si="17"/>
        <v>-7.7011936850254599E-5</v>
      </c>
    </row>
    <row r="24" spans="1:18" x14ac:dyDescent="0.25">
      <c r="A24">
        <v>5</v>
      </c>
      <c r="B24">
        <v>55</v>
      </c>
      <c r="C24">
        <v>50</v>
      </c>
      <c r="E24">
        <v>3.75</v>
      </c>
      <c r="F24" s="2"/>
      <c r="G24">
        <f t="shared" si="9"/>
        <v>5</v>
      </c>
      <c r="H24" s="10">
        <f t="shared" si="9"/>
        <v>55</v>
      </c>
      <c r="I24">
        <f t="shared" si="9"/>
        <v>50</v>
      </c>
      <c r="J24">
        <f t="shared" si="10"/>
        <v>25</v>
      </c>
      <c r="K24">
        <f t="shared" si="11"/>
        <v>275</v>
      </c>
      <c r="L24">
        <f t="shared" si="12"/>
        <v>250</v>
      </c>
      <c r="M24">
        <f t="shared" si="13"/>
        <v>3025</v>
      </c>
      <c r="N24">
        <f t="shared" si="14"/>
        <v>2750</v>
      </c>
      <c r="O24">
        <f t="shared" si="15"/>
        <v>2500</v>
      </c>
      <c r="Q24" s="11">
        <f t="shared" si="16"/>
        <v>3.7585714285714293</v>
      </c>
      <c r="R24" s="12">
        <f t="shared" si="17"/>
        <v>2.2857142857144906E-3</v>
      </c>
    </row>
    <row r="27" spans="1:18" x14ac:dyDescent="0.25">
      <c r="A27" t="s">
        <v>28</v>
      </c>
      <c r="G27" s="4" t="s">
        <v>1</v>
      </c>
      <c r="H27" s="4" t="s">
        <v>2</v>
      </c>
      <c r="I27" s="4" t="s">
        <v>3</v>
      </c>
      <c r="J27" s="4" t="s">
        <v>4</v>
      </c>
      <c r="K27" s="4" t="s">
        <v>5</v>
      </c>
      <c r="L27" s="4" t="s">
        <v>6</v>
      </c>
      <c r="M27" s="4" t="s">
        <v>7</v>
      </c>
      <c r="N27" s="4" t="s">
        <v>8</v>
      </c>
      <c r="O27" s="4" t="s">
        <v>9</v>
      </c>
      <c r="P27" s="4" t="s">
        <v>10</v>
      </c>
    </row>
    <row r="28" spans="1:18" x14ac:dyDescent="0.25">
      <c r="A28" s="1"/>
      <c r="C28" s="1"/>
      <c r="D28" s="1"/>
      <c r="E28" s="1"/>
      <c r="F28" s="1"/>
      <c r="G28" s="4">
        <f t="array" ref="G28:P28">LINEST(E30:E37,G30:O37)</f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50</v>
      </c>
    </row>
    <row r="29" spans="1:18" ht="45" x14ac:dyDescent="0.25">
      <c r="A29" s="5" t="s">
        <v>11</v>
      </c>
      <c r="B29" s="5" t="s">
        <v>12</v>
      </c>
      <c r="C29" s="5" t="s">
        <v>14</v>
      </c>
      <c r="E29" s="7" t="s">
        <v>13</v>
      </c>
      <c r="F29" s="3"/>
      <c r="G29" s="8" t="s">
        <v>17</v>
      </c>
      <c r="H29" s="8" t="s">
        <v>18</v>
      </c>
      <c r="I29" s="8" t="s">
        <v>0</v>
      </c>
      <c r="J29" s="8" t="s">
        <v>19</v>
      </c>
      <c r="K29" s="8" t="s">
        <v>20</v>
      </c>
      <c r="L29" s="8" t="s">
        <v>21</v>
      </c>
      <c r="M29" s="8" t="s">
        <v>22</v>
      </c>
      <c r="N29" s="8" t="s">
        <v>23</v>
      </c>
      <c r="O29" s="8" t="s">
        <v>24</v>
      </c>
      <c r="P29" s="3"/>
      <c r="Q29" s="9" t="s">
        <v>16</v>
      </c>
      <c r="R29" s="9" t="s">
        <v>15</v>
      </c>
    </row>
    <row r="30" spans="1:18" x14ac:dyDescent="0.25">
      <c r="A30">
        <v>0</v>
      </c>
      <c r="B30">
        <v>25</v>
      </c>
      <c r="C30">
        <f>E4</f>
        <v>12.3</v>
      </c>
      <c r="E30">
        <v>50</v>
      </c>
      <c r="F30" s="2"/>
      <c r="G30">
        <f t="shared" ref="G30:I37" si="18">A30</f>
        <v>0</v>
      </c>
      <c r="H30" s="10">
        <f t="shared" si="18"/>
        <v>25</v>
      </c>
      <c r="I30">
        <f t="shared" si="18"/>
        <v>12.3</v>
      </c>
      <c r="J30">
        <f t="shared" ref="J30:J37" si="19">G30^2</f>
        <v>0</v>
      </c>
      <c r="K30">
        <f t="shared" ref="K30:K37" si="20">G30*H30</f>
        <v>0</v>
      </c>
      <c r="L30">
        <f t="shared" ref="L30:L37" si="21">G30*I30</f>
        <v>0</v>
      </c>
      <c r="M30">
        <f t="shared" ref="M30:M37" si="22">H30^2</f>
        <v>625</v>
      </c>
      <c r="N30">
        <f t="shared" ref="N30:N37" si="23">H30*I30</f>
        <v>307.5</v>
      </c>
      <c r="O30">
        <f t="shared" ref="O30:O37" si="24">I30^2</f>
        <v>151.29000000000002</v>
      </c>
      <c r="Q30" s="11">
        <f t="shared" ref="Q30:Q37" si="25">$P$28+$O$28*G30+$N$28*H30+$M$28*I30+$L$28*J30+$K$28*K30+$J$28*L30+$I$28*M30+$H$28*N30+$G$28*O30</f>
        <v>50</v>
      </c>
      <c r="R30" s="12">
        <f t="shared" ref="R30:R37" si="26">(Q30-E30)/E30</f>
        <v>0</v>
      </c>
    </row>
    <row r="31" spans="1:18" x14ac:dyDescent="0.25">
      <c r="A31">
        <v>0</v>
      </c>
      <c r="B31">
        <v>35</v>
      </c>
      <c r="C31">
        <f t="shared" ref="C31:C37" si="27">E5</f>
        <v>11.75</v>
      </c>
      <c r="E31">
        <v>50</v>
      </c>
      <c r="F31" s="2"/>
      <c r="G31">
        <f t="shared" si="18"/>
        <v>0</v>
      </c>
      <c r="H31" s="10">
        <f t="shared" si="18"/>
        <v>35</v>
      </c>
      <c r="I31">
        <f t="shared" si="18"/>
        <v>11.75</v>
      </c>
      <c r="J31">
        <f t="shared" si="19"/>
        <v>0</v>
      </c>
      <c r="K31">
        <f t="shared" si="20"/>
        <v>0</v>
      </c>
      <c r="L31">
        <f t="shared" si="21"/>
        <v>0</v>
      </c>
      <c r="M31">
        <f t="shared" si="22"/>
        <v>1225</v>
      </c>
      <c r="N31">
        <f t="shared" si="23"/>
        <v>411.25</v>
      </c>
      <c r="O31">
        <f t="shared" si="24"/>
        <v>138.0625</v>
      </c>
      <c r="Q31" s="11">
        <f t="shared" si="25"/>
        <v>50</v>
      </c>
      <c r="R31" s="12">
        <f t="shared" si="26"/>
        <v>0</v>
      </c>
    </row>
    <row r="32" spans="1:18" x14ac:dyDescent="0.25">
      <c r="A32">
        <v>5</v>
      </c>
      <c r="B32">
        <v>35</v>
      </c>
      <c r="C32">
        <f t="shared" si="27"/>
        <v>13.53</v>
      </c>
      <c r="E32">
        <v>50</v>
      </c>
      <c r="F32" s="2"/>
      <c r="G32">
        <f t="shared" si="18"/>
        <v>5</v>
      </c>
      <c r="H32" s="10">
        <f t="shared" si="18"/>
        <v>35</v>
      </c>
      <c r="I32">
        <f t="shared" si="18"/>
        <v>13.53</v>
      </c>
      <c r="J32">
        <f t="shared" si="19"/>
        <v>25</v>
      </c>
      <c r="K32">
        <f t="shared" si="20"/>
        <v>175</v>
      </c>
      <c r="L32">
        <f t="shared" si="21"/>
        <v>67.649999999999991</v>
      </c>
      <c r="M32">
        <f t="shared" si="22"/>
        <v>1225</v>
      </c>
      <c r="N32">
        <f t="shared" si="23"/>
        <v>473.54999999999995</v>
      </c>
      <c r="O32">
        <f t="shared" si="24"/>
        <v>183.06089999999998</v>
      </c>
      <c r="Q32" s="11">
        <f t="shared" si="25"/>
        <v>50</v>
      </c>
      <c r="R32" s="12">
        <f t="shared" si="26"/>
        <v>0</v>
      </c>
    </row>
    <row r="33" spans="1:18" x14ac:dyDescent="0.25">
      <c r="A33">
        <v>-5</v>
      </c>
      <c r="B33">
        <v>45</v>
      </c>
      <c r="C33">
        <f t="shared" si="27"/>
        <v>9.8800000000000008</v>
      </c>
      <c r="E33">
        <v>50</v>
      </c>
      <c r="F33" s="2"/>
      <c r="G33">
        <f t="shared" si="18"/>
        <v>-5</v>
      </c>
      <c r="H33" s="10">
        <f t="shared" si="18"/>
        <v>45</v>
      </c>
      <c r="I33">
        <f t="shared" si="18"/>
        <v>9.8800000000000008</v>
      </c>
      <c r="J33">
        <f t="shared" si="19"/>
        <v>25</v>
      </c>
      <c r="K33">
        <f t="shared" si="20"/>
        <v>-225</v>
      </c>
      <c r="L33">
        <f t="shared" si="21"/>
        <v>-49.400000000000006</v>
      </c>
      <c r="M33">
        <f t="shared" si="22"/>
        <v>2025</v>
      </c>
      <c r="N33">
        <f t="shared" si="23"/>
        <v>444.6</v>
      </c>
      <c r="O33">
        <f t="shared" si="24"/>
        <v>97.614400000000018</v>
      </c>
      <c r="Q33" s="11">
        <f t="shared" si="25"/>
        <v>50</v>
      </c>
      <c r="R33" s="12">
        <f t="shared" si="26"/>
        <v>0</v>
      </c>
    </row>
    <row r="34" spans="1:18" x14ac:dyDescent="0.25">
      <c r="A34">
        <v>0</v>
      </c>
      <c r="B34">
        <v>45</v>
      </c>
      <c r="C34">
        <f t="shared" si="27"/>
        <v>11.24</v>
      </c>
      <c r="E34">
        <v>50</v>
      </c>
      <c r="F34" s="2"/>
      <c r="G34">
        <f t="shared" si="18"/>
        <v>0</v>
      </c>
      <c r="H34" s="10">
        <f t="shared" si="18"/>
        <v>45</v>
      </c>
      <c r="I34">
        <f t="shared" si="18"/>
        <v>11.24</v>
      </c>
      <c r="J34">
        <f t="shared" si="19"/>
        <v>0</v>
      </c>
      <c r="K34">
        <f t="shared" si="20"/>
        <v>0</v>
      </c>
      <c r="L34">
        <f t="shared" si="21"/>
        <v>0</v>
      </c>
      <c r="M34">
        <f t="shared" si="22"/>
        <v>2025</v>
      </c>
      <c r="N34">
        <f t="shared" si="23"/>
        <v>505.8</v>
      </c>
      <c r="O34">
        <f t="shared" si="24"/>
        <v>126.33760000000001</v>
      </c>
      <c r="Q34" s="11">
        <f t="shared" si="25"/>
        <v>50</v>
      </c>
      <c r="R34" s="12">
        <f t="shared" si="26"/>
        <v>0</v>
      </c>
    </row>
    <row r="35" spans="1:18" x14ac:dyDescent="0.25">
      <c r="A35">
        <v>5</v>
      </c>
      <c r="B35">
        <v>45</v>
      </c>
      <c r="C35">
        <f t="shared" si="27"/>
        <v>12.95</v>
      </c>
      <c r="E35">
        <v>50</v>
      </c>
      <c r="F35" s="2"/>
      <c r="G35">
        <f t="shared" si="18"/>
        <v>5</v>
      </c>
      <c r="H35" s="10">
        <f t="shared" si="18"/>
        <v>45</v>
      </c>
      <c r="I35">
        <f t="shared" si="18"/>
        <v>12.95</v>
      </c>
      <c r="J35">
        <f t="shared" si="19"/>
        <v>25</v>
      </c>
      <c r="K35">
        <f t="shared" si="20"/>
        <v>225</v>
      </c>
      <c r="L35">
        <f t="shared" si="21"/>
        <v>64.75</v>
      </c>
      <c r="M35">
        <f t="shared" si="22"/>
        <v>2025</v>
      </c>
      <c r="N35">
        <f t="shared" si="23"/>
        <v>582.75</v>
      </c>
      <c r="O35">
        <f t="shared" si="24"/>
        <v>167.70249999999999</v>
      </c>
      <c r="Q35" s="11">
        <f t="shared" si="25"/>
        <v>50</v>
      </c>
      <c r="R35" s="12">
        <f t="shared" si="26"/>
        <v>0</v>
      </c>
    </row>
    <row r="36" spans="1:18" x14ac:dyDescent="0.25">
      <c r="A36">
        <v>0</v>
      </c>
      <c r="B36">
        <v>55</v>
      </c>
      <c r="C36">
        <f t="shared" si="27"/>
        <v>10.97</v>
      </c>
      <c r="E36">
        <v>50</v>
      </c>
      <c r="F36" s="2"/>
      <c r="G36">
        <f t="shared" si="18"/>
        <v>0</v>
      </c>
      <c r="H36" s="10">
        <f t="shared" si="18"/>
        <v>55</v>
      </c>
      <c r="I36">
        <f t="shared" si="18"/>
        <v>10.97</v>
      </c>
      <c r="J36">
        <f t="shared" si="19"/>
        <v>0</v>
      </c>
      <c r="K36">
        <f t="shared" si="20"/>
        <v>0</v>
      </c>
      <c r="L36">
        <f t="shared" si="21"/>
        <v>0</v>
      </c>
      <c r="M36">
        <f t="shared" si="22"/>
        <v>3025</v>
      </c>
      <c r="N36">
        <f t="shared" si="23"/>
        <v>603.35</v>
      </c>
      <c r="O36">
        <f t="shared" si="24"/>
        <v>120.34090000000002</v>
      </c>
      <c r="Q36" s="11">
        <f t="shared" si="25"/>
        <v>50</v>
      </c>
      <c r="R36" s="12">
        <f t="shared" si="26"/>
        <v>0</v>
      </c>
    </row>
    <row r="37" spans="1:18" x14ac:dyDescent="0.25">
      <c r="A37">
        <v>5</v>
      </c>
      <c r="B37">
        <v>55</v>
      </c>
      <c r="C37">
        <f t="shared" si="27"/>
        <v>12.57</v>
      </c>
      <c r="E37">
        <v>50</v>
      </c>
      <c r="F37" s="2"/>
      <c r="G37">
        <f t="shared" si="18"/>
        <v>5</v>
      </c>
      <c r="H37" s="10">
        <f t="shared" si="18"/>
        <v>55</v>
      </c>
      <c r="I37">
        <f t="shared" si="18"/>
        <v>12.57</v>
      </c>
      <c r="J37">
        <f t="shared" si="19"/>
        <v>25</v>
      </c>
      <c r="K37">
        <f t="shared" si="20"/>
        <v>275</v>
      </c>
      <c r="L37">
        <f t="shared" si="21"/>
        <v>62.85</v>
      </c>
      <c r="M37">
        <f t="shared" si="22"/>
        <v>3025</v>
      </c>
      <c r="N37">
        <f t="shared" si="23"/>
        <v>691.35</v>
      </c>
      <c r="O37">
        <f t="shared" si="24"/>
        <v>158.00490000000002</v>
      </c>
      <c r="Q37" s="11">
        <f t="shared" si="25"/>
        <v>50</v>
      </c>
      <c r="R3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7585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7585" r:id="rId4"/>
      </mc:Fallback>
    </mc:AlternateContent>
    <mc:AlternateContent xmlns:mc="http://schemas.openxmlformats.org/markup-compatibility/2006">
      <mc:Choice Requires="x14">
        <oleObject progId="Equation.3" shapeId="67586" r:id="rId6">
          <objectPr defaultSize="0" autoPict="0" r:id="rId5">
            <anchor moveWithCells="1" sizeWithCells="1">
              <from>
                <xdr:col>6</xdr:col>
                <xdr:colOff>171450</xdr:colOff>
                <xdr:row>15</xdr:row>
                <xdr:rowOff>38100</xdr:rowOff>
              </from>
              <to>
                <xdr:col>14</xdr:col>
                <xdr:colOff>1466850</xdr:colOff>
                <xdr:row>15</xdr:row>
                <xdr:rowOff>647700</xdr:rowOff>
              </to>
            </anchor>
          </objectPr>
        </oleObject>
      </mc:Choice>
      <mc:Fallback>
        <oleObject progId="Equation.3" shapeId="67586" r:id="rId6"/>
      </mc:Fallback>
    </mc:AlternateContent>
    <mc:AlternateContent xmlns:mc="http://schemas.openxmlformats.org/markup-compatibility/2006">
      <mc:Choice Requires="x14">
        <oleObject progId="Equation.3" shapeId="67587" r:id="rId7">
          <objectPr defaultSize="0" autoPict="0" r:id="rId5">
            <anchor moveWithCells="1" sizeWithCells="1">
              <from>
                <xdr:col>6</xdr:col>
                <xdr:colOff>171450</xdr:colOff>
                <xdr:row>28</xdr:row>
                <xdr:rowOff>38100</xdr:rowOff>
              </from>
              <to>
                <xdr:col>14</xdr:col>
                <xdr:colOff>1466850</xdr:colOff>
                <xdr:row>28</xdr:row>
                <xdr:rowOff>647700</xdr:rowOff>
              </to>
            </anchor>
          </objectPr>
        </oleObject>
      </mc:Choice>
      <mc:Fallback>
        <oleObject progId="Equation.3" shapeId="67587" r:id="rId7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List27"/>
  <dimension ref="A1:T37"/>
  <sheetViews>
    <sheetView zoomScale="70" zoomScaleNormal="70" workbookViewId="0">
      <selection activeCell="E25" sqref="E25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LINEST(E4:E11,G4:O11)</f>
        <v>0</v>
      </c>
      <c r="H2" s="4">
        <v>6.5114285714285372E-4</v>
      </c>
      <c r="I2" s="4">
        <v>-9.3571428571428343E-4</v>
      </c>
      <c r="J2" s="4">
        <v>9.2731428571428826E-3</v>
      </c>
      <c r="K2" s="4">
        <v>-1.6685714285714541E-3</v>
      </c>
      <c r="L2" s="4">
        <v>1.7314285714285778E-3</v>
      </c>
      <c r="M2" s="4">
        <v>0</v>
      </c>
      <c r="N2" s="4">
        <v>0</v>
      </c>
      <c r="O2" s="4">
        <v>0</v>
      </c>
      <c r="P2" s="4">
        <v>14.419321428571431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25</v>
      </c>
      <c r="C4">
        <v>50</v>
      </c>
      <c r="E4">
        <v>14.63</v>
      </c>
      <c r="F4" s="2"/>
      <c r="G4">
        <f t="shared" ref="G4:I11" si="0">A4</f>
        <v>0</v>
      </c>
      <c r="H4" s="10">
        <f t="shared" si="0"/>
        <v>25</v>
      </c>
      <c r="I4">
        <f t="shared" si="0"/>
        <v>50</v>
      </c>
      <c r="J4">
        <f t="shared" ref="J4:J11" si="1">G4^2</f>
        <v>0</v>
      </c>
      <c r="K4">
        <f t="shared" ref="K4:K11" si="2">G4*H4</f>
        <v>0</v>
      </c>
      <c r="L4">
        <f t="shared" ref="L4:L11" si="3">G4*I4</f>
        <v>0</v>
      </c>
      <c r="M4">
        <f t="shared" ref="M4:M11" si="4">H4^2</f>
        <v>625</v>
      </c>
      <c r="N4">
        <f t="shared" ref="N4:N11" si="5">H4*I4</f>
        <v>1250</v>
      </c>
      <c r="O4">
        <f t="shared" ref="O4:O11" si="6">I4^2</f>
        <v>2500</v>
      </c>
      <c r="Q4" s="11">
        <f t="shared" ref="Q4:Q11" si="7">$P$2+$O$2*G4+$N$2*H4+$M$2*I4+$L$2*J4+$K$2*K4+$J$2*L4+$I$2*M4+$H$2*N4+$G$2*O4</f>
        <v>14.648428571428571</v>
      </c>
      <c r="R4" s="12">
        <f t="shared" ref="R4:R11" si="8">(Q4-E4)/E4</f>
        <v>1.2596426130259979E-3</v>
      </c>
      <c r="S4" s="11"/>
      <c r="T4" s="12"/>
    </row>
    <row r="5" spans="1:20" x14ac:dyDescent="0.25">
      <c r="A5">
        <v>0</v>
      </c>
      <c r="B5">
        <v>35</v>
      </c>
      <c r="C5">
        <v>50</v>
      </c>
      <c r="E5">
        <v>14.47</v>
      </c>
      <c r="F5" s="2"/>
      <c r="G5">
        <f t="shared" si="0"/>
        <v>0</v>
      </c>
      <c r="H5" s="10">
        <f t="shared" si="0"/>
        <v>35</v>
      </c>
      <c r="I5">
        <f t="shared" si="0"/>
        <v>50</v>
      </c>
      <c r="J5">
        <f t="shared" si="1"/>
        <v>0</v>
      </c>
      <c r="K5">
        <f t="shared" si="2"/>
        <v>0</v>
      </c>
      <c r="L5">
        <f t="shared" si="3"/>
        <v>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14.412571428571429</v>
      </c>
      <c r="R5" s="12">
        <f t="shared" si="8"/>
        <v>-3.9688024484154684E-3</v>
      </c>
      <c r="S5" s="11"/>
      <c r="T5" s="12"/>
    </row>
    <row r="6" spans="1:20" x14ac:dyDescent="0.25">
      <c r="A6">
        <v>5</v>
      </c>
      <c r="B6">
        <v>35</v>
      </c>
      <c r="C6">
        <v>50</v>
      </c>
      <c r="E6">
        <v>16.48</v>
      </c>
      <c r="F6" s="2"/>
      <c r="G6">
        <f t="shared" si="0"/>
        <v>5</v>
      </c>
      <c r="H6" s="10">
        <f t="shared" si="0"/>
        <v>35</v>
      </c>
      <c r="I6">
        <f t="shared" si="0"/>
        <v>50</v>
      </c>
      <c r="J6">
        <f t="shared" si="1"/>
        <v>25</v>
      </c>
      <c r="K6">
        <f t="shared" si="2"/>
        <v>175</v>
      </c>
      <c r="L6">
        <f t="shared" si="3"/>
        <v>250</v>
      </c>
      <c r="M6">
        <f t="shared" si="4"/>
        <v>1225</v>
      </c>
      <c r="N6">
        <f t="shared" si="5"/>
        <v>1750</v>
      </c>
      <c r="O6">
        <f t="shared" si="6"/>
        <v>2500</v>
      </c>
      <c r="Q6" s="11">
        <f t="shared" si="7"/>
        <v>16.482142857142858</v>
      </c>
      <c r="R6" s="12">
        <f t="shared" si="8"/>
        <v>1.3002773925104515E-4</v>
      </c>
      <c r="S6" s="11"/>
      <c r="T6" s="12"/>
    </row>
    <row r="7" spans="1:20" x14ac:dyDescent="0.25">
      <c r="A7">
        <v>-5</v>
      </c>
      <c r="B7">
        <v>45</v>
      </c>
      <c r="C7">
        <v>50</v>
      </c>
      <c r="E7">
        <v>12.09</v>
      </c>
      <c r="F7" s="2"/>
      <c r="G7">
        <f t="shared" si="0"/>
        <v>-5</v>
      </c>
      <c r="H7" s="10">
        <f t="shared" si="0"/>
        <v>45</v>
      </c>
      <c r="I7">
        <f t="shared" si="0"/>
        <v>50</v>
      </c>
      <c r="J7">
        <f t="shared" si="1"/>
        <v>25</v>
      </c>
      <c r="K7">
        <f t="shared" si="2"/>
        <v>-225</v>
      </c>
      <c r="L7">
        <f t="shared" si="3"/>
        <v>-250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12.089999999999998</v>
      </c>
      <c r="R7" s="12">
        <f t="shared" si="8"/>
        <v>-1.4692777827959062E-16</v>
      </c>
      <c r="S7" s="11"/>
      <c r="T7" s="12"/>
    </row>
    <row r="8" spans="1:20" x14ac:dyDescent="0.25">
      <c r="A8">
        <v>0</v>
      </c>
      <c r="B8">
        <v>45</v>
      </c>
      <c r="C8">
        <v>50</v>
      </c>
      <c r="E8">
        <v>13.93</v>
      </c>
      <c r="F8" s="2"/>
      <c r="G8">
        <f t="shared" si="0"/>
        <v>0</v>
      </c>
      <c r="H8" s="10">
        <f t="shared" si="0"/>
        <v>45</v>
      </c>
      <c r="I8">
        <f t="shared" si="0"/>
        <v>50</v>
      </c>
      <c r="J8">
        <f t="shared" si="1"/>
        <v>0</v>
      </c>
      <c r="K8">
        <f t="shared" si="2"/>
        <v>0</v>
      </c>
      <c r="L8">
        <f t="shared" si="3"/>
        <v>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13.989571428571427</v>
      </c>
      <c r="R8" s="12">
        <f t="shared" si="8"/>
        <v>4.2764844631318936E-3</v>
      </c>
      <c r="S8" s="11"/>
      <c r="T8" s="12"/>
    </row>
    <row r="9" spans="1:20" x14ac:dyDescent="0.25">
      <c r="A9">
        <v>5</v>
      </c>
      <c r="B9">
        <v>45</v>
      </c>
      <c r="C9">
        <v>50</v>
      </c>
      <c r="E9">
        <v>15.98</v>
      </c>
      <c r="F9" s="2"/>
      <c r="G9">
        <f t="shared" si="0"/>
        <v>5</v>
      </c>
      <c r="H9" s="10">
        <f t="shared" si="0"/>
        <v>45</v>
      </c>
      <c r="I9">
        <f t="shared" si="0"/>
        <v>50</v>
      </c>
      <c r="J9">
        <f t="shared" si="1"/>
        <v>25</v>
      </c>
      <c r="K9">
        <f t="shared" si="2"/>
        <v>225</v>
      </c>
      <c r="L9">
        <f t="shared" si="3"/>
        <v>250</v>
      </c>
      <c r="M9">
        <f t="shared" si="4"/>
        <v>2025</v>
      </c>
      <c r="N9">
        <f t="shared" si="5"/>
        <v>2250</v>
      </c>
      <c r="O9">
        <f t="shared" si="6"/>
        <v>2500</v>
      </c>
      <c r="Q9" s="11">
        <f t="shared" si="7"/>
        <v>15.975714285714284</v>
      </c>
      <c r="R9" s="12">
        <f t="shared" si="8"/>
        <v>-2.6819238333643459E-4</v>
      </c>
      <c r="S9" s="11"/>
      <c r="T9" s="12"/>
    </row>
    <row r="10" spans="1:20" x14ac:dyDescent="0.25">
      <c r="A10">
        <v>0</v>
      </c>
      <c r="B10">
        <v>55</v>
      </c>
      <c r="C10">
        <v>50</v>
      </c>
      <c r="E10">
        <v>13.4</v>
      </c>
      <c r="F10" s="2"/>
      <c r="G10">
        <f t="shared" si="0"/>
        <v>0</v>
      </c>
      <c r="H10" s="10">
        <f t="shared" si="0"/>
        <v>55</v>
      </c>
      <c r="I10">
        <f t="shared" si="0"/>
        <v>50</v>
      </c>
      <c r="J10">
        <f t="shared" si="1"/>
        <v>0</v>
      </c>
      <c r="K10">
        <f t="shared" si="2"/>
        <v>0</v>
      </c>
      <c r="L10">
        <f t="shared" si="3"/>
        <v>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13.379428571428571</v>
      </c>
      <c r="R10" s="12">
        <f t="shared" si="8"/>
        <v>-1.5351812366738321E-3</v>
      </c>
      <c r="S10" s="11"/>
      <c r="T10" s="12"/>
    </row>
    <row r="11" spans="1:20" x14ac:dyDescent="0.25">
      <c r="A11">
        <v>5</v>
      </c>
      <c r="B11">
        <v>55</v>
      </c>
      <c r="C11">
        <v>50</v>
      </c>
      <c r="E11">
        <v>15.28</v>
      </c>
      <c r="F11" s="2"/>
      <c r="G11">
        <f t="shared" si="0"/>
        <v>5</v>
      </c>
      <c r="H11" s="10">
        <f t="shared" si="0"/>
        <v>55</v>
      </c>
      <c r="I11">
        <f t="shared" si="0"/>
        <v>50</v>
      </c>
      <c r="J11">
        <f t="shared" si="1"/>
        <v>25</v>
      </c>
      <c r="K11">
        <f t="shared" si="2"/>
        <v>275</v>
      </c>
      <c r="L11">
        <f t="shared" si="3"/>
        <v>250</v>
      </c>
      <c r="M11">
        <f t="shared" si="4"/>
        <v>3025</v>
      </c>
      <c r="N11">
        <f t="shared" si="5"/>
        <v>2750</v>
      </c>
      <c r="O11">
        <f t="shared" si="6"/>
        <v>2500</v>
      </c>
      <c r="Q11" s="11">
        <f t="shared" si="7"/>
        <v>15.282142857142855</v>
      </c>
      <c r="R11" s="12">
        <f t="shared" si="8"/>
        <v>1.4023934180991149E-4</v>
      </c>
      <c r="S11" s="11"/>
      <c r="T11" s="12"/>
    </row>
    <row r="14" spans="1:20" x14ac:dyDescent="0.25">
      <c r="A14" t="s">
        <v>27</v>
      </c>
      <c r="G14" s="4" t="s">
        <v>1</v>
      </c>
      <c r="H14" s="4" t="s">
        <v>2</v>
      </c>
      <c r="I14" s="4" t="s">
        <v>3</v>
      </c>
      <c r="J14" s="4" t="s">
        <v>4</v>
      </c>
      <c r="K14" s="4" t="s">
        <v>5</v>
      </c>
      <c r="L14" s="4" t="s">
        <v>6</v>
      </c>
      <c r="M14" s="4" t="s">
        <v>7</v>
      </c>
      <c r="N14" s="4" t="s">
        <v>8</v>
      </c>
      <c r="O14" s="4" t="s">
        <v>9</v>
      </c>
      <c r="P14" s="4" t="s">
        <v>10</v>
      </c>
    </row>
    <row r="15" spans="1:20" x14ac:dyDescent="0.25">
      <c r="A15" s="1"/>
      <c r="C15" s="1"/>
      <c r="D15" s="1"/>
      <c r="E15" s="1"/>
      <c r="F15" s="1"/>
      <c r="G15" s="4">
        <f t="array" ref="G15:P15">LINEST(E17:E24,G17:O24)</f>
        <v>0</v>
      </c>
      <c r="H15" s="4">
        <v>1.2285714285715794E-5</v>
      </c>
      <c r="I15" s="4">
        <v>7.2857142857142738E-4</v>
      </c>
      <c r="J15" s="4">
        <v>-8.5371428571429119E-4</v>
      </c>
      <c r="K15" s="4">
        <v>1.2628571428571489E-3</v>
      </c>
      <c r="L15" s="4">
        <v>-3.3714285714286701E-4</v>
      </c>
      <c r="M15" s="4">
        <v>0</v>
      </c>
      <c r="N15" s="4">
        <v>0</v>
      </c>
      <c r="O15" s="4">
        <v>0</v>
      </c>
      <c r="P15" s="4">
        <v>2.3061428571428557</v>
      </c>
    </row>
    <row r="16" spans="1:20" ht="45" x14ac:dyDescent="0.25">
      <c r="A16" s="5" t="s">
        <v>11</v>
      </c>
      <c r="B16" s="5" t="s">
        <v>12</v>
      </c>
      <c r="C16" s="5" t="s">
        <v>13</v>
      </c>
      <c r="D16" s="6"/>
      <c r="E16" s="7" t="s">
        <v>14</v>
      </c>
      <c r="F16" s="3"/>
      <c r="G16" s="8" t="s">
        <v>17</v>
      </c>
      <c r="H16" s="8" t="s">
        <v>18</v>
      </c>
      <c r="I16" s="8" t="s">
        <v>0</v>
      </c>
      <c r="J16" s="8" t="s">
        <v>19</v>
      </c>
      <c r="K16" s="8" t="s">
        <v>20</v>
      </c>
      <c r="L16" s="8" t="s">
        <v>21</v>
      </c>
      <c r="M16" s="8" t="s">
        <v>22</v>
      </c>
      <c r="N16" s="8" t="s">
        <v>23</v>
      </c>
      <c r="O16" s="8" t="s">
        <v>24</v>
      </c>
      <c r="P16" s="3"/>
      <c r="Q16" s="9" t="s">
        <v>14</v>
      </c>
      <c r="R16" s="9" t="s">
        <v>15</v>
      </c>
    </row>
    <row r="17" spans="1:18" x14ac:dyDescent="0.25">
      <c r="A17">
        <v>0</v>
      </c>
      <c r="B17">
        <v>25</v>
      </c>
      <c r="C17">
        <v>50</v>
      </c>
      <c r="E17">
        <v>2.79</v>
      </c>
      <c r="F17" s="2"/>
      <c r="G17">
        <f t="shared" ref="G17:I24" si="9">A17</f>
        <v>0</v>
      </c>
      <c r="H17" s="10">
        <f t="shared" si="9"/>
        <v>25</v>
      </c>
      <c r="I17">
        <f t="shared" si="9"/>
        <v>50</v>
      </c>
      <c r="J17">
        <f t="shared" ref="J17:J24" si="10">G17^2</f>
        <v>0</v>
      </c>
      <c r="K17">
        <f t="shared" ref="K17:K24" si="11">G17*H17</f>
        <v>0</v>
      </c>
      <c r="L17">
        <f t="shared" ref="L17:L24" si="12">G17*I17</f>
        <v>0</v>
      </c>
      <c r="M17">
        <f t="shared" ref="M17:M24" si="13">H17^2</f>
        <v>625</v>
      </c>
      <c r="N17">
        <f t="shared" ref="N17:N24" si="14">H17*I17</f>
        <v>1250</v>
      </c>
      <c r="O17">
        <f t="shared" ref="O17:O24" si="15">I17^2</f>
        <v>2500</v>
      </c>
      <c r="Q17" s="11">
        <f t="shared" ref="Q17:Q24" si="16">$P$15+$O$15*G17+$N$15*H17+$M$15*I17+$L$15*J17+$K$15*K17+$J$15*L17+$I$15*M17+$H$15*N17+$G$15*O17</f>
        <v>2.7768571428571427</v>
      </c>
      <c r="R17" s="12">
        <f t="shared" ref="R17:R24" si="17">(Q17-E17)/E17</f>
        <v>-4.7107014848951053E-3</v>
      </c>
    </row>
    <row r="18" spans="1:18" x14ac:dyDescent="0.25">
      <c r="A18">
        <v>0</v>
      </c>
      <c r="B18">
        <v>35</v>
      </c>
      <c r="C18">
        <v>50</v>
      </c>
      <c r="E18">
        <v>3.19</v>
      </c>
      <c r="F18" s="2"/>
      <c r="G18">
        <f t="shared" si="9"/>
        <v>0</v>
      </c>
      <c r="H18" s="10">
        <f t="shared" si="9"/>
        <v>35</v>
      </c>
      <c r="I18">
        <f t="shared" si="9"/>
        <v>50</v>
      </c>
      <c r="J18">
        <f t="shared" si="10"/>
        <v>0</v>
      </c>
      <c r="K18">
        <f t="shared" si="11"/>
        <v>0</v>
      </c>
      <c r="L18">
        <f t="shared" si="12"/>
        <v>0</v>
      </c>
      <c r="M18">
        <f t="shared" si="13"/>
        <v>1225</v>
      </c>
      <c r="N18">
        <f t="shared" si="14"/>
        <v>1750</v>
      </c>
      <c r="O18">
        <f t="shared" si="15"/>
        <v>2500</v>
      </c>
      <c r="Q18" s="11">
        <f t="shared" si="16"/>
        <v>3.2201428571428568</v>
      </c>
      <c r="R18" s="12">
        <f t="shared" si="17"/>
        <v>9.4491715181369302E-3</v>
      </c>
    </row>
    <row r="19" spans="1:18" x14ac:dyDescent="0.25">
      <c r="A19">
        <v>5</v>
      </c>
      <c r="B19">
        <v>35</v>
      </c>
      <c r="C19">
        <v>50</v>
      </c>
      <c r="E19">
        <v>3.21</v>
      </c>
      <c r="F19" s="2"/>
      <c r="G19">
        <f t="shared" si="9"/>
        <v>5</v>
      </c>
      <c r="H19" s="10">
        <f t="shared" si="9"/>
        <v>35</v>
      </c>
      <c r="I19">
        <f t="shared" si="9"/>
        <v>50</v>
      </c>
      <c r="J19">
        <f t="shared" si="10"/>
        <v>25</v>
      </c>
      <c r="K19">
        <f t="shared" si="11"/>
        <v>175</v>
      </c>
      <c r="L19">
        <f t="shared" si="12"/>
        <v>250</v>
      </c>
      <c r="M19">
        <f t="shared" si="13"/>
        <v>1225</v>
      </c>
      <c r="N19">
        <f t="shared" si="14"/>
        <v>1750</v>
      </c>
      <c r="O19">
        <f t="shared" si="15"/>
        <v>2500</v>
      </c>
      <c r="Q19" s="11">
        <f t="shared" si="16"/>
        <v>3.219285714285713</v>
      </c>
      <c r="R19" s="12">
        <f t="shared" si="17"/>
        <v>2.8927458833996915E-3</v>
      </c>
    </row>
    <row r="20" spans="1:18" x14ac:dyDescent="0.25">
      <c r="A20">
        <v>-5</v>
      </c>
      <c r="B20">
        <v>45</v>
      </c>
      <c r="C20">
        <v>50</v>
      </c>
      <c r="E20">
        <v>3.73</v>
      </c>
      <c r="F20" s="2"/>
      <c r="G20">
        <f t="shared" si="9"/>
        <v>-5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-225</v>
      </c>
      <c r="L20">
        <f t="shared" si="12"/>
        <v>-250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3.7299999999999991</v>
      </c>
      <c r="R20" s="12">
        <f t="shared" si="17"/>
        <v>-2.3811753879359927E-16</v>
      </c>
    </row>
    <row r="21" spans="1:18" x14ac:dyDescent="0.25">
      <c r="A21">
        <v>0</v>
      </c>
      <c r="B21">
        <v>45</v>
      </c>
      <c r="C21">
        <v>50</v>
      </c>
      <c r="E21">
        <v>3.83</v>
      </c>
      <c r="F21" s="2"/>
      <c r="G21">
        <f t="shared" si="9"/>
        <v>0</v>
      </c>
      <c r="H21" s="10">
        <f t="shared" si="9"/>
        <v>45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2025</v>
      </c>
      <c r="N21">
        <f t="shared" si="14"/>
        <v>2250</v>
      </c>
      <c r="O21">
        <f t="shared" si="15"/>
        <v>2500</v>
      </c>
      <c r="Q21" s="11">
        <f t="shared" si="16"/>
        <v>3.8091428571428563</v>
      </c>
      <c r="R21" s="12">
        <f t="shared" si="17"/>
        <v>-5.4457292055205735E-3</v>
      </c>
    </row>
    <row r="22" spans="1:18" x14ac:dyDescent="0.25">
      <c r="A22">
        <v>5</v>
      </c>
      <c r="B22">
        <v>45</v>
      </c>
      <c r="C22">
        <v>50</v>
      </c>
      <c r="E22">
        <v>3.89</v>
      </c>
      <c r="F22" s="2"/>
      <c r="G22">
        <f t="shared" si="9"/>
        <v>5</v>
      </c>
      <c r="H22" s="10">
        <f t="shared" si="9"/>
        <v>45</v>
      </c>
      <c r="I22">
        <f t="shared" si="9"/>
        <v>50</v>
      </c>
      <c r="J22">
        <f t="shared" si="10"/>
        <v>25</v>
      </c>
      <c r="K22">
        <f t="shared" si="11"/>
        <v>225</v>
      </c>
      <c r="L22">
        <f t="shared" si="12"/>
        <v>250</v>
      </c>
      <c r="M22">
        <f t="shared" si="13"/>
        <v>2025</v>
      </c>
      <c r="N22">
        <f t="shared" si="14"/>
        <v>2250</v>
      </c>
      <c r="O22">
        <f t="shared" si="15"/>
        <v>2500</v>
      </c>
      <c r="Q22" s="11">
        <f t="shared" si="16"/>
        <v>3.8714285714285706</v>
      </c>
      <c r="R22" s="12">
        <f t="shared" si="17"/>
        <v>-4.7741461623212267E-3</v>
      </c>
    </row>
    <row r="23" spans="1:18" x14ac:dyDescent="0.25">
      <c r="A23">
        <v>0</v>
      </c>
      <c r="B23">
        <v>55</v>
      </c>
      <c r="C23">
        <v>50</v>
      </c>
      <c r="E23">
        <v>4.54</v>
      </c>
      <c r="F23" s="2"/>
      <c r="G23">
        <f t="shared" si="9"/>
        <v>0</v>
      </c>
      <c r="H23" s="10">
        <f t="shared" si="9"/>
        <v>55</v>
      </c>
      <c r="I23">
        <f t="shared" si="9"/>
        <v>50</v>
      </c>
      <c r="J23">
        <f t="shared" si="10"/>
        <v>0</v>
      </c>
      <c r="K23">
        <f t="shared" si="11"/>
        <v>0</v>
      </c>
      <c r="L23">
        <f t="shared" si="12"/>
        <v>0</v>
      </c>
      <c r="M23">
        <f t="shared" si="13"/>
        <v>3025</v>
      </c>
      <c r="N23">
        <f t="shared" si="14"/>
        <v>2750</v>
      </c>
      <c r="O23">
        <f t="shared" si="15"/>
        <v>2500</v>
      </c>
      <c r="Q23" s="11">
        <f t="shared" si="16"/>
        <v>4.5438571428571422</v>
      </c>
      <c r="R23" s="12">
        <f t="shared" si="17"/>
        <v>8.4959093769650118E-4</v>
      </c>
    </row>
    <row r="24" spans="1:18" x14ac:dyDescent="0.25">
      <c r="A24">
        <v>5</v>
      </c>
      <c r="B24">
        <v>55</v>
      </c>
      <c r="C24">
        <v>50</v>
      </c>
      <c r="E24">
        <v>4.66</v>
      </c>
      <c r="F24" s="2"/>
      <c r="G24">
        <f t="shared" si="9"/>
        <v>5</v>
      </c>
      <c r="H24" s="10">
        <f t="shared" si="9"/>
        <v>55</v>
      </c>
      <c r="I24">
        <f t="shared" si="9"/>
        <v>50</v>
      </c>
      <c r="J24">
        <f t="shared" si="10"/>
        <v>25</v>
      </c>
      <c r="K24">
        <f t="shared" si="11"/>
        <v>275</v>
      </c>
      <c r="L24">
        <f t="shared" si="12"/>
        <v>250</v>
      </c>
      <c r="M24">
        <f t="shared" si="13"/>
        <v>3025</v>
      </c>
      <c r="N24">
        <f t="shared" si="14"/>
        <v>2750</v>
      </c>
      <c r="O24">
        <f t="shared" si="15"/>
        <v>2500</v>
      </c>
      <c r="Q24" s="11">
        <f t="shared" si="16"/>
        <v>4.6692857142857136</v>
      </c>
      <c r="R24" s="12">
        <f t="shared" si="17"/>
        <v>1.9926425505822861E-3</v>
      </c>
    </row>
    <row r="27" spans="1:18" x14ac:dyDescent="0.25">
      <c r="A27" t="s">
        <v>28</v>
      </c>
      <c r="G27" s="4" t="s">
        <v>1</v>
      </c>
      <c r="H27" s="4" t="s">
        <v>2</v>
      </c>
      <c r="I27" s="4" t="s">
        <v>3</v>
      </c>
      <c r="J27" s="4" t="s">
        <v>4</v>
      </c>
      <c r="K27" s="4" t="s">
        <v>5</v>
      </c>
      <c r="L27" s="4" t="s">
        <v>6</v>
      </c>
      <c r="M27" s="4" t="s">
        <v>7</v>
      </c>
      <c r="N27" s="4" t="s">
        <v>8</v>
      </c>
      <c r="O27" s="4" t="s">
        <v>9</v>
      </c>
      <c r="P27" s="4" t="s">
        <v>10</v>
      </c>
    </row>
    <row r="28" spans="1:18" x14ac:dyDescent="0.25">
      <c r="A28" s="1"/>
      <c r="C28" s="1"/>
      <c r="D28" s="1"/>
      <c r="E28" s="1"/>
      <c r="F28" s="1"/>
      <c r="G28" s="4">
        <f t="array" ref="G28:P28">LINEST(E30:E37,G30:O37)</f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50</v>
      </c>
    </row>
    <row r="29" spans="1:18" ht="45" x14ac:dyDescent="0.25">
      <c r="A29" s="5" t="s">
        <v>11</v>
      </c>
      <c r="B29" s="5" t="s">
        <v>12</v>
      </c>
      <c r="C29" s="5" t="s">
        <v>14</v>
      </c>
      <c r="E29" s="7" t="s">
        <v>13</v>
      </c>
      <c r="F29" s="3"/>
      <c r="G29" s="8" t="s">
        <v>17</v>
      </c>
      <c r="H29" s="8" t="s">
        <v>18</v>
      </c>
      <c r="I29" s="8" t="s">
        <v>0</v>
      </c>
      <c r="J29" s="8" t="s">
        <v>19</v>
      </c>
      <c r="K29" s="8" t="s">
        <v>20</v>
      </c>
      <c r="L29" s="8" t="s">
        <v>21</v>
      </c>
      <c r="M29" s="8" t="s">
        <v>22</v>
      </c>
      <c r="N29" s="8" t="s">
        <v>23</v>
      </c>
      <c r="O29" s="8" t="s">
        <v>24</v>
      </c>
      <c r="P29" s="3"/>
      <c r="Q29" s="9" t="s">
        <v>16</v>
      </c>
      <c r="R29" s="9" t="s">
        <v>15</v>
      </c>
    </row>
    <row r="30" spans="1:18" x14ac:dyDescent="0.25">
      <c r="A30">
        <v>0</v>
      </c>
      <c r="B30">
        <v>25</v>
      </c>
      <c r="C30">
        <f>E4</f>
        <v>14.63</v>
      </c>
      <c r="E30">
        <v>50</v>
      </c>
      <c r="F30" s="2"/>
      <c r="G30">
        <f t="shared" ref="G30:I37" si="18">A30</f>
        <v>0</v>
      </c>
      <c r="H30" s="10">
        <f t="shared" si="18"/>
        <v>25</v>
      </c>
      <c r="I30">
        <f t="shared" si="18"/>
        <v>14.63</v>
      </c>
      <c r="J30">
        <f t="shared" ref="J30:J37" si="19">G30^2</f>
        <v>0</v>
      </c>
      <c r="K30">
        <f t="shared" ref="K30:K37" si="20">G30*H30</f>
        <v>0</v>
      </c>
      <c r="L30">
        <f t="shared" ref="L30:L37" si="21">G30*I30</f>
        <v>0</v>
      </c>
      <c r="M30">
        <f t="shared" ref="M30:M37" si="22">H30^2</f>
        <v>625</v>
      </c>
      <c r="N30">
        <f t="shared" ref="N30:N37" si="23">H30*I30</f>
        <v>365.75</v>
      </c>
      <c r="O30">
        <f t="shared" ref="O30:O37" si="24">I30^2</f>
        <v>214.03690000000003</v>
      </c>
      <c r="Q30" s="11">
        <f t="shared" ref="Q30:Q37" si="25">$P$28+$O$28*G30+$N$28*H30+$M$28*I30+$L$28*J30+$K$28*K30+$J$28*L30+$I$28*M30+$H$28*N30+$G$28*O30</f>
        <v>50</v>
      </c>
      <c r="R30" s="12">
        <f t="shared" ref="R30:R37" si="26">(Q30-E30)/E30</f>
        <v>0</v>
      </c>
    </row>
    <row r="31" spans="1:18" x14ac:dyDescent="0.25">
      <c r="A31">
        <v>0</v>
      </c>
      <c r="B31">
        <v>35</v>
      </c>
      <c r="C31">
        <f t="shared" ref="C31:C37" si="27">E5</f>
        <v>14.47</v>
      </c>
      <c r="E31">
        <v>50</v>
      </c>
      <c r="F31" s="2"/>
      <c r="G31">
        <f t="shared" si="18"/>
        <v>0</v>
      </c>
      <c r="H31" s="10">
        <f t="shared" si="18"/>
        <v>35</v>
      </c>
      <c r="I31">
        <f t="shared" si="18"/>
        <v>14.47</v>
      </c>
      <c r="J31">
        <f t="shared" si="19"/>
        <v>0</v>
      </c>
      <c r="K31">
        <f t="shared" si="20"/>
        <v>0</v>
      </c>
      <c r="L31">
        <f t="shared" si="21"/>
        <v>0</v>
      </c>
      <c r="M31">
        <f t="shared" si="22"/>
        <v>1225</v>
      </c>
      <c r="N31">
        <f t="shared" si="23"/>
        <v>506.45000000000005</v>
      </c>
      <c r="O31">
        <f t="shared" si="24"/>
        <v>209.38090000000003</v>
      </c>
      <c r="Q31" s="11">
        <f t="shared" si="25"/>
        <v>50</v>
      </c>
      <c r="R31" s="12">
        <f t="shared" si="26"/>
        <v>0</v>
      </c>
    </row>
    <row r="32" spans="1:18" x14ac:dyDescent="0.25">
      <c r="A32">
        <v>5</v>
      </c>
      <c r="B32">
        <v>35</v>
      </c>
      <c r="C32">
        <f t="shared" si="27"/>
        <v>16.48</v>
      </c>
      <c r="E32">
        <v>50</v>
      </c>
      <c r="F32" s="2"/>
      <c r="G32">
        <f t="shared" si="18"/>
        <v>5</v>
      </c>
      <c r="H32" s="10">
        <f t="shared" si="18"/>
        <v>35</v>
      </c>
      <c r="I32">
        <f t="shared" si="18"/>
        <v>16.48</v>
      </c>
      <c r="J32">
        <f t="shared" si="19"/>
        <v>25</v>
      </c>
      <c r="K32">
        <f t="shared" si="20"/>
        <v>175</v>
      </c>
      <c r="L32">
        <f t="shared" si="21"/>
        <v>82.4</v>
      </c>
      <c r="M32">
        <f t="shared" si="22"/>
        <v>1225</v>
      </c>
      <c r="N32">
        <f t="shared" si="23"/>
        <v>576.80000000000007</v>
      </c>
      <c r="O32">
        <f t="shared" si="24"/>
        <v>271.59039999999999</v>
      </c>
      <c r="Q32" s="11">
        <f t="shared" si="25"/>
        <v>50</v>
      </c>
      <c r="R32" s="12">
        <f t="shared" si="26"/>
        <v>0</v>
      </c>
    </row>
    <row r="33" spans="1:18" x14ac:dyDescent="0.25">
      <c r="A33">
        <v>-5</v>
      </c>
      <c r="B33">
        <v>45</v>
      </c>
      <c r="C33">
        <f t="shared" si="27"/>
        <v>12.09</v>
      </c>
      <c r="E33">
        <v>50</v>
      </c>
      <c r="F33" s="2"/>
      <c r="G33">
        <f t="shared" si="18"/>
        <v>-5</v>
      </c>
      <c r="H33" s="10">
        <f t="shared" si="18"/>
        <v>45</v>
      </c>
      <c r="I33">
        <f t="shared" si="18"/>
        <v>12.09</v>
      </c>
      <c r="J33">
        <f t="shared" si="19"/>
        <v>25</v>
      </c>
      <c r="K33">
        <f t="shared" si="20"/>
        <v>-225</v>
      </c>
      <c r="L33">
        <f t="shared" si="21"/>
        <v>-60.45</v>
      </c>
      <c r="M33">
        <f t="shared" si="22"/>
        <v>2025</v>
      </c>
      <c r="N33">
        <f t="shared" si="23"/>
        <v>544.04999999999995</v>
      </c>
      <c r="O33">
        <f t="shared" si="24"/>
        <v>146.16810000000001</v>
      </c>
      <c r="Q33" s="11">
        <f t="shared" si="25"/>
        <v>50</v>
      </c>
      <c r="R33" s="12">
        <f t="shared" si="26"/>
        <v>0</v>
      </c>
    </row>
    <row r="34" spans="1:18" x14ac:dyDescent="0.25">
      <c r="A34">
        <v>0</v>
      </c>
      <c r="B34">
        <v>45</v>
      </c>
      <c r="C34">
        <f t="shared" si="27"/>
        <v>13.93</v>
      </c>
      <c r="E34">
        <v>50</v>
      </c>
      <c r="F34" s="2"/>
      <c r="G34">
        <f t="shared" si="18"/>
        <v>0</v>
      </c>
      <c r="H34" s="10">
        <f t="shared" si="18"/>
        <v>45</v>
      </c>
      <c r="I34">
        <f t="shared" si="18"/>
        <v>13.93</v>
      </c>
      <c r="J34">
        <f t="shared" si="19"/>
        <v>0</v>
      </c>
      <c r="K34">
        <f t="shared" si="20"/>
        <v>0</v>
      </c>
      <c r="L34">
        <f t="shared" si="21"/>
        <v>0</v>
      </c>
      <c r="M34">
        <f t="shared" si="22"/>
        <v>2025</v>
      </c>
      <c r="N34">
        <f t="shared" si="23"/>
        <v>626.85</v>
      </c>
      <c r="O34">
        <f t="shared" si="24"/>
        <v>194.04489999999998</v>
      </c>
      <c r="Q34" s="11">
        <f t="shared" si="25"/>
        <v>50</v>
      </c>
      <c r="R34" s="12">
        <f t="shared" si="26"/>
        <v>0</v>
      </c>
    </row>
    <row r="35" spans="1:18" x14ac:dyDescent="0.25">
      <c r="A35">
        <v>5</v>
      </c>
      <c r="B35">
        <v>45</v>
      </c>
      <c r="C35">
        <f t="shared" si="27"/>
        <v>15.98</v>
      </c>
      <c r="E35">
        <v>50</v>
      </c>
      <c r="F35" s="2"/>
      <c r="G35">
        <f t="shared" si="18"/>
        <v>5</v>
      </c>
      <c r="H35" s="10">
        <f t="shared" si="18"/>
        <v>45</v>
      </c>
      <c r="I35">
        <f t="shared" si="18"/>
        <v>15.98</v>
      </c>
      <c r="J35">
        <f t="shared" si="19"/>
        <v>25</v>
      </c>
      <c r="K35">
        <f t="shared" si="20"/>
        <v>225</v>
      </c>
      <c r="L35">
        <f t="shared" si="21"/>
        <v>79.900000000000006</v>
      </c>
      <c r="M35">
        <f t="shared" si="22"/>
        <v>2025</v>
      </c>
      <c r="N35">
        <f t="shared" si="23"/>
        <v>719.1</v>
      </c>
      <c r="O35">
        <f t="shared" si="24"/>
        <v>255.36040000000003</v>
      </c>
      <c r="Q35" s="11">
        <f t="shared" si="25"/>
        <v>50</v>
      </c>
      <c r="R35" s="12">
        <f t="shared" si="26"/>
        <v>0</v>
      </c>
    </row>
    <row r="36" spans="1:18" x14ac:dyDescent="0.25">
      <c r="A36">
        <v>0</v>
      </c>
      <c r="B36">
        <v>55</v>
      </c>
      <c r="C36">
        <f t="shared" si="27"/>
        <v>13.4</v>
      </c>
      <c r="E36">
        <v>50</v>
      </c>
      <c r="F36" s="2"/>
      <c r="G36">
        <f t="shared" si="18"/>
        <v>0</v>
      </c>
      <c r="H36" s="10">
        <f t="shared" si="18"/>
        <v>55</v>
      </c>
      <c r="I36">
        <f t="shared" si="18"/>
        <v>13.4</v>
      </c>
      <c r="J36">
        <f t="shared" si="19"/>
        <v>0</v>
      </c>
      <c r="K36">
        <f t="shared" si="20"/>
        <v>0</v>
      </c>
      <c r="L36">
        <f t="shared" si="21"/>
        <v>0</v>
      </c>
      <c r="M36">
        <f t="shared" si="22"/>
        <v>3025</v>
      </c>
      <c r="N36">
        <f t="shared" si="23"/>
        <v>737</v>
      </c>
      <c r="O36">
        <f t="shared" si="24"/>
        <v>179.56</v>
      </c>
      <c r="Q36" s="11">
        <f t="shared" si="25"/>
        <v>50</v>
      </c>
      <c r="R36" s="12">
        <f t="shared" si="26"/>
        <v>0</v>
      </c>
    </row>
    <row r="37" spans="1:18" x14ac:dyDescent="0.25">
      <c r="A37">
        <v>5</v>
      </c>
      <c r="B37">
        <v>55</v>
      </c>
      <c r="C37">
        <f t="shared" si="27"/>
        <v>15.28</v>
      </c>
      <c r="E37">
        <v>50</v>
      </c>
      <c r="F37" s="2"/>
      <c r="G37">
        <f t="shared" si="18"/>
        <v>5</v>
      </c>
      <c r="H37" s="10">
        <f t="shared" si="18"/>
        <v>55</v>
      </c>
      <c r="I37">
        <f t="shared" si="18"/>
        <v>15.28</v>
      </c>
      <c r="J37">
        <f t="shared" si="19"/>
        <v>25</v>
      </c>
      <c r="K37">
        <f t="shared" si="20"/>
        <v>275</v>
      </c>
      <c r="L37">
        <f t="shared" si="21"/>
        <v>76.399999999999991</v>
      </c>
      <c r="M37">
        <f t="shared" si="22"/>
        <v>3025</v>
      </c>
      <c r="N37">
        <f t="shared" si="23"/>
        <v>840.4</v>
      </c>
      <c r="O37">
        <f t="shared" si="24"/>
        <v>233.47839999999999</v>
      </c>
      <c r="Q37" s="11">
        <f t="shared" si="25"/>
        <v>50</v>
      </c>
      <c r="R37" s="12">
        <f t="shared" si="26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8609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8609" r:id="rId4"/>
      </mc:Fallback>
    </mc:AlternateContent>
    <mc:AlternateContent xmlns:mc="http://schemas.openxmlformats.org/markup-compatibility/2006">
      <mc:Choice Requires="x14">
        <oleObject progId="Equation.3" shapeId="68610" r:id="rId6">
          <objectPr defaultSize="0" autoPict="0" r:id="rId5">
            <anchor moveWithCells="1" sizeWithCells="1">
              <from>
                <xdr:col>6</xdr:col>
                <xdr:colOff>171450</xdr:colOff>
                <xdr:row>15</xdr:row>
                <xdr:rowOff>38100</xdr:rowOff>
              </from>
              <to>
                <xdr:col>14</xdr:col>
                <xdr:colOff>1466850</xdr:colOff>
                <xdr:row>15</xdr:row>
                <xdr:rowOff>647700</xdr:rowOff>
              </to>
            </anchor>
          </objectPr>
        </oleObject>
      </mc:Choice>
      <mc:Fallback>
        <oleObject progId="Equation.3" shapeId="68610" r:id="rId6"/>
      </mc:Fallback>
    </mc:AlternateContent>
    <mc:AlternateContent xmlns:mc="http://schemas.openxmlformats.org/markup-compatibility/2006">
      <mc:Choice Requires="x14">
        <oleObject progId="Equation.3" shapeId="68611" r:id="rId7">
          <objectPr defaultSize="0" autoPict="0" r:id="rId5">
            <anchor moveWithCells="1" sizeWithCells="1">
              <from>
                <xdr:col>6</xdr:col>
                <xdr:colOff>171450</xdr:colOff>
                <xdr:row>28</xdr:row>
                <xdr:rowOff>38100</xdr:rowOff>
              </from>
              <to>
                <xdr:col>14</xdr:col>
                <xdr:colOff>1466850</xdr:colOff>
                <xdr:row>28</xdr:row>
                <xdr:rowOff>647700</xdr:rowOff>
              </to>
            </anchor>
          </objectPr>
        </oleObject>
      </mc:Choice>
      <mc:Fallback>
        <oleObject progId="Equation.3" shapeId="68611" r:id="rId7"/>
      </mc:Fallback>
    </mc:AlternateContent>
  </oleObjec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List28"/>
  <dimension ref="A1:T34"/>
  <sheetViews>
    <sheetView zoomScale="70" zoomScaleNormal="70" workbookViewId="0">
      <selection activeCell="E23" sqref="E23"/>
    </sheetView>
  </sheetViews>
  <sheetFormatPr defaultColWidth="9.140625" defaultRowHeight="15" x14ac:dyDescent="0.25"/>
  <cols>
    <col min="1" max="1" width="13.140625" customWidth="1"/>
    <col min="2" max="2" width="13.28515625" customWidth="1"/>
    <col min="5" max="5" width="8.42578125" customWidth="1"/>
    <col min="6" max="6" width="4.85546875" customWidth="1"/>
    <col min="7" max="8" width="12.7109375" bestFit="1" customWidth="1"/>
    <col min="9" max="9" width="12.7109375" customWidth="1"/>
    <col min="10" max="10" width="12.7109375" bestFit="1" customWidth="1"/>
    <col min="11" max="11" width="9.28515625" bestFit="1" customWidth="1"/>
    <col min="12" max="12" width="10.7109375" bestFit="1" customWidth="1"/>
    <col min="13" max="13" width="9.28515625" bestFit="1" customWidth="1"/>
    <col min="14" max="14" width="12" bestFit="1" customWidth="1"/>
    <col min="15" max="15" width="12.7109375" bestFit="1" customWidth="1"/>
    <col min="16" max="16" width="9.28515625" bestFit="1" customWidth="1"/>
  </cols>
  <sheetData>
    <row r="1" spans="1:20" x14ac:dyDescent="0.25">
      <c r="A1" t="s">
        <v>26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</row>
    <row r="2" spans="1:20" x14ac:dyDescent="0.25">
      <c r="A2" s="1"/>
      <c r="C2" s="1"/>
      <c r="D2" s="1"/>
      <c r="E2" s="1"/>
      <c r="F2" s="1"/>
      <c r="G2" s="4">
        <f t="array" ref="G2:P2">LINEST(E4:E10,G4:O10)</f>
        <v>0</v>
      </c>
      <c r="H2" s="4">
        <v>-5.0299999999999867E-3</v>
      </c>
      <c r="I2" s="4">
        <v>2.2999999999999917E-3</v>
      </c>
      <c r="J2" s="4">
        <v>1.0613333333333291E-2</v>
      </c>
      <c r="K2" s="4">
        <v>-1.9999999999999502E-3</v>
      </c>
      <c r="L2" s="4">
        <v>5.9999999999999568E-3</v>
      </c>
      <c r="M2" s="4">
        <v>0</v>
      </c>
      <c r="N2" s="4">
        <v>0</v>
      </c>
      <c r="O2" s="4">
        <v>0</v>
      </c>
      <c r="P2" s="4">
        <v>22.763333333333321</v>
      </c>
    </row>
    <row r="3" spans="1:20" s="3" customFormat="1" ht="45" x14ac:dyDescent="0.25">
      <c r="A3" s="5" t="s">
        <v>11</v>
      </c>
      <c r="B3" s="5" t="s">
        <v>12</v>
      </c>
      <c r="C3" s="5" t="s">
        <v>13</v>
      </c>
      <c r="D3" s="6"/>
      <c r="E3" s="7" t="s">
        <v>25</v>
      </c>
      <c r="G3" s="8" t="s">
        <v>17</v>
      </c>
      <c r="H3" s="8" t="s">
        <v>18</v>
      </c>
      <c r="I3" s="8" t="s">
        <v>0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  <c r="O3" s="8" t="s">
        <v>24</v>
      </c>
      <c r="Q3" s="9" t="s">
        <v>25</v>
      </c>
      <c r="R3" s="9" t="s">
        <v>15</v>
      </c>
    </row>
    <row r="4" spans="1:20" x14ac:dyDescent="0.25">
      <c r="A4">
        <v>0</v>
      </c>
      <c r="B4">
        <v>35</v>
      </c>
      <c r="C4">
        <v>50</v>
      </c>
      <c r="E4">
        <v>16.760000000000002</v>
      </c>
      <c r="F4" s="2"/>
      <c r="G4">
        <f t="shared" ref="G4:I10" si="0">A4</f>
        <v>0</v>
      </c>
      <c r="H4" s="10">
        <f t="shared" si="0"/>
        <v>35</v>
      </c>
      <c r="I4">
        <f t="shared" si="0"/>
        <v>50</v>
      </c>
      <c r="J4">
        <f t="shared" ref="J4:J10" si="1">G4^2</f>
        <v>0</v>
      </c>
      <c r="K4">
        <f t="shared" ref="K4:K10" si="2">G4*H4</f>
        <v>0</v>
      </c>
      <c r="L4">
        <f t="shared" ref="L4:L10" si="3">G4*I4</f>
        <v>0</v>
      </c>
      <c r="M4">
        <f t="shared" ref="M4:M10" si="4">H4^2</f>
        <v>1225</v>
      </c>
      <c r="N4">
        <f t="shared" ref="N4:N10" si="5">H4*I4</f>
        <v>1750</v>
      </c>
      <c r="O4">
        <f t="shared" ref="O4:O10" si="6">I4^2</f>
        <v>2500</v>
      </c>
      <c r="Q4" s="11">
        <f t="shared" ref="Q4:Q10" si="7">$P$2+$O$2*G4+$N$2*H4+$M$2*I4+$L$2*J4+$K$2*K4+$J$2*L4+$I$2*M4+$H$2*N4+$G$2*O4</f>
        <v>16.778333333333332</v>
      </c>
      <c r="R4" s="12">
        <f t="shared" ref="R4:R10" si="8">(Q4-E4)/E4</f>
        <v>1.0938743038980232E-3</v>
      </c>
      <c r="S4" s="11"/>
      <c r="T4" s="12"/>
    </row>
    <row r="5" spans="1:20" x14ac:dyDescent="0.25">
      <c r="A5">
        <v>5</v>
      </c>
      <c r="B5">
        <v>35</v>
      </c>
      <c r="C5">
        <v>50</v>
      </c>
      <c r="E5">
        <v>19.25</v>
      </c>
      <c r="F5" s="2"/>
      <c r="G5">
        <f t="shared" si="0"/>
        <v>5</v>
      </c>
      <c r="H5" s="10">
        <f t="shared" si="0"/>
        <v>35</v>
      </c>
      <c r="I5">
        <f t="shared" si="0"/>
        <v>50</v>
      </c>
      <c r="J5">
        <f t="shared" si="1"/>
        <v>25</v>
      </c>
      <c r="K5">
        <f t="shared" si="2"/>
        <v>175</v>
      </c>
      <c r="L5">
        <f t="shared" si="3"/>
        <v>250</v>
      </c>
      <c r="M5">
        <f t="shared" si="4"/>
        <v>1225</v>
      </c>
      <c r="N5">
        <f t="shared" si="5"/>
        <v>1750</v>
      </c>
      <c r="O5">
        <f t="shared" si="6"/>
        <v>2500</v>
      </c>
      <c r="Q5" s="11">
        <f t="shared" si="7"/>
        <v>19.231666666666662</v>
      </c>
      <c r="R5" s="12">
        <f t="shared" si="8"/>
        <v>-9.5238095238119351E-4</v>
      </c>
      <c r="S5" s="11"/>
      <c r="T5" s="12"/>
    </row>
    <row r="6" spans="1:20" x14ac:dyDescent="0.25">
      <c r="A6">
        <v>-5</v>
      </c>
      <c r="B6">
        <v>45</v>
      </c>
      <c r="C6">
        <v>50</v>
      </c>
      <c r="E6">
        <v>14.05</v>
      </c>
      <c r="F6" s="2"/>
      <c r="G6">
        <f t="shared" si="0"/>
        <v>-5</v>
      </c>
      <c r="H6" s="10">
        <f t="shared" si="0"/>
        <v>45</v>
      </c>
      <c r="I6">
        <f t="shared" si="0"/>
        <v>50</v>
      </c>
      <c r="J6">
        <f t="shared" si="1"/>
        <v>25</v>
      </c>
      <c r="K6">
        <f t="shared" si="2"/>
        <v>-225</v>
      </c>
      <c r="L6">
        <f t="shared" si="3"/>
        <v>-250</v>
      </c>
      <c r="M6">
        <f t="shared" si="4"/>
        <v>2025</v>
      </c>
      <c r="N6">
        <f t="shared" si="5"/>
        <v>2250</v>
      </c>
      <c r="O6">
        <f t="shared" si="6"/>
        <v>2500</v>
      </c>
      <c r="Q6" s="11">
        <f t="shared" si="7"/>
        <v>14.05</v>
      </c>
      <c r="R6" s="12">
        <f t="shared" si="8"/>
        <v>0</v>
      </c>
      <c r="S6" s="11"/>
      <c r="T6" s="12"/>
    </row>
    <row r="7" spans="1:20" x14ac:dyDescent="0.25">
      <c r="A7">
        <v>0</v>
      </c>
      <c r="B7">
        <v>45</v>
      </c>
      <c r="C7">
        <v>50</v>
      </c>
      <c r="E7">
        <v>16.14</v>
      </c>
      <c r="F7" s="2"/>
      <c r="G7">
        <f t="shared" si="0"/>
        <v>0</v>
      </c>
      <c r="H7" s="10">
        <f t="shared" si="0"/>
        <v>45</v>
      </c>
      <c r="I7">
        <f t="shared" si="0"/>
        <v>50</v>
      </c>
      <c r="J7">
        <f t="shared" si="1"/>
        <v>0</v>
      </c>
      <c r="K7">
        <f t="shared" si="2"/>
        <v>0</v>
      </c>
      <c r="L7">
        <f t="shared" si="3"/>
        <v>0</v>
      </c>
      <c r="M7">
        <f t="shared" si="4"/>
        <v>2025</v>
      </c>
      <c r="N7">
        <f t="shared" si="5"/>
        <v>2250</v>
      </c>
      <c r="O7">
        <f t="shared" si="6"/>
        <v>2500</v>
      </c>
      <c r="Q7" s="11">
        <f t="shared" si="7"/>
        <v>16.103333333333335</v>
      </c>
      <c r="R7" s="12">
        <f t="shared" si="8"/>
        <v>-2.271788517141592E-3</v>
      </c>
      <c r="S7" s="11"/>
      <c r="T7" s="12"/>
    </row>
    <row r="8" spans="1:20" x14ac:dyDescent="0.25">
      <c r="A8">
        <v>5</v>
      </c>
      <c r="B8">
        <v>45</v>
      </c>
      <c r="C8">
        <v>50</v>
      </c>
      <c r="E8">
        <v>18.420000000000002</v>
      </c>
      <c r="F8" s="2"/>
      <c r="G8">
        <f t="shared" si="0"/>
        <v>5</v>
      </c>
      <c r="H8" s="10">
        <f t="shared" si="0"/>
        <v>45</v>
      </c>
      <c r="I8">
        <f t="shared" si="0"/>
        <v>50</v>
      </c>
      <c r="J8">
        <f t="shared" si="1"/>
        <v>25</v>
      </c>
      <c r="K8">
        <f t="shared" si="2"/>
        <v>225</v>
      </c>
      <c r="L8">
        <f t="shared" si="3"/>
        <v>250</v>
      </c>
      <c r="M8">
        <f t="shared" si="4"/>
        <v>2025</v>
      </c>
      <c r="N8">
        <f t="shared" si="5"/>
        <v>2250</v>
      </c>
      <c r="O8">
        <f t="shared" si="6"/>
        <v>2500</v>
      </c>
      <c r="Q8" s="11">
        <f t="shared" si="7"/>
        <v>18.456666666666667</v>
      </c>
      <c r="R8" s="12">
        <f t="shared" si="8"/>
        <v>1.9905899384726001E-3</v>
      </c>
      <c r="S8" s="11"/>
      <c r="T8" s="12"/>
    </row>
    <row r="9" spans="1:20" x14ac:dyDescent="0.25">
      <c r="A9">
        <v>0</v>
      </c>
      <c r="B9">
        <v>55</v>
      </c>
      <c r="C9">
        <v>50</v>
      </c>
      <c r="E9">
        <v>15.87</v>
      </c>
      <c r="F9" s="2"/>
      <c r="G9">
        <f t="shared" si="0"/>
        <v>0</v>
      </c>
      <c r="H9" s="10">
        <f t="shared" si="0"/>
        <v>55</v>
      </c>
      <c r="I9">
        <f t="shared" si="0"/>
        <v>50</v>
      </c>
      <c r="J9">
        <f t="shared" si="1"/>
        <v>0</v>
      </c>
      <c r="K9">
        <f t="shared" si="2"/>
        <v>0</v>
      </c>
      <c r="L9">
        <f t="shared" si="3"/>
        <v>0</v>
      </c>
      <c r="M9">
        <f t="shared" si="4"/>
        <v>3025</v>
      </c>
      <c r="N9">
        <f t="shared" si="5"/>
        <v>2750</v>
      </c>
      <c r="O9">
        <f t="shared" si="6"/>
        <v>2500</v>
      </c>
      <c r="Q9" s="11">
        <f t="shared" si="7"/>
        <v>15.888333333333332</v>
      </c>
      <c r="R9" s="12">
        <f t="shared" si="8"/>
        <v>1.1552194917033803E-3</v>
      </c>
      <c r="S9" s="11"/>
      <c r="T9" s="12"/>
    </row>
    <row r="10" spans="1:20" x14ac:dyDescent="0.25">
      <c r="A10">
        <v>5</v>
      </c>
      <c r="B10">
        <v>55</v>
      </c>
      <c r="C10">
        <v>50</v>
      </c>
      <c r="E10">
        <v>18.16</v>
      </c>
      <c r="F10" s="2"/>
      <c r="G10">
        <f t="shared" si="0"/>
        <v>5</v>
      </c>
      <c r="H10" s="10">
        <f t="shared" si="0"/>
        <v>55</v>
      </c>
      <c r="I10">
        <f t="shared" si="0"/>
        <v>50</v>
      </c>
      <c r="J10">
        <f t="shared" si="1"/>
        <v>25</v>
      </c>
      <c r="K10">
        <f t="shared" si="2"/>
        <v>275</v>
      </c>
      <c r="L10">
        <f t="shared" si="3"/>
        <v>250</v>
      </c>
      <c r="M10">
        <f t="shared" si="4"/>
        <v>3025</v>
      </c>
      <c r="N10">
        <f t="shared" si="5"/>
        <v>2750</v>
      </c>
      <c r="O10">
        <f t="shared" si="6"/>
        <v>2500</v>
      </c>
      <c r="Q10" s="11">
        <f t="shared" si="7"/>
        <v>18.141666666666666</v>
      </c>
      <c r="R10" s="12">
        <f t="shared" si="8"/>
        <v>-1.0095447870778866E-3</v>
      </c>
      <c r="S10" s="11"/>
      <c r="T10" s="12"/>
    </row>
    <row r="13" spans="1:20" x14ac:dyDescent="0.25">
      <c r="A13" t="s">
        <v>27</v>
      </c>
      <c r="G13" s="4" t="s">
        <v>1</v>
      </c>
      <c r="H13" s="4" t="s">
        <v>2</v>
      </c>
      <c r="I13" s="4" t="s">
        <v>3</v>
      </c>
      <c r="J13" s="4" t="s">
        <v>4</v>
      </c>
      <c r="K13" s="4" t="s">
        <v>5</v>
      </c>
      <c r="L13" s="4" t="s">
        <v>6</v>
      </c>
      <c r="M13" s="4" t="s">
        <v>7</v>
      </c>
      <c r="N13" s="4" t="s">
        <v>8</v>
      </c>
      <c r="O13" s="4" t="s">
        <v>9</v>
      </c>
      <c r="P13" s="4" t="s">
        <v>10</v>
      </c>
    </row>
    <row r="14" spans="1:20" x14ac:dyDescent="0.25">
      <c r="A14" s="1"/>
      <c r="C14" s="1"/>
      <c r="D14" s="1"/>
      <c r="E14" s="1"/>
      <c r="F14" s="1"/>
      <c r="G14" s="4">
        <f t="array" ref="G14:P14">LINEST(E16:E22,G16:O22)</f>
        <v>0</v>
      </c>
      <c r="H14" s="4">
        <v>1.2799999999999966E-3</v>
      </c>
      <c r="I14" s="4">
        <v>1.0000000000000194E-4</v>
      </c>
      <c r="J14" s="4">
        <v>-3.6666666666666694E-4</v>
      </c>
      <c r="K14" s="4">
        <v>7.9999999999999917E-4</v>
      </c>
      <c r="L14" s="4">
        <v>1.8000000000000145E-3</v>
      </c>
      <c r="M14" s="4">
        <v>0</v>
      </c>
      <c r="N14" s="4">
        <v>0</v>
      </c>
      <c r="O14" s="4">
        <v>0</v>
      </c>
      <c r="P14" s="4">
        <v>1.3608333333333378</v>
      </c>
    </row>
    <row r="15" spans="1:20" ht="45" x14ac:dyDescent="0.25">
      <c r="A15" s="5" t="s">
        <v>11</v>
      </c>
      <c r="B15" s="5" t="s">
        <v>12</v>
      </c>
      <c r="C15" s="5" t="s">
        <v>13</v>
      </c>
      <c r="D15" s="6"/>
      <c r="E15" s="7" t="s">
        <v>14</v>
      </c>
      <c r="F15" s="3"/>
      <c r="G15" s="8" t="s">
        <v>17</v>
      </c>
      <c r="H15" s="8" t="s">
        <v>18</v>
      </c>
      <c r="I15" s="8" t="s">
        <v>0</v>
      </c>
      <c r="J15" s="8" t="s">
        <v>19</v>
      </c>
      <c r="K15" s="8" t="s">
        <v>20</v>
      </c>
      <c r="L15" s="8" t="s">
        <v>21</v>
      </c>
      <c r="M15" s="8" t="s">
        <v>22</v>
      </c>
      <c r="N15" s="8" t="s">
        <v>23</v>
      </c>
      <c r="O15" s="8" t="s">
        <v>24</v>
      </c>
      <c r="P15" s="3"/>
      <c r="Q15" s="9" t="s">
        <v>14</v>
      </c>
      <c r="R15" s="9" t="s">
        <v>15</v>
      </c>
    </row>
    <row r="16" spans="1:20" x14ac:dyDescent="0.25">
      <c r="A16">
        <v>0</v>
      </c>
      <c r="B16">
        <v>35</v>
      </c>
      <c r="C16">
        <v>50</v>
      </c>
      <c r="E16">
        <v>3.71</v>
      </c>
      <c r="F16" s="2"/>
      <c r="G16">
        <f t="shared" ref="G16:I22" si="9">A16</f>
        <v>0</v>
      </c>
      <c r="H16" s="10">
        <f t="shared" si="9"/>
        <v>35</v>
      </c>
      <c r="I16">
        <f t="shared" si="9"/>
        <v>50</v>
      </c>
      <c r="J16">
        <f t="shared" ref="J16:J22" si="10">G16^2</f>
        <v>0</v>
      </c>
      <c r="K16">
        <f t="shared" ref="K16:K22" si="11">G16*H16</f>
        <v>0</v>
      </c>
      <c r="L16">
        <f t="shared" ref="L16:L22" si="12">G16*I16</f>
        <v>0</v>
      </c>
      <c r="M16">
        <f t="shared" ref="M16:M22" si="13">H16^2</f>
        <v>1225</v>
      </c>
      <c r="N16">
        <f t="shared" ref="N16:N22" si="14">H16*I16</f>
        <v>1750</v>
      </c>
      <c r="O16">
        <f t="shared" ref="O16:O22" si="15">I16^2</f>
        <v>2500</v>
      </c>
      <c r="Q16" s="11">
        <f t="shared" ref="Q16:Q22" si="16">$P$14+$O$14*G16+$N$14*H16+$M$14*I16+$L$14*J16+$K$14*K16+$J$14*L16+$I$14*M16+$H$14*N16+$G$14*O16</f>
        <v>3.723333333333334</v>
      </c>
      <c r="R16" s="12">
        <f t="shared" ref="R16:R22" si="17">(Q16-E16)/E16</f>
        <v>3.5938903863434193E-3</v>
      </c>
    </row>
    <row r="17" spans="1:18" x14ac:dyDescent="0.25">
      <c r="A17">
        <v>5</v>
      </c>
      <c r="B17">
        <v>35</v>
      </c>
      <c r="C17">
        <v>50</v>
      </c>
      <c r="E17">
        <v>3.83</v>
      </c>
      <c r="F17" s="2"/>
      <c r="G17">
        <f t="shared" si="9"/>
        <v>5</v>
      </c>
      <c r="H17" s="10">
        <f t="shared" si="9"/>
        <v>35</v>
      </c>
      <c r="I17">
        <f t="shared" si="9"/>
        <v>50</v>
      </c>
      <c r="J17">
        <f t="shared" si="10"/>
        <v>25</v>
      </c>
      <c r="K17">
        <f t="shared" si="11"/>
        <v>175</v>
      </c>
      <c r="L17">
        <f t="shared" si="12"/>
        <v>250</v>
      </c>
      <c r="M17">
        <f t="shared" si="13"/>
        <v>1225</v>
      </c>
      <c r="N17">
        <f t="shared" si="14"/>
        <v>1750</v>
      </c>
      <c r="O17">
        <f t="shared" si="15"/>
        <v>2500</v>
      </c>
      <c r="Q17" s="11">
        <f t="shared" si="16"/>
        <v>3.8166666666666678</v>
      </c>
      <c r="R17" s="12">
        <f t="shared" si="17"/>
        <v>-3.48128807658807E-3</v>
      </c>
    </row>
    <row r="18" spans="1:18" x14ac:dyDescent="0.25">
      <c r="A18">
        <v>-5</v>
      </c>
      <c r="B18">
        <v>45</v>
      </c>
      <c r="C18">
        <v>50</v>
      </c>
      <c r="E18">
        <v>4.4000000000000004</v>
      </c>
      <c r="F18" s="2"/>
      <c r="G18">
        <f t="shared" si="9"/>
        <v>-5</v>
      </c>
      <c r="H18" s="10">
        <f t="shared" si="9"/>
        <v>45</v>
      </c>
      <c r="I18">
        <f t="shared" si="9"/>
        <v>50</v>
      </c>
      <c r="J18">
        <f t="shared" si="10"/>
        <v>25</v>
      </c>
      <c r="K18">
        <f t="shared" si="11"/>
        <v>-225</v>
      </c>
      <c r="L18">
        <f t="shared" si="12"/>
        <v>-250</v>
      </c>
      <c r="M18">
        <f t="shared" si="13"/>
        <v>2025</v>
      </c>
      <c r="N18">
        <f t="shared" si="14"/>
        <v>2250</v>
      </c>
      <c r="O18">
        <f t="shared" si="15"/>
        <v>2500</v>
      </c>
      <c r="Q18" s="11">
        <f t="shared" si="16"/>
        <v>4.4000000000000012</v>
      </c>
      <c r="R18" s="12">
        <f t="shared" si="17"/>
        <v>2.0185873175002846E-16</v>
      </c>
    </row>
    <row r="19" spans="1:18" x14ac:dyDescent="0.25">
      <c r="A19">
        <v>0</v>
      </c>
      <c r="B19">
        <v>45</v>
      </c>
      <c r="C19">
        <v>50</v>
      </c>
      <c r="E19">
        <v>4.47</v>
      </c>
      <c r="F19" s="2"/>
      <c r="G19">
        <f t="shared" si="9"/>
        <v>0</v>
      </c>
      <c r="H19" s="10">
        <f t="shared" si="9"/>
        <v>45</v>
      </c>
      <c r="I19">
        <f t="shared" si="9"/>
        <v>50</v>
      </c>
      <c r="J19">
        <f t="shared" si="10"/>
        <v>0</v>
      </c>
      <c r="K19">
        <f t="shared" si="11"/>
        <v>0</v>
      </c>
      <c r="L19">
        <f t="shared" si="12"/>
        <v>0</v>
      </c>
      <c r="M19">
        <f t="shared" si="13"/>
        <v>2025</v>
      </c>
      <c r="N19">
        <f t="shared" si="14"/>
        <v>2250</v>
      </c>
      <c r="O19">
        <f t="shared" si="15"/>
        <v>2500</v>
      </c>
      <c r="Q19" s="11">
        <f t="shared" si="16"/>
        <v>4.4433333333333342</v>
      </c>
      <c r="R19" s="12">
        <f t="shared" si="17"/>
        <v>-5.9656972408647672E-3</v>
      </c>
    </row>
    <row r="20" spans="1:18" x14ac:dyDescent="0.25">
      <c r="A20">
        <v>5</v>
      </c>
      <c r="B20">
        <v>45</v>
      </c>
      <c r="C20">
        <v>50</v>
      </c>
      <c r="E20">
        <v>4.55</v>
      </c>
      <c r="F20" s="2"/>
      <c r="G20">
        <f t="shared" si="9"/>
        <v>5</v>
      </c>
      <c r="H20" s="10">
        <f t="shared" si="9"/>
        <v>45</v>
      </c>
      <c r="I20">
        <f t="shared" si="9"/>
        <v>50</v>
      </c>
      <c r="J20">
        <f t="shared" si="10"/>
        <v>25</v>
      </c>
      <c r="K20">
        <f t="shared" si="11"/>
        <v>225</v>
      </c>
      <c r="L20">
        <f t="shared" si="12"/>
        <v>250</v>
      </c>
      <c r="M20">
        <f t="shared" si="13"/>
        <v>2025</v>
      </c>
      <c r="N20">
        <f t="shared" si="14"/>
        <v>2250</v>
      </c>
      <c r="O20">
        <f t="shared" si="15"/>
        <v>2500</v>
      </c>
      <c r="Q20" s="11">
        <f t="shared" si="16"/>
        <v>4.5766666666666671</v>
      </c>
      <c r="R20" s="12">
        <f t="shared" si="17"/>
        <v>5.8608058608059961E-3</v>
      </c>
    </row>
    <row r="21" spans="1:18" x14ac:dyDescent="0.25">
      <c r="A21">
        <v>0</v>
      </c>
      <c r="B21">
        <v>55</v>
      </c>
      <c r="C21">
        <v>50</v>
      </c>
      <c r="E21">
        <v>5.17</v>
      </c>
      <c r="F21" s="2"/>
      <c r="G21">
        <f t="shared" si="9"/>
        <v>0</v>
      </c>
      <c r="H21" s="10">
        <f t="shared" si="9"/>
        <v>55</v>
      </c>
      <c r="I21">
        <f t="shared" si="9"/>
        <v>50</v>
      </c>
      <c r="J21">
        <f t="shared" si="10"/>
        <v>0</v>
      </c>
      <c r="K21">
        <f t="shared" si="11"/>
        <v>0</v>
      </c>
      <c r="L21">
        <f t="shared" si="12"/>
        <v>0</v>
      </c>
      <c r="M21">
        <f t="shared" si="13"/>
        <v>3025</v>
      </c>
      <c r="N21">
        <f t="shared" si="14"/>
        <v>2750</v>
      </c>
      <c r="O21">
        <f t="shared" si="15"/>
        <v>2500</v>
      </c>
      <c r="Q21" s="11">
        <f t="shared" si="16"/>
        <v>5.1833333333333345</v>
      </c>
      <c r="R21" s="12">
        <f t="shared" si="17"/>
        <v>2.5789813023857893E-3</v>
      </c>
    </row>
    <row r="22" spans="1:18" x14ac:dyDescent="0.25">
      <c r="A22">
        <v>5</v>
      </c>
      <c r="B22">
        <v>55</v>
      </c>
      <c r="C22">
        <v>50</v>
      </c>
      <c r="E22">
        <v>5.37</v>
      </c>
      <c r="F22" s="2"/>
      <c r="G22">
        <f t="shared" si="9"/>
        <v>5</v>
      </c>
      <c r="H22" s="10">
        <f t="shared" si="9"/>
        <v>55</v>
      </c>
      <c r="I22">
        <f t="shared" si="9"/>
        <v>50</v>
      </c>
      <c r="J22">
        <f t="shared" si="10"/>
        <v>25</v>
      </c>
      <c r="K22">
        <f t="shared" si="11"/>
        <v>275</v>
      </c>
      <c r="L22">
        <f t="shared" si="12"/>
        <v>250</v>
      </c>
      <c r="M22">
        <f t="shared" si="13"/>
        <v>3025</v>
      </c>
      <c r="N22">
        <f t="shared" si="14"/>
        <v>2750</v>
      </c>
      <c r="O22">
        <f t="shared" si="15"/>
        <v>2500</v>
      </c>
      <c r="Q22" s="11">
        <f t="shared" si="16"/>
        <v>5.3566666666666674</v>
      </c>
      <c r="R22" s="12">
        <f t="shared" si="17"/>
        <v>-2.4829298572314252E-3</v>
      </c>
    </row>
    <row r="25" spans="1:18" x14ac:dyDescent="0.25">
      <c r="A25" t="s">
        <v>28</v>
      </c>
      <c r="G25" s="4" t="s">
        <v>1</v>
      </c>
      <c r="H25" s="4" t="s">
        <v>2</v>
      </c>
      <c r="I25" s="4" t="s">
        <v>3</v>
      </c>
      <c r="J25" s="4" t="s">
        <v>4</v>
      </c>
      <c r="K25" s="4" t="s">
        <v>5</v>
      </c>
      <c r="L25" s="4" t="s">
        <v>6</v>
      </c>
      <c r="M25" s="4" t="s">
        <v>7</v>
      </c>
      <c r="N25" s="4" t="s">
        <v>8</v>
      </c>
      <c r="O25" s="4" t="s">
        <v>9</v>
      </c>
      <c r="P25" s="4" t="s">
        <v>10</v>
      </c>
    </row>
    <row r="26" spans="1:18" x14ac:dyDescent="0.25">
      <c r="A26" s="1"/>
      <c r="C26" s="1"/>
      <c r="D26" s="1"/>
      <c r="E26" s="1"/>
      <c r="F26" s="1"/>
      <c r="G26" s="4">
        <f t="array" ref="G26:P26">LINEST(E28:E34,G28:O34)</f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50</v>
      </c>
    </row>
    <row r="27" spans="1:18" ht="45" x14ac:dyDescent="0.25">
      <c r="A27" s="5" t="s">
        <v>11</v>
      </c>
      <c r="B27" s="5" t="s">
        <v>12</v>
      </c>
      <c r="C27" s="5" t="s">
        <v>14</v>
      </c>
      <c r="E27" s="7" t="s">
        <v>13</v>
      </c>
      <c r="F27" s="3"/>
      <c r="G27" s="8" t="s">
        <v>17</v>
      </c>
      <c r="H27" s="8" t="s">
        <v>18</v>
      </c>
      <c r="I27" s="8" t="s">
        <v>0</v>
      </c>
      <c r="J27" s="8" t="s">
        <v>19</v>
      </c>
      <c r="K27" s="8" t="s">
        <v>20</v>
      </c>
      <c r="L27" s="8" t="s">
        <v>21</v>
      </c>
      <c r="M27" s="8" t="s">
        <v>22</v>
      </c>
      <c r="N27" s="8" t="s">
        <v>23</v>
      </c>
      <c r="O27" s="8" t="s">
        <v>24</v>
      </c>
      <c r="P27" s="3"/>
      <c r="Q27" s="9" t="s">
        <v>16</v>
      </c>
      <c r="R27" s="9" t="s">
        <v>15</v>
      </c>
    </row>
    <row r="28" spans="1:18" x14ac:dyDescent="0.25">
      <c r="A28">
        <v>0</v>
      </c>
      <c r="B28">
        <v>35</v>
      </c>
      <c r="C28">
        <f t="shared" ref="C28:C34" si="18">E4</f>
        <v>16.760000000000002</v>
      </c>
      <c r="E28">
        <v>50</v>
      </c>
      <c r="F28" s="2"/>
      <c r="G28">
        <f t="shared" ref="G28:I34" si="19">A28</f>
        <v>0</v>
      </c>
      <c r="H28" s="10">
        <f t="shared" si="19"/>
        <v>35</v>
      </c>
      <c r="I28">
        <f t="shared" si="19"/>
        <v>16.760000000000002</v>
      </c>
      <c r="J28">
        <f t="shared" ref="J28:J34" si="20">G28^2</f>
        <v>0</v>
      </c>
      <c r="K28">
        <f t="shared" ref="K28:K34" si="21">G28*H28</f>
        <v>0</v>
      </c>
      <c r="L28">
        <f t="shared" ref="L28:L34" si="22">G28*I28</f>
        <v>0</v>
      </c>
      <c r="M28">
        <f t="shared" ref="M28:M34" si="23">H28^2</f>
        <v>1225</v>
      </c>
      <c r="N28">
        <f t="shared" ref="N28:N34" si="24">H28*I28</f>
        <v>586.6</v>
      </c>
      <c r="O28">
        <f t="shared" ref="O28:O34" si="25">I28^2</f>
        <v>280.89760000000007</v>
      </c>
      <c r="Q28" s="11">
        <f t="shared" ref="Q28:Q34" si="26">$P$26+$O$26*G28+$N$26*H28+$M$26*I28+$L$26*J28+$K$26*K28+$J$26*L28+$I$26*M28+$H$26*N28+$G$26*O28</f>
        <v>50</v>
      </c>
      <c r="R28" s="12">
        <f t="shared" ref="R28:R34" si="27">(Q28-E28)/E28</f>
        <v>0</v>
      </c>
    </row>
    <row r="29" spans="1:18" x14ac:dyDescent="0.25">
      <c r="A29">
        <v>5</v>
      </c>
      <c r="B29">
        <v>35</v>
      </c>
      <c r="C29">
        <f t="shared" si="18"/>
        <v>19.25</v>
      </c>
      <c r="E29">
        <v>50</v>
      </c>
      <c r="F29" s="2"/>
      <c r="G29">
        <f t="shared" si="19"/>
        <v>5</v>
      </c>
      <c r="H29" s="10">
        <f t="shared" si="19"/>
        <v>35</v>
      </c>
      <c r="I29">
        <f t="shared" si="19"/>
        <v>19.25</v>
      </c>
      <c r="J29">
        <f t="shared" si="20"/>
        <v>25</v>
      </c>
      <c r="K29">
        <f t="shared" si="21"/>
        <v>175</v>
      </c>
      <c r="L29">
        <f t="shared" si="22"/>
        <v>96.25</v>
      </c>
      <c r="M29">
        <f t="shared" si="23"/>
        <v>1225</v>
      </c>
      <c r="N29">
        <f t="shared" si="24"/>
        <v>673.75</v>
      </c>
      <c r="O29">
        <f t="shared" si="25"/>
        <v>370.5625</v>
      </c>
      <c r="Q29" s="11">
        <f t="shared" si="26"/>
        <v>50</v>
      </c>
      <c r="R29" s="12">
        <f t="shared" si="27"/>
        <v>0</v>
      </c>
    </row>
    <row r="30" spans="1:18" x14ac:dyDescent="0.25">
      <c r="A30">
        <v>-5</v>
      </c>
      <c r="B30">
        <v>45</v>
      </c>
      <c r="C30">
        <f t="shared" si="18"/>
        <v>14.05</v>
      </c>
      <c r="E30">
        <v>50</v>
      </c>
      <c r="F30" s="2"/>
      <c r="G30">
        <f t="shared" si="19"/>
        <v>-5</v>
      </c>
      <c r="H30" s="10">
        <f t="shared" si="19"/>
        <v>45</v>
      </c>
      <c r="I30">
        <f t="shared" si="19"/>
        <v>14.05</v>
      </c>
      <c r="J30">
        <f t="shared" si="20"/>
        <v>25</v>
      </c>
      <c r="K30">
        <f t="shared" si="21"/>
        <v>-225</v>
      </c>
      <c r="L30">
        <f t="shared" si="22"/>
        <v>-70.25</v>
      </c>
      <c r="M30">
        <f t="shared" si="23"/>
        <v>2025</v>
      </c>
      <c r="N30">
        <f t="shared" si="24"/>
        <v>632.25</v>
      </c>
      <c r="O30">
        <f t="shared" si="25"/>
        <v>197.40250000000003</v>
      </c>
      <c r="Q30" s="11">
        <f t="shared" si="26"/>
        <v>50</v>
      </c>
      <c r="R30" s="12">
        <f t="shared" si="27"/>
        <v>0</v>
      </c>
    </row>
    <row r="31" spans="1:18" x14ac:dyDescent="0.25">
      <c r="A31">
        <v>0</v>
      </c>
      <c r="B31">
        <v>45</v>
      </c>
      <c r="C31">
        <f t="shared" si="18"/>
        <v>16.14</v>
      </c>
      <c r="E31">
        <v>50</v>
      </c>
      <c r="F31" s="2"/>
      <c r="G31">
        <f t="shared" si="19"/>
        <v>0</v>
      </c>
      <c r="H31" s="10">
        <f t="shared" si="19"/>
        <v>45</v>
      </c>
      <c r="I31">
        <f t="shared" si="19"/>
        <v>16.14</v>
      </c>
      <c r="J31">
        <f t="shared" si="20"/>
        <v>0</v>
      </c>
      <c r="K31">
        <f t="shared" si="21"/>
        <v>0</v>
      </c>
      <c r="L31">
        <f t="shared" si="22"/>
        <v>0</v>
      </c>
      <c r="M31">
        <f t="shared" si="23"/>
        <v>2025</v>
      </c>
      <c r="N31">
        <f t="shared" si="24"/>
        <v>726.30000000000007</v>
      </c>
      <c r="O31">
        <f t="shared" si="25"/>
        <v>260.49960000000004</v>
      </c>
      <c r="Q31" s="11">
        <f t="shared" si="26"/>
        <v>50</v>
      </c>
      <c r="R31" s="12">
        <f t="shared" si="27"/>
        <v>0</v>
      </c>
    </row>
    <row r="32" spans="1:18" x14ac:dyDescent="0.25">
      <c r="A32">
        <v>5</v>
      </c>
      <c r="B32">
        <v>45</v>
      </c>
      <c r="C32">
        <f t="shared" si="18"/>
        <v>18.420000000000002</v>
      </c>
      <c r="E32">
        <v>50</v>
      </c>
      <c r="F32" s="2"/>
      <c r="G32">
        <f t="shared" si="19"/>
        <v>5</v>
      </c>
      <c r="H32" s="10">
        <f t="shared" si="19"/>
        <v>45</v>
      </c>
      <c r="I32">
        <f t="shared" si="19"/>
        <v>18.420000000000002</v>
      </c>
      <c r="J32">
        <f t="shared" si="20"/>
        <v>25</v>
      </c>
      <c r="K32">
        <f t="shared" si="21"/>
        <v>225</v>
      </c>
      <c r="L32">
        <f t="shared" si="22"/>
        <v>92.100000000000009</v>
      </c>
      <c r="M32">
        <f t="shared" si="23"/>
        <v>2025</v>
      </c>
      <c r="N32">
        <f t="shared" si="24"/>
        <v>828.90000000000009</v>
      </c>
      <c r="O32">
        <f t="shared" si="25"/>
        <v>339.29640000000006</v>
      </c>
      <c r="Q32" s="11">
        <f t="shared" si="26"/>
        <v>50</v>
      </c>
      <c r="R32" s="12">
        <f t="shared" si="27"/>
        <v>0</v>
      </c>
    </row>
    <row r="33" spans="1:18" x14ac:dyDescent="0.25">
      <c r="A33">
        <v>0</v>
      </c>
      <c r="B33">
        <v>55</v>
      </c>
      <c r="C33">
        <f t="shared" si="18"/>
        <v>15.87</v>
      </c>
      <c r="E33">
        <v>50</v>
      </c>
      <c r="F33" s="2"/>
      <c r="G33">
        <f t="shared" si="19"/>
        <v>0</v>
      </c>
      <c r="H33" s="10">
        <f t="shared" si="19"/>
        <v>55</v>
      </c>
      <c r="I33">
        <f t="shared" si="19"/>
        <v>15.87</v>
      </c>
      <c r="J33">
        <f t="shared" si="20"/>
        <v>0</v>
      </c>
      <c r="K33">
        <f t="shared" si="21"/>
        <v>0</v>
      </c>
      <c r="L33">
        <f t="shared" si="22"/>
        <v>0</v>
      </c>
      <c r="M33">
        <f t="shared" si="23"/>
        <v>3025</v>
      </c>
      <c r="N33">
        <f t="shared" si="24"/>
        <v>872.84999999999991</v>
      </c>
      <c r="O33">
        <f t="shared" si="25"/>
        <v>251.85689999999997</v>
      </c>
      <c r="Q33" s="11">
        <f t="shared" si="26"/>
        <v>50</v>
      </c>
      <c r="R33" s="12">
        <f t="shared" si="27"/>
        <v>0</v>
      </c>
    </row>
    <row r="34" spans="1:18" x14ac:dyDescent="0.25">
      <c r="A34">
        <v>5</v>
      </c>
      <c r="B34">
        <v>55</v>
      </c>
      <c r="C34">
        <f t="shared" si="18"/>
        <v>18.16</v>
      </c>
      <c r="E34">
        <v>50</v>
      </c>
      <c r="F34" s="2"/>
      <c r="G34">
        <f t="shared" si="19"/>
        <v>5</v>
      </c>
      <c r="H34" s="10">
        <f t="shared" si="19"/>
        <v>55</v>
      </c>
      <c r="I34">
        <f t="shared" si="19"/>
        <v>18.16</v>
      </c>
      <c r="J34">
        <f t="shared" si="20"/>
        <v>25</v>
      </c>
      <c r="K34">
        <f t="shared" si="21"/>
        <v>275</v>
      </c>
      <c r="L34">
        <f t="shared" si="22"/>
        <v>90.8</v>
      </c>
      <c r="M34">
        <f t="shared" si="23"/>
        <v>3025</v>
      </c>
      <c r="N34">
        <f t="shared" si="24"/>
        <v>998.8</v>
      </c>
      <c r="O34">
        <f t="shared" si="25"/>
        <v>329.78559999999999</v>
      </c>
      <c r="Q34" s="11">
        <f t="shared" si="26"/>
        <v>50</v>
      </c>
      <c r="R34" s="12">
        <f t="shared" si="27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69633" r:id="rId4">
          <objectPr defaultSize="0" autoPict="0" r:id="rId5">
            <anchor moveWithCells="1" sizeWithCells="1">
              <from>
                <xdr:col>6</xdr:col>
                <xdr:colOff>171450</xdr:colOff>
                <xdr:row>2</xdr:row>
                <xdr:rowOff>38100</xdr:rowOff>
              </from>
              <to>
                <xdr:col>14</xdr:col>
                <xdr:colOff>1466850</xdr:colOff>
                <xdr:row>2</xdr:row>
                <xdr:rowOff>647700</xdr:rowOff>
              </to>
            </anchor>
          </objectPr>
        </oleObject>
      </mc:Choice>
      <mc:Fallback>
        <oleObject progId="Equation.3" shapeId="69633" r:id="rId4"/>
      </mc:Fallback>
    </mc:AlternateContent>
    <mc:AlternateContent xmlns:mc="http://schemas.openxmlformats.org/markup-compatibility/2006">
      <mc:Choice Requires="x14">
        <oleObject progId="Equation.3" shapeId="69634" r:id="rId6">
          <objectPr defaultSize="0" autoPict="0" r:id="rId5">
            <anchor moveWithCells="1" sizeWithCells="1">
              <from>
                <xdr:col>6</xdr:col>
                <xdr:colOff>171450</xdr:colOff>
                <xdr:row>14</xdr:row>
                <xdr:rowOff>38100</xdr:rowOff>
              </from>
              <to>
                <xdr:col>14</xdr:col>
                <xdr:colOff>1466850</xdr:colOff>
                <xdr:row>14</xdr:row>
                <xdr:rowOff>647700</xdr:rowOff>
              </to>
            </anchor>
          </objectPr>
        </oleObject>
      </mc:Choice>
      <mc:Fallback>
        <oleObject progId="Equation.3" shapeId="69634" r:id="rId6"/>
      </mc:Fallback>
    </mc:AlternateContent>
    <mc:AlternateContent xmlns:mc="http://schemas.openxmlformats.org/markup-compatibility/2006">
      <mc:Choice Requires="x14">
        <oleObject progId="Equation.3" shapeId="69635" r:id="rId7">
          <objectPr defaultSize="0" autoPict="0" r:id="rId5">
            <anchor moveWithCells="1" sizeWithCells="1">
              <from>
                <xdr:col>6</xdr:col>
                <xdr:colOff>171450</xdr:colOff>
                <xdr:row>26</xdr:row>
                <xdr:rowOff>38100</xdr:rowOff>
              </from>
              <to>
                <xdr:col>14</xdr:col>
                <xdr:colOff>1466850</xdr:colOff>
                <xdr:row>26</xdr:row>
                <xdr:rowOff>647700</xdr:rowOff>
              </to>
            </anchor>
          </objectPr>
        </oleObject>
      </mc:Choice>
      <mc:Fallback>
        <oleObject progId="Equation.3" shapeId="69635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28</vt:i4>
      </vt:variant>
      <vt:variant>
        <vt:lpstr>Pojmenované oblasti</vt:lpstr>
      </vt:variant>
      <vt:variant>
        <vt:i4>1</vt:i4>
      </vt:variant>
    </vt:vector>
  </HeadingPairs>
  <TitlesOfParts>
    <vt:vector size="29" baseType="lpstr">
      <vt:lpstr>Návratnost</vt:lpstr>
      <vt:lpstr>Zadání+Výsledek</vt:lpstr>
      <vt:lpstr>Měsíční rozdělení výsledků</vt:lpstr>
      <vt:lpstr>Výpočet</vt:lpstr>
      <vt:lpstr>Polynomy</vt:lpstr>
      <vt:lpstr>EcoAir 406</vt:lpstr>
      <vt:lpstr>EcoAir 408</vt:lpstr>
      <vt:lpstr>EcoAir 410</vt:lpstr>
      <vt:lpstr>EcoAir 415</vt:lpstr>
      <vt:lpstr>EcoAir 420</vt:lpstr>
      <vt:lpstr>EcoAir 610M</vt:lpstr>
      <vt:lpstr>EcoAir 614M</vt:lpstr>
      <vt:lpstr>EcoAir 622M</vt:lpstr>
      <vt:lpstr>EcoAir 510M</vt:lpstr>
      <vt:lpstr>EcoAir 520M</vt:lpstr>
      <vt:lpstr>RTC 6i</vt:lpstr>
      <vt:lpstr>RTC 12i</vt:lpstr>
      <vt:lpstr>RTC 13e</vt:lpstr>
      <vt:lpstr>RTC 13e - naše meření</vt:lpstr>
      <vt:lpstr>RTC 20e</vt:lpstr>
      <vt:lpstr>EcoPart 612M</vt:lpstr>
      <vt:lpstr>EcoPart 616M</vt:lpstr>
      <vt:lpstr>EcoPart 406</vt:lpstr>
      <vt:lpstr>EcoPart 408</vt:lpstr>
      <vt:lpstr>EcoPart 410</vt:lpstr>
      <vt:lpstr>EcoPart 412</vt:lpstr>
      <vt:lpstr>EcoPart 414</vt:lpstr>
      <vt:lpstr>EcoPart 417</vt:lpstr>
      <vt:lpstr>Návratnost!Oblast_tisku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Sedlář</dc:creator>
  <cp:lastModifiedBy>Andrea Bláhová</cp:lastModifiedBy>
  <cp:lastPrinted>2024-09-06T09:21:30Z</cp:lastPrinted>
  <dcterms:created xsi:type="dcterms:W3CDTF">2017-03-05T13:44:44Z</dcterms:created>
  <dcterms:modified xsi:type="dcterms:W3CDTF">2024-09-16T11:32:29Z</dcterms:modified>
</cp:coreProperties>
</file>